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externalLinks/externalLink404.xml" ContentType="application/vnd.openxmlformats-officedocument.spreadsheetml.externalLink+xml"/>
  <Override PartName="/xl/externalLinks/externalLink405.xml" ContentType="application/vnd.openxmlformats-officedocument.spreadsheetml.externalLink+xml"/>
  <Override PartName="/xl/externalLinks/externalLink406.xml" ContentType="application/vnd.openxmlformats-officedocument.spreadsheetml.externalLink+xml"/>
  <Override PartName="/xl/externalLinks/externalLink407.xml" ContentType="application/vnd.openxmlformats-officedocument.spreadsheetml.externalLink+xml"/>
  <Override PartName="/xl/externalLinks/externalLink408.xml" ContentType="application/vnd.openxmlformats-officedocument.spreadsheetml.externalLink+xml"/>
  <Override PartName="/xl/externalLinks/externalLink409.xml" ContentType="application/vnd.openxmlformats-officedocument.spreadsheetml.externalLink+xml"/>
  <Override PartName="/xl/externalLinks/externalLink410.xml" ContentType="application/vnd.openxmlformats-officedocument.spreadsheetml.externalLink+xml"/>
  <Override PartName="/xl/externalLinks/externalLink411.xml" ContentType="application/vnd.openxmlformats-officedocument.spreadsheetml.externalLink+xml"/>
  <Override PartName="/xl/externalLinks/externalLink4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elcome\Desktop\MUM - 30 - Coastal Energen Private Limited\2023\RK Financial Model\"/>
    </mc:Choice>
  </mc:AlternateContent>
  <xr:revisionPtr revIDLastSave="0" documentId="13_ncr:1_{8F0412F4-2064-47D7-941F-AF301308F708}" xr6:coauthVersionLast="47" xr6:coauthVersionMax="47" xr10:uidLastSave="{00000000-0000-0000-0000-000000000000}"/>
  <bookViews>
    <workbookView xWindow="-108" yWindow="-108" windowWidth="23256" windowHeight="12576" tabRatio="709" activeTab="4" xr2:uid="{00000000-000D-0000-FFFF-FFFF00000000}"/>
  </bookViews>
  <sheets>
    <sheet name="Projected" sheetId="31" r:id="rId1"/>
    <sheet name="Historical" sheetId="30" r:id="rId2"/>
    <sheet name="Assum" sheetId="1" r:id="rId3"/>
    <sheet name="Tariff" sheetId="4" r:id="rId4"/>
    <sheet name="Gen" sheetId="3" r:id="rId5"/>
    <sheet name="Financials (2)" sheetId="23" r:id="rId6"/>
    <sheet name="Working Capital RK" sheetId="29" r:id="rId7"/>
    <sheet name="Depreciation Schedule" sheetId="27" r:id="rId8"/>
    <sheet name="RK Debt" sheetId="24" r:id="rId9"/>
    <sheet name="WACC RK" sheetId="25" r:id="rId10"/>
    <sheet name="EV" sheetId="26" r:id="rId11"/>
    <sheet name="Sheet2" sheetId="32" r:id="rId12"/>
    <sheet name="Financials" sheetId="2" state="hidden" r:id="rId13"/>
    <sheet name="Dep" sheetId="7" state="hidden" r:id="rId14"/>
    <sheet name="WC" sheetId="9" state="hidden" r:id="rId15"/>
    <sheet name="Debt" sheetId="21" state="hidden" r:id="rId16"/>
    <sheet name="Os" sheetId="10" state="hidden" r:id="rId17"/>
    <sheet name="CMA" sheetId="14" state="hidden" r:id="rId18"/>
    <sheet name="Operating Statement" sheetId="17" state="hidden" r:id="rId19"/>
    <sheet name="Balance Sheet" sheetId="18" state="hidden" r:id="rId20"/>
    <sheet name="Additional Information" sheetId="19" state="hidden" r:id="rId21"/>
    <sheet name="Sheet1" sheetId="15" state="hidden" r:id="rId22"/>
    <sheet name="Valuation Summary " sheetId="22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  <externalReference r:id="rId423"/>
    <externalReference r:id="rId424"/>
    <externalReference r:id="rId425"/>
    <externalReference r:id="rId426"/>
    <externalReference r:id="rId427"/>
    <externalReference r:id="rId428"/>
    <externalReference r:id="rId429"/>
    <externalReference r:id="rId430"/>
    <externalReference r:id="rId431"/>
    <externalReference r:id="rId432"/>
    <externalReference r:id="rId433"/>
    <externalReference r:id="rId434"/>
    <externalReference r:id="rId435"/>
  </externalReferences>
  <definedNames>
    <definedName name="\" localSheetId="1">#REF!</definedName>
    <definedName name="\" localSheetId="0">#REF!</definedName>
    <definedName name="\">#REF!</definedName>
    <definedName name="\0" localSheetId="1">#REF!</definedName>
    <definedName name="\0" localSheetId="0">#REF!</definedName>
    <definedName name="\0">#REF!</definedName>
    <definedName name="\A" localSheetId="7">#REF!</definedName>
    <definedName name="\A" localSheetId="10">#REF!</definedName>
    <definedName name="\A" localSheetId="9">#REF!</definedName>
    <definedName name="\A" localSheetId="6">#REF!</definedName>
    <definedName name="\a">#N/A</definedName>
    <definedName name="\A1" localSheetId="17">#REF!</definedName>
    <definedName name="\A1">#REF!</definedName>
    <definedName name="\A10">#REF!</definedName>
    <definedName name="\A13">#REF!</definedName>
    <definedName name="\A16">#REF!</definedName>
    <definedName name="\A19">#REF!</definedName>
    <definedName name="\A2">#REF!</definedName>
    <definedName name="\A22">#REF!</definedName>
    <definedName name="\A25">#REF!</definedName>
    <definedName name="\A28">#REF!</definedName>
    <definedName name="\A3">#REF!</definedName>
    <definedName name="\A5">#REF!</definedName>
    <definedName name="\A7">#REF!</definedName>
    <definedName name="\b" localSheetId="17">[1]H.O!#REF!</definedName>
    <definedName name="\b" localSheetId="7">#REF!</definedName>
    <definedName name="\b" localSheetId="10">#REF!</definedName>
    <definedName name="\b" localSheetId="9">#REF!</definedName>
    <definedName name="\b" localSheetId="6">#REF!</definedName>
    <definedName name="\b">[1]H.O!#REF!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#N/A</definedName>
    <definedName name="\J">#REF!</definedName>
    <definedName name="\k">#REF!</definedName>
    <definedName name="\l">#REF!</definedName>
    <definedName name="\M">#REF!</definedName>
    <definedName name="\N" localSheetId="17">[2]Schedules!#REF!</definedName>
    <definedName name="\N" localSheetId="7">#REF!</definedName>
    <definedName name="\N" localSheetId="10">#REF!</definedName>
    <definedName name="\N" localSheetId="9">#REF!</definedName>
    <definedName name="\N" localSheetId="6">#REF!</definedName>
    <definedName name="\N">[3]Schedules!#REF!</definedName>
    <definedName name="\o">#REF!</definedName>
    <definedName name="\P">#REF!</definedName>
    <definedName name="\Q">#REF!</definedName>
    <definedName name="\R">#REF!</definedName>
    <definedName name="\s" localSheetId="17">#REF!</definedName>
    <definedName name="\S" localSheetId="7">#REF!</definedName>
    <definedName name="\S" localSheetId="10">#REF!</definedName>
    <definedName name="\S" localSheetId="9">#REF!</definedName>
    <definedName name="\S" localSheetId="6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 localSheetId="7">'[4]BAL96-97'!#REF!</definedName>
    <definedName name="\z" localSheetId="10">'[4]BAL96-97'!#REF!</definedName>
    <definedName name="\z" localSheetId="9">'[4]BAL96-97'!#REF!</definedName>
    <definedName name="\z" localSheetId="6">'[4]BAL96-97'!#REF!</definedName>
    <definedName name="\z">#REF!</definedName>
    <definedName name="_" localSheetId="7">#REF!</definedName>
    <definedName name="_" localSheetId="10">#REF!</definedName>
    <definedName name="_" localSheetId="9">#REF!</definedName>
    <definedName name="_" localSheetId="6">#REF!</definedName>
    <definedName name="_" hidden="1">#REF!</definedName>
    <definedName name="_.._D__D__D__D_">#REF!</definedName>
    <definedName name="____________________SCH1">#REF!</definedName>
    <definedName name="____________________SCH10">#REF!</definedName>
    <definedName name="____________________SCH11">#REF!</definedName>
    <definedName name="____________________SCH2">#REF!</definedName>
    <definedName name="____________________SCH3">#REF!</definedName>
    <definedName name="____________________SCH4">#REF!</definedName>
    <definedName name="____________________SCH5">#REF!</definedName>
    <definedName name="____________________SCH6">#REF!</definedName>
    <definedName name="____________________SCH7">#REF!</definedName>
    <definedName name="____________________SCH8">#REF!</definedName>
    <definedName name="____________________SCH9">#REF!</definedName>
    <definedName name="___________________SCH1">#REF!</definedName>
    <definedName name="___________________SCH10">#REF!</definedName>
    <definedName name="___________________SCH11">#REF!</definedName>
    <definedName name="___________________SCH2">#REF!</definedName>
    <definedName name="___________________SCH3">#REF!</definedName>
    <definedName name="___________________SCH4">#REF!</definedName>
    <definedName name="___________________SCH5">#REF!</definedName>
    <definedName name="___________________SCH6">#REF!</definedName>
    <definedName name="___________________SCH7">#REF!</definedName>
    <definedName name="___________________SCH8">#REF!</definedName>
    <definedName name="___________________SCH9">#REF!</definedName>
    <definedName name="__________________SCH1">#REF!</definedName>
    <definedName name="__________________SCH10">#REF!</definedName>
    <definedName name="__________________SCH11">#REF!</definedName>
    <definedName name="__________________SCH2">#REF!</definedName>
    <definedName name="__________________SCH3">#REF!</definedName>
    <definedName name="__________________SCH4">#REF!</definedName>
    <definedName name="__________________SCH5">#REF!</definedName>
    <definedName name="__________________SCH6">#REF!</definedName>
    <definedName name="__________________SCH7">#REF!</definedName>
    <definedName name="__________________SCH8">#REF!</definedName>
    <definedName name="__________________SCH9">#REF!</definedName>
    <definedName name="_________________SCH1">#REF!</definedName>
    <definedName name="_________________SCH10">#REF!</definedName>
    <definedName name="_________________SCH11">#REF!</definedName>
    <definedName name="_________________SCH2">#REF!</definedName>
    <definedName name="_________________SCH3">#REF!</definedName>
    <definedName name="_________________SCH4">#REF!</definedName>
    <definedName name="_________________SCH5">#REF!</definedName>
    <definedName name="_________________SCH6">#REF!</definedName>
    <definedName name="_________________SCH7">#REF!</definedName>
    <definedName name="_________________SCH8">#REF!</definedName>
    <definedName name="_________________SCH9">#REF!</definedName>
    <definedName name="________________SCH1">#REF!</definedName>
    <definedName name="________________SCH10">#REF!</definedName>
    <definedName name="________________SCH11">#REF!</definedName>
    <definedName name="________________SCH2">#REF!</definedName>
    <definedName name="________________SCH3">#REF!</definedName>
    <definedName name="________________SCH4">#REF!</definedName>
    <definedName name="________________SCH5">#REF!</definedName>
    <definedName name="________________SCH6">#REF!</definedName>
    <definedName name="________________SCH7">#REF!</definedName>
    <definedName name="________________SCH8">#REF!</definedName>
    <definedName name="________________SCH9">#REF!</definedName>
    <definedName name="_______________SCH1">#REF!</definedName>
    <definedName name="_______________SCH10">#REF!</definedName>
    <definedName name="_______________SCH11">#REF!</definedName>
    <definedName name="_______________SCH2">#REF!</definedName>
    <definedName name="_______________SCH3">#REF!</definedName>
    <definedName name="_______________SCH4">#REF!</definedName>
    <definedName name="_______________SCH5">#REF!</definedName>
    <definedName name="_______________SCH6">#REF!</definedName>
    <definedName name="_______________SCH7">#REF!</definedName>
    <definedName name="_______________SCH8">#REF!</definedName>
    <definedName name="_______________SCH9">#REF!</definedName>
    <definedName name="______________SCH1">#REF!</definedName>
    <definedName name="______________SCH10">#REF!</definedName>
    <definedName name="______________SCH11">#REF!</definedName>
    <definedName name="______________SCH2">#REF!</definedName>
    <definedName name="______________SCH3">#REF!</definedName>
    <definedName name="______________SCH4">#REF!</definedName>
    <definedName name="______________SCH5">#REF!</definedName>
    <definedName name="______________SCH6">#REF!</definedName>
    <definedName name="______________SCH7">#REF!</definedName>
    <definedName name="______________SCH8">#REF!</definedName>
    <definedName name="______________SCH9">#REF!</definedName>
    <definedName name="_____________SCH1">#REF!</definedName>
    <definedName name="_____________SCH10">#REF!</definedName>
    <definedName name="_____________SCH11">#REF!</definedName>
    <definedName name="_____________SCH2">#REF!</definedName>
    <definedName name="_____________SCH3">#REF!</definedName>
    <definedName name="_____________SCH4">#REF!</definedName>
    <definedName name="_____________SCH5">#REF!</definedName>
    <definedName name="_____________SCH6">#REF!</definedName>
    <definedName name="_____________SCH7">#REF!</definedName>
    <definedName name="_____________SCH8">#REF!</definedName>
    <definedName name="_____________SCH9">#REF!</definedName>
    <definedName name="____________SCH1">#REF!</definedName>
    <definedName name="____________SCH10">#REF!</definedName>
    <definedName name="____________SCH11">#REF!</definedName>
    <definedName name="____________SCH2">#REF!</definedName>
    <definedName name="____________SCH3">#REF!</definedName>
    <definedName name="____________SCH4">#REF!</definedName>
    <definedName name="____________SCH5">#REF!</definedName>
    <definedName name="____________SCH6">#REF!</definedName>
    <definedName name="____________SCH7">#REF!</definedName>
    <definedName name="____________SCH8">#REF!</definedName>
    <definedName name="____________SCH9">#REF!</definedName>
    <definedName name="___________SCH1">#REF!</definedName>
    <definedName name="___________SCH10">#REF!</definedName>
    <definedName name="___________SCH11">#REF!</definedName>
    <definedName name="___________SCH2">#REF!</definedName>
    <definedName name="___________SCH3">#REF!</definedName>
    <definedName name="___________SCH4">#REF!</definedName>
    <definedName name="___________SCH5">#REF!</definedName>
    <definedName name="___________SCH6">#REF!</definedName>
    <definedName name="___________SCH7">#REF!</definedName>
    <definedName name="___________SCH8">#REF!</definedName>
    <definedName name="___________SCH9">#REF!</definedName>
    <definedName name="__________SCH1">#REF!</definedName>
    <definedName name="__________SCH10">#REF!</definedName>
    <definedName name="__________SCH11">#REF!</definedName>
    <definedName name="__________SCH2">#REF!</definedName>
    <definedName name="__________SCH3">#REF!</definedName>
    <definedName name="__________SCH4">#REF!</definedName>
    <definedName name="__________SCH5">#REF!</definedName>
    <definedName name="__________SCH6">#REF!</definedName>
    <definedName name="__________SCH7">#REF!</definedName>
    <definedName name="__________SCH8">#REF!</definedName>
    <definedName name="__________SCH9">#REF!</definedName>
    <definedName name="_________SCH1">#REF!</definedName>
    <definedName name="_________SCH10">#REF!</definedName>
    <definedName name="_________SCH11">#REF!</definedName>
    <definedName name="_________SCH2">#REF!</definedName>
    <definedName name="_________SCH3">#REF!</definedName>
    <definedName name="_________SCH4">#REF!</definedName>
    <definedName name="_________SCH5">#REF!</definedName>
    <definedName name="_________SCH6">#REF!</definedName>
    <definedName name="_________SCH7">#REF!</definedName>
    <definedName name="_________SCH8">#REF!</definedName>
    <definedName name="_________SCH9">#REF!</definedName>
    <definedName name="_________XL__ENTER_UNIT">#REF!</definedName>
    <definedName name="________SCH1">#REF!</definedName>
    <definedName name="________SCH10">#REF!</definedName>
    <definedName name="________SCH11">#REF!</definedName>
    <definedName name="________SCH2">#REF!</definedName>
    <definedName name="________SCH3">#REF!</definedName>
    <definedName name="________SCH4">#REF!</definedName>
    <definedName name="________SCH5">#REF!</definedName>
    <definedName name="________SCH6">#REF!</definedName>
    <definedName name="________SCH7">#REF!</definedName>
    <definedName name="________SCH8">#REF!</definedName>
    <definedName name="________SCH9">#REF!</definedName>
    <definedName name="_______SCH1">#REF!</definedName>
    <definedName name="_______SCH10">#REF!</definedName>
    <definedName name="_______SCH11">#REF!</definedName>
    <definedName name="_______SCH2">#REF!</definedName>
    <definedName name="_______SCH3">#REF!</definedName>
    <definedName name="_______SCH4">#REF!</definedName>
    <definedName name="_______SCH5">#REF!</definedName>
    <definedName name="_______SCH6">'[5]04REL'!#REF!</definedName>
    <definedName name="_______SCH7">#REF!</definedName>
    <definedName name="_______SCH8">#REF!</definedName>
    <definedName name="_______SCH9">#REF!</definedName>
    <definedName name="_______XL__ENTER_UNIT">#REF!</definedName>
    <definedName name="______dk1" localSheetId="7" hidden="1">{#N/A,#N/A,FALSE,"COVER.XLS";#N/A,#N/A,FALSE,"RACT1.XLS";#N/A,#N/A,FALSE,"RACT2.XLS";#N/A,#N/A,FALSE,"ECCMP";#N/A,#N/A,FALSE,"WELDER.XLS"}</definedName>
    <definedName name="______dk1" localSheetId="10" hidden="1">{#N/A,#N/A,FALSE,"COVER.XLS";#N/A,#N/A,FALSE,"RACT1.XLS";#N/A,#N/A,FALSE,"RACT2.XLS";#N/A,#N/A,FALSE,"ECCMP";#N/A,#N/A,FALSE,"WELDER.XLS"}</definedName>
    <definedName name="______dk1" localSheetId="1" hidden="1">{#N/A,#N/A,FALSE,"COVER.XLS";#N/A,#N/A,FALSE,"RACT1.XLS";#N/A,#N/A,FALSE,"RACT2.XLS";#N/A,#N/A,FALSE,"ECCMP";#N/A,#N/A,FALSE,"WELDER.XLS"}</definedName>
    <definedName name="______dk1" localSheetId="0" hidden="1">{#N/A,#N/A,FALSE,"COVER.XLS";#N/A,#N/A,FALSE,"RACT1.XLS";#N/A,#N/A,FALSE,"RACT2.XLS";#N/A,#N/A,FALSE,"ECCMP";#N/A,#N/A,FALSE,"WELDER.XLS"}</definedName>
    <definedName name="______dk1" localSheetId="6" hidden="1">{#N/A,#N/A,FALSE,"COVER.XLS";#N/A,#N/A,FALSE,"RACT1.XLS";#N/A,#N/A,FALSE,"RACT2.XLS";#N/A,#N/A,FALSE,"ECCMP";#N/A,#N/A,FALSE,"WELDER.XLS"}</definedName>
    <definedName name="______dk1" hidden="1">{#N/A,#N/A,FALSE,"COVER.XLS";#N/A,#N/A,FALSE,"RACT1.XLS";#N/A,#N/A,FALSE,"RACT2.XLS";#N/A,#N/A,FALSE,"ECCMP";#N/A,#N/A,FALSE,"WELDER.XLS"}</definedName>
    <definedName name="______k8" localSheetId="7" hidden="1">{#N/A,#N/A,FALSE,"COVER1.XLS ";#N/A,#N/A,FALSE,"RACT1.XLS";#N/A,#N/A,FALSE,"RACT2.XLS";#N/A,#N/A,FALSE,"ECCMP";#N/A,#N/A,FALSE,"WELDER.XLS"}</definedName>
    <definedName name="______k8" localSheetId="10" hidden="1">{#N/A,#N/A,FALSE,"COVER1.XLS ";#N/A,#N/A,FALSE,"RACT1.XLS";#N/A,#N/A,FALSE,"RACT2.XLS";#N/A,#N/A,FALSE,"ECCMP";#N/A,#N/A,FALSE,"WELDER.XLS"}</definedName>
    <definedName name="______k8" localSheetId="1" hidden="1">{#N/A,#N/A,FALSE,"COVER1.XLS ";#N/A,#N/A,FALSE,"RACT1.XLS";#N/A,#N/A,FALSE,"RACT2.XLS";#N/A,#N/A,FALSE,"ECCMP";#N/A,#N/A,FALSE,"WELDER.XLS"}</definedName>
    <definedName name="______k8" localSheetId="0" hidden="1">{#N/A,#N/A,FALSE,"COVER1.XLS ";#N/A,#N/A,FALSE,"RACT1.XLS";#N/A,#N/A,FALSE,"RACT2.XLS";#N/A,#N/A,FALSE,"ECCMP";#N/A,#N/A,FALSE,"WELDER.XLS"}</definedName>
    <definedName name="______k8" localSheetId="6" hidden="1">{#N/A,#N/A,FALSE,"COVER1.XLS ";#N/A,#N/A,FALSE,"RACT1.XLS";#N/A,#N/A,FALSE,"RACT2.XLS";#N/A,#N/A,FALSE,"ECCMP";#N/A,#N/A,FALSE,"WELDER.XLS"}</definedName>
    <definedName name="______k8" hidden="1">{#N/A,#N/A,FALSE,"COVER1.XLS ";#N/A,#N/A,FALSE,"RACT1.XLS";#N/A,#N/A,FALSE,"RACT2.XLS";#N/A,#N/A,FALSE,"ECCMP";#N/A,#N/A,FALSE,"WELDER.XLS"}</definedName>
    <definedName name="______kv2" localSheetId="7" hidden="1">{#N/A,#N/A,FALSE,"COVER1.XLS ";#N/A,#N/A,FALSE,"RACT1.XLS";#N/A,#N/A,FALSE,"RACT2.XLS";#N/A,#N/A,FALSE,"ECCMP";#N/A,#N/A,FALSE,"WELDER.XLS"}</definedName>
    <definedName name="______kv2" localSheetId="10" hidden="1">{#N/A,#N/A,FALSE,"COVER1.XLS ";#N/A,#N/A,FALSE,"RACT1.XLS";#N/A,#N/A,FALSE,"RACT2.XLS";#N/A,#N/A,FALSE,"ECCMP";#N/A,#N/A,FALSE,"WELDER.XLS"}</definedName>
    <definedName name="______kv2" localSheetId="1" hidden="1">{#N/A,#N/A,FALSE,"COVER1.XLS ";#N/A,#N/A,FALSE,"RACT1.XLS";#N/A,#N/A,FALSE,"RACT2.XLS";#N/A,#N/A,FALSE,"ECCMP";#N/A,#N/A,FALSE,"WELDER.XLS"}</definedName>
    <definedName name="______kv2" localSheetId="0" hidden="1">{#N/A,#N/A,FALSE,"COVER1.XLS ";#N/A,#N/A,FALSE,"RACT1.XLS";#N/A,#N/A,FALSE,"RACT2.XLS";#N/A,#N/A,FALSE,"ECCMP";#N/A,#N/A,FALSE,"WELDER.XLS"}</definedName>
    <definedName name="______kv2" localSheetId="6" hidden="1">{#N/A,#N/A,FALSE,"COVER1.XLS ";#N/A,#N/A,FALSE,"RACT1.XLS";#N/A,#N/A,FALSE,"RACT2.XLS";#N/A,#N/A,FALSE,"ECCMP";#N/A,#N/A,FALSE,"WELDER.XLS"}</definedName>
    <definedName name="______kv2" hidden="1">{#N/A,#N/A,FALSE,"COVER1.XLS ";#N/A,#N/A,FALSE,"RACT1.XLS";#N/A,#N/A,FALSE,"RACT2.XLS";#N/A,#N/A,FALSE,"ECCMP";#N/A,#N/A,FALSE,"WELDER.XLS"}</definedName>
    <definedName name="______kvs1" localSheetId="7" hidden="1">{#N/A,#N/A,FALSE,"COVER1.XLS ";#N/A,#N/A,FALSE,"RACT1.XLS";#N/A,#N/A,FALSE,"RACT2.XLS";#N/A,#N/A,FALSE,"ECCMP";#N/A,#N/A,FALSE,"WELDER.XLS"}</definedName>
    <definedName name="______kvs1" localSheetId="10" hidden="1">{#N/A,#N/A,FALSE,"COVER1.XLS ";#N/A,#N/A,FALSE,"RACT1.XLS";#N/A,#N/A,FALSE,"RACT2.XLS";#N/A,#N/A,FALSE,"ECCMP";#N/A,#N/A,FALSE,"WELDER.XLS"}</definedName>
    <definedName name="______kvs1" localSheetId="1" hidden="1">{#N/A,#N/A,FALSE,"COVER1.XLS ";#N/A,#N/A,FALSE,"RACT1.XLS";#N/A,#N/A,FALSE,"RACT2.XLS";#N/A,#N/A,FALSE,"ECCMP";#N/A,#N/A,FALSE,"WELDER.XLS"}</definedName>
    <definedName name="______kvs1" localSheetId="0" hidden="1">{#N/A,#N/A,FALSE,"COVER1.XLS ";#N/A,#N/A,FALSE,"RACT1.XLS";#N/A,#N/A,FALSE,"RACT2.XLS";#N/A,#N/A,FALSE,"ECCMP";#N/A,#N/A,FALSE,"WELDER.XLS"}</definedName>
    <definedName name="______kvs1" localSheetId="6" hidden="1">{#N/A,#N/A,FALSE,"COVER1.XLS ";#N/A,#N/A,FALSE,"RACT1.XLS";#N/A,#N/A,FALSE,"RACT2.XLS";#N/A,#N/A,FALSE,"ECCMP";#N/A,#N/A,FALSE,"WELDER.XLS"}</definedName>
    <definedName name="______kvs1" hidden="1">{#N/A,#N/A,FALSE,"COVER1.XLS ";#N/A,#N/A,FALSE,"RACT1.XLS";#N/A,#N/A,FALSE,"RACT2.XLS";#N/A,#N/A,FALSE,"ECCMP";#N/A,#N/A,FALSE,"WELDER.XLS"}</definedName>
    <definedName name="______kvs2" localSheetId="7" hidden="1">{#N/A,#N/A,FALSE,"COVER1.XLS ";#N/A,#N/A,FALSE,"RACT1.XLS";#N/A,#N/A,FALSE,"RACT2.XLS";#N/A,#N/A,FALSE,"ECCMP";#N/A,#N/A,FALSE,"WELDER.XLS"}</definedName>
    <definedName name="______kvs2" localSheetId="10" hidden="1">{#N/A,#N/A,FALSE,"COVER1.XLS ";#N/A,#N/A,FALSE,"RACT1.XLS";#N/A,#N/A,FALSE,"RACT2.XLS";#N/A,#N/A,FALSE,"ECCMP";#N/A,#N/A,FALSE,"WELDER.XLS"}</definedName>
    <definedName name="______kvs2" localSheetId="1" hidden="1">{#N/A,#N/A,FALSE,"COVER1.XLS ";#N/A,#N/A,FALSE,"RACT1.XLS";#N/A,#N/A,FALSE,"RACT2.XLS";#N/A,#N/A,FALSE,"ECCMP";#N/A,#N/A,FALSE,"WELDER.XLS"}</definedName>
    <definedName name="______kvs2" localSheetId="0" hidden="1">{#N/A,#N/A,FALSE,"COVER1.XLS ";#N/A,#N/A,FALSE,"RACT1.XLS";#N/A,#N/A,FALSE,"RACT2.XLS";#N/A,#N/A,FALSE,"ECCMP";#N/A,#N/A,FALSE,"WELDER.XLS"}</definedName>
    <definedName name="______kvs2" localSheetId="6" hidden="1">{#N/A,#N/A,FALSE,"COVER1.XLS ";#N/A,#N/A,FALSE,"RACT1.XLS";#N/A,#N/A,FALSE,"RACT2.XLS";#N/A,#N/A,FALSE,"ECCMP";#N/A,#N/A,FALSE,"WELDER.XLS"}</definedName>
    <definedName name="______kvs2" hidden="1">{#N/A,#N/A,FALSE,"COVER1.XLS ";#N/A,#N/A,FALSE,"RACT1.XLS";#N/A,#N/A,FALSE,"RACT2.XLS";#N/A,#N/A,FALSE,"ECCMP";#N/A,#N/A,FALSE,"WELDER.XLS"}</definedName>
    <definedName name="______kvs5" localSheetId="7" hidden="1">{#N/A,#N/A,FALSE,"COVER.XLS";#N/A,#N/A,FALSE,"RACT1.XLS";#N/A,#N/A,FALSE,"RACT2.XLS";#N/A,#N/A,FALSE,"ECCMP";#N/A,#N/A,FALSE,"WELDER.XLS"}</definedName>
    <definedName name="______kvs5" localSheetId="10" hidden="1">{#N/A,#N/A,FALSE,"COVER.XLS";#N/A,#N/A,FALSE,"RACT1.XLS";#N/A,#N/A,FALSE,"RACT2.XLS";#N/A,#N/A,FALSE,"ECCMP";#N/A,#N/A,FALSE,"WELDER.XLS"}</definedName>
    <definedName name="______kvs5" localSheetId="1" hidden="1">{#N/A,#N/A,FALSE,"COVER.XLS";#N/A,#N/A,FALSE,"RACT1.XLS";#N/A,#N/A,FALSE,"RACT2.XLS";#N/A,#N/A,FALSE,"ECCMP";#N/A,#N/A,FALSE,"WELDER.XLS"}</definedName>
    <definedName name="______kvs5" localSheetId="0" hidden="1">{#N/A,#N/A,FALSE,"COVER.XLS";#N/A,#N/A,FALSE,"RACT1.XLS";#N/A,#N/A,FALSE,"RACT2.XLS";#N/A,#N/A,FALSE,"ECCMP";#N/A,#N/A,FALSE,"WELDER.XLS"}</definedName>
    <definedName name="______kvs5" localSheetId="6" hidden="1">{#N/A,#N/A,FALSE,"COVER.XLS";#N/A,#N/A,FALSE,"RACT1.XLS";#N/A,#N/A,FALSE,"RACT2.XLS";#N/A,#N/A,FALSE,"ECCMP";#N/A,#N/A,FALSE,"WELDER.XLS"}</definedName>
    <definedName name="______kvs5" hidden="1">{#N/A,#N/A,FALSE,"COVER.XLS";#N/A,#N/A,FALSE,"RACT1.XLS";#N/A,#N/A,FALSE,"RACT2.XLS";#N/A,#N/A,FALSE,"ECCMP";#N/A,#N/A,FALSE,"WELDER.XLS"}</definedName>
    <definedName name="______kvs7" localSheetId="7" hidden="1">{#N/A,#N/A,FALSE,"COVER1.XLS ";#N/A,#N/A,FALSE,"RACT1.XLS";#N/A,#N/A,FALSE,"RACT2.XLS";#N/A,#N/A,FALSE,"ECCMP";#N/A,#N/A,FALSE,"WELDER.XLS"}</definedName>
    <definedName name="______kvs7" localSheetId="10" hidden="1">{#N/A,#N/A,FALSE,"COVER1.XLS ";#N/A,#N/A,FALSE,"RACT1.XLS";#N/A,#N/A,FALSE,"RACT2.XLS";#N/A,#N/A,FALSE,"ECCMP";#N/A,#N/A,FALSE,"WELDER.XLS"}</definedName>
    <definedName name="______kvs7" localSheetId="1" hidden="1">{#N/A,#N/A,FALSE,"COVER1.XLS ";#N/A,#N/A,FALSE,"RACT1.XLS";#N/A,#N/A,FALSE,"RACT2.XLS";#N/A,#N/A,FALSE,"ECCMP";#N/A,#N/A,FALSE,"WELDER.XLS"}</definedName>
    <definedName name="______kvs7" localSheetId="0" hidden="1">{#N/A,#N/A,FALSE,"COVER1.XLS ";#N/A,#N/A,FALSE,"RACT1.XLS";#N/A,#N/A,FALSE,"RACT2.XLS";#N/A,#N/A,FALSE,"ECCMP";#N/A,#N/A,FALSE,"WELDER.XLS"}</definedName>
    <definedName name="______kvs7" localSheetId="6" hidden="1">{#N/A,#N/A,FALSE,"COVER1.XLS ";#N/A,#N/A,FALSE,"RACT1.XLS";#N/A,#N/A,FALSE,"RACT2.XLS";#N/A,#N/A,FALSE,"ECCMP";#N/A,#N/A,FALSE,"WELDER.XLS"}</definedName>
    <definedName name="______kvs7" hidden="1">{#N/A,#N/A,FALSE,"COVER1.XLS ";#N/A,#N/A,FALSE,"RACT1.XLS";#N/A,#N/A,FALSE,"RACT2.XLS";#N/A,#N/A,FALSE,"ECCMP";#N/A,#N/A,FALSE,"WELDER.XLS"}</definedName>
    <definedName name="______kvs8" localSheetId="7" hidden="1">{#N/A,#N/A,FALSE,"COVER1.XLS ";#N/A,#N/A,FALSE,"RACT1.XLS";#N/A,#N/A,FALSE,"RACT2.XLS";#N/A,#N/A,FALSE,"ECCMP";#N/A,#N/A,FALSE,"WELDER.XLS"}</definedName>
    <definedName name="______kvs8" localSheetId="10" hidden="1">{#N/A,#N/A,FALSE,"COVER1.XLS ";#N/A,#N/A,FALSE,"RACT1.XLS";#N/A,#N/A,FALSE,"RACT2.XLS";#N/A,#N/A,FALSE,"ECCMP";#N/A,#N/A,FALSE,"WELDER.XLS"}</definedName>
    <definedName name="______kvs8" localSheetId="1" hidden="1">{#N/A,#N/A,FALSE,"COVER1.XLS ";#N/A,#N/A,FALSE,"RACT1.XLS";#N/A,#N/A,FALSE,"RACT2.XLS";#N/A,#N/A,FALSE,"ECCMP";#N/A,#N/A,FALSE,"WELDER.XLS"}</definedName>
    <definedName name="______kvs8" localSheetId="0" hidden="1">{#N/A,#N/A,FALSE,"COVER1.XLS ";#N/A,#N/A,FALSE,"RACT1.XLS";#N/A,#N/A,FALSE,"RACT2.XLS";#N/A,#N/A,FALSE,"ECCMP";#N/A,#N/A,FALSE,"WELDER.XLS"}</definedName>
    <definedName name="______kvs8" localSheetId="6" hidden="1">{#N/A,#N/A,FALSE,"COVER1.XLS ";#N/A,#N/A,FALSE,"RACT1.XLS";#N/A,#N/A,FALSE,"RACT2.XLS";#N/A,#N/A,FALSE,"ECCMP";#N/A,#N/A,FALSE,"WELDER.XLS"}</definedName>
    <definedName name="______kvs8" hidden="1">{#N/A,#N/A,FALSE,"COVER1.XLS ";#N/A,#N/A,FALSE,"RACT1.XLS";#N/A,#N/A,FALSE,"RACT2.XLS";#N/A,#N/A,FALSE,"ECCMP";#N/A,#N/A,FALSE,"WELDER.XLS"}</definedName>
    <definedName name="______KVS9" localSheetId="7" hidden="1">{#N/A,#N/A,FALSE,"COVER1.XLS ";#N/A,#N/A,FALSE,"RACT1.XLS";#N/A,#N/A,FALSE,"RACT2.XLS";#N/A,#N/A,FALSE,"ECCMP";#N/A,#N/A,FALSE,"WELDER.XLS"}</definedName>
    <definedName name="______KVS9" localSheetId="10" hidden="1">{#N/A,#N/A,FALSE,"COVER1.XLS ";#N/A,#N/A,FALSE,"RACT1.XLS";#N/A,#N/A,FALSE,"RACT2.XLS";#N/A,#N/A,FALSE,"ECCMP";#N/A,#N/A,FALSE,"WELDER.XLS"}</definedName>
    <definedName name="______KVS9" localSheetId="1" hidden="1">{#N/A,#N/A,FALSE,"COVER1.XLS ";#N/A,#N/A,FALSE,"RACT1.XLS";#N/A,#N/A,FALSE,"RACT2.XLS";#N/A,#N/A,FALSE,"ECCMP";#N/A,#N/A,FALSE,"WELDER.XLS"}</definedName>
    <definedName name="______KVS9" localSheetId="0" hidden="1">{#N/A,#N/A,FALSE,"COVER1.XLS ";#N/A,#N/A,FALSE,"RACT1.XLS";#N/A,#N/A,FALSE,"RACT2.XLS";#N/A,#N/A,FALSE,"ECCMP";#N/A,#N/A,FALSE,"WELDER.XLS"}</definedName>
    <definedName name="______KVS9" localSheetId="6" hidden="1">{#N/A,#N/A,FALSE,"COVER1.XLS ";#N/A,#N/A,FALSE,"RACT1.XLS";#N/A,#N/A,FALSE,"RACT2.XLS";#N/A,#N/A,FALSE,"ECCMP";#N/A,#N/A,FALSE,"WELDER.XLS"}</definedName>
    <definedName name="______KVS9" hidden="1">{#N/A,#N/A,FALSE,"COVER1.XLS ";#N/A,#N/A,FALSE,"RACT1.XLS";#N/A,#N/A,FALSE,"RACT2.XLS";#N/A,#N/A,FALSE,"ECCMP";#N/A,#N/A,FALSE,"WELDER.XLS"}</definedName>
    <definedName name="______l2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2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2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2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2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Nov09" localSheetId="7" hidden="1">{"'August 2000'!$A$1:$J$101"}</definedName>
    <definedName name="______Nov09" localSheetId="10" hidden="1">{"'August 2000'!$A$1:$J$101"}</definedName>
    <definedName name="______Nov09" localSheetId="1" hidden="1">{"'August 2000'!$A$1:$J$101"}</definedName>
    <definedName name="______Nov09" localSheetId="0" hidden="1">{"'August 2000'!$A$1:$J$101"}</definedName>
    <definedName name="______Nov09" localSheetId="6" hidden="1">{"'August 2000'!$A$1:$J$101"}</definedName>
    <definedName name="______Nov09" hidden="1">{"'August 2000'!$A$1:$J$101"}</definedName>
    <definedName name="______PRN1" localSheetId="7" hidden="1">{#N/A,#N/A,FALSE,"COVER.XLS";#N/A,#N/A,FALSE,"RACT1.XLS";#N/A,#N/A,FALSE,"RACT2.XLS";#N/A,#N/A,FALSE,"ECCMP";#N/A,#N/A,FALSE,"WELDER.XLS"}</definedName>
    <definedName name="______PRN1" localSheetId="10" hidden="1">{#N/A,#N/A,FALSE,"COVER.XLS";#N/A,#N/A,FALSE,"RACT1.XLS";#N/A,#N/A,FALSE,"RACT2.XLS";#N/A,#N/A,FALSE,"ECCMP";#N/A,#N/A,FALSE,"WELDER.XLS"}</definedName>
    <definedName name="______PRN1" localSheetId="1" hidden="1">{#N/A,#N/A,FALSE,"COVER.XLS";#N/A,#N/A,FALSE,"RACT1.XLS";#N/A,#N/A,FALSE,"RACT2.XLS";#N/A,#N/A,FALSE,"ECCMP";#N/A,#N/A,FALSE,"WELDER.XLS"}</definedName>
    <definedName name="______PRN1" localSheetId="0" hidden="1">{#N/A,#N/A,FALSE,"COVER.XLS";#N/A,#N/A,FALSE,"RACT1.XLS";#N/A,#N/A,FALSE,"RACT2.XLS";#N/A,#N/A,FALSE,"ECCMP";#N/A,#N/A,FALSE,"WELDER.XLS"}</definedName>
    <definedName name="______PRN1" localSheetId="6" hidden="1">{#N/A,#N/A,FALSE,"COVER.XLS";#N/A,#N/A,FALSE,"RACT1.XLS";#N/A,#N/A,FALSE,"RACT2.XLS";#N/A,#N/A,FALSE,"ECCMP";#N/A,#N/A,FALSE,"WELDER.XLS"}</definedName>
    <definedName name="______PRN1" hidden="1">{#N/A,#N/A,FALSE,"COVER.XLS";#N/A,#N/A,FALSE,"RACT1.XLS";#N/A,#N/A,FALSE,"RACT2.XLS";#N/A,#N/A,FALSE,"ECCMP";#N/A,#N/A,FALSE,"WELDER.XLS"}</definedName>
    <definedName name="______q2" localSheetId="7" hidden="1">{#N/A,#N/A,FALSE,"COVER1.XLS ";#N/A,#N/A,FALSE,"RACT1.XLS";#N/A,#N/A,FALSE,"RACT2.XLS";#N/A,#N/A,FALSE,"ECCMP";#N/A,#N/A,FALSE,"WELDER.XLS"}</definedName>
    <definedName name="______q2" localSheetId="10" hidden="1">{#N/A,#N/A,FALSE,"COVER1.XLS ";#N/A,#N/A,FALSE,"RACT1.XLS";#N/A,#N/A,FALSE,"RACT2.XLS";#N/A,#N/A,FALSE,"ECCMP";#N/A,#N/A,FALSE,"WELDER.XLS"}</definedName>
    <definedName name="______q2" localSheetId="1" hidden="1">{#N/A,#N/A,FALSE,"COVER1.XLS ";#N/A,#N/A,FALSE,"RACT1.XLS";#N/A,#N/A,FALSE,"RACT2.XLS";#N/A,#N/A,FALSE,"ECCMP";#N/A,#N/A,FALSE,"WELDER.XLS"}</definedName>
    <definedName name="______q2" localSheetId="0" hidden="1">{#N/A,#N/A,FALSE,"COVER1.XLS ";#N/A,#N/A,FALSE,"RACT1.XLS";#N/A,#N/A,FALSE,"RACT2.XLS";#N/A,#N/A,FALSE,"ECCMP";#N/A,#N/A,FALSE,"WELDER.XLS"}</definedName>
    <definedName name="______q2" localSheetId="6" hidden="1">{#N/A,#N/A,FALSE,"COVER1.XLS ";#N/A,#N/A,FALSE,"RACT1.XLS";#N/A,#N/A,FALSE,"RACT2.XLS";#N/A,#N/A,FALSE,"ECCMP";#N/A,#N/A,FALSE,"WELDER.XLS"}</definedName>
    <definedName name="______q2" hidden="1">{#N/A,#N/A,FALSE,"COVER1.XLS ";#N/A,#N/A,FALSE,"RACT1.XLS";#N/A,#N/A,FALSE,"RACT2.XLS";#N/A,#N/A,FALSE,"ECCMP";#N/A,#N/A,FALSE,"WELDER.XLS"}</definedName>
    <definedName name="______SCH1">#REF!</definedName>
    <definedName name="______SCH10">#REF!</definedName>
    <definedName name="______SCH11">#REF!</definedName>
    <definedName name="______SCH2">#REF!</definedName>
    <definedName name="______SCH3">#REF!</definedName>
    <definedName name="______SCH4">#REF!</definedName>
    <definedName name="______SCH5">#REF!</definedName>
    <definedName name="______SCH6">'[5]04REL'!#REF!</definedName>
    <definedName name="______SCH7">#REF!</definedName>
    <definedName name="______SCH8">#REF!</definedName>
    <definedName name="______SCH9">#REF!</definedName>
    <definedName name="______t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1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w2" localSheetId="7" hidden="1">{#N/A,#N/A,FALSE,"17MAY";#N/A,#N/A,FALSE,"24MAY"}</definedName>
    <definedName name="______w2" localSheetId="10" hidden="1">{#N/A,#N/A,FALSE,"17MAY";#N/A,#N/A,FALSE,"24MAY"}</definedName>
    <definedName name="______w2" localSheetId="1" hidden="1">{#N/A,#N/A,FALSE,"17MAY";#N/A,#N/A,FALSE,"24MAY"}</definedName>
    <definedName name="______w2" localSheetId="0" hidden="1">{#N/A,#N/A,FALSE,"17MAY";#N/A,#N/A,FALSE,"24MAY"}</definedName>
    <definedName name="______w2" localSheetId="6" hidden="1">{#N/A,#N/A,FALSE,"17MAY";#N/A,#N/A,FALSE,"24MAY"}</definedName>
    <definedName name="______w2" hidden="1">{#N/A,#N/A,FALSE,"17MAY";#N/A,#N/A,FALSE,"24MAY"}</definedName>
    <definedName name="______WRN1" localSheetId="7" hidden="1">{#N/A,#N/A,FALSE,"COVER1.XLS ";#N/A,#N/A,FALSE,"RACT1.XLS";#N/A,#N/A,FALSE,"RACT2.XLS";#N/A,#N/A,FALSE,"ECCMP";#N/A,#N/A,FALSE,"WELDER.XLS"}</definedName>
    <definedName name="______WRN1" localSheetId="10" hidden="1">{#N/A,#N/A,FALSE,"COVER1.XLS ";#N/A,#N/A,FALSE,"RACT1.XLS";#N/A,#N/A,FALSE,"RACT2.XLS";#N/A,#N/A,FALSE,"ECCMP";#N/A,#N/A,FALSE,"WELDER.XLS"}</definedName>
    <definedName name="______WRN1" localSheetId="1" hidden="1">{#N/A,#N/A,FALSE,"COVER1.XLS ";#N/A,#N/A,FALSE,"RACT1.XLS";#N/A,#N/A,FALSE,"RACT2.XLS";#N/A,#N/A,FALSE,"ECCMP";#N/A,#N/A,FALSE,"WELDER.XLS"}</definedName>
    <definedName name="______WRN1" localSheetId="0" hidden="1">{#N/A,#N/A,FALSE,"COVER1.XLS ";#N/A,#N/A,FALSE,"RACT1.XLS";#N/A,#N/A,FALSE,"RACT2.XLS";#N/A,#N/A,FALSE,"ECCMP";#N/A,#N/A,FALSE,"WELDER.XLS"}</definedName>
    <definedName name="______WRN1" localSheetId="6" hidden="1">{#N/A,#N/A,FALSE,"COVER1.XLS ";#N/A,#N/A,FALSE,"RACT1.XLS";#N/A,#N/A,FALSE,"RACT2.XLS";#N/A,#N/A,FALSE,"ECCMP";#N/A,#N/A,FALSE,"WELDER.XLS"}</definedName>
    <definedName name="______WRN1" hidden="1">{#N/A,#N/A,FALSE,"COVER1.XLS ";#N/A,#N/A,FALSE,"RACT1.XLS";#N/A,#N/A,FALSE,"RACT2.XLS";#N/A,#N/A,FALSE,"ECCMP";#N/A,#N/A,FALSE,"WELDER.XLS"}</definedName>
    <definedName name="______WRN2" localSheetId="7" hidden="1">{#N/A,#N/A,FALSE,"COVER1.XLS ";#N/A,#N/A,FALSE,"RACT1.XLS";#N/A,#N/A,FALSE,"RACT2.XLS";#N/A,#N/A,FALSE,"ECCMP";#N/A,#N/A,FALSE,"WELDER.XLS"}</definedName>
    <definedName name="______WRN2" localSheetId="10" hidden="1">{#N/A,#N/A,FALSE,"COVER1.XLS ";#N/A,#N/A,FALSE,"RACT1.XLS";#N/A,#N/A,FALSE,"RACT2.XLS";#N/A,#N/A,FALSE,"ECCMP";#N/A,#N/A,FALSE,"WELDER.XLS"}</definedName>
    <definedName name="______WRN2" localSheetId="1" hidden="1">{#N/A,#N/A,FALSE,"COVER1.XLS ";#N/A,#N/A,FALSE,"RACT1.XLS";#N/A,#N/A,FALSE,"RACT2.XLS";#N/A,#N/A,FALSE,"ECCMP";#N/A,#N/A,FALSE,"WELDER.XLS"}</definedName>
    <definedName name="______WRN2" localSheetId="0" hidden="1">{#N/A,#N/A,FALSE,"COVER1.XLS ";#N/A,#N/A,FALSE,"RACT1.XLS";#N/A,#N/A,FALSE,"RACT2.XLS";#N/A,#N/A,FALSE,"ECCMP";#N/A,#N/A,FALSE,"WELDER.XLS"}</definedName>
    <definedName name="______WRN2" localSheetId="6" hidden="1">{#N/A,#N/A,FALSE,"COVER1.XLS ";#N/A,#N/A,FALSE,"RACT1.XLS";#N/A,#N/A,FALSE,"RACT2.XLS";#N/A,#N/A,FALSE,"ECCMP";#N/A,#N/A,FALSE,"WELDER.XLS"}</definedName>
    <definedName name="______WRN2" hidden="1">{#N/A,#N/A,FALSE,"COVER1.XLS ";#N/A,#N/A,FALSE,"RACT1.XLS";#N/A,#N/A,FALSE,"RACT2.XLS";#N/A,#N/A,FALSE,"ECCMP";#N/A,#N/A,FALSE,"WELDER.XLS"}</definedName>
    <definedName name="______WRN3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WRN3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WRN3" localSheetId="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WRN3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WRN3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XL__ENTER_UNIT">#REF!</definedName>
    <definedName name="_____as10" localSheetId="7" hidden="1">{"'August 2000'!$A$1:$J$101"}</definedName>
    <definedName name="_____as10" localSheetId="10" hidden="1">{"'August 2000'!$A$1:$J$101"}</definedName>
    <definedName name="_____as10" localSheetId="1" hidden="1">{"'August 2000'!$A$1:$J$101"}</definedName>
    <definedName name="_____as10" localSheetId="0" hidden="1">{"'August 2000'!$A$1:$J$101"}</definedName>
    <definedName name="_____as10" localSheetId="6" hidden="1">{"'August 2000'!$A$1:$J$101"}</definedName>
    <definedName name="_____as10" hidden="1">{"'August 2000'!$A$1:$J$101"}</definedName>
    <definedName name="_____dk1" localSheetId="7" hidden="1">{#N/A,#N/A,FALSE,"COVER.XLS";#N/A,#N/A,FALSE,"RACT1.XLS";#N/A,#N/A,FALSE,"RACT2.XLS";#N/A,#N/A,FALSE,"ECCMP";#N/A,#N/A,FALSE,"WELDER.XLS"}</definedName>
    <definedName name="_____dk1" localSheetId="10" hidden="1">{#N/A,#N/A,FALSE,"COVER.XLS";#N/A,#N/A,FALSE,"RACT1.XLS";#N/A,#N/A,FALSE,"RACT2.XLS";#N/A,#N/A,FALSE,"ECCMP";#N/A,#N/A,FALSE,"WELDER.XLS"}</definedName>
    <definedName name="_____dk1" localSheetId="1" hidden="1">{#N/A,#N/A,FALSE,"COVER.XLS";#N/A,#N/A,FALSE,"RACT1.XLS";#N/A,#N/A,FALSE,"RACT2.XLS";#N/A,#N/A,FALSE,"ECCMP";#N/A,#N/A,FALSE,"WELDER.XLS"}</definedName>
    <definedName name="_____dk1" localSheetId="0" hidden="1">{#N/A,#N/A,FALSE,"COVER.XLS";#N/A,#N/A,FALSE,"RACT1.XLS";#N/A,#N/A,FALSE,"RACT2.XLS";#N/A,#N/A,FALSE,"ECCMP";#N/A,#N/A,FALSE,"WELDER.XLS"}</definedName>
    <definedName name="_____dk1" localSheetId="6" hidden="1">{#N/A,#N/A,FALSE,"COVER.XLS";#N/A,#N/A,FALSE,"RACT1.XLS";#N/A,#N/A,FALSE,"RACT2.XLS";#N/A,#N/A,FALSE,"ECCMP";#N/A,#N/A,FALSE,"WELDER.XLS"}</definedName>
    <definedName name="_____dk1" hidden="1">{#N/A,#N/A,FALSE,"COVER.XLS";#N/A,#N/A,FALSE,"RACT1.XLS";#N/A,#N/A,FALSE,"RACT2.XLS";#N/A,#N/A,FALSE,"ECCMP";#N/A,#N/A,FALSE,"WELDER.XLS"}</definedName>
    <definedName name="_____k8" localSheetId="7" hidden="1">{#N/A,#N/A,FALSE,"COVER1.XLS ";#N/A,#N/A,FALSE,"RACT1.XLS";#N/A,#N/A,FALSE,"RACT2.XLS";#N/A,#N/A,FALSE,"ECCMP";#N/A,#N/A,FALSE,"WELDER.XLS"}</definedName>
    <definedName name="_____k8" localSheetId="10" hidden="1">{#N/A,#N/A,FALSE,"COVER1.XLS ";#N/A,#N/A,FALSE,"RACT1.XLS";#N/A,#N/A,FALSE,"RACT2.XLS";#N/A,#N/A,FALSE,"ECCMP";#N/A,#N/A,FALSE,"WELDER.XLS"}</definedName>
    <definedName name="_____k8" localSheetId="1" hidden="1">{#N/A,#N/A,FALSE,"COVER1.XLS ";#N/A,#N/A,FALSE,"RACT1.XLS";#N/A,#N/A,FALSE,"RACT2.XLS";#N/A,#N/A,FALSE,"ECCMP";#N/A,#N/A,FALSE,"WELDER.XLS"}</definedName>
    <definedName name="_____k8" localSheetId="0" hidden="1">{#N/A,#N/A,FALSE,"COVER1.XLS ";#N/A,#N/A,FALSE,"RACT1.XLS";#N/A,#N/A,FALSE,"RACT2.XLS";#N/A,#N/A,FALSE,"ECCMP";#N/A,#N/A,FALSE,"WELDER.XLS"}</definedName>
    <definedName name="_____k8" localSheetId="6" hidden="1">{#N/A,#N/A,FALSE,"COVER1.XLS ";#N/A,#N/A,FALSE,"RACT1.XLS";#N/A,#N/A,FALSE,"RACT2.XLS";#N/A,#N/A,FALSE,"ECCMP";#N/A,#N/A,FALSE,"WELDER.XLS"}</definedName>
    <definedName name="_____k8" hidden="1">{#N/A,#N/A,FALSE,"COVER1.XLS ";#N/A,#N/A,FALSE,"RACT1.XLS";#N/A,#N/A,FALSE,"RACT2.XLS";#N/A,#N/A,FALSE,"ECCMP";#N/A,#N/A,FALSE,"WELDER.XLS"}</definedName>
    <definedName name="_____kv2" localSheetId="7" hidden="1">{#N/A,#N/A,FALSE,"COVER1.XLS ";#N/A,#N/A,FALSE,"RACT1.XLS";#N/A,#N/A,FALSE,"RACT2.XLS";#N/A,#N/A,FALSE,"ECCMP";#N/A,#N/A,FALSE,"WELDER.XLS"}</definedName>
    <definedName name="_____kv2" localSheetId="10" hidden="1">{#N/A,#N/A,FALSE,"COVER1.XLS ";#N/A,#N/A,FALSE,"RACT1.XLS";#N/A,#N/A,FALSE,"RACT2.XLS";#N/A,#N/A,FALSE,"ECCMP";#N/A,#N/A,FALSE,"WELDER.XLS"}</definedName>
    <definedName name="_____kv2" localSheetId="1" hidden="1">{#N/A,#N/A,FALSE,"COVER1.XLS ";#N/A,#N/A,FALSE,"RACT1.XLS";#N/A,#N/A,FALSE,"RACT2.XLS";#N/A,#N/A,FALSE,"ECCMP";#N/A,#N/A,FALSE,"WELDER.XLS"}</definedName>
    <definedName name="_____kv2" localSheetId="0" hidden="1">{#N/A,#N/A,FALSE,"COVER1.XLS ";#N/A,#N/A,FALSE,"RACT1.XLS";#N/A,#N/A,FALSE,"RACT2.XLS";#N/A,#N/A,FALSE,"ECCMP";#N/A,#N/A,FALSE,"WELDER.XLS"}</definedName>
    <definedName name="_____kv2" localSheetId="6" hidden="1">{#N/A,#N/A,FALSE,"COVER1.XLS ";#N/A,#N/A,FALSE,"RACT1.XLS";#N/A,#N/A,FALSE,"RACT2.XLS";#N/A,#N/A,FALSE,"ECCMP";#N/A,#N/A,FALSE,"WELDER.XLS"}</definedName>
    <definedName name="_____kv2" hidden="1">{#N/A,#N/A,FALSE,"COVER1.XLS ";#N/A,#N/A,FALSE,"RACT1.XLS";#N/A,#N/A,FALSE,"RACT2.XLS";#N/A,#N/A,FALSE,"ECCMP";#N/A,#N/A,FALSE,"WELDER.XLS"}</definedName>
    <definedName name="_____kvs1" localSheetId="7" hidden="1">{#N/A,#N/A,FALSE,"COVER1.XLS ";#N/A,#N/A,FALSE,"RACT1.XLS";#N/A,#N/A,FALSE,"RACT2.XLS";#N/A,#N/A,FALSE,"ECCMP";#N/A,#N/A,FALSE,"WELDER.XLS"}</definedName>
    <definedName name="_____kvs1" localSheetId="10" hidden="1">{#N/A,#N/A,FALSE,"COVER1.XLS ";#N/A,#N/A,FALSE,"RACT1.XLS";#N/A,#N/A,FALSE,"RACT2.XLS";#N/A,#N/A,FALSE,"ECCMP";#N/A,#N/A,FALSE,"WELDER.XLS"}</definedName>
    <definedName name="_____kvs1" localSheetId="1" hidden="1">{#N/A,#N/A,FALSE,"COVER1.XLS ";#N/A,#N/A,FALSE,"RACT1.XLS";#N/A,#N/A,FALSE,"RACT2.XLS";#N/A,#N/A,FALSE,"ECCMP";#N/A,#N/A,FALSE,"WELDER.XLS"}</definedName>
    <definedName name="_____kvs1" localSheetId="0" hidden="1">{#N/A,#N/A,FALSE,"COVER1.XLS ";#N/A,#N/A,FALSE,"RACT1.XLS";#N/A,#N/A,FALSE,"RACT2.XLS";#N/A,#N/A,FALSE,"ECCMP";#N/A,#N/A,FALSE,"WELDER.XLS"}</definedName>
    <definedName name="_____kvs1" localSheetId="6" hidden="1">{#N/A,#N/A,FALSE,"COVER1.XLS ";#N/A,#N/A,FALSE,"RACT1.XLS";#N/A,#N/A,FALSE,"RACT2.XLS";#N/A,#N/A,FALSE,"ECCMP";#N/A,#N/A,FALSE,"WELDER.XLS"}</definedName>
    <definedName name="_____kvs1" hidden="1">{#N/A,#N/A,FALSE,"COVER1.XLS ";#N/A,#N/A,FALSE,"RACT1.XLS";#N/A,#N/A,FALSE,"RACT2.XLS";#N/A,#N/A,FALSE,"ECCMP";#N/A,#N/A,FALSE,"WELDER.XLS"}</definedName>
    <definedName name="_____kvs2" localSheetId="7" hidden="1">{#N/A,#N/A,FALSE,"COVER1.XLS ";#N/A,#N/A,FALSE,"RACT1.XLS";#N/A,#N/A,FALSE,"RACT2.XLS";#N/A,#N/A,FALSE,"ECCMP";#N/A,#N/A,FALSE,"WELDER.XLS"}</definedName>
    <definedName name="_____kvs2" localSheetId="10" hidden="1">{#N/A,#N/A,FALSE,"COVER1.XLS ";#N/A,#N/A,FALSE,"RACT1.XLS";#N/A,#N/A,FALSE,"RACT2.XLS";#N/A,#N/A,FALSE,"ECCMP";#N/A,#N/A,FALSE,"WELDER.XLS"}</definedName>
    <definedName name="_____kvs2" localSheetId="1" hidden="1">{#N/A,#N/A,FALSE,"COVER1.XLS ";#N/A,#N/A,FALSE,"RACT1.XLS";#N/A,#N/A,FALSE,"RACT2.XLS";#N/A,#N/A,FALSE,"ECCMP";#N/A,#N/A,FALSE,"WELDER.XLS"}</definedName>
    <definedName name="_____kvs2" localSheetId="0" hidden="1">{#N/A,#N/A,FALSE,"COVER1.XLS ";#N/A,#N/A,FALSE,"RACT1.XLS";#N/A,#N/A,FALSE,"RACT2.XLS";#N/A,#N/A,FALSE,"ECCMP";#N/A,#N/A,FALSE,"WELDER.XLS"}</definedName>
    <definedName name="_____kvs2" localSheetId="6" hidden="1">{#N/A,#N/A,FALSE,"COVER1.XLS ";#N/A,#N/A,FALSE,"RACT1.XLS";#N/A,#N/A,FALSE,"RACT2.XLS";#N/A,#N/A,FALSE,"ECCMP";#N/A,#N/A,FALSE,"WELDER.XLS"}</definedName>
    <definedName name="_____kvs2" hidden="1">{#N/A,#N/A,FALSE,"COVER1.XLS ";#N/A,#N/A,FALSE,"RACT1.XLS";#N/A,#N/A,FALSE,"RACT2.XLS";#N/A,#N/A,FALSE,"ECCMP";#N/A,#N/A,FALSE,"WELDER.XLS"}</definedName>
    <definedName name="_____kvs5" localSheetId="7" hidden="1">{#N/A,#N/A,FALSE,"COVER.XLS";#N/A,#N/A,FALSE,"RACT1.XLS";#N/A,#N/A,FALSE,"RACT2.XLS";#N/A,#N/A,FALSE,"ECCMP";#N/A,#N/A,FALSE,"WELDER.XLS"}</definedName>
    <definedName name="_____kvs5" localSheetId="10" hidden="1">{#N/A,#N/A,FALSE,"COVER.XLS";#N/A,#N/A,FALSE,"RACT1.XLS";#N/A,#N/A,FALSE,"RACT2.XLS";#N/A,#N/A,FALSE,"ECCMP";#N/A,#N/A,FALSE,"WELDER.XLS"}</definedName>
    <definedName name="_____kvs5" localSheetId="1" hidden="1">{#N/A,#N/A,FALSE,"COVER.XLS";#N/A,#N/A,FALSE,"RACT1.XLS";#N/A,#N/A,FALSE,"RACT2.XLS";#N/A,#N/A,FALSE,"ECCMP";#N/A,#N/A,FALSE,"WELDER.XLS"}</definedName>
    <definedName name="_____kvs5" localSheetId="0" hidden="1">{#N/A,#N/A,FALSE,"COVER.XLS";#N/A,#N/A,FALSE,"RACT1.XLS";#N/A,#N/A,FALSE,"RACT2.XLS";#N/A,#N/A,FALSE,"ECCMP";#N/A,#N/A,FALSE,"WELDER.XLS"}</definedName>
    <definedName name="_____kvs5" localSheetId="6" hidden="1">{#N/A,#N/A,FALSE,"COVER.XLS";#N/A,#N/A,FALSE,"RACT1.XLS";#N/A,#N/A,FALSE,"RACT2.XLS";#N/A,#N/A,FALSE,"ECCMP";#N/A,#N/A,FALSE,"WELDER.XLS"}</definedName>
    <definedName name="_____kvs5" hidden="1">{#N/A,#N/A,FALSE,"COVER.XLS";#N/A,#N/A,FALSE,"RACT1.XLS";#N/A,#N/A,FALSE,"RACT2.XLS";#N/A,#N/A,FALSE,"ECCMP";#N/A,#N/A,FALSE,"WELDER.XLS"}</definedName>
    <definedName name="_____kvs7" localSheetId="7" hidden="1">{#N/A,#N/A,FALSE,"COVER1.XLS ";#N/A,#N/A,FALSE,"RACT1.XLS";#N/A,#N/A,FALSE,"RACT2.XLS";#N/A,#N/A,FALSE,"ECCMP";#N/A,#N/A,FALSE,"WELDER.XLS"}</definedName>
    <definedName name="_____kvs7" localSheetId="10" hidden="1">{#N/A,#N/A,FALSE,"COVER1.XLS ";#N/A,#N/A,FALSE,"RACT1.XLS";#N/A,#N/A,FALSE,"RACT2.XLS";#N/A,#N/A,FALSE,"ECCMP";#N/A,#N/A,FALSE,"WELDER.XLS"}</definedName>
    <definedName name="_____kvs7" localSheetId="1" hidden="1">{#N/A,#N/A,FALSE,"COVER1.XLS ";#N/A,#N/A,FALSE,"RACT1.XLS";#N/A,#N/A,FALSE,"RACT2.XLS";#N/A,#N/A,FALSE,"ECCMP";#N/A,#N/A,FALSE,"WELDER.XLS"}</definedName>
    <definedName name="_____kvs7" localSheetId="0" hidden="1">{#N/A,#N/A,FALSE,"COVER1.XLS ";#N/A,#N/A,FALSE,"RACT1.XLS";#N/A,#N/A,FALSE,"RACT2.XLS";#N/A,#N/A,FALSE,"ECCMP";#N/A,#N/A,FALSE,"WELDER.XLS"}</definedName>
    <definedName name="_____kvs7" localSheetId="6" hidden="1">{#N/A,#N/A,FALSE,"COVER1.XLS ";#N/A,#N/A,FALSE,"RACT1.XLS";#N/A,#N/A,FALSE,"RACT2.XLS";#N/A,#N/A,FALSE,"ECCMP";#N/A,#N/A,FALSE,"WELDER.XLS"}</definedName>
    <definedName name="_____kvs7" hidden="1">{#N/A,#N/A,FALSE,"COVER1.XLS ";#N/A,#N/A,FALSE,"RACT1.XLS";#N/A,#N/A,FALSE,"RACT2.XLS";#N/A,#N/A,FALSE,"ECCMP";#N/A,#N/A,FALSE,"WELDER.XLS"}</definedName>
    <definedName name="_____kvs8" localSheetId="7" hidden="1">{#N/A,#N/A,FALSE,"COVER1.XLS ";#N/A,#N/A,FALSE,"RACT1.XLS";#N/A,#N/A,FALSE,"RACT2.XLS";#N/A,#N/A,FALSE,"ECCMP";#N/A,#N/A,FALSE,"WELDER.XLS"}</definedName>
    <definedName name="_____kvs8" localSheetId="10" hidden="1">{#N/A,#N/A,FALSE,"COVER1.XLS ";#N/A,#N/A,FALSE,"RACT1.XLS";#N/A,#N/A,FALSE,"RACT2.XLS";#N/A,#N/A,FALSE,"ECCMP";#N/A,#N/A,FALSE,"WELDER.XLS"}</definedName>
    <definedName name="_____kvs8" localSheetId="1" hidden="1">{#N/A,#N/A,FALSE,"COVER1.XLS ";#N/A,#N/A,FALSE,"RACT1.XLS";#N/A,#N/A,FALSE,"RACT2.XLS";#N/A,#N/A,FALSE,"ECCMP";#N/A,#N/A,FALSE,"WELDER.XLS"}</definedName>
    <definedName name="_____kvs8" localSheetId="0" hidden="1">{#N/A,#N/A,FALSE,"COVER1.XLS ";#N/A,#N/A,FALSE,"RACT1.XLS";#N/A,#N/A,FALSE,"RACT2.XLS";#N/A,#N/A,FALSE,"ECCMP";#N/A,#N/A,FALSE,"WELDER.XLS"}</definedName>
    <definedName name="_____kvs8" localSheetId="6" hidden="1">{#N/A,#N/A,FALSE,"COVER1.XLS ";#N/A,#N/A,FALSE,"RACT1.XLS";#N/A,#N/A,FALSE,"RACT2.XLS";#N/A,#N/A,FALSE,"ECCMP";#N/A,#N/A,FALSE,"WELDER.XLS"}</definedName>
    <definedName name="_____kvs8" hidden="1">{#N/A,#N/A,FALSE,"COVER1.XLS ";#N/A,#N/A,FALSE,"RACT1.XLS";#N/A,#N/A,FALSE,"RACT2.XLS";#N/A,#N/A,FALSE,"ECCMP";#N/A,#N/A,FALSE,"WELDER.XLS"}</definedName>
    <definedName name="_____KVS9" localSheetId="7" hidden="1">{#N/A,#N/A,FALSE,"COVER1.XLS ";#N/A,#N/A,FALSE,"RACT1.XLS";#N/A,#N/A,FALSE,"RACT2.XLS";#N/A,#N/A,FALSE,"ECCMP";#N/A,#N/A,FALSE,"WELDER.XLS"}</definedName>
    <definedName name="_____KVS9" localSheetId="10" hidden="1">{#N/A,#N/A,FALSE,"COVER1.XLS ";#N/A,#N/A,FALSE,"RACT1.XLS";#N/A,#N/A,FALSE,"RACT2.XLS";#N/A,#N/A,FALSE,"ECCMP";#N/A,#N/A,FALSE,"WELDER.XLS"}</definedName>
    <definedName name="_____KVS9" localSheetId="1" hidden="1">{#N/A,#N/A,FALSE,"COVER1.XLS ";#N/A,#N/A,FALSE,"RACT1.XLS";#N/A,#N/A,FALSE,"RACT2.XLS";#N/A,#N/A,FALSE,"ECCMP";#N/A,#N/A,FALSE,"WELDER.XLS"}</definedName>
    <definedName name="_____KVS9" localSheetId="0" hidden="1">{#N/A,#N/A,FALSE,"COVER1.XLS ";#N/A,#N/A,FALSE,"RACT1.XLS";#N/A,#N/A,FALSE,"RACT2.XLS";#N/A,#N/A,FALSE,"ECCMP";#N/A,#N/A,FALSE,"WELDER.XLS"}</definedName>
    <definedName name="_____KVS9" localSheetId="6" hidden="1">{#N/A,#N/A,FALSE,"COVER1.XLS ";#N/A,#N/A,FALSE,"RACT1.XLS";#N/A,#N/A,FALSE,"RACT2.XLS";#N/A,#N/A,FALSE,"ECCMP";#N/A,#N/A,FALSE,"WELDER.XLS"}</definedName>
    <definedName name="_____KVS9" hidden="1">{#N/A,#N/A,FALSE,"COVER1.XLS ";#N/A,#N/A,FALSE,"RACT1.XLS";#N/A,#N/A,FALSE,"RACT2.XLS";#N/A,#N/A,FALSE,"ECCMP";#N/A,#N/A,FALSE,"WELDER.XLS"}</definedName>
    <definedName name="_____l2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2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2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2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2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Nov09" localSheetId="7" hidden="1">{"'August 2000'!$A$1:$J$101"}</definedName>
    <definedName name="_____Nov09" localSheetId="10" hidden="1">{"'August 2000'!$A$1:$J$101"}</definedName>
    <definedName name="_____Nov09" localSheetId="1" hidden="1">{"'August 2000'!$A$1:$J$101"}</definedName>
    <definedName name="_____Nov09" localSheetId="0" hidden="1">{"'August 2000'!$A$1:$J$101"}</definedName>
    <definedName name="_____Nov09" localSheetId="6" hidden="1">{"'August 2000'!$A$1:$J$101"}</definedName>
    <definedName name="_____Nov09" hidden="1">{"'August 2000'!$A$1:$J$101"}</definedName>
    <definedName name="_____PRN1" localSheetId="7" hidden="1">{#N/A,#N/A,FALSE,"COVER.XLS";#N/A,#N/A,FALSE,"RACT1.XLS";#N/A,#N/A,FALSE,"RACT2.XLS";#N/A,#N/A,FALSE,"ECCMP";#N/A,#N/A,FALSE,"WELDER.XLS"}</definedName>
    <definedName name="_____PRN1" localSheetId="10" hidden="1">{#N/A,#N/A,FALSE,"COVER.XLS";#N/A,#N/A,FALSE,"RACT1.XLS";#N/A,#N/A,FALSE,"RACT2.XLS";#N/A,#N/A,FALSE,"ECCMP";#N/A,#N/A,FALSE,"WELDER.XLS"}</definedName>
    <definedName name="_____PRN1" localSheetId="1" hidden="1">{#N/A,#N/A,FALSE,"COVER.XLS";#N/A,#N/A,FALSE,"RACT1.XLS";#N/A,#N/A,FALSE,"RACT2.XLS";#N/A,#N/A,FALSE,"ECCMP";#N/A,#N/A,FALSE,"WELDER.XLS"}</definedName>
    <definedName name="_____PRN1" localSheetId="0" hidden="1">{#N/A,#N/A,FALSE,"COVER.XLS";#N/A,#N/A,FALSE,"RACT1.XLS";#N/A,#N/A,FALSE,"RACT2.XLS";#N/A,#N/A,FALSE,"ECCMP";#N/A,#N/A,FALSE,"WELDER.XLS"}</definedName>
    <definedName name="_____PRN1" localSheetId="6" hidden="1">{#N/A,#N/A,FALSE,"COVER.XLS";#N/A,#N/A,FALSE,"RACT1.XLS";#N/A,#N/A,FALSE,"RACT2.XLS";#N/A,#N/A,FALSE,"ECCMP";#N/A,#N/A,FALSE,"WELDER.XLS"}</definedName>
    <definedName name="_____PRN1" hidden="1">{#N/A,#N/A,FALSE,"COVER.XLS";#N/A,#N/A,FALSE,"RACT1.XLS";#N/A,#N/A,FALSE,"RACT2.XLS";#N/A,#N/A,FALSE,"ECCMP";#N/A,#N/A,FALSE,"WELDER.XLS"}</definedName>
    <definedName name="_____q2" localSheetId="7" hidden="1">{#N/A,#N/A,FALSE,"COVER1.XLS ";#N/A,#N/A,FALSE,"RACT1.XLS";#N/A,#N/A,FALSE,"RACT2.XLS";#N/A,#N/A,FALSE,"ECCMP";#N/A,#N/A,FALSE,"WELDER.XLS"}</definedName>
    <definedName name="_____q2" localSheetId="10" hidden="1">{#N/A,#N/A,FALSE,"COVER1.XLS ";#N/A,#N/A,FALSE,"RACT1.XLS";#N/A,#N/A,FALSE,"RACT2.XLS";#N/A,#N/A,FALSE,"ECCMP";#N/A,#N/A,FALSE,"WELDER.XLS"}</definedName>
    <definedName name="_____q2" localSheetId="1" hidden="1">{#N/A,#N/A,FALSE,"COVER1.XLS ";#N/A,#N/A,FALSE,"RACT1.XLS";#N/A,#N/A,FALSE,"RACT2.XLS";#N/A,#N/A,FALSE,"ECCMP";#N/A,#N/A,FALSE,"WELDER.XLS"}</definedName>
    <definedName name="_____q2" localSheetId="0" hidden="1">{#N/A,#N/A,FALSE,"COVER1.XLS ";#N/A,#N/A,FALSE,"RACT1.XLS";#N/A,#N/A,FALSE,"RACT2.XLS";#N/A,#N/A,FALSE,"ECCMP";#N/A,#N/A,FALSE,"WELDER.XLS"}</definedName>
    <definedName name="_____q2" localSheetId="6" hidden="1">{#N/A,#N/A,FALSE,"COVER1.XLS ";#N/A,#N/A,FALSE,"RACT1.XLS";#N/A,#N/A,FALSE,"RACT2.XLS";#N/A,#N/A,FALSE,"ECCMP";#N/A,#N/A,FALSE,"WELDER.XLS"}</definedName>
    <definedName name="_____q2" hidden="1">{#N/A,#N/A,FALSE,"COVER1.XLS ";#N/A,#N/A,FALSE,"RACT1.XLS";#N/A,#N/A,FALSE,"RACT2.XLS";#N/A,#N/A,FALSE,"ECCMP";#N/A,#N/A,FALSE,"WELDER.XLS"}</definedName>
    <definedName name="_____SCH1">#REF!</definedName>
    <definedName name="_____SCH10">#REF!</definedName>
    <definedName name="_____SCH11">#REF!</definedName>
    <definedName name="_____SCH2">#REF!</definedName>
    <definedName name="_____SCH3">#REF!</definedName>
    <definedName name="_____SCH4">#REF!</definedName>
    <definedName name="_____SCH5">#REF!</definedName>
    <definedName name="_____SCH6">'[5]04REL'!#REF!</definedName>
    <definedName name="_____SCH7">#REF!</definedName>
    <definedName name="_____SCH8">#REF!</definedName>
    <definedName name="_____SCH9">#REF!</definedName>
    <definedName name="_____t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1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w2" localSheetId="7" hidden="1">{#N/A,#N/A,FALSE,"17MAY";#N/A,#N/A,FALSE,"24MAY"}</definedName>
    <definedName name="_____w2" localSheetId="10" hidden="1">{#N/A,#N/A,FALSE,"17MAY";#N/A,#N/A,FALSE,"24MAY"}</definedName>
    <definedName name="_____w2" localSheetId="1" hidden="1">{#N/A,#N/A,FALSE,"17MAY";#N/A,#N/A,FALSE,"24MAY"}</definedName>
    <definedName name="_____w2" localSheetId="0" hidden="1">{#N/A,#N/A,FALSE,"17MAY";#N/A,#N/A,FALSE,"24MAY"}</definedName>
    <definedName name="_____w2" localSheetId="6" hidden="1">{#N/A,#N/A,FALSE,"17MAY";#N/A,#N/A,FALSE,"24MAY"}</definedName>
    <definedName name="_____w2" hidden="1">{#N/A,#N/A,FALSE,"17MAY";#N/A,#N/A,FALSE,"24MAY"}</definedName>
    <definedName name="_____WRN1" localSheetId="7" hidden="1">{#N/A,#N/A,FALSE,"COVER1.XLS ";#N/A,#N/A,FALSE,"RACT1.XLS";#N/A,#N/A,FALSE,"RACT2.XLS";#N/A,#N/A,FALSE,"ECCMP";#N/A,#N/A,FALSE,"WELDER.XLS"}</definedName>
    <definedName name="_____WRN1" localSheetId="10" hidden="1">{#N/A,#N/A,FALSE,"COVER1.XLS ";#N/A,#N/A,FALSE,"RACT1.XLS";#N/A,#N/A,FALSE,"RACT2.XLS";#N/A,#N/A,FALSE,"ECCMP";#N/A,#N/A,FALSE,"WELDER.XLS"}</definedName>
    <definedName name="_____WRN1" localSheetId="1" hidden="1">{#N/A,#N/A,FALSE,"COVER1.XLS ";#N/A,#N/A,FALSE,"RACT1.XLS";#N/A,#N/A,FALSE,"RACT2.XLS";#N/A,#N/A,FALSE,"ECCMP";#N/A,#N/A,FALSE,"WELDER.XLS"}</definedName>
    <definedName name="_____WRN1" localSheetId="0" hidden="1">{#N/A,#N/A,FALSE,"COVER1.XLS ";#N/A,#N/A,FALSE,"RACT1.XLS";#N/A,#N/A,FALSE,"RACT2.XLS";#N/A,#N/A,FALSE,"ECCMP";#N/A,#N/A,FALSE,"WELDER.XLS"}</definedName>
    <definedName name="_____WRN1" localSheetId="6" hidden="1">{#N/A,#N/A,FALSE,"COVER1.XLS ";#N/A,#N/A,FALSE,"RACT1.XLS";#N/A,#N/A,FALSE,"RACT2.XLS";#N/A,#N/A,FALSE,"ECCMP";#N/A,#N/A,FALSE,"WELDER.XLS"}</definedName>
    <definedName name="_____WRN1" hidden="1">{#N/A,#N/A,FALSE,"COVER1.XLS ";#N/A,#N/A,FALSE,"RACT1.XLS";#N/A,#N/A,FALSE,"RACT2.XLS";#N/A,#N/A,FALSE,"ECCMP";#N/A,#N/A,FALSE,"WELDER.XLS"}</definedName>
    <definedName name="_____WRN2" localSheetId="7" hidden="1">{#N/A,#N/A,FALSE,"COVER1.XLS ";#N/A,#N/A,FALSE,"RACT1.XLS";#N/A,#N/A,FALSE,"RACT2.XLS";#N/A,#N/A,FALSE,"ECCMP";#N/A,#N/A,FALSE,"WELDER.XLS"}</definedName>
    <definedName name="_____WRN2" localSheetId="10" hidden="1">{#N/A,#N/A,FALSE,"COVER1.XLS ";#N/A,#N/A,FALSE,"RACT1.XLS";#N/A,#N/A,FALSE,"RACT2.XLS";#N/A,#N/A,FALSE,"ECCMP";#N/A,#N/A,FALSE,"WELDER.XLS"}</definedName>
    <definedName name="_____WRN2" localSheetId="1" hidden="1">{#N/A,#N/A,FALSE,"COVER1.XLS ";#N/A,#N/A,FALSE,"RACT1.XLS";#N/A,#N/A,FALSE,"RACT2.XLS";#N/A,#N/A,FALSE,"ECCMP";#N/A,#N/A,FALSE,"WELDER.XLS"}</definedName>
    <definedName name="_____WRN2" localSheetId="0" hidden="1">{#N/A,#N/A,FALSE,"COVER1.XLS ";#N/A,#N/A,FALSE,"RACT1.XLS";#N/A,#N/A,FALSE,"RACT2.XLS";#N/A,#N/A,FALSE,"ECCMP";#N/A,#N/A,FALSE,"WELDER.XLS"}</definedName>
    <definedName name="_____WRN2" localSheetId="6" hidden="1">{#N/A,#N/A,FALSE,"COVER1.XLS ";#N/A,#N/A,FALSE,"RACT1.XLS";#N/A,#N/A,FALSE,"RACT2.XLS";#N/A,#N/A,FALSE,"ECCMP";#N/A,#N/A,FALSE,"WELDER.XLS"}</definedName>
    <definedName name="_____WRN2" hidden="1">{#N/A,#N/A,FALSE,"COVER1.XLS ";#N/A,#N/A,FALSE,"RACT1.XLS";#N/A,#N/A,FALSE,"RACT2.XLS";#N/A,#N/A,FALSE,"ECCMP";#N/A,#N/A,FALSE,"WELDER.XLS"}</definedName>
    <definedName name="_____WRN3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WRN3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WRN3" localSheetId="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WRN3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WRN3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xlnm.Print_Area_2">'Operating Statement'!$A$1:$AD$75</definedName>
    <definedName name="____as10" localSheetId="7" hidden="1">{"'August 2000'!$A$1:$J$101"}</definedName>
    <definedName name="____as10" localSheetId="10" hidden="1">{"'August 2000'!$A$1:$J$101"}</definedName>
    <definedName name="____as10" localSheetId="1" hidden="1">{"'August 2000'!$A$1:$J$101"}</definedName>
    <definedName name="____as10" localSheetId="0" hidden="1">{"'August 2000'!$A$1:$J$101"}</definedName>
    <definedName name="____as10" localSheetId="6" hidden="1">{"'August 2000'!$A$1:$J$101"}</definedName>
    <definedName name="____as10" hidden="1">{"'August 2000'!$A$1:$J$101"}</definedName>
    <definedName name="____C">#REF!</definedName>
    <definedName name="____SCH1">#REF!</definedName>
    <definedName name="____SCH10">#REF!</definedName>
    <definedName name="____SCH11">#REF!</definedName>
    <definedName name="____SCH2">#REF!</definedName>
    <definedName name="____SCH3">#REF!</definedName>
    <definedName name="____SCH4">#REF!</definedName>
    <definedName name="____SCH5">#REF!</definedName>
    <definedName name="____SCH6">'[5]04REL'!#REF!</definedName>
    <definedName name="____SCH7">#REF!</definedName>
    <definedName name="____SCH8">#REF!</definedName>
    <definedName name="____SCH9">#REF!</definedName>
    <definedName name="____XL__ENTER_UNIT">#REF!</definedName>
    <definedName name="____xlnm.Print_Area_2">'Operating Statement'!$A$1:$AD$75</definedName>
    <definedName name="____xlnm.Print_Area_3">'Balance Sheet'!$A$1:$AD$163</definedName>
    <definedName name="___as10" localSheetId="7" hidden="1">{"'August 2000'!$A$1:$J$101"}</definedName>
    <definedName name="___as10" localSheetId="10" hidden="1">{"'August 2000'!$A$1:$J$101"}</definedName>
    <definedName name="___as10" localSheetId="1" hidden="1">{"'August 2000'!$A$1:$J$101"}</definedName>
    <definedName name="___as10" localSheetId="0" hidden="1">{"'August 2000'!$A$1:$J$101"}</definedName>
    <definedName name="___as10" localSheetId="6" hidden="1">{"'August 2000'!$A$1:$J$101"}</definedName>
    <definedName name="___as10" hidden="1">{"'August 2000'!$A$1:$J$101"}</definedName>
    <definedName name="___C">#REF!</definedName>
    <definedName name="___ESC1" localSheetId="17">#REF!</definedName>
    <definedName name="___ESC1">#REF!</definedName>
    <definedName name="___INDEX_SHEET___ASAP_Utilities" localSheetId="7">#REF!</definedName>
    <definedName name="___INDEX_SHEET___ASAP_Utilities" localSheetId="10">#REF!</definedName>
    <definedName name="___INDEX_SHEET___ASAP_Utilities" localSheetId="9">#REF!</definedName>
    <definedName name="___INDEX_SHEET___ASAP_Utilities" localSheetId="6">#REF!</definedName>
    <definedName name="___INDEX_SHEET___ASAP_Utilities">#REF!</definedName>
    <definedName name="___key1" hidden="1">[6]sheet6!#REF!</definedName>
    <definedName name="___Nov09" localSheetId="7" hidden="1">{"'August 2000'!$A$1:$J$101"}</definedName>
    <definedName name="___Nov09" localSheetId="10" hidden="1">{"'August 2000'!$A$1:$J$101"}</definedName>
    <definedName name="___Nov09" localSheetId="1" hidden="1">{"'August 2000'!$A$1:$J$101"}</definedName>
    <definedName name="___Nov09" localSheetId="0" hidden="1">{"'August 2000'!$A$1:$J$101"}</definedName>
    <definedName name="___Nov09" localSheetId="6" hidden="1">{"'August 2000'!$A$1:$J$101"}</definedName>
    <definedName name="___Nov09" hidden="1">{"'August 2000'!$A$1:$J$101"}</definedName>
    <definedName name="___SCH1">#REF!</definedName>
    <definedName name="___SCH10">#REF!</definedName>
    <definedName name="___SCH11">#REF!</definedName>
    <definedName name="___SCH2">#REF!</definedName>
    <definedName name="___SCH3">#REF!</definedName>
    <definedName name="___SCH4">#REF!</definedName>
    <definedName name="___SCH5">#REF!</definedName>
    <definedName name="___SCH6">'[5]04REL'!#REF!</definedName>
    <definedName name="___SCH7">#REF!</definedName>
    <definedName name="___SCH8">#REF!</definedName>
    <definedName name="___SCH9">#REF!</definedName>
    <definedName name="___XL__ENTER_UNIT">#REF!</definedName>
    <definedName name="___xlnm.Print_Area_2">#REF!</definedName>
    <definedName name="___xlnm.Print_Area_3">#REF!</definedName>
    <definedName name="___xlnm.Print_Area_4">#REF!</definedName>
    <definedName name="__1">#REF!</definedName>
    <definedName name="__1_0脚注12_ACCOU">#REF!</definedName>
    <definedName name="__10_0脚注12_AMOU">#REF!</definedName>
    <definedName name="__11_1">#REF!</definedName>
    <definedName name="__12_35D">#REF!</definedName>
    <definedName name="__123Graph_A" hidden="1">'[7]TRIAL BALANCE'!#REF!</definedName>
    <definedName name="__123Graph_AChart1" hidden="1">#REF!</definedName>
    <definedName name="__123Graph_AChart10" hidden="1">#REF!</definedName>
    <definedName name="__123Graph_AChart11" hidden="1">#REF!</definedName>
    <definedName name="__123Graph_AChart12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hart5" hidden="1">#REF!</definedName>
    <definedName name="__123Graph_AChart6" hidden="1">#REF!</definedName>
    <definedName name="__123Graph_AChart7" hidden="1">#REF!</definedName>
    <definedName name="__123Graph_AChart8" hidden="1">#REF!</definedName>
    <definedName name="__123Graph_AChart9" hidden="1">#REF!</definedName>
    <definedName name="__123Graph_ACurrent" hidden="1">#REF!</definedName>
    <definedName name="__123Graph_ASTNPLF" hidden="1">[8]CE!#REF!</definedName>
    <definedName name="__123Graph_B" hidden="1">'[7]TRIAL BALANCE'!#REF!</definedName>
    <definedName name="__123Graph_BSTNPLF" hidden="1">[8]CE!#REF!</definedName>
    <definedName name="__123Graph_C" hidden="1">#REF!</definedName>
    <definedName name="__123Graph_CSTNPLF" hidden="1">[8]CE!#REF!</definedName>
    <definedName name="__123Graph_D" hidden="1">'[9]Anx-M'!$B$671:$B$671</definedName>
    <definedName name="__123Graph_E" hidden="1">#REF!</definedName>
    <definedName name="__123Graph_F" hidden="1">#REF!</definedName>
    <definedName name="__123Graph_X" hidden="1">'[7]TRIAL BALANCE'!#REF!</definedName>
    <definedName name="__123Graph_XSTNPLF" hidden="1">[8]CE!#REF!</definedName>
    <definedName name="__13_43B">#REF!</definedName>
    <definedName name="__14_80G">#REF!</definedName>
    <definedName name="__15RESI_PREM">#REF!</definedName>
    <definedName name="__16検索データ">#REF!</definedName>
    <definedName name="__17検索データ" localSheetId="17">[10]営業収益!#REF!</definedName>
    <definedName name="__17検索データ">[11]営業収益!#REF!</definedName>
    <definedName name="__18科目3_AMOU" localSheetId="17">#REF!</definedName>
    <definedName name="__18科目3_AMOU">#REF!</definedName>
    <definedName name="__19脚注12_AMOU">#REF!</definedName>
    <definedName name="__1RANGE_1">#REF!</definedName>
    <definedName name="__2脚注12_ACCOU">#REF!</definedName>
    <definedName name="__3_0脚注12_OPTI">#REF!</definedName>
    <definedName name="__4脚注12_OPTI">#REF!</definedName>
    <definedName name="__5_114債権残抜き出し">#REF!</definedName>
    <definedName name="__6_0_0検索データ" localSheetId="17">[10]営業収益!#REF!</definedName>
    <definedName name="__6_0_0検索データ">[11]営業収益!#REF!</definedName>
    <definedName name="__7_0409融資2部" localSheetId="17">#REF!</definedName>
    <definedName name="__7_0409融資2部">#REF!</definedName>
    <definedName name="__8_0検索データ">#REF!</definedName>
    <definedName name="__9_0科目3_AMOU">#REF!</definedName>
    <definedName name="__APW_RESTORE_DATA0__" localSheetId="1" hidden="1">#REF!,#REF!,#REF!,#REF!,#REF!,#REF!,#REF!,#REF!,#REF!,#REF!,#REF!,#REF!,#REF!,#REF!,#REF!,#REF!,#REF!</definedName>
    <definedName name="__APW_RESTORE_DATA0__" localSheetId="0" hidden="1">#REF!,#REF!,#REF!,#REF!,#REF!,#REF!,#REF!,#REF!,#REF!,#REF!,#REF!,#REF!,#REF!,#REF!,#REF!,#REF!,#REF!</definedName>
    <definedName name="__APW_RESTORE_DATA0__" hidden="1">#REF!,#REF!,#REF!,#REF!,#REF!,#REF!,#REF!,#REF!,#REF!,#REF!,#REF!,#REF!,#REF!,#REF!,#REF!,#REF!,#REF!</definedName>
    <definedName name="__APW_RESTORE_DATA1__" localSheetId="1" hidden="1">#REF!,#REF!,#REF!,#REF!,#REF!,#REF!,#REF!,#REF!,#REF!,#REF!,#REF!,#REF!,#REF!,#REF!,#REF!,#REF!</definedName>
    <definedName name="__APW_RESTORE_DATA1__" localSheetId="0" hidden="1">#REF!,#REF!,#REF!,#REF!,#REF!,#REF!,#REF!,#REF!,#REF!,#REF!,#REF!,#REF!,#REF!,#REF!,#REF!,#REF!</definedName>
    <definedName name="__APW_RESTORE_DATA1__" hidden="1">#REF!,#REF!,#REF!,#REF!,#REF!,#REF!,#REF!,#REF!,#REF!,#REF!,#REF!,#REF!,#REF!,#REF!,#REF!,#REF!</definedName>
    <definedName name="__APW_RESTORE_DATA10__" localSheetId="1" hidden="1">#REF!,#REF!,#REF!,#REF!,#REF!,#REF!,#REF!,#REF!,#REF!,#REF!,#REF!,#REF!,#REF!,#REF!,#REF!</definedName>
    <definedName name="__APW_RESTORE_DATA10__" localSheetId="0" hidden="1">#REF!,#REF!,#REF!,#REF!,#REF!,#REF!,#REF!,#REF!,#REF!,#REF!,#REF!,#REF!,#REF!,#REF!,#REF!</definedName>
    <definedName name="__APW_RESTORE_DATA10__" hidden="1">#REF!,#REF!,#REF!,#REF!,#REF!,#REF!,#REF!,#REF!,#REF!,#REF!,#REF!,#REF!,#REF!,#REF!,#REF!</definedName>
    <definedName name="__APW_RESTORE_DATA100__" localSheetId="1" hidden="1">#REF!,#REF!,#REF!,#REF!,#REF!,#REF!,#REF!,#REF!,#REF!,#REF!,#REF!,#REF!,#REF!,#REF!,#REF!,#REF!</definedName>
    <definedName name="__APW_RESTORE_DATA100__" localSheetId="0" hidden="1">#REF!,#REF!,#REF!,#REF!,#REF!,#REF!,#REF!,#REF!,#REF!,#REF!,#REF!,#REF!,#REF!,#REF!,#REF!,#REF!</definedName>
    <definedName name="__APW_RESTORE_DATA100__" hidden="1">#REF!,#REF!,#REF!,#REF!,#REF!,#REF!,#REF!,#REF!,#REF!,#REF!,#REF!,#REF!,#REF!,#REF!,#REF!,#REF!</definedName>
    <definedName name="__APW_RESTORE_DATA101__" hidden="1">#REF!,#REF!,#REF!,#REF!,#REF!,#REF!,#REF!,#REF!,#REF!,#REF!,#REF!,#REF!,#REF!,#REF!,#REF!,#REF!</definedName>
    <definedName name="__APW_RESTORE_DATA102__" hidden="1">#REF!,#REF!,#REF!,#REF!,#REF!,#REF!,#REF!,#REF!,#REF!,#REF!,#REF!,#REF!,#REF!,#REF!,#REF!</definedName>
    <definedName name="__APW_RESTORE_DATA103__" hidden="1">#REF!,#REF!,#REF!,#REF!,#REF!,#REF!,#REF!,#REF!,#REF!,#REF!,#REF!,#REF!,#REF!,#REF!,#REF!</definedName>
    <definedName name="__APW_RESTORE_DATA104__" hidden="1">#REF!,#REF!,#REF!,#REF!,#REF!,#REF!,#REF!,#REF!,#REF!,#REF!,#REF!,#REF!,#REF!,#REF!,#REF!</definedName>
    <definedName name="__APW_RESTORE_DATA105__" hidden="1">#REF!,#REF!,#REF!,#REF!,#REF!,#REF!,#REF!,#REF!,#REF!,#REF!,#REF!,#REF!,#REF!,#REF!,#REF!</definedName>
    <definedName name="__APW_RESTORE_DATA106__" hidden="1">#REF!,#REF!,#REF!,#REF!,#REF!,#REF!,#REF!,#REF!,#REF!,#REF!,#REF!,#REF!,#REF!,#REF!,#REF!</definedName>
    <definedName name="__APW_RESTORE_DATA107__" hidden="1">#REF!,#REF!,#REF!,#REF!,#REF!,#REF!</definedName>
    <definedName name="__APW_RESTORE_DATA108__" localSheetId="1" hidden="1">#REF!,#REF!,#REF!,#REF!,#REF!,#REF!,#REF!,#REF!,#REF!,#REF!,#REF!,#REF!,#REF!,#REF!,#REF!,#REF!,#REF!</definedName>
    <definedName name="__APW_RESTORE_DATA108__" localSheetId="0" hidden="1">#REF!,#REF!,#REF!,#REF!,#REF!,#REF!,#REF!,#REF!,#REF!,#REF!,#REF!,#REF!,#REF!,#REF!,#REF!,#REF!,#REF!</definedName>
    <definedName name="__APW_RESTORE_DATA108__" hidden="1">#REF!,#REF!,#REF!,#REF!,#REF!,#REF!,#REF!,#REF!,#REF!,#REF!,#REF!,#REF!,#REF!,#REF!,#REF!,#REF!,#REF!</definedName>
    <definedName name="__APW_RESTORE_DATA109__" hidden="1">#REF!,#REF!,#REF!,#REF!,#REF!,#REF!,#REF!,#REF!,#REF!,#REF!,#REF!,#REF!,#REF!,#REF!,#REF!,#REF!</definedName>
    <definedName name="__APW_RESTORE_DATA11__" hidden="1">#REF!,#REF!,#REF!,#REF!,#REF!,#REF!</definedName>
    <definedName name="__APW_RESTORE_DATA110__" hidden="1">#REF!,#REF!,#REF!,#REF!,#REF!,#REF!,#REF!,#REF!,#REF!,#REF!,#REF!,#REF!,#REF!,#REF!,#REF!,#REF!</definedName>
    <definedName name="__APW_RESTORE_DATA111__" hidden="1">#REF!,#REF!,#REF!,#REF!,#REF!,#REF!,#REF!,#REF!,#REF!,#REF!,#REF!,#REF!,#REF!,#REF!,#REF!,#REF!</definedName>
    <definedName name="__APW_RESTORE_DATA112__" hidden="1">#REF!,#REF!,#REF!,#REF!,#REF!,#REF!,#REF!,#REF!,#REF!,#REF!,#REF!,#REF!,#REF!,#REF!,#REF!,#REF!</definedName>
    <definedName name="__APW_RESTORE_DATA113__" hidden="1">#REF!,#REF!,#REF!,#REF!,#REF!,#REF!,#REF!,#REF!,#REF!,#REF!,#REF!,#REF!,#REF!,#REF!,#REF!,#REF!</definedName>
    <definedName name="__APW_RESTORE_DATA114__" hidden="1">#REF!,#REF!,#REF!,#REF!,#REF!,#REF!,#REF!,#REF!,#REF!,#REF!,#REF!,#REF!,#REF!,#REF!,#REF!</definedName>
    <definedName name="__APW_RESTORE_DATA115__" hidden="1">#REF!,#REF!,#REF!,#REF!,#REF!,#REF!,#REF!,#REF!,#REF!,#REF!,#REF!,#REF!,#REF!,#REF!,#REF!</definedName>
    <definedName name="__APW_RESTORE_DATA116__" hidden="1">#REF!,#REF!,#REF!,#REF!,#REF!,#REF!,#REF!,#REF!,#REF!,#REF!,#REF!,#REF!,#REF!,#REF!,#REF!</definedName>
    <definedName name="__APW_RESTORE_DATA117__" hidden="1">#REF!,#REF!,#REF!,#REF!,#REF!,#REF!,#REF!,#REF!,#REF!,#REF!,#REF!,#REF!,#REF!,#REF!,#REF!</definedName>
    <definedName name="__APW_RESTORE_DATA118__" hidden="1">#REF!,#REF!,#REF!,#REF!,#REF!,#REF!,#REF!,#REF!,#REF!,#REF!,#REF!,#REF!,#REF!,#REF!,#REF!</definedName>
    <definedName name="__APW_RESTORE_DATA119__" hidden="1">#REF!,#REF!,#REF!,#REF!,#REF!,#REF!</definedName>
    <definedName name="__APW_RESTORE_DATA12__" localSheetId="1" hidden="1">#REF!,#REF!,#REF!,#REF!,#REF!,#REF!,#REF!,#REF!,#REF!,#REF!,#REF!,#REF!,#REF!,#REF!,#REF!,#REF!,#REF!</definedName>
    <definedName name="__APW_RESTORE_DATA12__" localSheetId="0" hidden="1">#REF!,#REF!,#REF!,#REF!,#REF!,#REF!,#REF!,#REF!,#REF!,#REF!,#REF!,#REF!,#REF!,#REF!,#REF!,#REF!,#REF!</definedName>
    <definedName name="__APW_RESTORE_DATA12__" hidden="1">#REF!,#REF!,#REF!,#REF!,#REF!,#REF!,#REF!,#REF!,#REF!,#REF!,#REF!,#REF!,#REF!,#REF!,#REF!,#REF!,#REF!</definedName>
    <definedName name="__APW_RESTORE_DATA120__" hidden="1">#REF!,#REF!,#REF!,#REF!,#REF!,#REF!,#REF!,#REF!,#REF!,#REF!,#REF!,#REF!,#REF!,#REF!,#REF!,#REF!,#REF!</definedName>
    <definedName name="__APW_RESTORE_DATA121__" hidden="1">#REF!,#REF!,#REF!,#REF!,#REF!,#REF!,#REF!,#REF!,#REF!,#REF!,#REF!,#REF!,#REF!,#REF!,#REF!,#REF!</definedName>
    <definedName name="__APW_RESTORE_DATA122__" hidden="1">#REF!,#REF!,#REF!,#REF!,#REF!,#REF!,#REF!,#REF!,#REF!,#REF!,#REF!,#REF!,#REF!,#REF!,#REF!,#REF!</definedName>
    <definedName name="__APW_RESTORE_DATA123__" hidden="1">#REF!,#REF!,#REF!,#REF!,#REF!,#REF!,#REF!,#REF!,#REF!,#REF!,#REF!,#REF!,#REF!,#REF!,#REF!,#REF!</definedName>
    <definedName name="__APW_RESTORE_DATA124__" hidden="1">#REF!,#REF!,#REF!,#REF!,#REF!,#REF!,#REF!,#REF!,#REF!,#REF!,#REF!,#REF!,#REF!,#REF!,#REF!,#REF!</definedName>
    <definedName name="__APW_RESTORE_DATA125__" hidden="1">#REF!,#REF!,#REF!,#REF!,#REF!,#REF!,#REF!,#REF!,#REF!,#REF!,#REF!,#REF!,#REF!,#REF!,#REF!,#REF!</definedName>
    <definedName name="__APW_RESTORE_DATA126__" hidden="1">#REF!,#REF!,#REF!,#REF!,#REF!,#REF!,#REF!,#REF!,#REF!,#REF!,#REF!,#REF!,#REF!,#REF!,#REF!</definedName>
    <definedName name="__APW_RESTORE_DATA127__" hidden="1">#REF!,#REF!,#REF!,#REF!,#REF!,#REF!,#REF!,#REF!,#REF!,#REF!,#REF!,#REF!,#REF!,#REF!,#REF!</definedName>
    <definedName name="__APW_RESTORE_DATA128__" hidden="1">#REF!,#REF!,#REF!,#REF!,#REF!,#REF!,#REF!,#REF!,#REF!,#REF!,#REF!,#REF!,#REF!,#REF!,#REF!</definedName>
    <definedName name="__APW_RESTORE_DATA129__" hidden="1">#REF!,#REF!,#REF!,#REF!,#REF!,#REF!,#REF!,#REF!,#REF!,#REF!,#REF!,#REF!,#REF!,#REF!,#REF!</definedName>
    <definedName name="__APW_RESTORE_DATA13__" hidden="1">#REF!,#REF!,#REF!,#REF!,#REF!,#REF!,#REF!,#REF!,#REF!,#REF!,#REF!,#REF!,#REF!,#REF!,#REF!,#REF!</definedName>
    <definedName name="__APW_RESTORE_DATA130__" hidden="1">#REF!,#REF!,#REF!,#REF!,#REF!,#REF!,#REF!,#REF!,#REF!,#REF!,#REF!,#REF!,#REF!,#REF!,#REF!</definedName>
    <definedName name="__APW_RESTORE_DATA131__" hidden="1">#REF!,#REF!,#REF!,#REF!,#REF!,#REF!</definedName>
    <definedName name="__APW_RESTORE_DATA132__" hidden="1">#REF!,#REF!,#REF!,#REF!,#REF!,#REF!,#REF!,#REF!,#REF!,#REF!,#REF!,#REF!,#REF!,#REF!,#REF!,#REF!,#REF!</definedName>
    <definedName name="__APW_RESTORE_DATA133__" hidden="1">#REF!,#REF!,#REF!,#REF!,#REF!,#REF!,#REF!,#REF!,#REF!,#REF!,#REF!,#REF!,#REF!,#REF!,#REF!,#REF!</definedName>
    <definedName name="__APW_RESTORE_DATA134__" hidden="1">#REF!,#REF!,#REF!,#REF!,#REF!,#REF!,#REF!,#REF!,#REF!,#REF!,#REF!,#REF!,#REF!,#REF!,#REF!,#REF!</definedName>
    <definedName name="__APW_RESTORE_DATA135__" hidden="1">#REF!,#REF!,#REF!,#REF!,#REF!,#REF!,#REF!,#REF!,#REF!,#REF!,#REF!,#REF!,#REF!,#REF!,#REF!,#REF!</definedName>
    <definedName name="__APW_RESTORE_DATA136__" hidden="1">#REF!,#REF!,#REF!,#REF!,#REF!,#REF!,#REF!,#REF!,#REF!,#REF!,#REF!,#REF!,#REF!,#REF!,#REF!,#REF!</definedName>
    <definedName name="__APW_RESTORE_DATA137__" hidden="1">#REF!,#REF!,#REF!,#REF!,#REF!,#REF!,#REF!,#REF!,#REF!,#REF!,#REF!,#REF!,#REF!,#REF!,#REF!,#REF!</definedName>
    <definedName name="__APW_RESTORE_DATA138__" hidden="1">#REF!,#REF!,#REF!,#REF!,#REF!,#REF!,#REF!,#REF!,#REF!,#REF!,#REF!,#REF!,#REF!,#REF!,#REF!</definedName>
    <definedName name="__APW_RESTORE_DATA139__" hidden="1">#REF!,#REF!,#REF!,#REF!,#REF!,#REF!,#REF!,#REF!,#REF!,#REF!,#REF!,#REF!,#REF!,#REF!,#REF!</definedName>
    <definedName name="__APW_RESTORE_DATA14__" hidden="1">#REF!,#REF!,#REF!,#REF!,#REF!,#REF!,#REF!,#REF!,#REF!,#REF!,#REF!,#REF!,#REF!,#REF!,#REF!,#REF!</definedName>
    <definedName name="__APW_RESTORE_DATA140__" hidden="1">#REF!,#REF!,#REF!,#REF!,#REF!,#REF!,#REF!,#REF!,#REF!,#REF!,#REF!,#REF!,#REF!,#REF!,#REF!</definedName>
    <definedName name="__APW_RESTORE_DATA141__" hidden="1">#REF!,#REF!,#REF!,#REF!,#REF!,#REF!,#REF!,#REF!,#REF!,#REF!,#REF!,#REF!,#REF!,#REF!,#REF!</definedName>
    <definedName name="__APW_RESTORE_DATA142__" hidden="1">#REF!,#REF!,#REF!,#REF!,#REF!,#REF!,#REF!,#REF!,#REF!,#REF!,#REF!,#REF!,#REF!,#REF!,#REF!</definedName>
    <definedName name="__APW_RESTORE_DATA143__" hidden="1">#REF!,#REF!,#REF!,#REF!,#REF!,#REF!</definedName>
    <definedName name="__APW_RESTORE_DATA144__" hidden="1">#REF!,#REF!,#REF!,#REF!,#REF!,#REF!,#REF!,#REF!,#REF!,#REF!,#REF!,#REF!,#REF!,#REF!,#REF!,#REF!,#REF!</definedName>
    <definedName name="__APW_RESTORE_DATA145__" hidden="1">#REF!,#REF!,#REF!,#REF!,#REF!,#REF!,#REF!,#REF!,#REF!,#REF!,#REF!,#REF!,#REF!,#REF!,#REF!,#REF!</definedName>
    <definedName name="__APW_RESTORE_DATA146__" hidden="1">#REF!,#REF!,#REF!,#REF!,#REF!,#REF!,#REF!,#REF!,#REF!,#REF!,#REF!,#REF!,#REF!,#REF!,#REF!,#REF!</definedName>
    <definedName name="__APW_RESTORE_DATA147__" hidden="1">#REF!,#REF!,#REF!,#REF!,#REF!,#REF!,#REF!,#REF!,#REF!,#REF!,#REF!,#REF!,#REF!,#REF!,#REF!,#REF!</definedName>
    <definedName name="__APW_RESTORE_DATA148__" hidden="1">#REF!,#REF!,#REF!,#REF!,#REF!,#REF!,#REF!,#REF!,#REF!,#REF!,#REF!,#REF!,#REF!,#REF!,#REF!,#REF!</definedName>
    <definedName name="__APW_RESTORE_DATA149__" hidden="1">#REF!,#REF!,#REF!,#REF!,#REF!,#REF!,#REF!,#REF!,#REF!,#REF!,#REF!,#REF!,#REF!,#REF!,#REF!,#REF!</definedName>
    <definedName name="__APW_RESTORE_DATA15__" hidden="1">#REF!,#REF!,#REF!,#REF!,#REF!,#REF!,#REF!,#REF!,#REF!,#REF!,#REF!,#REF!,#REF!,#REF!,#REF!,#REF!</definedName>
    <definedName name="__APW_RESTORE_DATA150__" hidden="1">#REF!,#REF!,#REF!,#REF!,#REF!,#REF!,#REF!,#REF!,#REF!,#REF!,#REF!,#REF!,#REF!,#REF!,#REF!</definedName>
    <definedName name="__APW_RESTORE_DATA151__" hidden="1">#REF!,#REF!,#REF!,#REF!,#REF!,#REF!,#REF!,#REF!,#REF!,#REF!,#REF!,#REF!,#REF!,#REF!,#REF!</definedName>
    <definedName name="__APW_RESTORE_DATA152__" hidden="1">#REF!,#REF!,#REF!,#REF!,#REF!,#REF!,#REF!,#REF!,#REF!,#REF!,#REF!,#REF!,#REF!,#REF!,#REF!</definedName>
    <definedName name="__APW_RESTORE_DATA153__" hidden="1">#REF!,#REF!,#REF!,#REF!,#REF!,#REF!,#REF!,#REF!,#REF!,#REF!,#REF!,#REF!,#REF!,#REF!,#REF!</definedName>
    <definedName name="__APW_RESTORE_DATA154__" hidden="1">#REF!,#REF!,#REF!,#REF!,#REF!,#REF!,#REF!,#REF!,#REF!,#REF!,#REF!,#REF!,#REF!,#REF!,#REF!</definedName>
    <definedName name="__APW_RESTORE_DATA155__" hidden="1">#REF!,#REF!,#REF!,#REF!,#REF!,#REF!</definedName>
    <definedName name="__APW_RESTORE_DATA156__" hidden="1">#REF!,#REF!,#REF!,#REF!,#REF!,#REF!,#REF!,#REF!,#REF!,#REF!,#REF!,#REF!,#REF!,#REF!,#REF!,#REF!,#REF!</definedName>
    <definedName name="__APW_RESTORE_DATA157__" hidden="1">#REF!,#REF!,#REF!,#REF!,#REF!,#REF!,#REF!,#REF!,#REF!,#REF!,#REF!,#REF!,#REF!,#REF!,#REF!,#REF!</definedName>
    <definedName name="__APW_RESTORE_DATA158__" hidden="1">#REF!,#REF!,#REF!,#REF!,#REF!,#REF!,#REF!,#REF!,#REF!,#REF!,#REF!,#REF!,#REF!,#REF!,#REF!,#REF!</definedName>
    <definedName name="__APW_RESTORE_DATA159__" hidden="1">#REF!,#REF!,#REF!,#REF!,#REF!,#REF!,#REF!,#REF!,#REF!,#REF!,#REF!,#REF!,#REF!,#REF!,#REF!,#REF!</definedName>
    <definedName name="__APW_RESTORE_DATA16__" hidden="1">#REF!,#REF!,#REF!,#REF!,#REF!,#REF!,#REF!,#REF!,#REF!,#REF!,#REF!,#REF!,#REF!,#REF!,#REF!,#REF!</definedName>
    <definedName name="__APW_RESTORE_DATA160__" hidden="1">#REF!,#REF!,#REF!,#REF!,#REF!,#REF!,#REF!,#REF!,#REF!,#REF!,#REF!,#REF!,#REF!,#REF!,#REF!,#REF!</definedName>
    <definedName name="__APW_RESTORE_DATA161__" hidden="1">#REF!,#REF!,#REF!,#REF!,#REF!,#REF!,#REF!,#REF!,#REF!,#REF!,#REF!,#REF!,#REF!,#REF!,#REF!,#REF!</definedName>
    <definedName name="__APW_RESTORE_DATA162__" hidden="1">#REF!,#REF!,#REF!,#REF!,#REF!,#REF!,#REF!,#REF!,#REF!,#REF!,#REF!,#REF!,#REF!,#REF!,#REF!</definedName>
    <definedName name="__APW_RESTORE_DATA163__" hidden="1">#REF!,#REF!,#REF!,#REF!,#REF!,#REF!,#REF!,#REF!,#REF!,#REF!,#REF!,#REF!,#REF!,#REF!,#REF!</definedName>
    <definedName name="__APW_RESTORE_DATA164__" hidden="1">#REF!,#REF!,#REF!,#REF!,#REF!,#REF!,#REF!,#REF!,#REF!,#REF!,#REF!,#REF!,#REF!,#REF!,#REF!</definedName>
    <definedName name="__APW_RESTORE_DATA165__" hidden="1">#REF!,#REF!,#REF!,#REF!,#REF!,#REF!,#REF!,#REF!,#REF!,#REF!,#REF!,#REF!,#REF!,#REF!,#REF!</definedName>
    <definedName name="__APW_RESTORE_DATA166__" hidden="1">#REF!,#REF!,#REF!,#REF!,#REF!,#REF!,#REF!,#REF!,#REF!,#REF!,#REF!,#REF!,#REF!,#REF!,#REF!</definedName>
    <definedName name="__APW_RESTORE_DATA167__" hidden="1">#REF!,#REF!,#REF!,#REF!,#REF!,#REF!</definedName>
    <definedName name="__APW_RESTORE_DATA168__" hidden="1">#REF!,#REF!,#REF!,#REF!,#REF!,#REF!,#REF!,#REF!,#REF!,#REF!,#REF!,#REF!,#REF!,#REF!,#REF!,#REF!,#REF!</definedName>
    <definedName name="__APW_RESTORE_DATA169__" hidden="1">#REF!,#REF!,#REF!,#REF!,#REF!,#REF!,#REF!,#REF!,#REF!,#REF!,#REF!,#REF!,#REF!,#REF!,#REF!,#REF!</definedName>
    <definedName name="__APW_RESTORE_DATA17__" hidden="1">#REF!,#REF!,#REF!,#REF!,#REF!,#REF!,#REF!,#REF!,#REF!,#REF!,#REF!,#REF!,#REF!,#REF!,#REF!,#REF!</definedName>
    <definedName name="__APW_RESTORE_DATA170__" hidden="1">#REF!,#REF!,#REF!,#REF!,#REF!,#REF!,#REF!,#REF!,#REF!,#REF!,#REF!,#REF!,#REF!,#REF!,#REF!,#REF!</definedName>
    <definedName name="__APW_RESTORE_DATA171__" hidden="1">#REF!,#REF!,#REF!,#REF!,#REF!,#REF!,#REF!,#REF!,#REF!,#REF!,#REF!,#REF!,#REF!,#REF!,#REF!,#REF!</definedName>
    <definedName name="__APW_RESTORE_DATA172__" hidden="1">#REF!,#REF!,#REF!,#REF!,#REF!,#REF!,#REF!,#REF!,#REF!,#REF!,#REF!,#REF!,#REF!,#REF!,#REF!,#REF!</definedName>
    <definedName name="__APW_RESTORE_DATA173__" hidden="1">#REF!,#REF!,#REF!,#REF!,#REF!,#REF!,#REF!,#REF!,#REF!,#REF!,#REF!,#REF!,#REF!,#REF!,#REF!,#REF!</definedName>
    <definedName name="__APW_RESTORE_DATA174__" hidden="1">#REF!,#REF!,#REF!,#REF!,#REF!,#REF!,#REF!,#REF!,#REF!,#REF!,#REF!,#REF!,#REF!,#REF!,#REF!</definedName>
    <definedName name="__APW_RESTORE_DATA175__" hidden="1">#REF!,#REF!,#REF!,#REF!,#REF!,#REF!,#REF!,#REF!,#REF!,#REF!,#REF!,#REF!,#REF!,#REF!,#REF!</definedName>
    <definedName name="__APW_RESTORE_DATA176__" hidden="1">#REF!,#REF!,#REF!,#REF!,#REF!,#REF!,#REF!,#REF!,#REF!,#REF!,#REF!,#REF!,#REF!,#REF!,#REF!</definedName>
    <definedName name="__APW_RESTORE_DATA177__" hidden="1">#REF!,#REF!,#REF!,#REF!,#REF!,#REF!,#REF!,#REF!,#REF!,#REF!,#REF!,#REF!,#REF!,#REF!,#REF!</definedName>
    <definedName name="__APW_RESTORE_DATA178__" hidden="1">#REF!,#REF!,#REF!,#REF!,#REF!,#REF!,#REF!,#REF!,#REF!,#REF!,#REF!,#REF!,#REF!,#REF!,#REF!</definedName>
    <definedName name="__APW_RESTORE_DATA179__" hidden="1">#REF!,#REF!,#REF!,#REF!,#REF!,#REF!</definedName>
    <definedName name="__APW_RESTORE_DATA18__" hidden="1">#REF!,#REF!,#REF!,#REF!,#REF!,#REF!,#REF!,#REF!,#REF!,#REF!,#REF!,#REF!,#REF!,#REF!,#REF!</definedName>
    <definedName name="__APW_RESTORE_DATA180__" hidden="1">#REF!,#REF!,#REF!,#REF!,#REF!,#REF!,#REF!,#REF!,#REF!,#REF!,#REF!,#REF!,#REF!,#REF!,#REF!,#REF!,#REF!</definedName>
    <definedName name="__APW_RESTORE_DATA181__" hidden="1">#REF!,#REF!,#REF!,#REF!,#REF!,#REF!,#REF!,#REF!,#REF!,#REF!,#REF!,#REF!,#REF!,#REF!,#REF!,#REF!</definedName>
    <definedName name="__APW_RESTORE_DATA182__" hidden="1">#REF!,#REF!,#REF!,#REF!,#REF!,#REF!,#REF!,#REF!,#REF!,#REF!,#REF!,#REF!,#REF!,#REF!,#REF!,#REF!</definedName>
    <definedName name="__APW_RESTORE_DATA183__" hidden="1">#REF!,#REF!,#REF!,#REF!,#REF!,#REF!,#REF!,#REF!,#REF!,#REF!,#REF!,#REF!,#REF!,#REF!,#REF!,#REF!</definedName>
    <definedName name="__APW_RESTORE_DATA184__" hidden="1">#REF!,#REF!,#REF!,#REF!,#REF!,#REF!,#REF!,#REF!,#REF!,#REF!,#REF!,#REF!,#REF!,#REF!,#REF!,#REF!</definedName>
    <definedName name="__APW_RESTORE_DATA185__" hidden="1">#REF!,#REF!,#REF!,#REF!,#REF!,#REF!,#REF!,#REF!,#REF!,#REF!,#REF!,#REF!,#REF!,#REF!,#REF!,#REF!</definedName>
    <definedName name="__APW_RESTORE_DATA186__" hidden="1">#REF!,#REF!,#REF!,#REF!,#REF!,#REF!,#REF!,#REF!,#REF!,#REF!,#REF!,#REF!,#REF!,#REF!,#REF!</definedName>
    <definedName name="__APW_RESTORE_DATA187__" hidden="1">#REF!,#REF!,#REF!,#REF!,#REF!,#REF!,#REF!,#REF!,#REF!,#REF!,#REF!,#REF!,#REF!,#REF!,#REF!</definedName>
    <definedName name="__APW_RESTORE_DATA188__" hidden="1">#REF!,#REF!,#REF!,#REF!,#REF!,#REF!,#REF!,#REF!,#REF!,#REF!,#REF!,#REF!,#REF!,#REF!,#REF!</definedName>
    <definedName name="__APW_RESTORE_DATA189__" hidden="1">#REF!,#REF!,#REF!,#REF!,#REF!,#REF!,#REF!,#REF!,#REF!,#REF!,#REF!,#REF!,#REF!,#REF!,#REF!</definedName>
    <definedName name="__APW_RESTORE_DATA19__" hidden="1">#REF!,#REF!,#REF!,#REF!,#REF!,#REF!,#REF!,#REF!,#REF!,#REF!,#REF!,#REF!,#REF!,#REF!,#REF!</definedName>
    <definedName name="__APW_RESTORE_DATA190__" hidden="1">#REF!,#REF!,#REF!,#REF!,#REF!,#REF!,#REF!,#REF!,#REF!,#REF!,#REF!,#REF!,#REF!,#REF!,#REF!</definedName>
    <definedName name="__APW_RESTORE_DATA191__" hidden="1">#REF!,#REF!,#REF!,#REF!,#REF!,#REF!</definedName>
    <definedName name="__APW_RESTORE_DATA192__" hidden="1">#REF!,#REF!,#REF!,#REF!,#REF!,#REF!,#REF!,#REF!,#REF!,#REF!,#REF!,#REF!,#REF!,#REF!,#REF!,#REF!,#REF!</definedName>
    <definedName name="__APW_RESTORE_DATA193__" hidden="1">#REF!,#REF!,#REF!,#REF!,#REF!,#REF!,#REF!,#REF!,#REF!,#REF!,#REF!,#REF!,#REF!,#REF!,#REF!,#REF!</definedName>
    <definedName name="__APW_RESTORE_DATA194__" hidden="1">#REF!,#REF!,#REF!,#REF!,#REF!,#REF!,#REF!,#REF!,#REF!,#REF!,#REF!,#REF!,#REF!,#REF!,#REF!,#REF!</definedName>
    <definedName name="__APW_RESTORE_DATA195__" hidden="1">#REF!,#REF!,#REF!,#REF!,#REF!,#REF!,#REF!,#REF!,#REF!,#REF!,#REF!,#REF!,#REF!,#REF!,#REF!,#REF!</definedName>
    <definedName name="__APW_RESTORE_DATA196__" hidden="1">#REF!,#REF!,#REF!,#REF!,#REF!,#REF!,#REF!,#REF!,#REF!,#REF!,#REF!,#REF!,#REF!,#REF!,#REF!,#REF!</definedName>
    <definedName name="__APW_RESTORE_DATA197__" hidden="1">#REF!,#REF!,#REF!,#REF!,#REF!,#REF!,#REF!,#REF!,#REF!,#REF!,#REF!,#REF!,#REF!,#REF!,#REF!,#REF!</definedName>
    <definedName name="__APW_RESTORE_DATA198__" hidden="1">#REF!,#REF!,#REF!,#REF!,#REF!,#REF!,#REF!,#REF!,#REF!,#REF!,#REF!,#REF!,#REF!,#REF!,#REF!</definedName>
    <definedName name="__APW_RESTORE_DATA199__" hidden="1">#REF!,#REF!,#REF!,#REF!,#REF!,#REF!,#REF!,#REF!,#REF!,#REF!,#REF!,#REF!,#REF!,#REF!,#REF!,#REF!,#REF!</definedName>
    <definedName name="__APW_RESTORE_DATA2__" hidden="1">#REF!,#REF!,#REF!,#REF!,#REF!,#REF!,#REF!,#REF!,#REF!,#REF!,#REF!,#REF!,#REF!,#REF!,#REF!,#REF!</definedName>
    <definedName name="__APW_RESTORE_DATA20__" hidden="1">#REF!,#REF!,#REF!,#REF!,#REF!,#REF!,#REF!,#REF!,#REF!,#REF!,#REF!,#REF!,#REF!,#REF!,#REF!</definedName>
    <definedName name="__APW_RESTORE_DATA200__" hidden="1">#REF!,#REF!,#REF!,#REF!,#REF!,#REF!,#REF!,#REF!,#REF!,#REF!,#REF!,#REF!,#REF!,#REF!,#REF!,#REF!</definedName>
    <definedName name="__APW_RESTORE_DATA201__" hidden="1">#REF!,#REF!,#REF!,#REF!,#REF!,#REF!,#REF!,#REF!,#REF!,#REF!,#REF!,#REF!,#REF!,#REF!,#REF!,#REF!</definedName>
    <definedName name="__APW_RESTORE_DATA202__" hidden="1">#REF!,#REF!,#REF!,#REF!,#REF!,#REF!,#REF!,#REF!,#REF!,#REF!,#REF!,#REF!,#REF!,#REF!,#REF!,#REF!</definedName>
    <definedName name="__APW_RESTORE_DATA203__" hidden="1">#REF!,#REF!,#REF!,#REF!,#REF!,#REF!,#REF!,#REF!,#REF!,#REF!,#REF!,#REF!,#REF!,#REF!,#REF!,#REF!</definedName>
    <definedName name="__APW_RESTORE_DATA204__" hidden="1">#REF!,#REF!,#REF!,#REF!,#REF!,#REF!,#REF!,#REF!,#REF!,#REF!,#REF!,#REF!,#REF!,#REF!,#REF!,#REF!</definedName>
    <definedName name="__APW_RESTORE_DATA205__" hidden="1">#REF!,#REF!,#REF!,#REF!,#REF!,#REF!,#REF!,#REF!,#REF!,#REF!,#REF!,#REF!,#REF!,#REF!,#REF!</definedName>
    <definedName name="__APW_RESTORE_DATA206__" hidden="1">#REF!,#REF!,#REF!,#REF!,#REF!,#REF!,#REF!,#REF!,#REF!,#REF!,#REF!,#REF!,#REF!,#REF!,#REF!</definedName>
    <definedName name="__APW_RESTORE_DATA207__" hidden="1">#REF!,#REF!,#REF!,#REF!,#REF!,#REF!,#REF!,#REF!,#REF!,#REF!,#REF!,#REF!,#REF!,#REF!,#REF!</definedName>
    <definedName name="__APW_RESTORE_DATA208__" hidden="1">#REF!,#REF!,#REF!,#REF!,#REF!,#REF!,#REF!,#REF!,#REF!,#REF!,#REF!,#REF!,#REF!,#REF!,#REF!</definedName>
    <definedName name="__APW_RESTORE_DATA209__" hidden="1">#REF!,#REF!,#REF!,#REF!,#REF!,#REF!,#REF!,#REF!,#REF!,#REF!,#REF!,#REF!,#REF!,#REF!</definedName>
    <definedName name="__APW_RESTORE_DATA21__" hidden="1">#REF!,#REF!,#REF!,#REF!,#REF!,#REF!,#REF!,#REF!,#REF!,#REF!,#REF!,#REF!,#REF!,#REF!,#REF!</definedName>
    <definedName name="__APW_RESTORE_DATA210__" hidden="1">#REF!,#REF!,#REF!,#REF!,#REF!,#REF!,#REF!,#REF!,#REF!,#REF!,#REF!,#REF!,#REF!,#REF!,#REF!,#REF!,#REF!</definedName>
    <definedName name="__APW_RESTORE_DATA211__" hidden="1">#REF!,#REF!,#REF!,#REF!,#REF!,#REF!,#REF!,#REF!,#REF!,#REF!,#REF!,#REF!,#REF!,#REF!,#REF!,#REF!</definedName>
    <definedName name="__APW_RESTORE_DATA212__" hidden="1">#REF!,#REF!,#REF!,#REF!,#REF!,#REF!,#REF!,#REF!,#REF!,#REF!,#REF!,#REF!,#REF!,#REF!,#REF!,#REF!</definedName>
    <definedName name="__APW_RESTORE_DATA213__" hidden="1">#REF!,#REF!,#REF!,#REF!,#REF!,#REF!,#REF!,#REF!,#REF!,#REF!,#REF!,#REF!,#REF!,#REF!,#REF!,#REF!</definedName>
    <definedName name="__APW_RESTORE_DATA214__" hidden="1">#REF!,#REF!,#REF!,#REF!,#REF!,#REF!,#REF!,#REF!,#REF!,#REF!,#REF!,#REF!,#REF!,#REF!,#REF!,#REF!</definedName>
    <definedName name="__APW_RESTORE_DATA215__" hidden="1">#REF!,#REF!,#REF!,#REF!,#REF!,#REF!,#REF!,#REF!,#REF!,#REF!,#REF!,#REF!,#REF!,#REF!,#REF!,#REF!</definedName>
    <definedName name="__APW_RESTORE_DATA216__" hidden="1">#REF!,#REF!,#REF!,#REF!,#REF!,#REF!,#REF!,#REF!,#REF!,#REF!,#REF!,#REF!,#REF!,#REF!,#REF!</definedName>
    <definedName name="__APW_RESTORE_DATA217__" hidden="1">#REF!,#REF!,#REF!,#REF!,#REF!,#REF!,#REF!,#REF!,#REF!,#REF!,#REF!,#REF!,#REF!,#REF!,#REF!</definedName>
    <definedName name="__APW_RESTORE_DATA218__" hidden="1">#REF!,#REF!,#REF!,#REF!,#REF!,#REF!,#REF!,#REF!,#REF!,#REF!,#REF!,#REF!,#REF!,#REF!,#REF!</definedName>
    <definedName name="__APW_RESTORE_DATA219__" hidden="1">#REF!,#REF!,#REF!,#REF!,#REF!,#REF!,#REF!,#REF!,#REF!,#REF!,#REF!,#REF!,#REF!,#REF!,#REF!</definedName>
    <definedName name="__APW_RESTORE_DATA22__" hidden="1">#REF!,#REF!,#REF!,#REF!,#REF!,#REF!,#REF!,#REF!,#REF!,#REF!,#REF!,#REF!,#REF!,#REF!,#REF!</definedName>
    <definedName name="__APW_RESTORE_DATA220__" hidden="1">#REF!,#REF!,#REF!,#REF!,#REF!,#REF!,#REF!,#REF!,#REF!,#REF!,#REF!,#REF!,#REF!,#REF!</definedName>
    <definedName name="__APW_RESTORE_DATA221__" hidden="1">#REF!,#REF!,#REF!,#REF!,#REF!,#REF!,#REF!,#REF!,#REF!,#REF!,#REF!,#REF!,#REF!,#REF!,#REF!,#REF!,#REF!</definedName>
    <definedName name="__APW_RESTORE_DATA222__" hidden="1">#REF!,#REF!,#REF!,#REF!,#REF!,#REF!,#REF!,#REF!,#REF!,#REF!,#REF!,#REF!,#REF!,#REF!,#REF!,#REF!</definedName>
    <definedName name="__APW_RESTORE_DATA223__" hidden="1">#REF!,#REF!,#REF!,#REF!,#REF!,#REF!,#REF!,#REF!,#REF!,#REF!,#REF!,#REF!,#REF!,#REF!,#REF!,#REF!</definedName>
    <definedName name="__APW_RESTORE_DATA224__" hidden="1">#REF!,#REF!,#REF!,#REF!,#REF!,#REF!,#REF!,#REF!,#REF!,#REF!,#REF!,#REF!,#REF!,#REF!,#REF!,#REF!</definedName>
    <definedName name="__APW_RESTORE_DATA225__" hidden="1">#REF!,#REF!,#REF!,#REF!,#REF!,#REF!,#REF!,#REF!,#REF!,#REF!,#REF!,#REF!,#REF!,#REF!,#REF!,#REF!</definedName>
    <definedName name="__APW_RESTORE_DATA226__" hidden="1">#REF!,#REF!,#REF!,#REF!,#REF!,#REF!,#REF!,#REF!,#REF!,#REF!,#REF!,#REF!,#REF!,#REF!,#REF!,#REF!</definedName>
    <definedName name="__APW_RESTORE_DATA227__" hidden="1">#REF!,#REF!,#REF!,#REF!,#REF!,#REF!,#REF!,#REF!,#REF!,#REF!,#REF!,#REF!,#REF!,#REF!,#REF!</definedName>
    <definedName name="__APW_RESTORE_DATA228__" hidden="1">#REF!,#REF!,#REF!,#REF!,#REF!,#REF!,#REF!,#REF!,#REF!,#REF!,#REF!,#REF!,#REF!,#REF!,#REF!</definedName>
    <definedName name="__APW_RESTORE_DATA229__" hidden="1">#REF!,#REF!,#REF!,#REF!,#REF!,#REF!,#REF!,#REF!,#REF!,#REF!,#REF!,#REF!,#REF!,#REF!,#REF!</definedName>
    <definedName name="__APW_RESTORE_DATA23__" hidden="1">#REF!,#REF!,#REF!,#REF!,#REF!,#REF!</definedName>
    <definedName name="__APW_RESTORE_DATA230__" hidden="1">#REF!,#REF!,#REF!,#REF!,#REF!,#REF!,#REF!,#REF!,#REF!,#REF!,#REF!,#REF!,#REF!,#REF!,#REF!</definedName>
    <definedName name="__APW_RESTORE_DATA231__" hidden="1">#REF!,#REF!,#REF!,#REF!,#REF!,#REF!,#REF!,#REF!,#REF!,#REF!,#REF!,#REF!,#REF!,#REF!</definedName>
    <definedName name="__APW_RESTORE_DATA232__" hidden="1">#REF!,#REF!,#REF!,#REF!,#REF!,#REF!,#REF!,#REF!,#REF!,#REF!,#REF!,#REF!,#REF!,#REF!,#REF!,#REF!,#REF!</definedName>
    <definedName name="__APW_RESTORE_DATA233__" hidden="1">#REF!,#REF!,#REF!,#REF!,#REF!,#REF!,#REF!,#REF!,#REF!,#REF!,#REF!,#REF!,#REF!,#REF!,#REF!,#REF!</definedName>
    <definedName name="__APW_RESTORE_DATA234__" hidden="1">#REF!,#REF!,#REF!,#REF!,#REF!,#REF!,#REF!,#REF!,#REF!,#REF!,#REF!,#REF!,#REF!,#REF!,#REF!,#REF!</definedName>
    <definedName name="__APW_RESTORE_DATA235__" hidden="1">#REF!,#REF!,#REF!,#REF!,#REF!,#REF!,#REF!,#REF!,#REF!,#REF!,#REF!,#REF!,#REF!,#REF!,#REF!,#REF!</definedName>
    <definedName name="__APW_RESTORE_DATA236__" hidden="1">#REF!,#REF!,#REF!,#REF!,#REF!,#REF!,#REF!,#REF!,#REF!,#REF!,#REF!,#REF!,#REF!,#REF!,#REF!,#REF!</definedName>
    <definedName name="__APW_RESTORE_DATA237__" hidden="1">#REF!,#REF!,#REF!,#REF!,#REF!,#REF!,#REF!,#REF!,#REF!,#REF!,#REF!,#REF!,#REF!,#REF!,#REF!,#REF!</definedName>
    <definedName name="__APW_RESTORE_DATA238__" hidden="1">#REF!,#REF!,#REF!,#REF!,#REF!,#REF!,#REF!,#REF!,#REF!,#REF!,#REF!,#REF!,#REF!,#REF!,#REF!</definedName>
    <definedName name="__APW_RESTORE_DATA239__" hidden="1">#REF!,#REF!,#REF!,#REF!,#REF!,#REF!,#REF!,#REF!,#REF!,#REF!,#REF!,#REF!,#REF!,#REF!,#REF!</definedName>
    <definedName name="__APW_RESTORE_DATA24__" hidden="1">#REF!,#REF!,#REF!,#REF!,#REF!,#REF!,#REF!,#REF!,#REF!,#REF!,#REF!,#REF!,#REF!,#REF!,#REF!,#REF!,#REF!</definedName>
    <definedName name="__APW_RESTORE_DATA240__" hidden="1">#REF!,#REF!,#REF!,#REF!,#REF!,#REF!,#REF!,#REF!,#REF!,#REF!,#REF!,#REF!,#REF!,#REF!,#REF!</definedName>
    <definedName name="__APW_RESTORE_DATA241__" hidden="1">#REF!,#REF!,#REF!,#REF!,#REF!,#REF!,#REF!,#REF!,#REF!,#REF!,#REF!,#REF!,#REF!,#REF!,#REF!</definedName>
    <definedName name="__APW_RESTORE_DATA242__" hidden="1">#REF!,#REF!,#REF!,#REF!,#REF!,#REF!,#REF!,#REF!,#REF!,#REF!,#REF!,#REF!,#REF!,#REF!</definedName>
    <definedName name="__APW_RESTORE_DATA243__" hidden="1">#REF!,#REF!,#REF!,#REF!,#REF!,#REF!,#REF!,#REF!,#REF!,#REF!,#REF!,#REF!,#REF!,#REF!,#REF!,#REF!,#REF!</definedName>
    <definedName name="__APW_RESTORE_DATA244__" hidden="1">#REF!,#REF!,#REF!,#REF!,#REF!,#REF!,#REF!,#REF!,#REF!,#REF!,#REF!,#REF!,#REF!,#REF!,#REF!,#REF!</definedName>
    <definedName name="__APW_RESTORE_DATA245__" hidden="1">#REF!,#REF!,#REF!,#REF!,#REF!,#REF!,#REF!,#REF!,#REF!,#REF!,#REF!,#REF!,#REF!,#REF!,#REF!,#REF!</definedName>
    <definedName name="__APW_RESTORE_DATA246__" hidden="1">#REF!,#REF!,#REF!,#REF!,#REF!,#REF!,#REF!,#REF!,#REF!,#REF!,#REF!,#REF!,#REF!,#REF!,#REF!,#REF!</definedName>
    <definedName name="__APW_RESTORE_DATA247__" hidden="1">#REF!,#REF!,#REF!,#REF!,#REF!,#REF!,#REF!,#REF!,#REF!,#REF!,#REF!,#REF!,#REF!,#REF!,#REF!,#REF!</definedName>
    <definedName name="__APW_RESTORE_DATA248__" hidden="1">#REF!,#REF!,#REF!,#REF!,#REF!,#REF!,#REF!,#REF!,#REF!,#REF!,#REF!,#REF!,#REF!,#REF!,#REF!,#REF!</definedName>
    <definedName name="__APW_RESTORE_DATA249__" hidden="1">#REF!,#REF!,#REF!,#REF!,#REF!,#REF!,#REF!,#REF!,#REF!,#REF!,#REF!,#REF!,#REF!,#REF!,#REF!</definedName>
    <definedName name="__APW_RESTORE_DATA25__" hidden="1">#REF!,#REF!,#REF!,#REF!,#REF!,#REF!,#REF!,#REF!,#REF!,#REF!,#REF!,#REF!,#REF!,#REF!,#REF!,#REF!</definedName>
    <definedName name="__APW_RESTORE_DATA250__" hidden="1">#REF!,#REF!,#REF!,#REF!,#REF!,#REF!,#REF!,#REF!,#REF!,#REF!,#REF!,#REF!,#REF!,#REF!,#REF!</definedName>
    <definedName name="__APW_RESTORE_DATA251__" hidden="1">#REF!,#REF!,#REF!,#REF!,#REF!,#REF!,#REF!,#REF!,#REF!,#REF!,#REF!,#REF!,#REF!,#REF!,#REF!</definedName>
    <definedName name="__APW_RESTORE_DATA252__" hidden="1">#REF!,#REF!,#REF!,#REF!,#REF!,#REF!,#REF!,#REF!,#REF!,#REF!,#REF!,#REF!,#REF!,#REF!,#REF!</definedName>
    <definedName name="__APW_RESTORE_DATA253__" hidden="1">#REF!,#REF!,#REF!,#REF!,#REF!,#REF!,#REF!,#REF!,#REF!,#REF!,#REF!,#REF!,#REF!,#REF!</definedName>
    <definedName name="__APW_RESTORE_DATA254__" hidden="1">#REF!,#REF!,#REF!,#REF!,#REF!,#REF!,#REF!,#REF!,#REF!,#REF!,#REF!,#REF!,#REF!,#REF!,#REF!,#REF!,#REF!</definedName>
    <definedName name="__APW_RESTORE_DATA255__" hidden="1">#REF!,#REF!,#REF!,#REF!,#REF!,#REF!,#REF!,#REF!,#REF!,#REF!,#REF!,#REF!,#REF!,#REF!,#REF!,#REF!</definedName>
    <definedName name="__APW_RESTORE_DATA256__" hidden="1">#REF!,#REF!,#REF!,#REF!,#REF!,#REF!,#REF!,#REF!,#REF!,#REF!,#REF!,#REF!,#REF!,#REF!,#REF!,#REF!</definedName>
    <definedName name="__APW_RESTORE_DATA257__" hidden="1">#REF!,#REF!,#REF!,#REF!,#REF!,#REF!,#REF!,#REF!,#REF!,#REF!,#REF!,#REF!,#REF!,#REF!,#REF!,#REF!</definedName>
    <definedName name="__APW_RESTORE_DATA258__" hidden="1">#REF!,#REF!,#REF!,#REF!,#REF!,#REF!,#REF!,#REF!,#REF!,#REF!,#REF!,#REF!,#REF!,#REF!,#REF!,#REF!</definedName>
    <definedName name="__APW_RESTORE_DATA259__" hidden="1">#REF!,#REF!,#REF!,#REF!,#REF!,#REF!,#REF!,#REF!,#REF!,#REF!,#REF!,#REF!,#REF!,#REF!,#REF!,#REF!</definedName>
    <definedName name="__APW_RESTORE_DATA26__" hidden="1">#REF!,#REF!,#REF!,#REF!,#REF!,#REF!,#REF!,#REF!,#REF!,#REF!,#REF!,#REF!,#REF!,#REF!,#REF!,#REF!</definedName>
    <definedName name="__APW_RESTORE_DATA260__" hidden="1">#REF!,#REF!,#REF!,#REF!,#REF!,#REF!,#REF!,#REF!,#REF!,#REF!,#REF!,#REF!,#REF!,#REF!,#REF!</definedName>
    <definedName name="__APW_RESTORE_DATA261__" hidden="1">#REF!,#REF!,#REF!,#REF!,#REF!,#REF!,#REF!,#REF!,#REF!,#REF!,#REF!,#REF!,#REF!,#REF!,#REF!</definedName>
    <definedName name="__APW_RESTORE_DATA262__" hidden="1">#REF!,#REF!,#REF!,#REF!,#REF!,#REF!,#REF!,#REF!,#REF!,#REF!,#REF!,#REF!,#REF!,#REF!,#REF!</definedName>
    <definedName name="__APW_RESTORE_DATA263__" hidden="1">#REF!,#REF!,#REF!,#REF!,#REF!,#REF!,#REF!,#REF!,#REF!,#REF!,#REF!,#REF!,#REF!,#REF!,#REF!</definedName>
    <definedName name="__APW_RESTORE_DATA264__" hidden="1">#REF!,#REF!,#REF!,#REF!,#REF!,#REF!,#REF!,#REF!,#REF!,#REF!,#REF!,#REF!,#REF!,#REF!</definedName>
    <definedName name="__APW_RESTORE_DATA265__" hidden="1">#REF!,#REF!,#REF!,#REF!,#REF!,#REF!,#REF!,#REF!,#REF!,#REF!,#REF!,#REF!,#REF!,#REF!,#REF!,#REF!,#REF!</definedName>
    <definedName name="__APW_RESTORE_DATA266__" hidden="1">#REF!,#REF!,#REF!,#REF!,#REF!,#REF!,#REF!,#REF!,#REF!,#REF!,#REF!,#REF!,#REF!,#REF!,#REF!,#REF!</definedName>
    <definedName name="__APW_RESTORE_DATA267__" hidden="1">#REF!,#REF!,#REF!,#REF!,#REF!,#REF!,#REF!,#REF!,#REF!,#REF!,#REF!,#REF!,#REF!,#REF!,#REF!,#REF!</definedName>
    <definedName name="__APW_RESTORE_DATA268__" hidden="1">#REF!,#REF!,#REF!,#REF!,#REF!,#REF!,#REF!,#REF!,#REF!,#REF!,#REF!,#REF!,#REF!,#REF!,#REF!,#REF!</definedName>
    <definedName name="__APW_RESTORE_DATA269__" hidden="1">#REF!,#REF!,#REF!,#REF!,#REF!,#REF!,#REF!,#REF!,#REF!,#REF!,#REF!,#REF!,#REF!,#REF!,#REF!,#REF!</definedName>
    <definedName name="__APW_RESTORE_DATA27__" hidden="1">#REF!,#REF!,#REF!,#REF!,#REF!,#REF!,#REF!,#REF!,#REF!,#REF!,#REF!,#REF!,#REF!,#REF!,#REF!,#REF!</definedName>
    <definedName name="__APW_RESTORE_DATA270__" hidden="1">#REF!,#REF!,#REF!,#REF!,#REF!,#REF!,#REF!,#REF!,#REF!,#REF!,#REF!,#REF!,#REF!,#REF!,#REF!,#REF!</definedName>
    <definedName name="__APW_RESTORE_DATA271__" hidden="1">#REF!,#REF!,#REF!,#REF!,#REF!,#REF!,#REF!,#REF!,#REF!,#REF!,#REF!,#REF!,#REF!,#REF!,#REF!</definedName>
    <definedName name="__APW_RESTORE_DATA272__" hidden="1">#REF!,#REF!,#REF!,#REF!,#REF!,#REF!,#REF!,#REF!,#REF!,#REF!,#REF!,#REF!,#REF!,#REF!,#REF!</definedName>
    <definedName name="__APW_RESTORE_DATA273__" hidden="1">#REF!,#REF!,#REF!,#REF!,#REF!,#REF!,#REF!,#REF!,#REF!,#REF!,#REF!,#REF!,#REF!,#REF!,#REF!</definedName>
    <definedName name="__APW_RESTORE_DATA274__" hidden="1">#REF!,#REF!,#REF!,#REF!,#REF!,#REF!,#REF!,#REF!,#REF!,#REF!,#REF!,#REF!,#REF!,#REF!,#REF!</definedName>
    <definedName name="__APW_RESTORE_DATA275__" hidden="1">#REF!,#REF!,#REF!,#REF!,#REF!,#REF!,#REF!,#REF!,#REF!,#REF!,#REF!,#REF!,#REF!,#REF!</definedName>
    <definedName name="__APW_RESTORE_DATA276__" hidden="1">#REF!,#REF!,#REF!,#REF!,#REF!,#REF!,#REF!,#REF!,#REF!,#REF!,#REF!,#REF!,#REF!,#REF!,#REF!,#REF!,#REF!</definedName>
    <definedName name="__APW_RESTORE_DATA277__" hidden="1">#REF!,#REF!,#REF!,#REF!,#REF!,#REF!,#REF!,#REF!,#REF!,#REF!,#REF!,#REF!,#REF!,#REF!,#REF!,#REF!</definedName>
    <definedName name="__APW_RESTORE_DATA278__" hidden="1">#REF!,#REF!,#REF!,#REF!,#REF!,#REF!,#REF!,#REF!,#REF!,#REF!,#REF!,#REF!,#REF!,#REF!,#REF!,#REF!</definedName>
    <definedName name="__APW_RESTORE_DATA279__" hidden="1">#REF!,#REF!,#REF!,#REF!,#REF!,#REF!,#REF!,#REF!,#REF!,#REF!,#REF!,#REF!,#REF!,#REF!,#REF!,#REF!</definedName>
    <definedName name="__APW_RESTORE_DATA28__" hidden="1">#REF!,#REF!,#REF!,#REF!,#REF!,#REF!,#REF!,#REF!,#REF!,#REF!,#REF!,#REF!,#REF!,#REF!,#REF!,#REF!</definedName>
    <definedName name="__APW_RESTORE_DATA280__" hidden="1">#REF!,#REF!,#REF!,#REF!,#REF!,#REF!,#REF!,#REF!,#REF!,#REF!,#REF!,#REF!,#REF!,#REF!,#REF!,#REF!</definedName>
    <definedName name="__APW_RESTORE_DATA281__" hidden="1">#REF!,#REF!,#REF!,#REF!,#REF!,#REF!,#REF!,#REF!,#REF!,#REF!,#REF!,#REF!,#REF!,#REF!,#REF!,#REF!</definedName>
    <definedName name="__APW_RESTORE_DATA282__" hidden="1">#REF!,#REF!,#REF!,#REF!,#REF!,#REF!,#REF!,#REF!,#REF!,#REF!,#REF!,#REF!,#REF!,#REF!,#REF!</definedName>
    <definedName name="__APW_RESTORE_DATA283__" hidden="1">#REF!,#REF!,#REF!,#REF!,#REF!,#REF!,#REF!,#REF!,#REF!,#REF!,#REF!,#REF!,#REF!,#REF!,#REF!</definedName>
    <definedName name="__APW_RESTORE_DATA284__" hidden="1">#REF!,#REF!,#REF!,#REF!,#REF!,#REF!,#REF!,#REF!,#REF!,#REF!,#REF!,#REF!,#REF!,#REF!,#REF!</definedName>
    <definedName name="__APW_RESTORE_DATA285__" hidden="1">#REF!,#REF!,#REF!,#REF!,#REF!,#REF!,#REF!,#REF!,#REF!,#REF!,#REF!,#REF!,#REF!,#REF!,#REF!</definedName>
    <definedName name="__APW_RESTORE_DATA286__" hidden="1">#REF!,#REF!,#REF!,#REF!,#REF!,#REF!,#REF!,#REF!,#REF!,#REF!,#REF!,#REF!,#REF!,#REF!</definedName>
    <definedName name="__APW_RESTORE_DATA287__" hidden="1">#REF!,#REF!,#REF!,#REF!,#REF!,#REF!,#REF!,#REF!,#REF!,#REF!,#REF!,#REF!,#REF!,#REF!,#REF!,#REF!,#REF!</definedName>
    <definedName name="__APW_RESTORE_DATA288__" hidden="1">#REF!,#REF!,#REF!,#REF!,#REF!,#REF!,#REF!,#REF!,#REF!,#REF!,#REF!,#REF!,#REF!,#REF!,#REF!,#REF!</definedName>
    <definedName name="__APW_RESTORE_DATA289__" hidden="1">#REF!,#REF!,#REF!,#REF!,#REF!,#REF!,#REF!,#REF!,#REF!,#REF!,#REF!,#REF!,#REF!,#REF!,#REF!,#REF!</definedName>
    <definedName name="__APW_RESTORE_DATA29__" hidden="1">#REF!,#REF!,#REF!,#REF!,#REF!,#REF!,#REF!,#REF!,#REF!,#REF!,#REF!,#REF!,#REF!,#REF!,#REF!,#REF!</definedName>
    <definedName name="__APW_RESTORE_DATA290__" hidden="1">#REF!,#REF!,#REF!,#REF!,#REF!,#REF!,#REF!,#REF!,#REF!,#REF!,#REF!,#REF!,#REF!,#REF!,#REF!,#REF!</definedName>
    <definedName name="__APW_RESTORE_DATA291__" hidden="1">#REF!,#REF!,#REF!,#REF!,#REF!,#REF!,#REF!,#REF!,#REF!,#REF!,#REF!,#REF!,#REF!,#REF!,#REF!,#REF!</definedName>
    <definedName name="__APW_RESTORE_DATA292__" hidden="1">#REF!,#REF!,#REF!,#REF!,#REF!,#REF!,#REF!,#REF!,#REF!,#REF!,#REF!,#REF!,#REF!,#REF!,#REF!,#REF!</definedName>
    <definedName name="__APW_RESTORE_DATA293__" hidden="1">#REF!,#REF!,#REF!,#REF!,#REF!,#REF!,#REF!,#REF!,#REF!,#REF!,#REF!,#REF!,#REF!,#REF!,#REF!</definedName>
    <definedName name="__APW_RESTORE_DATA294__" hidden="1">#REF!,#REF!,#REF!,#REF!,#REF!,#REF!,#REF!,#REF!,#REF!,#REF!,#REF!,#REF!,#REF!,#REF!,#REF!</definedName>
    <definedName name="__APW_RESTORE_DATA295__" hidden="1">#REF!,#REF!,#REF!,#REF!,#REF!,#REF!,#REF!,#REF!,#REF!,#REF!,#REF!,#REF!,#REF!,#REF!,#REF!</definedName>
    <definedName name="__APW_RESTORE_DATA296__" hidden="1">#REF!,#REF!,#REF!,#REF!,#REF!,#REF!,#REF!,#REF!,#REF!,#REF!,#REF!,#REF!,#REF!,#REF!,#REF!</definedName>
    <definedName name="__APW_RESTORE_DATA297__" hidden="1">#REF!,#REF!,#REF!,#REF!,#REF!,#REF!,#REF!,#REF!,#REF!,#REF!,#REF!,#REF!,#REF!,#REF!</definedName>
    <definedName name="__APW_RESTORE_DATA298__" hidden="1">#REF!,#REF!,#REF!,#REF!,#REF!,#REF!,#REF!,#REF!,#REF!,#REF!,#REF!,#REF!,#REF!,#REF!,#REF!,#REF!,#REF!</definedName>
    <definedName name="__APW_RESTORE_DATA299__" hidden="1">#REF!,#REF!,#REF!,#REF!,#REF!,#REF!,#REF!,#REF!,#REF!,#REF!,#REF!,#REF!,#REF!,#REF!,#REF!,#REF!</definedName>
    <definedName name="__APW_RESTORE_DATA3__" hidden="1">#REF!,#REF!,#REF!,#REF!,#REF!,#REF!,#REF!,#REF!,#REF!,#REF!,#REF!,#REF!,#REF!,#REF!,#REF!,#REF!</definedName>
    <definedName name="__APW_RESTORE_DATA30__" hidden="1">#REF!,#REF!,#REF!,#REF!,#REF!,#REF!,#REF!,#REF!,#REF!,#REF!,#REF!,#REF!,#REF!,#REF!,#REF!</definedName>
    <definedName name="__APW_RESTORE_DATA300__" hidden="1">#REF!,#REF!,#REF!,#REF!,#REF!,#REF!,#REF!,#REF!,#REF!,#REF!,#REF!,#REF!,#REF!,#REF!,#REF!,#REF!</definedName>
    <definedName name="__APW_RESTORE_DATA301__" hidden="1">#REF!,#REF!,#REF!,#REF!,#REF!,#REF!,#REF!,#REF!,#REF!,#REF!,#REF!,#REF!,#REF!,#REF!,#REF!,#REF!</definedName>
    <definedName name="__APW_RESTORE_DATA302__" hidden="1">#REF!,#REF!,#REF!,#REF!,#REF!,#REF!,#REF!,#REF!,#REF!,#REF!,#REF!,#REF!,#REF!,#REF!,#REF!,#REF!</definedName>
    <definedName name="__APW_RESTORE_DATA303__" hidden="1">#REF!,#REF!,#REF!,#REF!,#REF!,#REF!,#REF!,#REF!,#REF!,#REF!,#REF!,#REF!,#REF!,#REF!,#REF!,#REF!</definedName>
    <definedName name="__APW_RESTORE_DATA304__" hidden="1">#REF!,#REF!,#REF!,#REF!,#REF!,#REF!,#REF!,#REF!,#REF!,#REF!,#REF!,#REF!,#REF!,#REF!,#REF!</definedName>
    <definedName name="__APW_RESTORE_DATA305__" hidden="1">#REF!,#REF!,#REF!,#REF!,#REF!,#REF!,#REF!,#REF!,#REF!,#REF!,#REF!,#REF!,#REF!,#REF!,#REF!</definedName>
    <definedName name="__APW_RESTORE_DATA306__" hidden="1">#REF!,#REF!,#REF!,#REF!,#REF!,#REF!,#REF!,#REF!,#REF!,#REF!,#REF!,#REF!,#REF!,#REF!,#REF!</definedName>
    <definedName name="__APW_RESTORE_DATA307__" hidden="1">#REF!,#REF!,#REF!,#REF!,#REF!,#REF!,#REF!,#REF!,#REF!,#REF!,#REF!,#REF!,#REF!,#REF!,#REF!</definedName>
    <definedName name="__APW_RESTORE_DATA308__" hidden="1">#REF!,#REF!,#REF!,#REF!,#REF!,#REF!,#REF!,#REF!,#REF!,#REF!,#REF!,#REF!,#REF!,#REF!</definedName>
    <definedName name="__APW_RESTORE_DATA309__" hidden="1">#REF!,#REF!,#REF!,#REF!,#REF!,#REF!,#REF!,#REF!,#REF!,#REF!,#REF!,#REF!,#REF!,#REF!,#REF!,#REF!,#REF!</definedName>
    <definedName name="__APW_RESTORE_DATA31__" hidden="1">#REF!,#REF!,#REF!,#REF!,#REF!,#REF!,#REF!,#REF!,#REF!,#REF!,#REF!,#REF!,#REF!,#REF!,#REF!</definedName>
    <definedName name="__APW_RESTORE_DATA310__" hidden="1">#REF!,#REF!,#REF!,#REF!,#REF!,#REF!,#REF!,#REF!,#REF!,#REF!,#REF!,#REF!,#REF!,#REF!,#REF!,#REF!</definedName>
    <definedName name="__APW_RESTORE_DATA311__" hidden="1">#REF!,#REF!,#REF!,#REF!,#REF!,#REF!,#REF!,#REF!,#REF!,#REF!,#REF!,#REF!,#REF!,#REF!,#REF!,#REF!</definedName>
    <definedName name="__APW_RESTORE_DATA312__" hidden="1">#REF!,#REF!,#REF!,#REF!,#REF!,#REF!,#REF!,#REF!,#REF!,#REF!,#REF!,#REF!,#REF!,#REF!,#REF!,#REF!</definedName>
    <definedName name="__APW_RESTORE_DATA313__" hidden="1">#REF!,#REF!,#REF!,#REF!,#REF!,#REF!,#REF!,#REF!,#REF!,#REF!,#REF!,#REF!,#REF!,#REF!,#REF!,#REF!</definedName>
    <definedName name="__APW_RESTORE_DATA314__" hidden="1">#REF!,#REF!,#REF!,#REF!,#REF!,#REF!,#REF!,#REF!,#REF!,#REF!,#REF!,#REF!,#REF!,#REF!,#REF!,#REF!</definedName>
    <definedName name="__APW_RESTORE_DATA315__" hidden="1">#REF!,#REF!,#REF!,#REF!,#REF!,#REF!,#REF!,#REF!,#REF!,#REF!,#REF!,#REF!,#REF!,#REF!,#REF!</definedName>
    <definedName name="__APW_RESTORE_DATA316__" hidden="1">#REF!,#REF!,#REF!,#REF!,#REF!,#REF!,#REF!,#REF!,#REF!,#REF!,#REF!,#REF!,#REF!,#REF!,#REF!</definedName>
    <definedName name="__APW_RESTORE_DATA317__" hidden="1">#REF!,#REF!,#REF!,#REF!,#REF!,#REF!,#REF!,#REF!,#REF!,#REF!,#REF!,#REF!,#REF!,#REF!,#REF!</definedName>
    <definedName name="__APW_RESTORE_DATA318__" hidden="1">#REF!,#REF!,#REF!,#REF!,#REF!,#REF!,#REF!,#REF!,#REF!,#REF!,#REF!,#REF!,#REF!,#REF!,#REF!</definedName>
    <definedName name="__APW_RESTORE_DATA319__" hidden="1">#REF!,#REF!,#REF!,#REF!,#REF!,#REF!,#REF!,#REF!,#REF!,#REF!,#REF!,#REF!,#REF!,#REF!</definedName>
    <definedName name="__APW_RESTORE_DATA32__" hidden="1">#REF!,#REF!,#REF!,#REF!,#REF!,#REF!,#REF!,#REF!,#REF!,#REF!,#REF!,#REF!,#REF!,#REF!,#REF!</definedName>
    <definedName name="__APW_RESTORE_DATA320__" hidden="1">#REF!,#REF!,#REF!,#REF!,#REF!,#REF!,#REF!,#REF!,#REF!,#REF!,#REF!,#REF!,#REF!,#REF!,#REF!,#REF!,#REF!</definedName>
    <definedName name="__APW_RESTORE_DATA321__" hidden="1">#REF!,#REF!,#REF!,#REF!,#REF!,#REF!,#REF!,#REF!,#REF!,#REF!,#REF!,#REF!,#REF!,#REF!,#REF!,#REF!</definedName>
    <definedName name="__APW_RESTORE_DATA322__" hidden="1">#REF!,#REF!,#REF!,#REF!,#REF!,#REF!,#REF!,#REF!,#REF!,#REF!,#REF!,#REF!,#REF!,#REF!,#REF!,#REF!</definedName>
    <definedName name="__APW_RESTORE_DATA323__" hidden="1">#REF!,#REF!,#REF!,#REF!,#REF!,#REF!,#REF!,#REF!,#REF!,#REF!,#REF!,#REF!,#REF!,#REF!,#REF!,#REF!</definedName>
    <definedName name="__APW_RESTORE_DATA324__" hidden="1">#REF!,#REF!,#REF!,#REF!,#REF!,#REF!,#REF!,#REF!,#REF!,#REF!,#REF!,#REF!,#REF!,#REF!,#REF!,#REF!</definedName>
    <definedName name="__APW_RESTORE_DATA325__" hidden="1">#REF!,#REF!,#REF!,#REF!,#REF!,#REF!,#REF!,#REF!,#REF!,#REF!,#REF!,#REF!,#REF!,#REF!,#REF!,#REF!</definedName>
    <definedName name="__APW_RESTORE_DATA326__" hidden="1">#REF!,#REF!,#REF!,#REF!,#REF!,#REF!,#REF!,#REF!,#REF!,#REF!,#REF!,#REF!,#REF!,#REF!,#REF!</definedName>
    <definedName name="__APW_RESTORE_DATA327__" hidden="1">#REF!,#REF!,#REF!,#REF!,#REF!,#REF!,#REF!,#REF!,#REF!,#REF!,#REF!,#REF!,#REF!,#REF!,#REF!</definedName>
    <definedName name="__APW_RESTORE_DATA328__" hidden="1">#REF!,#REF!,#REF!,#REF!,#REF!,#REF!,#REF!,#REF!,#REF!,#REF!,#REF!,#REF!,#REF!,#REF!,#REF!</definedName>
    <definedName name="__APW_RESTORE_DATA329__" hidden="1">#REF!,#REF!,#REF!,#REF!,#REF!,#REF!,#REF!,#REF!,#REF!,#REF!,#REF!,#REF!,#REF!,#REF!,#REF!</definedName>
    <definedName name="__APW_RESTORE_DATA33__" hidden="1">#REF!,#REF!,#REF!,#REF!,#REF!,#REF!,#REF!,#REF!,#REF!,#REF!,#REF!,#REF!,#REF!,#REF!,#REF!</definedName>
    <definedName name="__APW_RESTORE_DATA330__" hidden="1">#REF!,#REF!,#REF!,#REF!,#REF!,#REF!,#REF!,#REF!,#REF!,#REF!,#REF!,#REF!,#REF!,#REF!</definedName>
    <definedName name="__APW_RESTORE_DATA331__" hidden="1">#REF!,#REF!,#REF!,#REF!,#REF!,#REF!,#REF!,#REF!,#REF!,#REF!,#REF!,#REF!,#REF!,#REF!,#REF!,#REF!,#REF!</definedName>
    <definedName name="__APW_RESTORE_DATA332__" hidden="1">#REF!,#REF!,#REF!,#REF!,#REF!,#REF!,#REF!,#REF!,#REF!,#REF!,#REF!,#REF!,#REF!,#REF!,#REF!,#REF!</definedName>
    <definedName name="__APW_RESTORE_DATA333__" hidden="1">#REF!,#REF!,#REF!,#REF!,#REF!,#REF!,#REF!,#REF!,#REF!,#REF!,#REF!,#REF!,#REF!,#REF!,#REF!,#REF!</definedName>
    <definedName name="__APW_RESTORE_DATA334__" hidden="1">#REF!,#REF!,#REF!,#REF!,#REF!,#REF!,#REF!,#REF!,#REF!,#REF!,#REF!,#REF!,#REF!,#REF!,#REF!,#REF!</definedName>
    <definedName name="__APW_RESTORE_DATA335__" hidden="1">#REF!,#REF!,#REF!,#REF!,#REF!,#REF!,#REF!,#REF!,#REF!,#REF!,#REF!,#REF!,#REF!,#REF!,#REF!,#REF!</definedName>
    <definedName name="__APW_RESTORE_DATA336__" hidden="1">#REF!,#REF!,#REF!,#REF!,#REF!,#REF!,#REF!,#REF!,#REF!,#REF!,#REF!,#REF!,#REF!,#REF!,#REF!,#REF!</definedName>
    <definedName name="__APW_RESTORE_DATA337__" hidden="1">#REF!,#REF!,#REF!,#REF!,#REF!,#REF!,#REF!,#REF!,#REF!,#REF!,#REF!,#REF!,#REF!,#REF!,#REF!</definedName>
    <definedName name="__APW_RESTORE_DATA338__" hidden="1">#REF!,#REF!,#REF!,#REF!,#REF!,#REF!,#REF!,#REF!,#REF!,#REF!,#REF!,#REF!,#REF!,#REF!,#REF!</definedName>
    <definedName name="__APW_RESTORE_DATA339__" hidden="1">#REF!,#REF!,#REF!,#REF!,#REF!,#REF!,#REF!,#REF!,#REF!,#REF!,#REF!,#REF!,#REF!,#REF!,#REF!</definedName>
    <definedName name="__APW_RESTORE_DATA34__" hidden="1">#REF!,#REF!,#REF!,#REF!,#REF!,#REF!,#REF!,#REF!,#REF!,#REF!,#REF!,#REF!,#REF!,#REF!,#REF!</definedName>
    <definedName name="__APW_RESTORE_DATA340__" hidden="1">#REF!,#REF!,#REF!,#REF!,#REF!,#REF!,#REF!,#REF!,#REF!,#REF!,#REF!,#REF!,#REF!,#REF!,#REF!</definedName>
    <definedName name="__APW_RESTORE_DATA341__" hidden="1">#REF!,#REF!,#REF!,#REF!,#REF!,#REF!,#REF!,#REF!,#REF!,#REF!,#REF!,#REF!,#REF!,#REF!</definedName>
    <definedName name="__APW_RESTORE_DATA342__" hidden="1">#REF!,#REF!,#REF!,#REF!,#REF!,#REF!,#REF!,#REF!,#REF!,#REF!,#REF!,#REF!,#REF!,#REF!,#REF!,#REF!,#REF!</definedName>
    <definedName name="__APW_RESTORE_DATA343__" hidden="1">#REF!,#REF!,#REF!,#REF!,#REF!,#REF!,#REF!,#REF!,#REF!,#REF!,#REF!,#REF!,#REF!,#REF!,#REF!,#REF!</definedName>
    <definedName name="__APW_RESTORE_DATA344__" hidden="1">#REF!,#REF!,#REF!,#REF!,#REF!,#REF!,#REF!,#REF!,#REF!,#REF!,#REF!,#REF!,#REF!,#REF!,#REF!,#REF!</definedName>
    <definedName name="__APW_RESTORE_DATA345__" hidden="1">#REF!,#REF!,#REF!,#REF!,#REF!,#REF!,#REF!,#REF!,#REF!,#REF!,#REF!,#REF!,#REF!,#REF!,#REF!,#REF!</definedName>
    <definedName name="__APW_RESTORE_DATA346__" hidden="1">#REF!,#REF!,#REF!,#REF!,#REF!,#REF!,#REF!,#REF!,#REF!,#REF!,#REF!,#REF!,#REF!,#REF!,#REF!,#REF!</definedName>
    <definedName name="__APW_RESTORE_DATA347__" hidden="1">#REF!,#REF!,#REF!,#REF!,#REF!,#REF!,#REF!,#REF!,#REF!,#REF!,#REF!,#REF!,#REF!,#REF!,#REF!,#REF!</definedName>
    <definedName name="__APW_RESTORE_DATA348__" hidden="1">#REF!,#REF!,#REF!,#REF!,#REF!,#REF!,#REF!,#REF!,#REF!,#REF!,#REF!,#REF!,#REF!,#REF!,#REF!</definedName>
    <definedName name="__APW_RESTORE_DATA349__" hidden="1">#REF!,#REF!,#REF!,#REF!,#REF!,#REF!,#REF!,#REF!,#REF!,#REF!,#REF!,#REF!,#REF!,#REF!,#REF!</definedName>
    <definedName name="__APW_RESTORE_DATA35__" hidden="1">#REF!,#REF!,#REF!,#REF!,#REF!,#REF!</definedName>
    <definedName name="__APW_RESTORE_DATA350__" hidden="1">#REF!,#REF!,#REF!,#REF!,#REF!,#REF!,#REF!,#REF!,#REF!,#REF!,#REF!,#REF!,#REF!,#REF!,#REF!</definedName>
    <definedName name="__APW_RESTORE_DATA351__" hidden="1">#REF!,#REF!,#REF!,#REF!,#REF!,#REF!,#REF!,#REF!,#REF!,#REF!,#REF!,#REF!,#REF!,#REF!,#REF!</definedName>
    <definedName name="__APW_RESTORE_DATA352__" hidden="1">#REF!,#REF!,#REF!,#REF!,#REF!,#REF!,#REF!,#REF!,#REF!,#REF!,#REF!,#REF!,#REF!,#REF!</definedName>
    <definedName name="__APW_RESTORE_DATA353__" hidden="1">#REF!,#REF!,#REF!,#REF!,#REF!,#REF!,#REF!,#REF!,#REF!,#REF!,#REF!,#REF!,#REF!,#REF!,#REF!,#REF!,#REF!</definedName>
    <definedName name="__APW_RESTORE_DATA354__" hidden="1">#REF!,#REF!,#REF!,#REF!,#REF!,#REF!,#REF!,#REF!,#REF!,#REF!,#REF!,#REF!,#REF!,#REF!,#REF!,#REF!</definedName>
    <definedName name="__APW_RESTORE_DATA355__" hidden="1">#REF!,#REF!,#REF!,#REF!,#REF!,#REF!,#REF!,#REF!,#REF!,#REF!,#REF!,#REF!,#REF!,#REF!,#REF!,#REF!</definedName>
    <definedName name="__APW_RESTORE_DATA356__" hidden="1">#REF!,#REF!,#REF!,#REF!,#REF!,#REF!,#REF!,#REF!,#REF!,#REF!,#REF!,#REF!,#REF!,#REF!,#REF!,#REF!</definedName>
    <definedName name="__APW_RESTORE_DATA357__" hidden="1">#REF!,#REF!,#REF!,#REF!,#REF!,#REF!,#REF!,#REF!,#REF!,#REF!,#REF!,#REF!,#REF!,#REF!,#REF!,#REF!</definedName>
    <definedName name="__APW_RESTORE_DATA358__" hidden="1">#REF!,#REF!,#REF!,#REF!,#REF!,#REF!,#REF!,#REF!,#REF!,#REF!,#REF!,#REF!,#REF!,#REF!,#REF!,#REF!</definedName>
    <definedName name="__APW_RESTORE_DATA359__" hidden="1">#REF!,#REF!,#REF!,#REF!,#REF!,#REF!,#REF!,#REF!,#REF!,#REF!,#REF!,#REF!,#REF!,#REF!,#REF!</definedName>
    <definedName name="__APW_RESTORE_DATA36__" hidden="1">#REF!,#REF!,#REF!,#REF!,#REF!,#REF!,#REF!,#REF!,#REF!,#REF!,#REF!,#REF!,#REF!,#REF!,#REF!,#REF!,#REF!</definedName>
    <definedName name="__APW_RESTORE_DATA360__" hidden="1">#REF!,#REF!,#REF!,#REF!,#REF!,#REF!,#REF!,#REF!,#REF!,#REF!,#REF!,#REF!,#REF!,#REF!,#REF!</definedName>
    <definedName name="__APW_RESTORE_DATA361__" hidden="1">#REF!,#REF!,#REF!,#REF!,#REF!,#REF!,#REF!,#REF!,#REF!,#REF!,#REF!,#REF!,#REF!,#REF!,#REF!</definedName>
    <definedName name="__APW_RESTORE_DATA362__" hidden="1">#REF!,#REF!,#REF!,#REF!,#REF!,#REF!,#REF!,#REF!,#REF!,#REF!,#REF!,#REF!,#REF!,#REF!,#REF!</definedName>
    <definedName name="__APW_RESTORE_DATA363__" hidden="1">#REF!,#REF!,#REF!,#REF!,#REF!,#REF!,#REF!,#REF!,#REF!,#REF!,#REF!,#REF!,#REF!,#REF!</definedName>
    <definedName name="__APW_RESTORE_DATA364__" hidden="1">#REF!,#REF!,#REF!,#REF!,#REF!,#REF!,#REF!,#REF!,#REF!,#REF!,#REF!,#REF!,#REF!,#REF!,#REF!,#REF!,#REF!</definedName>
    <definedName name="__APW_RESTORE_DATA365__" hidden="1">#REF!,#REF!,#REF!,#REF!,#REF!,#REF!,#REF!,#REF!,#REF!,#REF!,#REF!,#REF!,#REF!,#REF!,#REF!,#REF!</definedName>
    <definedName name="__APW_RESTORE_DATA366__" hidden="1">#REF!,#REF!,#REF!,#REF!,#REF!,#REF!,#REF!,#REF!,#REF!,#REF!,#REF!,#REF!,#REF!,#REF!,#REF!,#REF!</definedName>
    <definedName name="__APW_RESTORE_DATA367__" hidden="1">#REF!,#REF!,#REF!,#REF!,#REF!,#REF!,#REF!,#REF!,#REF!,#REF!,#REF!,#REF!,#REF!,#REF!,#REF!,#REF!</definedName>
    <definedName name="__APW_RESTORE_DATA368__" hidden="1">#REF!,#REF!,#REF!,#REF!,#REF!,#REF!,#REF!,#REF!,#REF!,#REF!,#REF!,#REF!,#REF!,#REF!,#REF!,#REF!</definedName>
    <definedName name="__APW_RESTORE_DATA369__" hidden="1">#REF!,#REF!,#REF!,#REF!,#REF!,#REF!,#REF!,#REF!,#REF!,#REF!,#REF!,#REF!,#REF!,#REF!,#REF!,#REF!</definedName>
    <definedName name="__APW_RESTORE_DATA37__" hidden="1">#REF!,#REF!,#REF!,#REF!,#REF!,#REF!,#REF!,#REF!,#REF!,#REF!,#REF!,#REF!,#REF!,#REF!,#REF!,#REF!</definedName>
    <definedName name="__APW_RESTORE_DATA370__" hidden="1">#REF!,#REF!,#REF!,#REF!,#REF!,#REF!,#REF!,#REF!,#REF!,#REF!,#REF!,#REF!,#REF!,#REF!,#REF!</definedName>
    <definedName name="__APW_RESTORE_DATA371__" hidden="1">#REF!,#REF!,#REF!,#REF!,#REF!,#REF!,#REF!,#REF!,#REF!,#REF!,#REF!,#REF!,#REF!,#REF!,#REF!</definedName>
    <definedName name="__APW_RESTORE_DATA372__" hidden="1">#REF!,#REF!,#REF!,#REF!,#REF!,#REF!,#REF!,#REF!,#REF!,#REF!,#REF!,#REF!,#REF!,#REF!,#REF!</definedName>
    <definedName name="__APW_RESTORE_DATA373__" hidden="1">#REF!,#REF!,#REF!,#REF!,#REF!,#REF!,#REF!,#REF!,#REF!,#REF!,#REF!,#REF!,#REF!,#REF!,#REF!</definedName>
    <definedName name="__APW_RESTORE_DATA374__" hidden="1">#REF!,#REF!,#REF!,#REF!,#REF!,#REF!,#REF!,#REF!,#REF!,#REF!,#REF!,#REF!,#REF!,#REF!</definedName>
    <definedName name="__APW_RESTORE_DATA375__" hidden="1">#REF!,#REF!,#REF!,#REF!,#REF!,#REF!,#REF!,#REF!,#REF!,#REF!,#REF!,#REF!,#REF!,#REF!,#REF!,#REF!,#REF!</definedName>
    <definedName name="__APW_RESTORE_DATA376__" hidden="1">#REF!,#REF!,#REF!,#REF!,#REF!,#REF!,#REF!,#REF!,#REF!,#REF!,#REF!,#REF!,#REF!,#REF!,#REF!,#REF!</definedName>
    <definedName name="__APW_RESTORE_DATA377__" hidden="1">#REF!,#REF!,#REF!,#REF!,#REF!,#REF!,#REF!,#REF!,#REF!,#REF!,#REF!,#REF!,#REF!,#REF!,#REF!,#REF!</definedName>
    <definedName name="__APW_RESTORE_DATA378__" hidden="1">#REF!,#REF!,#REF!,#REF!,#REF!,#REF!,#REF!,#REF!,#REF!,#REF!,#REF!,#REF!,#REF!,#REF!,#REF!,#REF!</definedName>
    <definedName name="__APW_RESTORE_DATA379__" hidden="1">#REF!,#REF!,#REF!,#REF!,#REF!,#REF!,#REF!,#REF!,#REF!,#REF!,#REF!,#REF!,#REF!,#REF!,#REF!,#REF!</definedName>
    <definedName name="__APW_RESTORE_DATA38__" hidden="1">#REF!,#REF!,#REF!,#REF!,#REF!,#REF!,#REF!,#REF!,#REF!,#REF!,#REF!,#REF!,#REF!,#REF!,#REF!,#REF!</definedName>
    <definedName name="__APW_RESTORE_DATA380__" hidden="1">#REF!,#REF!,#REF!,#REF!,#REF!,#REF!,#REF!,#REF!,#REF!,#REF!,#REF!,#REF!,#REF!,#REF!,#REF!,#REF!</definedName>
    <definedName name="__APW_RESTORE_DATA381__" hidden="1">#REF!,#REF!,#REF!,#REF!,#REF!,#REF!,#REF!,#REF!,#REF!,#REF!,#REF!,#REF!,#REF!,#REF!,#REF!</definedName>
    <definedName name="__APW_RESTORE_DATA382__" hidden="1">#REF!,#REF!,#REF!,#REF!,#REF!,#REF!,#REF!,#REF!,#REF!,#REF!,#REF!,#REF!,#REF!,#REF!,#REF!</definedName>
    <definedName name="__APW_RESTORE_DATA383__" hidden="1">#REF!,#REF!,#REF!,#REF!,#REF!,#REF!,#REF!,#REF!,#REF!,#REF!,#REF!,#REF!,#REF!,#REF!,#REF!</definedName>
    <definedName name="__APW_RESTORE_DATA384__" hidden="1">#REF!,#REF!,#REF!,#REF!,#REF!,#REF!,#REF!,#REF!,#REF!,#REF!,#REF!,#REF!,#REF!,#REF!,#REF!</definedName>
    <definedName name="__APW_RESTORE_DATA385__" hidden="1">#REF!,#REF!,#REF!,#REF!,#REF!,#REF!,#REF!,#REF!,#REF!,#REF!,#REF!,#REF!,#REF!,#REF!</definedName>
    <definedName name="__APW_RESTORE_DATA386__" hidden="1">#REF!,#REF!,#REF!,#REF!,#REF!,#REF!,#REF!,#REF!,#REF!,#REF!,#REF!,#REF!,#REF!,#REF!,#REF!,#REF!</definedName>
    <definedName name="__APW_RESTORE_DATA387__" hidden="1">#REF!,#REF!,#REF!,#REF!,#REF!,#REF!,#REF!,#REF!,#REF!,#REF!,#REF!,#REF!,#REF!,#REF!,#REF!</definedName>
    <definedName name="__APW_RESTORE_DATA388__" hidden="1">#REF!,#REF!,#REF!,#REF!,#REF!,#REF!,#REF!,#REF!,#REF!,#REF!,#REF!,#REF!,#REF!,#REF!,#REF!</definedName>
    <definedName name="__APW_RESTORE_DATA389__" hidden="1">#REF!,#REF!,#REF!,#REF!,#REF!,#REF!,#REF!,#REF!,#REF!,#REF!,#REF!,#REF!,#REF!,#REF!,#REF!</definedName>
    <definedName name="__APW_RESTORE_DATA39__" hidden="1">#REF!,#REF!,#REF!,#REF!,#REF!,#REF!,#REF!,#REF!,#REF!,#REF!,#REF!,#REF!,#REF!,#REF!,#REF!,#REF!</definedName>
    <definedName name="__APW_RESTORE_DATA390__" hidden="1">#REF!,#REF!,#REF!,#REF!,#REF!,#REF!,#REF!,#REF!,#REF!,#REF!,#REF!,#REF!,#REF!,#REF!,#REF!</definedName>
    <definedName name="__APW_RESTORE_DATA391__" hidden="1">#REF!,#REF!,#REF!,#REF!,#REF!,#REF!,#REF!,#REF!,#REF!,#REF!,#REF!,#REF!,#REF!,#REF!,#REF!</definedName>
    <definedName name="__APW_RESTORE_DATA392__" hidden="1">#REF!,#REF!,#REF!,#REF!,#REF!,#REF!,#REF!,#REF!,#REF!,#REF!,#REF!,#REF!,#REF!,#REF!,#REF!</definedName>
    <definedName name="__APW_RESTORE_DATA393__" hidden="1">#REF!,#REF!,#REF!,#REF!,#REF!,#REF!,#REF!,#REF!,#REF!,#REF!,#REF!,#REF!,#REF!,#REF!</definedName>
    <definedName name="__APW_RESTORE_DATA394__" hidden="1">#REF!,#REF!,#REF!,#REF!,#REF!,#REF!,#REF!,#REF!,#REF!,#REF!,#REF!,#REF!,#REF!,#REF!</definedName>
    <definedName name="__APW_RESTORE_DATA395__" hidden="1">#REF!,#REF!,#REF!,#REF!,#REF!,#REF!,#REF!,#REF!,#REF!,#REF!,#REF!,#REF!,#REF!,#REF!</definedName>
    <definedName name="__APW_RESTORE_DATA396__" hidden="1">#REF!,#REF!,#REF!,#REF!,#REF!,#REF!,#REF!,#REF!,#REF!,#REF!,#REF!,#REF!,#REF!,#REF!</definedName>
    <definedName name="__APW_RESTORE_DATA397__" hidden="1">#REF!,#REF!,#REF!,#REF!,#REF!,#REF!,#REF!,#REF!,#REF!</definedName>
    <definedName name="__APW_RESTORE_DATA398__" hidden="1">#REF!,#REF!,#REF!,#REF!,#REF!,#REF!,#REF!,#REF!,#REF!,#REF!,#REF!,#REF!,#REF!,#REF!,#REF!,#REF!</definedName>
    <definedName name="__APW_RESTORE_DATA399__" hidden="1">#REF!,#REF!,#REF!,#REF!,#REF!,#REF!,#REF!,#REF!,#REF!,#REF!,#REF!,#REF!,#REF!,#REF!,#REF!,#REF!</definedName>
    <definedName name="__APW_RESTORE_DATA4__" hidden="1">#REF!,#REF!,#REF!,#REF!,#REF!,#REF!,#REF!,#REF!,#REF!,#REF!,#REF!,#REF!,#REF!,#REF!,#REF!,#REF!</definedName>
    <definedName name="__APW_RESTORE_DATA40__" hidden="1">#REF!,#REF!,#REF!,#REF!,#REF!,#REF!,#REF!,#REF!,#REF!,#REF!,#REF!,#REF!,#REF!,#REF!,#REF!,#REF!</definedName>
    <definedName name="__APW_RESTORE_DATA400__" hidden="1">#REF!,#REF!,#REF!,#REF!,#REF!,#REF!,#REF!,#REF!,#REF!,#REF!,#REF!,#REF!,#REF!,#REF!,#REF!,#REF!</definedName>
    <definedName name="__APW_RESTORE_DATA401__" hidden="1">#REF!,#REF!,#REF!,#REF!,#REF!,#REF!,#REF!,#REF!,#REF!,#REF!,#REF!,#REF!,#REF!,#REF!,#REF!,#REF!</definedName>
    <definedName name="__APW_RESTORE_DATA402__" hidden="1">#REF!,#REF!,#REF!,#REF!,#REF!,#REF!,#REF!,#REF!,#REF!,#REF!,#REF!,#REF!,#REF!,#REF!,#REF!,#REF!</definedName>
    <definedName name="__APW_RESTORE_DATA403__" hidden="1">#REF!,#REF!,#REF!,#REF!,#REF!,#REF!,#REF!,#REF!,#REF!,#REF!,#REF!,#REF!,#REF!,#REF!,#REF!</definedName>
    <definedName name="__APW_RESTORE_DATA404__" hidden="1">#REF!,#REF!,#REF!,#REF!,#REF!,#REF!,#REF!,#REF!,#REF!,#REF!,#REF!,#REF!,#REF!,#REF!,#REF!</definedName>
    <definedName name="__APW_RESTORE_DATA405__" hidden="1">#REF!,#REF!,#REF!,#REF!,#REF!,#REF!,#REF!,#REF!,#REF!,#REF!,#REF!,#REF!,#REF!,#REF!,#REF!</definedName>
    <definedName name="__APW_RESTORE_DATA406__" hidden="1">#REF!,#REF!,#REF!,#REF!,#REF!,#REF!,#REF!,#REF!,#REF!,#REF!,#REF!,#REF!,#REF!,#REF!,#REF!</definedName>
    <definedName name="__APW_RESTORE_DATA407__" hidden="1">#REF!,#REF!,#REF!,#REF!,#REF!,#REF!,#REF!,#REF!,#REF!,#REF!,#REF!,#REF!,#REF!,#REF!,#REF!</definedName>
    <definedName name="__APW_RESTORE_DATA408__" hidden="1">#REF!,#REF!,#REF!,#REF!,#REF!,#REF!,#REF!,#REF!,#REF!,#REF!,#REF!</definedName>
    <definedName name="__APW_RESTORE_DATA409__" hidden="1">#REF!,#REF!,#REF!,#REF!,#REF!,#REF!,#REF!,#REF!,#REF!,#REF!,#REF!,#REF!,#REF!,#REF!,#REF!,#REF!,#REF!</definedName>
    <definedName name="__APW_RESTORE_DATA41__" hidden="1">#REF!,#REF!,#REF!,#REF!,#REF!,#REF!,#REF!,#REF!,#REF!,#REF!,#REF!,#REF!,#REF!,#REF!,#REF!,#REF!</definedName>
    <definedName name="__APW_RESTORE_DATA410__" hidden="1">#REF!,#REF!,#REF!,#REF!,#REF!,#REF!,#REF!,#REF!,#REF!,#REF!,#REF!,#REF!,#REF!,#REF!,#REF!,#REF!</definedName>
    <definedName name="__APW_RESTORE_DATA411__" hidden="1">#REF!,#REF!,#REF!,#REF!,#REF!,#REF!,#REF!,#REF!,#REF!,#REF!,#REF!,#REF!,#REF!,#REF!,#REF!,#REF!</definedName>
    <definedName name="__APW_RESTORE_DATA412__" hidden="1">#REF!,#REF!,#REF!,#REF!,#REF!,#REF!,#REF!,#REF!,#REF!,#REF!,#REF!,#REF!,#REF!,#REF!,#REF!,#REF!</definedName>
    <definedName name="__APW_RESTORE_DATA413__" hidden="1">#REF!,#REF!,#REF!,#REF!,#REF!,#REF!,#REF!,#REF!,#REF!,#REF!,#REF!,#REF!,#REF!,#REF!,#REF!,#REF!</definedName>
    <definedName name="__APW_RESTORE_DATA414__" hidden="1">#REF!,#REF!,#REF!,#REF!,#REF!,#REF!,#REF!,#REF!,#REF!,#REF!,#REF!,#REF!,#REF!,#REF!,#REF!,#REF!</definedName>
    <definedName name="__APW_RESTORE_DATA415__" hidden="1">#REF!,#REF!,#REF!,#REF!,#REF!,#REF!,#REF!,#REF!,#REF!,#REF!,#REF!,#REF!,#REF!,#REF!,#REF!</definedName>
    <definedName name="__APW_RESTORE_DATA416__" hidden="1">#REF!,#REF!,#REF!,#REF!,#REF!,#REF!,#REF!,#REF!,#REF!,#REF!,#REF!,#REF!,#REF!,#REF!,#REF!</definedName>
    <definedName name="__APW_RESTORE_DATA417__" hidden="1">#REF!,#REF!,#REF!,#REF!,#REF!,#REF!,#REF!,#REF!,#REF!,#REF!,#REF!,#REF!,#REF!,#REF!,#REF!</definedName>
    <definedName name="__APW_RESTORE_DATA418__" hidden="1">#REF!,#REF!,#REF!,#REF!,#REF!,#REF!,#REF!,#REF!,#REF!,#REF!,#REF!,#REF!,#REF!,#REF!,#REF!</definedName>
    <definedName name="__APW_RESTORE_DATA419__" hidden="1">#REF!,#REF!,#REF!,#REF!,#REF!,#REF!,#REF!,#REF!,#REF!,#REF!,#REF!,#REF!,#REF!,#REF!,#REF!</definedName>
    <definedName name="__APW_RESTORE_DATA42__" hidden="1">#REF!,#REF!,#REF!,#REF!,#REF!,#REF!,#REF!,#REF!,#REF!,#REF!,#REF!,#REF!,#REF!,#REF!,#REF!</definedName>
    <definedName name="__APW_RESTORE_DATA420__" hidden="1">#REF!,#REF!,#REF!,#REF!,#REF!,#REF!,#REF!,#REF!,#REF!,#REF!,#REF!</definedName>
    <definedName name="__APW_RESTORE_DATA421__" hidden="1">#REF!,#REF!,#REF!,#REF!,#REF!,#REF!,#REF!,#REF!,#REF!,#REF!,#REF!,#REF!,#REF!,#REF!,#REF!,#REF!</definedName>
    <definedName name="__APW_RESTORE_DATA422__" hidden="1">#REF!,#REF!,#REF!,#REF!,#REF!,#REF!,#REF!,#REF!,#REF!,#REF!,#REF!,#REF!,#REF!,#REF!,#REF!</definedName>
    <definedName name="__APW_RESTORE_DATA423__" hidden="1">#REF!,#REF!,#REF!,#REF!,#REF!,#REF!,#REF!,#REF!,#REF!,#REF!,#REF!,#REF!,#REF!,#REF!,#REF!</definedName>
    <definedName name="__APW_RESTORE_DATA424__" hidden="1">#REF!,#REF!,#REF!,#REF!,#REF!,#REF!,#REF!,#REF!,#REF!,#REF!,#REF!,#REF!,#REF!,#REF!,#REF!</definedName>
    <definedName name="__APW_RESTORE_DATA425__" hidden="1">#REF!,#REF!,#REF!,#REF!,#REF!,#REF!,#REF!,#REF!,#REF!,#REF!,#REF!,#REF!,#REF!,#REF!,#REF!</definedName>
    <definedName name="__APW_RESTORE_DATA426__" hidden="1">#REF!,#REF!,#REF!,#REF!,#REF!,#REF!,#REF!,#REF!,#REF!,#REF!,#REF!,#REF!,#REF!,#REF!,#REF!</definedName>
    <definedName name="__APW_RESTORE_DATA427__" hidden="1">#REF!,#REF!,#REF!,#REF!,#REF!,#REF!,#REF!,#REF!,#REF!,#REF!,#REF!,#REF!,#REF!,#REF!,#REF!</definedName>
    <definedName name="__APW_RESTORE_DATA428__" hidden="1">#REF!,#REF!,#REF!,#REF!,#REF!,#REF!,#REF!,#REF!,#REF!,#REF!,#REF!,#REF!,#REF!,#REF!</definedName>
    <definedName name="__APW_RESTORE_DATA429__" hidden="1">#REF!,#REF!,#REF!,#REF!,#REF!,#REF!,#REF!,#REF!,#REF!,#REF!,#REF!,#REF!,#REF!,#REF!</definedName>
    <definedName name="__APW_RESTORE_DATA43__" hidden="1">#REF!,#REF!,#REF!,#REF!,#REF!,#REF!,#REF!,#REF!,#REF!,#REF!,#REF!,#REF!,#REF!,#REF!,#REF!</definedName>
    <definedName name="__APW_RESTORE_DATA430__" hidden="1">#REF!,#REF!,#REF!,#REF!,#REF!,#REF!,#REF!,#REF!,#REF!,#REF!,#REF!,#REF!,#REF!,#REF!</definedName>
    <definedName name="__APW_RESTORE_DATA431__" hidden="1">#REF!,#REF!,#REF!,#REF!,#REF!,#REF!,#REF!,#REF!,#REF!,#REF!,#REF!,#REF!,#REF!,#REF!</definedName>
    <definedName name="__APW_RESTORE_DATA432__" hidden="1">#REF!,#REF!,#REF!,#REF!,#REF!,#REF!,#REF!,#REF!,#REF!,#REF!,#REF!,#REF!,#REF!,#REF!</definedName>
    <definedName name="__APW_RESTORE_DATA433__" hidden="1">#REF!,#REF!,#REF!,#REF!,#REF!,#REF!,#REF!</definedName>
    <definedName name="__APW_RESTORE_DATA44__" hidden="1">#REF!,#REF!,#REF!,#REF!,#REF!,#REF!,#REF!,#REF!,#REF!,#REF!,#REF!,#REF!,#REF!,#REF!,#REF!</definedName>
    <definedName name="__APW_RESTORE_DATA45__" hidden="1">#REF!,#REF!,#REF!,#REF!,#REF!,#REF!,#REF!,#REF!,#REF!,#REF!,#REF!,#REF!,#REF!,#REF!,#REF!</definedName>
    <definedName name="__APW_RESTORE_DATA46__" hidden="1">#REF!,#REF!,#REF!,#REF!,#REF!,#REF!,#REF!,#REF!,#REF!,#REF!,#REF!,#REF!,#REF!,#REF!,#REF!</definedName>
    <definedName name="__APW_RESTORE_DATA47__" hidden="1">#REF!,#REF!,#REF!,#REF!,#REF!,#REF!</definedName>
    <definedName name="__APW_RESTORE_DATA48__" hidden="1">#REF!,#REF!,#REF!,#REF!,#REF!,#REF!,#REF!,#REF!,#REF!,#REF!,#REF!,#REF!,#REF!,#REF!,#REF!,#REF!,#REF!</definedName>
    <definedName name="__APW_RESTORE_DATA49__" hidden="1">#REF!,#REF!,#REF!,#REF!,#REF!,#REF!,#REF!,#REF!,#REF!,#REF!,#REF!,#REF!,#REF!,#REF!,#REF!,#REF!</definedName>
    <definedName name="__APW_RESTORE_DATA5__" hidden="1">#REF!,#REF!,#REF!,#REF!,#REF!,#REF!,#REF!,#REF!,#REF!,#REF!,#REF!,#REF!,#REF!,#REF!,#REF!,#REF!</definedName>
    <definedName name="__APW_RESTORE_DATA50__" hidden="1">#REF!,#REF!,#REF!,#REF!,#REF!,#REF!,#REF!,#REF!,#REF!,#REF!,#REF!,#REF!,#REF!,#REF!,#REF!,#REF!</definedName>
    <definedName name="__APW_RESTORE_DATA51__" hidden="1">#REF!,#REF!,#REF!,#REF!,#REF!,#REF!,#REF!,#REF!,#REF!,#REF!,#REF!,#REF!,#REF!,#REF!,#REF!,#REF!</definedName>
    <definedName name="__APW_RESTORE_DATA52__" hidden="1">#REF!,#REF!,#REF!,#REF!,#REF!,#REF!,#REF!,#REF!,#REF!,#REF!,#REF!,#REF!,#REF!,#REF!,#REF!,#REF!</definedName>
    <definedName name="__APW_RESTORE_DATA53__" hidden="1">#REF!,#REF!,#REF!,#REF!,#REF!,#REF!,#REF!,#REF!,#REF!,#REF!,#REF!,#REF!,#REF!,#REF!,#REF!,#REF!</definedName>
    <definedName name="__APW_RESTORE_DATA54__" hidden="1">#REF!,#REF!,#REF!,#REF!,#REF!,#REF!,#REF!,#REF!,#REF!,#REF!,#REF!,#REF!,#REF!,#REF!,#REF!</definedName>
    <definedName name="__APW_RESTORE_DATA55__" hidden="1">#REF!,#REF!,#REF!,#REF!,#REF!,#REF!,#REF!,#REF!,#REF!,#REF!,#REF!,#REF!,#REF!,#REF!,#REF!</definedName>
    <definedName name="__APW_RESTORE_DATA56__" hidden="1">#REF!,#REF!,#REF!,#REF!,#REF!,#REF!,#REF!,#REF!,#REF!,#REF!,#REF!,#REF!,#REF!,#REF!,#REF!</definedName>
    <definedName name="__APW_RESTORE_DATA57__" hidden="1">#REF!,#REF!,#REF!,#REF!,#REF!,#REF!,#REF!,#REF!,#REF!,#REF!,#REF!,#REF!,#REF!,#REF!,#REF!</definedName>
    <definedName name="__APW_RESTORE_DATA58__" hidden="1">#REF!,#REF!,#REF!,#REF!,#REF!,#REF!,#REF!,#REF!,#REF!,#REF!,#REF!,#REF!,#REF!,#REF!,#REF!</definedName>
    <definedName name="__APW_RESTORE_DATA59__" hidden="1">#REF!,#REF!,#REF!,#REF!,#REF!,#REF!</definedName>
    <definedName name="__APW_RESTORE_DATA596__" hidden="1">[12]Tablexxxxx!$C$6,[12]Tablexxxxx!$C$7,[12]Tablexxxxx!$C$8,[12]Tablexxxxx!$C$9,[12]Tablexxxxx!$C$10,[12]Tablexxxxx!$C$11,[12]Tablexxxxx!$C$12,[12]Tablexxxxx!$C$13,[12]Tablexxxxx!$C$14,[12]Tablexxxxx!$C$15,[12]Tablexxxxx!$C$16,[12]Tablexxxxx!$C$17,[12]Tablexxxxx!$C$18,[12]Tablexxxxx!$C$19,[12]Tablexxxxx!$C$20,[12]Tablexxxxx!$C$21,[12]Tablexxxxx!$C$22</definedName>
    <definedName name="__APW_RESTORE_DATA597__" hidden="1">[12]Tablexxxxx!$C$23,[12]Tablexxxxx!$C$24,[12]Tablexxxxx!$C$25,[12]Tablexxxxx!$C$26,[12]Tablexxxxx!$C$27,[12]Tablexxxxx!$C$28,[12]Tablexxxxx!$C$29,[12]Tablexxxxx!$C$30,[12]Tablexxxxx!$C$31,[12]Tablexxxxx!$C$32,[12]Tablexxxxx!$C$33,[12]Tablexxxxx!$C$34,[12]Tablexxxxx!$C$35,[12]Tablexxxxx!$C$36,[12]Tablexxxxx!$C$37,[12]Tablexxxxx!$C$38</definedName>
    <definedName name="__APW_RESTORE_DATA598__" hidden="1">[12]Tablexxxxx!$C$39,[12]Tablexxxxx!$C$40,[12]Tablexxxxx!$C$41,[12]Tablexxxxx!$C$42,[12]Tablexxxxx!$C$43,[12]Tablexxxxx!$C$44,[12]Tablexxxxx!$C$45,[12]Tablexxxxx!$C$46,[12]Tablexxxxx!$C$47,[12]Tablexxxxx!$C$48,[12]Tablexxxxx!$C$49,[12]Tablexxxxx!$C$50,[12]Tablexxxxx!$C$51,[12]Tablexxxxx!$C$52,[12]Tablexxxxx!$C$53,[12]Tablexxxxx!$C$54</definedName>
    <definedName name="__APW_RESTORE_DATA599__" hidden="1">[12]Tablexxxxx!$C$55,[12]Tablexxxxx!$C$56,[12]Tablexxxxx!$C$57,[12]Tablexxxxx!$C$58,[12]Tablexxxxx!$C$59,[12]Tablexxxxx!$C$60,[12]Tablexxxxx!$C$61,[12]Tablexxxxx!$C$62,[12]Tablexxxxx!$C$63,[12]Tablexxxxx!$C$64,[12]Tablexxxxx!$C$65,[12]Tablexxxxx!$C$66,[12]Tablexxxxx!$C$67,[12]Tablexxxxx!$C$68,[12]Tablexxxxx!$C$69,[12]Tablexxxxx!$C$70</definedName>
    <definedName name="__APW_RESTORE_DATA6__" hidden="1">#REF!,#REF!,#REF!,#REF!,#REF!,#REF!,#REF!,#REF!,#REF!,#REF!,#REF!,#REF!,#REF!,#REF!,#REF!</definedName>
    <definedName name="__APW_RESTORE_DATA60__" hidden="1">#REF!,#REF!,#REF!,#REF!,#REF!,#REF!,#REF!,#REF!,#REF!,#REF!,#REF!,#REF!,#REF!,#REF!,#REF!,#REF!,#REF!</definedName>
    <definedName name="__APW_RESTORE_DATA600__" hidden="1">[12]Tablexxxxx!$C$71,[12]Tablexxxxx!$C$72,[12]Tablexxxxx!$C$73,[12]Tablexxxxx!$C$74,[12]Tablexxxxx!$C$75,[12]Tablexxxxx!$C$76,[12]Tablexxxxx!$C$77,[12]Tablexxxxx!$C$78,[12]Tablexxxxx!$C$79,[12]Tablexxxxx!$C$80,[12]Tablexxxxx!$C$81,[12]Tablexxxxx!$C$82,[12]Tablexxxxx!$C$83,[12]Tablexxxxx!$C$84,[12]Tablexxxxx!$C$85,[12]Tablexxxxx!$C$86</definedName>
    <definedName name="__APW_RESTORE_DATA601__" hidden="1">[12]Tablexxxxx!$C$87,[12]Tablexxxxx!$C$88,[12]Tablexxxxx!$C$89,[12]Tablexxxxx!$C$90,[12]Tablexxxxx!$C$91,[12]Tablexxxxx!$C$92,[12]Tablexxxxx!$C$93,[12]Tablexxxxx!$C$94,[12]Tablexxxxx!$C$95,[12]Tablexxxxx!$C$96,[12]Tablexxxxx!$C$97,[12]Tablexxxxx!$C$98,[12]Tablexxxxx!$C$99,[12]Tablexxxxx!$C$100,[12]Tablexxxxx!$C$101,[12]Tablexxxxx!$C$102</definedName>
    <definedName name="__APW_RESTORE_DATA602__" hidden="1">[12]Tablexxxxx!$C$103,[12]Tablexxxxx!$C$104,[12]Tablexxxxx!$C$105,[12]Tablexxxxx!$C$106,[12]Tablexxxxx!$C$107,[12]Tablexxxxx!$C$108,[12]Tablexxxxx!$C$109,[12]Tablexxxxx!$C$110,[12]Tablexxxxx!$C$111,[12]Tablexxxxx!$C$112,[12]Tablexxxxx!$C$113,[12]Tablexxxxx!$C$114,[12]Tablexxxxx!$C$115,[12]Tablexxxxx!$C$116,[12]Tablexxxxx!$C$117</definedName>
    <definedName name="__APW_RESTORE_DATA603__" hidden="1">[12]Tablexxxxx!$C$118,[12]Tablexxxxx!$C$119,[12]Tablexxxxx!$C$120,[12]Tablexxxxx!$C$121,[12]Tablexxxxx!$C$122,[12]Tablexxxxx!$C$123,[12]Tablexxxxx!$C$124,[12]Tablexxxxx!$C$125,[12]Tablexxxxx!$C$126,[12]Tablexxxxx!$C$127,[12]Tablexxxxx!$C$128,[12]Tablexxxxx!$C$129,[12]Tablexxxxx!$C$130,[12]Tablexxxxx!$C$131,[12]Tablexxxxx!$C$132</definedName>
    <definedName name="__APW_RESTORE_DATA604__" hidden="1">[12]Tablexxxxx!$C$133,[12]Tablexxxxx!$C$134,[12]Tablexxxxx!$C$135,[12]Tablexxxxx!$C$136,[12]Tablexxxxx!$C$137,[12]Tablexxxxx!$C$138,[12]Tablexxxxx!$C$139,[12]Tablexxxxx!$C$140,[12]Tablexxxxx!$C$141,[12]Tablexxxxx!$C$142,[12]Tablexxxxx!$C$143,[12]Tablexxxxx!$C$144,[12]Tablexxxxx!$C$145,[12]Tablexxxxx!$C$146,[12]Tablexxxxx!$C$147</definedName>
    <definedName name="__APW_RESTORE_DATA605__" hidden="1">[12]Tablexxxxx!$C$148,[12]Tablexxxxx!$C$149,[12]Tablexxxxx!$C$150,[12]Tablexxxxx!$C$151,[12]Tablexxxxx!$C$152,[12]Tablexxxxx!$C$153,[12]Tablexxxxx!$C$154,[12]Tablexxxxx!$C$155,[12]Tablexxxxx!$C$156,[12]Tablexxxxx!$C$157,[12]Tablexxxxx!$C$158,[12]Tablexxxxx!$C$159,[12]Tablexxxxx!$C$160,[12]Tablexxxxx!$C$161,[12]Tablexxxxx!$C$162</definedName>
    <definedName name="__APW_RESTORE_DATA606__" hidden="1">[12]Tablexxxxx!$C$163,[12]Tablexxxxx!$C$164,[12]Tablexxxxx!$C$165,[12]Tablexxxxx!$C$166,[12]Tablexxxxx!$C$167,[12]Tablexxxxx!$C$168,[12]Tablexxxxx!$C$169,[12]Tablexxxxx!$C$170,[12]Tablexxxxx!$C$171,[12]Tablexxxxx!$C$172,[12]Tablexxxxx!$C$173,[12]Tablexxxxx!$C$174,[12]Tablexxxxx!$C$175,[12]Tablexxxxx!$C$176,[12]Tablexxxxx!$C$177</definedName>
    <definedName name="__APW_RESTORE_DATA607__" hidden="1">[12]Tablexxxxx!$C$178,[12]Tablexxxxx!$C$179,[12]Tablexxxxx!$C$180,[12]Tablexxxxx!$C$181,[12]Tablexxxxx!$C$182,[12]Tablexxxxx!$C$183,[12]Tablexxxxx!$C$184,[12]Tablexxxxx!$C$185,[12]Tablexxxxx!$C$186,[12]Tablexxxxx!$C$187,[12]Tablexxxxx!$C$188,[12]Tablexxxxx!$C$189,[12]Tablexxxxx!$C$190,[12]Tablexxxxx!$C$191,[12]Tablexxxxx!$C$192</definedName>
    <definedName name="__APW_RESTORE_DATA608__" hidden="1">[12]Tablexxxxx!$C$193,[12]Tablexxxxx!$C$194,[12]Tablexxxxx!$C$195,[12]Tablexxxxx!$C$196,[12]Tablexxxxx!$C$197,[12]Tablexxxxx!$C$198,[12]Tablexxxxx!$C$199,[12]Tablexxxxx!$C$200,[12]Tablexxxxx!$C$201,[12]Tablexxxxx!$C$202,[12]Tablexxxxx!$C$203,[12]Tablexxxxx!$C$204,[12]Tablexxxxx!$C$205,[12]Tablexxxxx!$C$206,[12]Tablexxxxx!$C$207</definedName>
    <definedName name="__APW_RESTORE_DATA609__" hidden="1">[12]Tablexxxxx!$C$208,[12]Tablexxxxx!$C$209,[12]Tablexxxxx!$C$210,[12]Tablexxxxx!$C$211,[12]Tablexxxxx!$C$212,[12]Tablexxxxx!$C$213,[12]Tablexxxxx!$C$214,[12]Tablexxxxx!$C$215,[12]Tablexxxxx!$C$216,[12]Tablexxxxx!$C$217,[12]Tablexxxxx!$C$218,[12]Tablexxxxx!$C$219,[12]Tablexxxxx!$C$220,[12]Tablexxxxx!$C$221,[12]Tablexxxxx!$C$222</definedName>
    <definedName name="__APW_RESTORE_DATA61__" hidden="1">#REF!,#REF!,#REF!,#REF!,#REF!,#REF!,#REF!,#REF!,#REF!,#REF!,#REF!,#REF!,#REF!,#REF!,#REF!,#REF!</definedName>
    <definedName name="__APW_RESTORE_DATA610__" hidden="1">[12]Tablexxxxx!$C$223,[12]Tablexxxxx!$C$224,[12]Tablexxxxx!$C$225,[12]Tablexxxxx!$C$226,[12]Tablexxxxx!$C$227,[12]Tablexxxxx!$C$228,[12]Tablexxxxx!$C$229,[12]Tablexxxxx!$C$230,[12]Tablexxxxx!$C$231,[12]Tablexxxxx!$C$232,[12]Tablexxxxx!$C$233,[12]Tablexxxxx!$C$234,[12]Tablexxxxx!$C$235,[12]Tablexxxxx!$C$236,[12]Tablexxxxx!$C$237</definedName>
    <definedName name="__APW_RESTORE_DATA611__" hidden="1">[12]Tablexxxxx!$C$238,[12]Tablexxxxx!$C$239,[12]Tablexxxxx!$C$240,[12]Tablexxxxx!$C$241,[12]Tablexxxxx!$C$242,[12]Tablexxxxx!$C$243,[12]Tablexxxxx!$C$244,[12]Tablexxxxx!$C$245,[12]Tablexxxxx!$C$246,[12]Tablexxxxx!$C$247,[12]Tablexxxxx!$C$248,[12]Tablexxxxx!$C$249,[12]Tablexxxxx!$C$250,[12]Tablexxxxx!$C$251,[12]Tablexxxxx!$C$252</definedName>
    <definedName name="__APW_RESTORE_DATA612__" hidden="1">[12]Tablexxxxx!$C$253,[12]Tablexxxxx!$C$254,[12]Tablexxxxx!$C$255,[12]Tablexxxxx!$C$256,[12]Tablexxxxx!$C$257</definedName>
    <definedName name="__APW_RESTORE_DATA613__" hidden="1">[12]Tablexxxxx!$D$6,[12]Tablexxxxx!$D$7,[12]Tablexxxxx!$D$8,[12]Tablexxxxx!$D$9,[12]Tablexxxxx!$D$10,[12]Tablexxxxx!$D$11,[12]Tablexxxxx!$D$12,[12]Tablexxxxx!$D$13,[12]Tablexxxxx!$D$14,[12]Tablexxxxx!$D$15,[12]Tablexxxxx!$D$16,[12]Tablexxxxx!$D$17,[12]Tablexxxxx!$D$18,[12]Tablexxxxx!$D$19,[12]Tablexxxxx!$D$20,[12]Tablexxxxx!$D$21,[12]Tablexxxxx!$D$22</definedName>
    <definedName name="__APW_RESTORE_DATA614__" hidden="1">[12]Tablexxxxx!$D$23,[12]Tablexxxxx!$D$24,[12]Tablexxxxx!$D$25,[12]Tablexxxxx!$D$26,[12]Tablexxxxx!$D$27,[12]Tablexxxxx!$D$28,[12]Tablexxxxx!$D$29,[12]Tablexxxxx!$D$30,[12]Tablexxxxx!$D$31,[12]Tablexxxxx!$D$32,[12]Tablexxxxx!$D$33,[12]Tablexxxxx!$D$34,[12]Tablexxxxx!$D$35,[12]Tablexxxxx!$D$36,[12]Tablexxxxx!$D$37,[12]Tablexxxxx!$D$38</definedName>
    <definedName name="__APW_RESTORE_DATA615__" hidden="1">[12]Tablexxxxx!$D$39,[12]Tablexxxxx!$D$40,[12]Tablexxxxx!$D$41,[12]Tablexxxxx!$D$42,[12]Tablexxxxx!$D$43,[12]Tablexxxxx!$D$44,[12]Tablexxxxx!$D$45,[12]Tablexxxxx!$D$46,[12]Tablexxxxx!$D$47,[12]Tablexxxxx!$D$48,[12]Tablexxxxx!$D$49,[12]Tablexxxxx!$D$50,[12]Tablexxxxx!$D$51,[12]Tablexxxxx!$D$52,[12]Tablexxxxx!$D$53,[12]Tablexxxxx!$D$54</definedName>
    <definedName name="__APW_RESTORE_DATA616__" hidden="1">[12]Tablexxxxx!$D$55,[12]Tablexxxxx!$D$56,[12]Tablexxxxx!$D$57,[12]Tablexxxxx!$D$58,[12]Tablexxxxx!$D$59,[12]Tablexxxxx!$D$60,[12]Tablexxxxx!$D$61,[12]Tablexxxxx!$D$62,[12]Tablexxxxx!$D$63,[12]Tablexxxxx!$D$64,[12]Tablexxxxx!$D$65,[12]Tablexxxxx!$D$66,[12]Tablexxxxx!$D$67,[12]Tablexxxxx!$D$68,[12]Tablexxxxx!$D$69,[12]Tablexxxxx!$D$70</definedName>
    <definedName name="__APW_RESTORE_DATA617__" hidden="1">[12]Tablexxxxx!$D$71,[12]Tablexxxxx!$D$72,[12]Tablexxxxx!$D$73,[12]Tablexxxxx!$D$74,[12]Tablexxxxx!$D$75,[12]Tablexxxxx!$D$76,[12]Tablexxxxx!$D$77,[12]Tablexxxxx!$D$78,[12]Tablexxxxx!$D$79,[12]Tablexxxxx!$D$80,[12]Tablexxxxx!$D$81,[12]Tablexxxxx!$D$82,[12]Tablexxxxx!$D$83,[12]Tablexxxxx!$D$84,[12]Tablexxxxx!$D$85,[12]Tablexxxxx!$D$86</definedName>
    <definedName name="__APW_RESTORE_DATA618__" hidden="1">[12]Tablexxxxx!$D$87,[12]Tablexxxxx!$D$88,[12]Tablexxxxx!$D$89,[12]Tablexxxxx!$D$90,[12]Tablexxxxx!$D$91,[12]Tablexxxxx!$D$92,[12]Tablexxxxx!$D$93,[12]Tablexxxxx!$D$94,[12]Tablexxxxx!$D$95,[12]Tablexxxxx!$D$96,[12]Tablexxxxx!$D$97,[12]Tablexxxxx!$D$98,[12]Tablexxxxx!$D$99,[12]Tablexxxxx!$D$100,[12]Tablexxxxx!$D$101,[12]Tablexxxxx!$D$102</definedName>
    <definedName name="__APW_RESTORE_DATA619__" hidden="1">[12]Tablexxxxx!$D$103,[12]Tablexxxxx!$D$104,[12]Tablexxxxx!$D$105,[12]Tablexxxxx!$D$106,[12]Tablexxxxx!$D$107,[12]Tablexxxxx!$D$108,[12]Tablexxxxx!$D$109,[12]Tablexxxxx!$D$110,[12]Tablexxxxx!$D$111,[12]Tablexxxxx!$D$112,[12]Tablexxxxx!$D$113,[12]Tablexxxxx!$D$114,[12]Tablexxxxx!$D$115,[12]Tablexxxxx!$D$116,[12]Tablexxxxx!$D$117</definedName>
    <definedName name="__APW_RESTORE_DATA62__" hidden="1">#REF!,#REF!,#REF!,#REF!,#REF!,#REF!,#REF!,#REF!,#REF!,#REF!,#REF!,#REF!,#REF!,#REF!,#REF!,#REF!</definedName>
    <definedName name="__APW_RESTORE_DATA620__" hidden="1">[12]Tablexxxxx!$D$118,[12]Tablexxxxx!$D$119,[12]Tablexxxxx!$D$120,[12]Tablexxxxx!$D$121,[12]Tablexxxxx!$D$122,[12]Tablexxxxx!$D$123,[12]Tablexxxxx!$D$124,[12]Tablexxxxx!$D$125,[12]Tablexxxxx!$D$126,[12]Tablexxxxx!$D$127,[12]Tablexxxxx!$D$128,[12]Tablexxxxx!$D$129,[12]Tablexxxxx!$D$130,[12]Tablexxxxx!$D$131,[12]Tablexxxxx!$D$132</definedName>
    <definedName name="__APW_RESTORE_DATA621__" hidden="1">[12]Tablexxxxx!$D$133,[12]Tablexxxxx!$D$134,[12]Tablexxxxx!$D$135,[12]Tablexxxxx!$D$136,[12]Tablexxxxx!$D$137,[12]Tablexxxxx!$D$138,[12]Tablexxxxx!$D$139,[12]Tablexxxxx!$D$140,[12]Tablexxxxx!$D$141,[12]Tablexxxxx!$D$142,[12]Tablexxxxx!$D$143,[12]Tablexxxxx!$D$144,[12]Tablexxxxx!$D$145,[12]Tablexxxxx!$D$146,[12]Tablexxxxx!$D$147</definedName>
    <definedName name="__APW_RESTORE_DATA622__" hidden="1">[12]Tablexxxxx!$D$148,[12]Tablexxxxx!$D$149,[12]Tablexxxxx!$D$150,[12]Tablexxxxx!$D$151,[12]Tablexxxxx!$D$152,[12]Tablexxxxx!$D$153,[12]Tablexxxxx!$D$154,[12]Tablexxxxx!$D$155,[12]Tablexxxxx!$D$156,[12]Tablexxxxx!$D$157,[12]Tablexxxxx!$D$158,[12]Tablexxxxx!$D$159,[12]Tablexxxxx!$D$160,[12]Tablexxxxx!$D$161,[12]Tablexxxxx!$D$162</definedName>
    <definedName name="__APW_RESTORE_DATA623__" hidden="1">[12]Tablexxxxx!$D$163,[12]Tablexxxxx!$D$164,[12]Tablexxxxx!$D$165,[12]Tablexxxxx!$D$166,[12]Tablexxxxx!$D$167,[12]Tablexxxxx!$D$168,[12]Tablexxxxx!$D$169,[12]Tablexxxxx!$D$170,[12]Tablexxxxx!$D$171,[12]Tablexxxxx!$D$172,[12]Tablexxxxx!$D$173,[12]Tablexxxxx!$D$174,[12]Tablexxxxx!$D$175,[12]Tablexxxxx!$D$176,[12]Tablexxxxx!$D$177</definedName>
    <definedName name="__APW_RESTORE_DATA624__" hidden="1">[12]Tablexxxxx!$D$178,[12]Tablexxxxx!$D$179,[12]Tablexxxxx!$D$180,[12]Tablexxxxx!$D$181,[12]Tablexxxxx!$D$182,[12]Tablexxxxx!$D$183,[12]Tablexxxxx!$D$184,[12]Tablexxxxx!$D$185,[12]Tablexxxxx!$D$186,[12]Tablexxxxx!$D$187,[12]Tablexxxxx!$D$188,[12]Tablexxxxx!$D$189,[12]Tablexxxxx!$D$190,[12]Tablexxxxx!$D$191,[12]Tablexxxxx!$D$192</definedName>
    <definedName name="__APW_RESTORE_DATA625__" hidden="1">[12]Tablexxxxx!$D$193,[12]Tablexxxxx!$D$194,[12]Tablexxxxx!$D$195,[12]Tablexxxxx!$D$196,[12]Tablexxxxx!$D$197,[12]Tablexxxxx!$D$198,[12]Tablexxxxx!$D$199,[12]Tablexxxxx!$D$200,[12]Tablexxxxx!$D$201,[12]Tablexxxxx!$D$202,[12]Tablexxxxx!$D$203,[12]Tablexxxxx!$D$204,[12]Tablexxxxx!$D$205,[12]Tablexxxxx!$D$206,[12]Tablexxxxx!$D$207</definedName>
    <definedName name="__APW_RESTORE_DATA626__" hidden="1">[12]Tablexxxxx!$D$208,[12]Tablexxxxx!$D$209,[12]Tablexxxxx!$D$210,[12]Tablexxxxx!$D$211,[12]Tablexxxxx!$D$212,[12]Tablexxxxx!$D$213,[12]Tablexxxxx!$D$214,[12]Tablexxxxx!$D$215,[12]Tablexxxxx!$D$216,[12]Tablexxxxx!$D$217,[12]Tablexxxxx!$D$218,[12]Tablexxxxx!$D$219,[12]Tablexxxxx!$D$220,[12]Tablexxxxx!$D$221,[12]Tablexxxxx!$D$222</definedName>
    <definedName name="__APW_RESTORE_DATA627__" hidden="1">[12]Tablexxxxx!$D$223,[12]Tablexxxxx!$D$224,[12]Tablexxxxx!$D$225,[12]Tablexxxxx!$D$226,[12]Tablexxxxx!$D$227,[12]Tablexxxxx!$D$228,[12]Tablexxxxx!$D$229,[12]Tablexxxxx!$D$230,[12]Tablexxxxx!$D$231,[12]Tablexxxxx!$D$232,[12]Tablexxxxx!$D$233,[12]Tablexxxxx!$D$234,[12]Tablexxxxx!$D$235,[12]Tablexxxxx!$D$236,[12]Tablexxxxx!$D$237</definedName>
    <definedName name="__APW_RESTORE_DATA628__" hidden="1">[12]Tablexxxxx!$D$238,[12]Tablexxxxx!$D$239,[12]Tablexxxxx!$D$240,[12]Tablexxxxx!$D$241,[12]Tablexxxxx!$D$242,[12]Tablexxxxx!$D$243,[12]Tablexxxxx!$D$244,[12]Tablexxxxx!$D$245,[12]Tablexxxxx!$D$246,[12]Tablexxxxx!$D$247,[12]Tablexxxxx!$D$248,[12]Tablexxxxx!$D$249,[12]Tablexxxxx!$D$250,[12]Tablexxxxx!$D$251,[12]Tablexxxxx!$D$252</definedName>
    <definedName name="__APW_RESTORE_DATA629__" hidden="1">[12]Tablexxxxx!$D$253,[12]Tablexxxxx!$D$254,[12]Tablexxxxx!$D$255,[12]Tablexxxxx!$D$256,[12]Tablexxxxx!$D$257</definedName>
    <definedName name="__APW_RESTORE_DATA63__" hidden="1">#REF!,#REF!,#REF!,#REF!,#REF!,#REF!,#REF!,#REF!,#REF!,#REF!,#REF!,#REF!,#REF!,#REF!,#REF!,#REF!</definedName>
    <definedName name="__APW_RESTORE_DATA630__" hidden="1">[12]Tablexxxxx!$E$6,[12]Tablexxxxx!$E$7,[12]Tablexxxxx!$E$8,[12]Tablexxxxx!$E$9,[12]Tablexxxxx!$E$10,[12]Tablexxxxx!$E$11,[12]Tablexxxxx!$E$12,[12]Tablexxxxx!$E$13,[12]Tablexxxxx!$E$14,[12]Tablexxxxx!$E$15,[12]Tablexxxxx!$E$16,[12]Tablexxxxx!$E$17,[12]Tablexxxxx!$E$18,[12]Tablexxxxx!$E$19,[12]Tablexxxxx!$E$20,[12]Tablexxxxx!$E$21,[12]Tablexxxxx!$E$22</definedName>
    <definedName name="__APW_RESTORE_DATA631__" hidden="1">[12]Tablexxxxx!$E$23,[12]Tablexxxxx!$E$24,[12]Tablexxxxx!$E$25,[12]Tablexxxxx!$E$26,[12]Tablexxxxx!$E$27,[12]Tablexxxxx!$E$28,[12]Tablexxxxx!$E$29,[12]Tablexxxxx!$E$30,[12]Tablexxxxx!$E$31,[12]Tablexxxxx!$E$32,[12]Tablexxxxx!$E$33,[12]Tablexxxxx!$E$34,[12]Tablexxxxx!$E$35,[12]Tablexxxxx!$E$36,[12]Tablexxxxx!$E$37,[12]Tablexxxxx!$E$38</definedName>
    <definedName name="__APW_RESTORE_DATA632__" hidden="1">[12]Tablexxxxx!$E$39,[12]Tablexxxxx!$E$40,[12]Tablexxxxx!$E$41,[12]Tablexxxxx!$E$42,[12]Tablexxxxx!$E$43,[12]Tablexxxxx!$E$44,[12]Tablexxxxx!$E$45,[12]Tablexxxxx!$E$46,[12]Tablexxxxx!$E$47,[12]Tablexxxxx!$E$48,[12]Tablexxxxx!$E$49,[12]Tablexxxxx!$E$50,[12]Tablexxxxx!$E$51,[12]Tablexxxxx!$E$52,[12]Tablexxxxx!$E$53,[12]Tablexxxxx!$E$54</definedName>
    <definedName name="__APW_RESTORE_DATA633__" hidden="1">[12]Tablexxxxx!$E$55,[12]Tablexxxxx!$E$56,[12]Tablexxxxx!$E$57,[12]Tablexxxxx!$E$58,[12]Tablexxxxx!$E$59,[12]Tablexxxxx!$E$60,[12]Tablexxxxx!$E$61,[12]Tablexxxxx!$E$62,[12]Tablexxxxx!$E$63,[12]Tablexxxxx!$E$64,[12]Tablexxxxx!$E$65,[12]Tablexxxxx!$E$66,[12]Tablexxxxx!$E$67,[12]Tablexxxxx!$E$68,[12]Tablexxxxx!$E$69,[12]Tablexxxxx!$E$70</definedName>
    <definedName name="__APW_RESTORE_DATA634__" hidden="1">[12]Tablexxxxx!$E$71,[12]Tablexxxxx!$E$72,[12]Tablexxxxx!$E$73,[12]Tablexxxxx!$E$74,[12]Tablexxxxx!$E$75,[12]Tablexxxxx!$E$76,[12]Tablexxxxx!$E$77,[12]Tablexxxxx!$E$78,[12]Tablexxxxx!$E$79,[12]Tablexxxxx!$E$80,[12]Tablexxxxx!$E$81,[12]Tablexxxxx!$E$82,[12]Tablexxxxx!$E$83,[12]Tablexxxxx!$E$84,[12]Tablexxxxx!$E$85,[12]Tablexxxxx!$E$86</definedName>
    <definedName name="__APW_RESTORE_DATA635__" hidden="1">[12]Tablexxxxx!$E$87,[12]Tablexxxxx!$E$88,[12]Tablexxxxx!$E$89,[12]Tablexxxxx!$E$90,[12]Tablexxxxx!$E$91,[12]Tablexxxxx!$E$92,[12]Tablexxxxx!$E$93,[12]Tablexxxxx!$E$94,[12]Tablexxxxx!$E$95,[12]Tablexxxxx!$E$96,[12]Tablexxxxx!$E$97,[12]Tablexxxxx!$E$98,[12]Tablexxxxx!$E$99,[12]Tablexxxxx!$E$100,[12]Tablexxxxx!$E$101,[12]Tablexxxxx!$E$102</definedName>
    <definedName name="__APW_RESTORE_DATA636__" hidden="1">[12]Tablexxxxx!$E$103,[12]Tablexxxxx!$E$104,[12]Tablexxxxx!$E$105,[12]Tablexxxxx!$E$106,[12]Tablexxxxx!$E$107,[12]Tablexxxxx!$E$108,[12]Tablexxxxx!$E$109,[12]Tablexxxxx!$E$110,[12]Tablexxxxx!$E$111,[12]Tablexxxxx!$E$112,[12]Tablexxxxx!$E$113,[12]Tablexxxxx!$E$114,[12]Tablexxxxx!$E$115,[12]Tablexxxxx!$E$116,[12]Tablexxxxx!$E$117</definedName>
    <definedName name="__APW_RESTORE_DATA637__" hidden="1">[12]Tablexxxxx!$E$118,[12]Tablexxxxx!$E$119,[12]Tablexxxxx!$E$120,[12]Tablexxxxx!$E$121,[12]Tablexxxxx!$E$122,[12]Tablexxxxx!$E$123,[12]Tablexxxxx!$E$124,[12]Tablexxxxx!$E$125,[12]Tablexxxxx!$E$126,[12]Tablexxxxx!$E$127,[12]Tablexxxxx!$E$128,[12]Tablexxxxx!$E$129,[12]Tablexxxxx!$E$130,[12]Tablexxxxx!$E$131,[12]Tablexxxxx!$E$132</definedName>
    <definedName name="__APW_RESTORE_DATA638__" hidden="1">[12]Tablexxxxx!$E$133,[12]Tablexxxxx!$E$134,[12]Tablexxxxx!$E$135,[12]Tablexxxxx!$E$136,[12]Tablexxxxx!$E$137,[12]Tablexxxxx!$E$138,[12]Tablexxxxx!$E$139,[12]Tablexxxxx!$E$140,[12]Tablexxxxx!$E$141,[12]Tablexxxxx!$E$142,[12]Tablexxxxx!$E$143,[12]Tablexxxxx!$E$144,[12]Tablexxxxx!$E$145,[12]Tablexxxxx!$E$146,[12]Tablexxxxx!$E$147</definedName>
    <definedName name="__APW_RESTORE_DATA639__" hidden="1">[12]Tablexxxxx!$E$148,[12]Tablexxxxx!$E$149,[12]Tablexxxxx!$E$150,[12]Tablexxxxx!$E$151,[12]Tablexxxxx!$E$152,[12]Tablexxxxx!$E$153,[12]Tablexxxxx!$E$154,[12]Tablexxxxx!$E$155,[12]Tablexxxxx!$E$156,[12]Tablexxxxx!$E$157,[12]Tablexxxxx!$E$158,[12]Tablexxxxx!$E$159,[12]Tablexxxxx!$E$160,[12]Tablexxxxx!$E$161,[12]Tablexxxxx!$E$162</definedName>
    <definedName name="__APW_RESTORE_DATA64__" hidden="1">#REF!,#REF!,#REF!,#REF!,#REF!,#REF!,#REF!,#REF!,#REF!,#REF!,#REF!,#REF!,#REF!,#REF!,#REF!,#REF!</definedName>
    <definedName name="__APW_RESTORE_DATA640__" hidden="1">[12]Tablexxxxx!$E$163,[12]Tablexxxxx!$E$164,[12]Tablexxxxx!$E$165,[12]Tablexxxxx!$E$166,[12]Tablexxxxx!$E$167,[12]Tablexxxxx!$E$168,[12]Tablexxxxx!$E$169,[12]Tablexxxxx!$E$170,[12]Tablexxxxx!$E$171,[12]Tablexxxxx!$E$172,[12]Tablexxxxx!$E$173,[12]Tablexxxxx!$E$174,[12]Tablexxxxx!$E$175,[12]Tablexxxxx!$E$176,[12]Tablexxxxx!$E$177</definedName>
    <definedName name="__APW_RESTORE_DATA641__" hidden="1">[12]Tablexxxxx!$E$178,[12]Tablexxxxx!$E$179,[12]Tablexxxxx!$E$180,[12]Tablexxxxx!$E$181,[12]Tablexxxxx!$E$182,[12]Tablexxxxx!$E$183,[12]Tablexxxxx!$E$184,[12]Tablexxxxx!$E$185,[12]Tablexxxxx!$E$186,[12]Tablexxxxx!$E$187,[12]Tablexxxxx!$E$188,[12]Tablexxxxx!$E$189,[12]Tablexxxxx!$E$190,[12]Tablexxxxx!$E$191,[12]Tablexxxxx!$E$192</definedName>
    <definedName name="__APW_RESTORE_DATA642__" hidden="1">[12]Tablexxxxx!$E$193,[12]Tablexxxxx!$E$194,[12]Tablexxxxx!$E$195,[12]Tablexxxxx!$E$196,[12]Tablexxxxx!$E$197,[12]Tablexxxxx!$E$198,[12]Tablexxxxx!$E$199,[12]Tablexxxxx!$E$200,[12]Tablexxxxx!$E$201,[12]Tablexxxxx!$E$202,[12]Tablexxxxx!$E$203,[12]Tablexxxxx!$E$204,[12]Tablexxxxx!$E$205,[12]Tablexxxxx!$E$206,[12]Tablexxxxx!$E$207</definedName>
    <definedName name="__APW_RESTORE_DATA643__" hidden="1">[12]Tablexxxxx!$E$208,[12]Tablexxxxx!$E$209,[12]Tablexxxxx!$E$210,[12]Tablexxxxx!$E$211,[12]Tablexxxxx!$E$212,[12]Tablexxxxx!$E$213,[12]Tablexxxxx!$E$214,[12]Tablexxxxx!$E$215,[12]Tablexxxxx!$E$216,[12]Tablexxxxx!$E$217,[12]Tablexxxxx!$E$218,[12]Tablexxxxx!$E$219,[12]Tablexxxxx!$E$220,[12]Tablexxxxx!$E$221,[12]Tablexxxxx!$E$222</definedName>
    <definedName name="__APW_RESTORE_DATA644__" hidden="1">[12]Tablexxxxx!$E$223,[12]Tablexxxxx!$E$224,[12]Tablexxxxx!$E$225,[12]Tablexxxxx!$E$226,[12]Tablexxxxx!$E$227,[12]Tablexxxxx!$E$228,[12]Tablexxxxx!$E$229,[12]Tablexxxxx!$E$230,[12]Tablexxxxx!$E$231,[12]Tablexxxxx!$E$232,[12]Tablexxxxx!$E$233,[12]Tablexxxxx!$E$234,[12]Tablexxxxx!$E$235,[12]Tablexxxxx!$E$236,[12]Tablexxxxx!$E$237</definedName>
    <definedName name="__APW_RESTORE_DATA645__" hidden="1">[12]Tablexxxxx!$E$238,[12]Tablexxxxx!$E$239,[12]Tablexxxxx!$E$240,[12]Tablexxxxx!$E$241,[12]Tablexxxxx!$E$242,[12]Tablexxxxx!$E$243,[12]Tablexxxxx!$E$244,[12]Tablexxxxx!$E$245,[12]Tablexxxxx!$E$246,[12]Tablexxxxx!$E$247,[12]Tablexxxxx!$E$248,[12]Tablexxxxx!$E$249,[12]Tablexxxxx!$E$250,[12]Tablexxxxx!$E$251,[12]Tablexxxxx!$E$252</definedName>
    <definedName name="__APW_RESTORE_DATA646__" hidden="1">[12]Tablexxxxx!$E$253,[12]Tablexxxxx!$E$254,[12]Tablexxxxx!$E$255,[12]Tablexxxxx!$E$256,[12]Tablexxxxx!$E$257</definedName>
    <definedName name="__APW_RESTORE_DATA647__" hidden="1">[12]Tablexxxxx!$F$6,[12]Tablexxxxx!$F$7,[12]Tablexxxxx!$F$8,[12]Tablexxxxx!$F$9,[12]Tablexxxxx!$F$10,[12]Tablexxxxx!$F$11,[12]Tablexxxxx!$F$12,[12]Tablexxxxx!$F$13,[12]Tablexxxxx!$F$14,[12]Tablexxxxx!$F$15,[12]Tablexxxxx!$F$16,[12]Tablexxxxx!$F$17,[12]Tablexxxxx!$F$18,[12]Tablexxxxx!$F$19,[12]Tablexxxxx!$F$20,[12]Tablexxxxx!$F$21,[12]Tablexxxxx!$F$22</definedName>
    <definedName name="__APW_RESTORE_DATA648__" hidden="1">[12]Tablexxxxx!$F$23,[12]Tablexxxxx!$F$24,[12]Tablexxxxx!$F$25,[12]Tablexxxxx!$F$26,[12]Tablexxxxx!$F$27,[12]Tablexxxxx!$F$28,[12]Tablexxxxx!$F$29,[12]Tablexxxxx!$F$30,[12]Tablexxxxx!$F$31,[12]Tablexxxxx!$F$32,[12]Tablexxxxx!$F$33,[12]Tablexxxxx!$F$34,[12]Tablexxxxx!$F$35,[12]Tablexxxxx!$F$36,[12]Tablexxxxx!$F$37,[12]Tablexxxxx!$F$38</definedName>
    <definedName name="__APW_RESTORE_DATA649__" hidden="1">[12]Tablexxxxx!$F$39,[12]Tablexxxxx!$F$40,[12]Tablexxxxx!$F$41,[12]Tablexxxxx!$F$42,[12]Tablexxxxx!$F$43,[12]Tablexxxxx!$F$44,[12]Tablexxxxx!$F$45,[12]Tablexxxxx!$F$46,[12]Tablexxxxx!$F$47,[12]Tablexxxxx!$F$48,[12]Tablexxxxx!$F$49,[12]Tablexxxxx!$F$50,[12]Tablexxxxx!$F$51,[12]Tablexxxxx!$F$52,[12]Tablexxxxx!$F$53,[12]Tablexxxxx!$F$54</definedName>
    <definedName name="__APW_RESTORE_DATA65__" hidden="1">#REF!,#REF!,#REF!,#REF!,#REF!,#REF!,#REF!,#REF!,#REF!,#REF!,#REF!,#REF!,#REF!,#REF!,#REF!,#REF!</definedName>
    <definedName name="__APW_RESTORE_DATA650__" hidden="1">[12]Tablexxxxx!$F$55,[12]Tablexxxxx!$F$56,[12]Tablexxxxx!$F$57,[12]Tablexxxxx!$F$58,[12]Tablexxxxx!$F$59,[12]Tablexxxxx!$F$60,[12]Tablexxxxx!$F$61,[12]Tablexxxxx!$F$62,[12]Tablexxxxx!$F$63,[12]Tablexxxxx!$F$64,[12]Tablexxxxx!$F$65,[12]Tablexxxxx!$F$66,[12]Tablexxxxx!$F$67,[12]Tablexxxxx!$F$68,[12]Tablexxxxx!$F$69,[12]Tablexxxxx!$F$70</definedName>
    <definedName name="__APW_RESTORE_DATA651__" hidden="1">[12]Tablexxxxx!$F$71,[12]Tablexxxxx!$F$72,[12]Tablexxxxx!$F$73,[12]Tablexxxxx!$F$74,[12]Tablexxxxx!$F$75,[12]Tablexxxxx!$F$76,[12]Tablexxxxx!$F$77,[12]Tablexxxxx!$F$78,[12]Tablexxxxx!$F$79,[12]Tablexxxxx!$F$80,[12]Tablexxxxx!$F$81,[12]Tablexxxxx!$F$82,[12]Tablexxxxx!$F$83,[12]Tablexxxxx!$F$84,[12]Tablexxxxx!$F$85,[12]Tablexxxxx!$F$86</definedName>
    <definedName name="__APW_RESTORE_DATA652__" hidden="1">[12]Tablexxxxx!$F$87,[12]Tablexxxxx!$F$88,[12]Tablexxxxx!$F$89,[12]Tablexxxxx!$F$90,[12]Tablexxxxx!$F$91,[12]Tablexxxxx!$F$92,[12]Tablexxxxx!$F$93,[12]Tablexxxxx!$F$94,[12]Tablexxxxx!$F$95,[12]Tablexxxxx!$F$96,[12]Tablexxxxx!$F$97,[12]Tablexxxxx!$F$98,[12]Tablexxxxx!$F$99,[12]Tablexxxxx!$F$100,[12]Tablexxxxx!$F$101,[12]Tablexxxxx!$F$102</definedName>
    <definedName name="__APW_RESTORE_DATA653__" hidden="1">[12]Tablexxxxx!$F$103,[12]Tablexxxxx!$F$104,[12]Tablexxxxx!$F$105,[12]Tablexxxxx!$F$106,[12]Tablexxxxx!$F$107,[12]Tablexxxxx!$F$108,[12]Tablexxxxx!$F$109,[12]Tablexxxxx!$F$110,[12]Tablexxxxx!$F$111,[12]Tablexxxxx!$F$112,[12]Tablexxxxx!$F$113,[12]Tablexxxxx!$F$114,[12]Tablexxxxx!$F$115,[12]Tablexxxxx!$F$116,[12]Tablexxxxx!$F$117</definedName>
    <definedName name="__APW_RESTORE_DATA654__" hidden="1">[12]Tablexxxxx!$F$118,[12]Tablexxxxx!$F$119,[12]Tablexxxxx!$F$120,[12]Tablexxxxx!$F$121,[12]Tablexxxxx!$F$122,[12]Tablexxxxx!$F$123,[12]Tablexxxxx!$F$124,[12]Tablexxxxx!$F$125,[12]Tablexxxxx!$F$126,[12]Tablexxxxx!$F$127,[12]Tablexxxxx!$F$128,[12]Tablexxxxx!$F$129,[12]Tablexxxxx!$F$130,[12]Tablexxxxx!$F$131,[12]Tablexxxxx!$F$132</definedName>
    <definedName name="__APW_RESTORE_DATA655__" hidden="1">[12]Tablexxxxx!$F$133,[12]Tablexxxxx!$F$134,[12]Tablexxxxx!$F$135,[12]Tablexxxxx!$F$136,[12]Tablexxxxx!$F$137,[12]Tablexxxxx!$F$138,[12]Tablexxxxx!$F$139,[12]Tablexxxxx!$F$140,[12]Tablexxxxx!$F$141,[12]Tablexxxxx!$F$142,[12]Tablexxxxx!$F$143,[12]Tablexxxxx!$F$144,[12]Tablexxxxx!$F$145,[12]Tablexxxxx!$F$146,[12]Tablexxxxx!$F$147</definedName>
    <definedName name="__APW_RESTORE_DATA656__" hidden="1">[12]Tablexxxxx!$F$148,[12]Tablexxxxx!$F$149,[12]Tablexxxxx!$F$150,[12]Tablexxxxx!$F$151,[12]Tablexxxxx!$F$152,[12]Tablexxxxx!$F$153,[12]Tablexxxxx!$F$154,[12]Tablexxxxx!$F$155,[12]Tablexxxxx!$F$156,[12]Tablexxxxx!$F$157,[12]Tablexxxxx!$F$158,[12]Tablexxxxx!$F$159,[12]Tablexxxxx!$F$160,[12]Tablexxxxx!$F$161,[12]Tablexxxxx!$F$162</definedName>
    <definedName name="__APW_RESTORE_DATA657__" hidden="1">[12]Tablexxxxx!$F$163,[12]Tablexxxxx!$F$164,[12]Tablexxxxx!$F$165,[12]Tablexxxxx!$F$166,[12]Tablexxxxx!$F$167,[12]Tablexxxxx!$F$168,[12]Tablexxxxx!$F$169,[12]Tablexxxxx!$F$170,[12]Tablexxxxx!$F$171,[12]Tablexxxxx!$F$172,[12]Tablexxxxx!$F$173,[12]Tablexxxxx!$F$174,[12]Tablexxxxx!$F$175,[12]Tablexxxxx!$F$176,[12]Tablexxxxx!$F$177</definedName>
    <definedName name="__APW_RESTORE_DATA658__" hidden="1">[12]Tablexxxxx!$F$178,[12]Tablexxxxx!$F$179,[12]Tablexxxxx!$F$180,[12]Tablexxxxx!$F$181,[12]Tablexxxxx!$F$182,[12]Tablexxxxx!$F$183,[12]Tablexxxxx!$F$184,[12]Tablexxxxx!$F$185,[12]Tablexxxxx!$F$186,[12]Tablexxxxx!$F$187,[12]Tablexxxxx!$F$188,[12]Tablexxxxx!$F$189,[12]Tablexxxxx!$F$190,[12]Tablexxxxx!$F$191,[12]Tablexxxxx!$F$192</definedName>
    <definedName name="__APW_RESTORE_DATA659__" hidden="1">[12]Tablexxxxx!$F$193,[12]Tablexxxxx!$F$194,[12]Tablexxxxx!$F$195,[12]Tablexxxxx!$F$196,[12]Tablexxxxx!$F$197,[12]Tablexxxxx!$F$198,[12]Tablexxxxx!$F$199,[12]Tablexxxxx!$F$200,[12]Tablexxxxx!$F$201,[12]Tablexxxxx!$F$202,[12]Tablexxxxx!$F$203,[12]Tablexxxxx!$F$204,[12]Tablexxxxx!$F$205,[12]Tablexxxxx!$F$206,[12]Tablexxxxx!$F$207</definedName>
    <definedName name="__APW_RESTORE_DATA66__" hidden="1">#REF!,#REF!,#REF!,#REF!,#REF!,#REF!,#REF!,#REF!,#REF!,#REF!,#REF!,#REF!,#REF!,#REF!,#REF!</definedName>
    <definedName name="__APW_RESTORE_DATA660__" hidden="1">[12]Tablexxxxx!$F$208,[12]Tablexxxxx!$F$209,[12]Tablexxxxx!$F$210,[12]Tablexxxxx!$F$211,[12]Tablexxxxx!$F$212,[12]Tablexxxxx!$F$213,[12]Tablexxxxx!$F$214,[12]Tablexxxxx!$F$215,[12]Tablexxxxx!$F$216,[12]Tablexxxxx!$F$217,[12]Tablexxxxx!$F$218,[12]Tablexxxxx!$F$219,[12]Tablexxxxx!$F$220,[12]Tablexxxxx!$F$221,[12]Tablexxxxx!$F$222</definedName>
    <definedName name="__APW_RESTORE_DATA661__" hidden="1">[12]Tablexxxxx!$F$223,[12]Tablexxxxx!$F$224,[12]Tablexxxxx!$F$225,[12]Tablexxxxx!$F$226,[12]Tablexxxxx!$F$227,[12]Tablexxxxx!$F$228,[12]Tablexxxxx!$F$229,[12]Tablexxxxx!$F$230,[12]Tablexxxxx!$F$231,[12]Tablexxxxx!$F$232,[12]Tablexxxxx!$F$233,[12]Tablexxxxx!$F$234,[12]Tablexxxxx!$F$235,[12]Tablexxxxx!$F$236,[12]Tablexxxxx!$F$237</definedName>
    <definedName name="__APW_RESTORE_DATA662__" hidden="1">[12]Tablexxxxx!$F$238,[12]Tablexxxxx!$F$239,[12]Tablexxxxx!$F$240,[12]Tablexxxxx!$F$241,[12]Tablexxxxx!$F$242,[12]Tablexxxxx!$F$243,[12]Tablexxxxx!$F$244,[12]Tablexxxxx!$F$245,[12]Tablexxxxx!$F$246,[12]Tablexxxxx!$F$247,[12]Tablexxxxx!$F$248,[12]Tablexxxxx!$F$249,[12]Tablexxxxx!$F$250,[12]Tablexxxxx!$F$251,[12]Tablexxxxx!$F$252</definedName>
    <definedName name="__APW_RESTORE_DATA663__" hidden="1">[12]Tablexxxxx!$F$253,[12]Tablexxxxx!$F$254,[12]Tablexxxxx!$F$255,[12]Tablexxxxx!$F$256,[12]Tablexxxxx!$F$257</definedName>
    <definedName name="__APW_RESTORE_DATA664__" hidden="1">[12]Tablexxxxx!$G$6,[12]Tablexxxxx!$G$7,[12]Tablexxxxx!$G$8,[12]Tablexxxxx!$G$9,[12]Tablexxxxx!$G$10,[12]Tablexxxxx!$G$11,[12]Tablexxxxx!$G$12,[12]Tablexxxxx!$G$13,[12]Tablexxxxx!$G$14,[12]Tablexxxxx!$G$15,[12]Tablexxxxx!$G$16,[12]Tablexxxxx!$G$17,[12]Tablexxxxx!$G$18,[12]Tablexxxxx!$G$19,[12]Tablexxxxx!$G$20,[12]Tablexxxxx!$G$21,[12]Tablexxxxx!$G$22</definedName>
    <definedName name="__APW_RESTORE_DATA665__" hidden="1">[12]Tablexxxxx!$G$23,[12]Tablexxxxx!$G$24,[12]Tablexxxxx!$G$25,[12]Tablexxxxx!$G$26,[12]Tablexxxxx!$G$27,[12]Tablexxxxx!$G$28,[12]Tablexxxxx!$G$29,[12]Tablexxxxx!$G$30,[12]Tablexxxxx!$G$31,[12]Tablexxxxx!$G$32,[12]Tablexxxxx!$G$33,[12]Tablexxxxx!$G$34,[12]Tablexxxxx!$G$35,[12]Tablexxxxx!$G$36,[12]Tablexxxxx!$G$37,[12]Tablexxxxx!$G$38</definedName>
    <definedName name="__APW_RESTORE_DATA666__" hidden="1">[12]Tablexxxxx!$G$39,[12]Tablexxxxx!$G$40,[12]Tablexxxxx!$G$41,[12]Tablexxxxx!$G$42,[12]Tablexxxxx!$G$43,[12]Tablexxxxx!$G$44,[12]Tablexxxxx!$G$45,[12]Tablexxxxx!$G$46,[12]Tablexxxxx!$G$47,[12]Tablexxxxx!$G$48,[12]Tablexxxxx!$G$49,[12]Tablexxxxx!$G$50,[12]Tablexxxxx!$G$51,[12]Tablexxxxx!$G$52,[12]Tablexxxxx!$G$53,[12]Tablexxxxx!$G$54</definedName>
    <definedName name="__APW_RESTORE_DATA667__" hidden="1">[12]Tablexxxxx!$G$55,[12]Tablexxxxx!$G$56,[12]Tablexxxxx!$G$57,[12]Tablexxxxx!$G$58,[12]Tablexxxxx!$G$59,[12]Tablexxxxx!$G$60,[12]Tablexxxxx!$G$61,[12]Tablexxxxx!$G$62,[12]Tablexxxxx!$G$63,[12]Tablexxxxx!$G$64,[12]Tablexxxxx!$G$65,[12]Tablexxxxx!$G$66,[12]Tablexxxxx!$G$67,[12]Tablexxxxx!$G$68,[12]Tablexxxxx!$G$69,[12]Tablexxxxx!$G$70</definedName>
    <definedName name="__APW_RESTORE_DATA668__" hidden="1">[12]Tablexxxxx!$G$71,[12]Tablexxxxx!$G$72,[12]Tablexxxxx!$G$73,[12]Tablexxxxx!$G$74,[12]Tablexxxxx!$G$75,[12]Tablexxxxx!$G$76,[12]Tablexxxxx!$G$77,[12]Tablexxxxx!$G$78,[12]Tablexxxxx!$G$79,[12]Tablexxxxx!$G$80,[12]Tablexxxxx!$G$81,[12]Tablexxxxx!$G$82,[12]Tablexxxxx!$G$83,[12]Tablexxxxx!$G$84,[12]Tablexxxxx!$G$85,[12]Tablexxxxx!$G$86</definedName>
    <definedName name="__APW_RESTORE_DATA669__" hidden="1">[12]Tablexxxxx!$G$87,[12]Tablexxxxx!$G$88,[12]Tablexxxxx!$G$89,[12]Tablexxxxx!$G$90,[12]Tablexxxxx!$G$91,[12]Tablexxxxx!$G$92,[12]Tablexxxxx!$G$93,[12]Tablexxxxx!$G$94,[12]Tablexxxxx!$G$95,[12]Tablexxxxx!$G$96,[12]Tablexxxxx!$G$97,[12]Tablexxxxx!$G$98,[12]Tablexxxxx!$G$99,[12]Tablexxxxx!$G$100,[12]Tablexxxxx!$G$101,[12]Tablexxxxx!$G$102</definedName>
    <definedName name="__APW_RESTORE_DATA67__" hidden="1">#REF!,#REF!,#REF!,#REF!,#REF!,#REF!,#REF!,#REF!,#REF!,#REF!,#REF!,#REF!,#REF!,#REF!,#REF!</definedName>
    <definedName name="__APW_RESTORE_DATA670__" hidden="1">[12]Tablexxxxx!$G$103,[12]Tablexxxxx!$G$104,[12]Tablexxxxx!$G$105,[12]Tablexxxxx!$G$106,[12]Tablexxxxx!$G$107,[12]Tablexxxxx!$G$108,[12]Tablexxxxx!$G$109,[12]Tablexxxxx!$G$110,[12]Tablexxxxx!$G$111,[12]Tablexxxxx!$G$112,[12]Tablexxxxx!$G$113,[12]Tablexxxxx!$G$114,[12]Tablexxxxx!$G$115,[12]Tablexxxxx!$G$116,[12]Tablexxxxx!$G$117</definedName>
    <definedName name="__APW_RESTORE_DATA671__" hidden="1">[12]Tablexxxxx!$G$118,[12]Tablexxxxx!$G$119,[12]Tablexxxxx!$G$120,[12]Tablexxxxx!$G$121,[12]Tablexxxxx!$G$122,[12]Tablexxxxx!$G$123,[12]Tablexxxxx!$G$124,[12]Tablexxxxx!$G$125,[12]Tablexxxxx!$G$126,[12]Tablexxxxx!$G$127,[12]Tablexxxxx!$G$128,[12]Tablexxxxx!$G$129,[12]Tablexxxxx!$G$130,[12]Tablexxxxx!$G$131,[12]Tablexxxxx!$G$132</definedName>
    <definedName name="__APW_RESTORE_DATA672__" hidden="1">[12]Tablexxxxx!$G$133,[12]Tablexxxxx!$G$134,[12]Tablexxxxx!$G$135,[12]Tablexxxxx!$G$136,[12]Tablexxxxx!$G$137,[12]Tablexxxxx!$G$138,[12]Tablexxxxx!$G$139,[12]Tablexxxxx!$G$140,[12]Tablexxxxx!$G$141,[12]Tablexxxxx!$G$142,[12]Tablexxxxx!$G$143,[12]Tablexxxxx!$G$144,[12]Tablexxxxx!$G$145,[12]Tablexxxxx!$G$146,[12]Tablexxxxx!$G$147</definedName>
    <definedName name="__APW_RESTORE_DATA673__" hidden="1">[12]Tablexxxxx!$G$148,[12]Tablexxxxx!$G$149,[12]Tablexxxxx!$G$150,[12]Tablexxxxx!$G$151,[12]Tablexxxxx!$G$152,[12]Tablexxxxx!$G$153,[12]Tablexxxxx!$G$154,[12]Tablexxxxx!$G$155,[12]Tablexxxxx!$G$156,[12]Tablexxxxx!$G$157,[12]Tablexxxxx!$G$158,[12]Tablexxxxx!$G$159,[12]Tablexxxxx!$G$160,[12]Tablexxxxx!$G$161,[12]Tablexxxxx!$G$162</definedName>
    <definedName name="__APW_RESTORE_DATA674__" hidden="1">[12]Tablexxxxx!$G$163,[12]Tablexxxxx!$G$164,[12]Tablexxxxx!$G$165,[12]Tablexxxxx!$G$166,[12]Tablexxxxx!$G$167,[12]Tablexxxxx!$G$168,[12]Tablexxxxx!$G$169,[12]Tablexxxxx!$G$170,[12]Tablexxxxx!$G$171,[12]Tablexxxxx!$G$172,[12]Tablexxxxx!$G$173,[12]Tablexxxxx!$G$174,[12]Tablexxxxx!$G$175,[12]Tablexxxxx!$G$176,[12]Tablexxxxx!$G$177</definedName>
    <definedName name="__APW_RESTORE_DATA675__" hidden="1">[12]Tablexxxxx!$G$178,[12]Tablexxxxx!$G$179,[12]Tablexxxxx!$G$180,[12]Tablexxxxx!$G$181,[12]Tablexxxxx!$G$182,[12]Tablexxxxx!$G$183,[12]Tablexxxxx!$G$184,[12]Tablexxxxx!$G$185,[12]Tablexxxxx!$G$186,[12]Tablexxxxx!$G$187,[12]Tablexxxxx!$G$188,[12]Tablexxxxx!$G$189,[12]Tablexxxxx!$G$190,[12]Tablexxxxx!$G$191,[12]Tablexxxxx!$G$192</definedName>
    <definedName name="__APW_RESTORE_DATA676__" hidden="1">[12]Tablexxxxx!$G$193,[12]Tablexxxxx!$G$194,[12]Tablexxxxx!$G$195,[12]Tablexxxxx!$G$196,[12]Tablexxxxx!$G$197,[12]Tablexxxxx!$G$198,[12]Tablexxxxx!$G$199,[12]Tablexxxxx!$G$200,[12]Tablexxxxx!$G$201,[12]Tablexxxxx!$G$202,[12]Tablexxxxx!$G$203,[12]Tablexxxxx!$G$204,[12]Tablexxxxx!$G$205,[12]Tablexxxxx!$G$206,[12]Tablexxxxx!$G$207</definedName>
    <definedName name="__APW_RESTORE_DATA677__" hidden="1">[12]Tablexxxxx!$G$208,[12]Tablexxxxx!$G$209,[12]Tablexxxxx!$G$210,[12]Tablexxxxx!$G$211,[12]Tablexxxxx!$G$212,[12]Tablexxxxx!$G$213,[12]Tablexxxxx!$G$214,[12]Tablexxxxx!$G$215,[12]Tablexxxxx!$G$216,[12]Tablexxxxx!$G$217,[12]Tablexxxxx!$G$218,[12]Tablexxxxx!$G$219,[12]Tablexxxxx!$G$220,[12]Tablexxxxx!$G$221,[12]Tablexxxxx!$G$222</definedName>
    <definedName name="__APW_RESTORE_DATA678__" hidden="1">[12]Tablexxxxx!$G$223,[12]Tablexxxxx!$G$224,[12]Tablexxxxx!$G$225,[12]Tablexxxxx!$G$226,[12]Tablexxxxx!$G$227,[12]Tablexxxxx!$G$228,[12]Tablexxxxx!$G$229,[12]Tablexxxxx!$G$230,[12]Tablexxxxx!$G$231,[12]Tablexxxxx!$G$232,[12]Tablexxxxx!$G$233,[12]Tablexxxxx!$G$234,[12]Tablexxxxx!$G$235,[12]Tablexxxxx!$G$236,[12]Tablexxxxx!$G$237</definedName>
    <definedName name="__APW_RESTORE_DATA679__" hidden="1">[12]Tablexxxxx!$G$238,[12]Tablexxxxx!$G$239,[12]Tablexxxxx!$G$240,[12]Tablexxxxx!$G$241,[12]Tablexxxxx!$G$242,[12]Tablexxxxx!$G$243,[12]Tablexxxxx!$G$244,[12]Tablexxxxx!$G$245,[12]Tablexxxxx!$G$246,[12]Tablexxxxx!$G$247,[12]Tablexxxxx!$G$248,[12]Tablexxxxx!$G$249,[12]Tablexxxxx!$G$250,[12]Tablexxxxx!$G$251,[12]Tablexxxxx!$G$252</definedName>
    <definedName name="__APW_RESTORE_DATA68__" hidden="1">#REF!,#REF!,#REF!,#REF!,#REF!,#REF!,#REF!,#REF!,#REF!,#REF!,#REF!,#REF!,#REF!,#REF!,#REF!</definedName>
    <definedName name="__APW_RESTORE_DATA680__" hidden="1">[12]Tablexxxxx!$G$253,[12]Tablexxxxx!$G$254,[12]Tablexxxxx!$G$255,[12]Tablexxxxx!$G$256,[12]Tablexxxxx!$G$257</definedName>
    <definedName name="__APW_RESTORE_DATA681__" hidden="1">[12]Tablexxxxx!$H$6,[12]Tablexxxxx!$H$7,[12]Tablexxxxx!$H$8,[12]Tablexxxxx!$H$9,[12]Tablexxxxx!$H$10,[12]Tablexxxxx!$H$11,[12]Tablexxxxx!$H$12,[12]Tablexxxxx!$H$13,[12]Tablexxxxx!$H$14,[12]Tablexxxxx!$H$15,[12]Tablexxxxx!$H$16,[12]Tablexxxxx!$H$17,[12]Tablexxxxx!$H$18,[12]Tablexxxxx!$H$19,[12]Tablexxxxx!$H$20,[12]Tablexxxxx!$H$21,[12]Tablexxxxx!$H$22</definedName>
    <definedName name="__APW_RESTORE_DATA682__" hidden="1">[12]Tablexxxxx!$H$23,[12]Tablexxxxx!$H$24,[12]Tablexxxxx!$H$25,[12]Tablexxxxx!$H$26,[12]Tablexxxxx!$H$27,[12]Tablexxxxx!$H$28,[12]Tablexxxxx!$H$29,[12]Tablexxxxx!$H$30,[12]Tablexxxxx!$H$31,[12]Tablexxxxx!$H$32,[12]Tablexxxxx!$H$33,[12]Tablexxxxx!$H$34,[12]Tablexxxxx!$H$35,[12]Tablexxxxx!$H$36,[12]Tablexxxxx!$H$37,[12]Tablexxxxx!$H$38</definedName>
    <definedName name="__APW_RESTORE_DATA683__" hidden="1">[12]Tablexxxxx!$H$39,[12]Tablexxxxx!$H$40,[12]Tablexxxxx!$H$41,[12]Tablexxxxx!$H$42,[12]Tablexxxxx!$H$43,[12]Tablexxxxx!$H$44,[12]Tablexxxxx!$H$45,[12]Tablexxxxx!$H$46,[12]Tablexxxxx!$H$47,[12]Tablexxxxx!$H$48,[12]Tablexxxxx!$H$49,[12]Tablexxxxx!$H$50,[12]Tablexxxxx!$H$51,[12]Tablexxxxx!$H$52,[12]Tablexxxxx!$H$53,[12]Tablexxxxx!$H$54</definedName>
    <definedName name="__APW_RESTORE_DATA684__" hidden="1">[12]Tablexxxxx!$H$55,[12]Tablexxxxx!$H$56,[12]Tablexxxxx!$H$57,[12]Tablexxxxx!$H$58,[12]Tablexxxxx!$H$59,[12]Tablexxxxx!$H$60,[12]Tablexxxxx!$H$61,[12]Tablexxxxx!$H$62,[12]Tablexxxxx!$H$63,[12]Tablexxxxx!$H$64,[12]Tablexxxxx!$H$65,[12]Tablexxxxx!$H$66,[12]Tablexxxxx!$H$67,[12]Tablexxxxx!$H$68,[12]Tablexxxxx!$H$69,[12]Tablexxxxx!$H$70</definedName>
    <definedName name="__APW_RESTORE_DATA685__" hidden="1">[12]Tablexxxxx!$H$71,[12]Tablexxxxx!$H$72,[12]Tablexxxxx!$H$73,[12]Tablexxxxx!$H$74,[12]Tablexxxxx!$H$75,[12]Tablexxxxx!$H$76,[12]Tablexxxxx!$H$77,[12]Tablexxxxx!$H$78,[12]Tablexxxxx!$H$79,[12]Tablexxxxx!$H$80,[12]Tablexxxxx!$H$81,[12]Tablexxxxx!$H$82,[12]Tablexxxxx!$H$83,[12]Tablexxxxx!$H$84,[12]Tablexxxxx!$H$85,[12]Tablexxxxx!$H$86</definedName>
    <definedName name="__APW_RESTORE_DATA686__" hidden="1">[12]Tablexxxxx!$H$87,[12]Tablexxxxx!$H$88,[12]Tablexxxxx!$H$89,[12]Tablexxxxx!$H$90,[12]Tablexxxxx!$H$91,[12]Tablexxxxx!$H$92,[12]Tablexxxxx!$H$93,[12]Tablexxxxx!$H$94,[12]Tablexxxxx!$H$95,[12]Tablexxxxx!$H$96,[12]Tablexxxxx!$H$97,[12]Tablexxxxx!$H$98,[12]Tablexxxxx!$H$99,[12]Tablexxxxx!$H$100,[12]Tablexxxxx!$H$101,[12]Tablexxxxx!$H$102</definedName>
    <definedName name="__APW_RESTORE_DATA687__" hidden="1">[12]Tablexxxxx!$H$103,[12]Tablexxxxx!$H$104,[12]Tablexxxxx!$H$105,[12]Tablexxxxx!$H$106,[12]Tablexxxxx!$H$107,[12]Tablexxxxx!$H$108,[12]Tablexxxxx!$H$109,[12]Tablexxxxx!$H$110,[12]Tablexxxxx!$H$111,[12]Tablexxxxx!$H$112,[12]Tablexxxxx!$H$113,[12]Tablexxxxx!$H$114,[12]Tablexxxxx!$H$115,[12]Tablexxxxx!$H$116,[12]Tablexxxxx!$H$117</definedName>
    <definedName name="__APW_RESTORE_DATA688__" hidden="1">[12]Tablexxxxx!$H$118,[12]Tablexxxxx!$H$119,[12]Tablexxxxx!$H$120,[12]Tablexxxxx!$H$121,[12]Tablexxxxx!$H$122,[12]Tablexxxxx!$H$123,[12]Tablexxxxx!$H$124,[12]Tablexxxxx!$H$125,[12]Tablexxxxx!$H$126,[12]Tablexxxxx!$H$127,[12]Tablexxxxx!$H$128,[12]Tablexxxxx!$H$129,[12]Tablexxxxx!$H$130,[12]Tablexxxxx!$H$131,[12]Tablexxxxx!$H$132</definedName>
    <definedName name="__APW_RESTORE_DATA689__" hidden="1">[12]Tablexxxxx!$H$133,[12]Tablexxxxx!$H$134,[12]Tablexxxxx!$H$135,[12]Tablexxxxx!$H$136,[12]Tablexxxxx!$H$137,[12]Tablexxxxx!$H$138,[12]Tablexxxxx!$H$139,[12]Tablexxxxx!$H$140,[12]Tablexxxxx!$H$141,[12]Tablexxxxx!$H$142,[12]Tablexxxxx!$H$143,[12]Tablexxxxx!$H$144,[12]Tablexxxxx!$H$145,[12]Tablexxxxx!$H$146,[12]Tablexxxxx!$H$147</definedName>
    <definedName name="__APW_RESTORE_DATA69__" hidden="1">#REF!,#REF!,#REF!,#REF!,#REF!,#REF!,#REF!,#REF!,#REF!,#REF!,#REF!,#REF!,#REF!,#REF!,#REF!</definedName>
    <definedName name="__APW_RESTORE_DATA690__" hidden="1">[12]Tablexxxxx!$H$148,[12]Tablexxxxx!$H$149,[12]Tablexxxxx!$H$150,[12]Tablexxxxx!$H$151,[12]Tablexxxxx!$H$152,[12]Tablexxxxx!$H$153,[12]Tablexxxxx!$H$154,[12]Tablexxxxx!$H$155,[12]Tablexxxxx!$H$156,[12]Tablexxxxx!$H$157,[12]Tablexxxxx!$H$158,[12]Tablexxxxx!$H$159,[12]Tablexxxxx!$H$160,[12]Tablexxxxx!$H$161,[12]Tablexxxxx!$H$162</definedName>
    <definedName name="__APW_RESTORE_DATA691__" hidden="1">[12]Tablexxxxx!$H$163,[12]Tablexxxxx!$H$164,[12]Tablexxxxx!$H$165,[12]Tablexxxxx!$H$166,[12]Tablexxxxx!$H$167,[12]Tablexxxxx!$H$168,[12]Tablexxxxx!$H$169,[12]Tablexxxxx!$H$170,[12]Tablexxxxx!$H$171,[12]Tablexxxxx!$H$172,[12]Tablexxxxx!$H$173,[12]Tablexxxxx!$H$174,[12]Tablexxxxx!$H$175,[12]Tablexxxxx!$H$176,[12]Tablexxxxx!$H$177</definedName>
    <definedName name="__APW_RESTORE_DATA692__" hidden="1">[12]Tablexxxxx!$H$178,[12]Tablexxxxx!$H$179,[12]Tablexxxxx!$H$180,[12]Tablexxxxx!$H$181,[12]Tablexxxxx!$H$182,[12]Tablexxxxx!$H$183,[12]Tablexxxxx!$H$184,[12]Tablexxxxx!$H$185,[12]Tablexxxxx!$H$186,[12]Tablexxxxx!$H$187,[12]Tablexxxxx!$H$188,[12]Tablexxxxx!$H$189,[12]Tablexxxxx!$H$190,[12]Tablexxxxx!$H$191,[12]Tablexxxxx!$H$192</definedName>
    <definedName name="__APW_RESTORE_DATA693__" hidden="1">[12]Tablexxxxx!$H$193,[12]Tablexxxxx!$H$194,[12]Tablexxxxx!$H$195,[12]Tablexxxxx!$H$196,[12]Tablexxxxx!$H$197,[12]Tablexxxxx!$H$198,[12]Tablexxxxx!$H$199,[12]Tablexxxxx!$H$200,[12]Tablexxxxx!$H$201,[12]Tablexxxxx!$H$202,[12]Tablexxxxx!$H$203,[12]Tablexxxxx!$H$204,[12]Tablexxxxx!$H$205,[12]Tablexxxxx!$H$206,[12]Tablexxxxx!$H$207</definedName>
    <definedName name="__APW_RESTORE_DATA694__" hidden="1">[12]Tablexxxxx!$H$208,[12]Tablexxxxx!$H$209,[12]Tablexxxxx!$H$210,[12]Tablexxxxx!$H$211,[12]Tablexxxxx!$H$212,[12]Tablexxxxx!$H$213,[12]Tablexxxxx!$H$214,[12]Tablexxxxx!$H$215,[12]Tablexxxxx!$H$216,[12]Tablexxxxx!$H$217,[12]Tablexxxxx!$H$218,[12]Tablexxxxx!$H$219,[12]Tablexxxxx!$H$220,[12]Tablexxxxx!$H$221,[12]Tablexxxxx!$H$222</definedName>
    <definedName name="__APW_RESTORE_DATA695__" hidden="1">[12]Tablexxxxx!$H$223,[12]Tablexxxxx!$H$224,[12]Tablexxxxx!$H$225,[12]Tablexxxxx!$H$226,[12]Tablexxxxx!$H$227,[12]Tablexxxxx!$H$228,[12]Tablexxxxx!$H$229,[12]Tablexxxxx!$H$230,[12]Tablexxxxx!$H$231,[12]Tablexxxxx!$H$232,[12]Tablexxxxx!$H$233,[12]Tablexxxxx!$H$234,[12]Tablexxxxx!$H$235,[12]Tablexxxxx!$H$236,[12]Tablexxxxx!$H$237</definedName>
    <definedName name="__APW_RESTORE_DATA696__" hidden="1">[12]Tablexxxxx!$H$238,[12]Tablexxxxx!$H$239,[12]Tablexxxxx!$H$240,[12]Tablexxxxx!$H$241,[12]Tablexxxxx!$H$242,[12]Tablexxxxx!$H$243,[12]Tablexxxxx!$H$244,[12]Tablexxxxx!$H$245,[12]Tablexxxxx!$H$246,[12]Tablexxxxx!$H$247,[12]Tablexxxxx!$H$248,[12]Tablexxxxx!$H$249,[12]Tablexxxxx!$H$250,[12]Tablexxxxx!$H$251,[12]Tablexxxxx!$H$252</definedName>
    <definedName name="__APW_RESTORE_DATA697__" hidden="1">[12]Tablexxxxx!$H$253,[12]Tablexxxxx!$H$254,[12]Tablexxxxx!$H$255,[12]Tablexxxxx!$H$256,[12]Tablexxxxx!$H$257</definedName>
    <definedName name="__APW_RESTORE_DATA698__" hidden="1">[12]Tablexxxxx!$I$6,[12]Tablexxxxx!$I$7,[12]Tablexxxxx!$I$8,[12]Tablexxxxx!$I$9,[12]Tablexxxxx!$I$10,[12]Tablexxxxx!$I$11,[12]Tablexxxxx!$I$12,[12]Tablexxxxx!$I$13,[12]Tablexxxxx!$I$14,[12]Tablexxxxx!$I$15,[12]Tablexxxxx!$I$16,[12]Tablexxxxx!$I$17,[12]Tablexxxxx!$I$18,[12]Tablexxxxx!$I$19,[12]Tablexxxxx!$I$20,[12]Tablexxxxx!$I$21,[12]Tablexxxxx!$I$22</definedName>
    <definedName name="__APW_RESTORE_DATA699__" hidden="1">[12]Tablexxxxx!$I$23,[12]Tablexxxxx!$I$24,[12]Tablexxxxx!$I$25,[12]Tablexxxxx!$I$26,[12]Tablexxxxx!$I$27,[12]Tablexxxxx!$I$28,[12]Tablexxxxx!$I$29,[12]Tablexxxxx!$I$30,[12]Tablexxxxx!$I$31,[12]Tablexxxxx!$I$32,[12]Tablexxxxx!$I$33,[12]Tablexxxxx!$I$34,[12]Tablexxxxx!$I$35,[12]Tablexxxxx!$I$36,[12]Tablexxxxx!$I$37,[12]Tablexxxxx!$I$38</definedName>
    <definedName name="__APW_RESTORE_DATA7__" hidden="1">#REF!,#REF!,#REF!,#REF!,#REF!,#REF!,#REF!,#REF!,#REF!,#REF!,#REF!,#REF!,#REF!,#REF!,#REF!</definedName>
    <definedName name="__APW_RESTORE_DATA70__" hidden="1">#REF!,#REF!,#REF!,#REF!,#REF!,#REF!,#REF!,#REF!,#REF!,#REF!,#REF!,#REF!,#REF!,#REF!,#REF!</definedName>
    <definedName name="__APW_RESTORE_DATA700__" hidden="1">[12]Tablexxxxx!$I$39,[12]Tablexxxxx!$I$40,[12]Tablexxxxx!$I$41,[12]Tablexxxxx!$I$42,[12]Tablexxxxx!$I$43,[12]Tablexxxxx!$I$44,[12]Tablexxxxx!$I$45,[12]Tablexxxxx!$I$46,[12]Tablexxxxx!$I$47,[12]Tablexxxxx!$I$48,[12]Tablexxxxx!$I$49,[12]Tablexxxxx!$I$50,[12]Tablexxxxx!$I$51,[12]Tablexxxxx!$I$52,[12]Tablexxxxx!$I$53,[12]Tablexxxxx!$I$54</definedName>
    <definedName name="__APW_RESTORE_DATA701__" hidden="1">[12]Tablexxxxx!$I$55,[12]Tablexxxxx!$I$56,[12]Tablexxxxx!$I$57,[12]Tablexxxxx!$I$58,[12]Tablexxxxx!$I$59,[12]Tablexxxxx!$I$60,[12]Tablexxxxx!$I$61,[12]Tablexxxxx!$I$62,[12]Tablexxxxx!$I$63,[12]Tablexxxxx!$I$64,[12]Tablexxxxx!$I$65,[12]Tablexxxxx!$I$66,[12]Tablexxxxx!$I$67,[12]Tablexxxxx!$I$68,[12]Tablexxxxx!$I$69,[12]Tablexxxxx!$I$70</definedName>
    <definedName name="__APW_RESTORE_DATA702__" hidden="1">[12]Tablexxxxx!$I$71,[12]Tablexxxxx!$I$72,[12]Tablexxxxx!$I$73,[12]Tablexxxxx!$I$74,[12]Tablexxxxx!$I$75,[12]Tablexxxxx!$I$76,[12]Tablexxxxx!$I$77,[12]Tablexxxxx!$I$78,[12]Tablexxxxx!$I$79,[12]Tablexxxxx!$I$80,[12]Tablexxxxx!$I$81,[12]Tablexxxxx!$I$82,[12]Tablexxxxx!$I$83,[12]Tablexxxxx!$I$84,[12]Tablexxxxx!$I$85,[12]Tablexxxxx!$I$86</definedName>
    <definedName name="__APW_RESTORE_DATA703__" hidden="1">[12]Tablexxxxx!$I$87,[12]Tablexxxxx!$I$88,[12]Tablexxxxx!$I$89,[12]Tablexxxxx!$I$90,[12]Tablexxxxx!$I$91,[12]Tablexxxxx!$I$92,[12]Tablexxxxx!$I$93,[12]Tablexxxxx!$I$94,[12]Tablexxxxx!$I$95,[12]Tablexxxxx!$I$96,[12]Tablexxxxx!$I$97,[12]Tablexxxxx!$I$98,[12]Tablexxxxx!$I$99,[12]Tablexxxxx!$I$100,[12]Tablexxxxx!$I$101,[12]Tablexxxxx!$I$102</definedName>
    <definedName name="__APW_RESTORE_DATA704__" hidden="1">[12]Tablexxxxx!$I$103,[12]Tablexxxxx!$I$104,[12]Tablexxxxx!$I$105,[12]Tablexxxxx!$I$106,[12]Tablexxxxx!$I$107,[12]Tablexxxxx!$I$108,[12]Tablexxxxx!$I$109,[12]Tablexxxxx!$I$110,[12]Tablexxxxx!$I$111,[12]Tablexxxxx!$I$112,[12]Tablexxxxx!$I$113,[12]Tablexxxxx!$I$114,[12]Tablexxxxx!$I$115,[12]Tablexxxxx!$I$116,[12]Tablexxxxx!$I$117</definedName>
    <definedName name="__APW_RESTORE_DATA705__" hidden="1">#REF!,#REF!,#REF!,#REF!,#REF!,#REF!,#REF!,#REF!,#REF!,#REF!,#REF!,#REF!,#REF!,#REF!,#REF!,#REF!,#REF!</definedName>
    <definedName name="__APW_RESTORE_DATA706__" hidden="1">#REF!,#REF!,#REF!,#REF!,#REF!,#REF!,#REF!,#REF!,#REF!,#REF!,#REF!,#REF!,#REF!,#REF!,#REF!,#REF!</definedName>
    <definedName name="__APW_RESTORE_DATA707__" hidden="1">#REF!,#REF!,#REF!,#REF!,#REF!,#REF!,#REF!,#REF!,#REF!,#REF!,#REF!,#REF!,#REF!,#REF!,#REF!,#REF!</definedName>
    <definedName name="__APW_RESTORE_DATA708__" hidden="1">#REF!,#REF!,#REF!,#REF!,#REF!,#REF!,#REF!,#REF!,#REF!,#REF!,#REF!,#REF!,#REF!,#REF!,#REF!,#REF!</definedName>
    <definedName name="__APW_RESTORE_DATA709__" hidden="1">#REF!,#REF!,#REF!,#REF!,#REF!,#REF!,#REF!,#REF!,#REF!,#REF!,#REF!,#REF!,#REF!,#REF!,#REF!,#REF!</definedName>
    <definedName name="__APW_RESTORE_DATA71__" hidden="1">#REF!,#REF!,#REF!,#REF!,#REF!,#REF!</definedName>
    <definedName name="__APW_RESTORE_DATA710__" hidden="1">#REF!,#REF!,#REF!,#REF!,#REF!,#REF!,#REF!,#REF!,#REF!,#REF!,#REF!,#REF!,#REF!,#REF!,#REF!,#REF!</definedName>
    <definedName name="__APW_RESTORE_DATA711__" hidden="1">#REF!,#REF!,#REF!,#REF!,#REF!,#REF!,#REF!,#REF!,#REF!,#REF!,#REF!,#REF!,#REF!,#REF!,#REF!</definedName>
    <definedName name="__APW_RESTORE_DATA712__" hidden="1">#REF!,#REF!,#REF!,#REF!,#REF!,#REF!,#REF!,#REF!,#REF!,#REF!,#REF!,#REF!,#REF!,#REF!,#REF!</definedName>
    <definedName name="__APW_RESTORE_DATA713__" hidden="1">#REF!,#REF!,#REF!,#REF!,#REF!,#REF!,#REF!,#REF!,#REF!,#REF!,#REF!,#REF!,#REF!,#REF!,#REF!</definedName>
    <definedName name="__APW_RESTORE_DATA714__" hidden="1">#REF!,#REF!,#REF!,#REF!,#REF!,#REF!,#REF!,#REF!,#REF!,#REF!,#REF!,#REF!,#REF!,#REF!,#REF!</definedName>
    <definedName name="__APW_RESTORE_DATA715__" hidden="1">#REF!,#REF!,#REF!,#REF!,#REF!,#REF!,#REF!,#REF!,#REF!,#REF!,#REF!,#REF!,#REF!,#REF!,#REF!</definedName>
    <definedName name="__APW_RESTORE_DATA716__" hidden="1">#REF!,#REF!,#REF!,#REF!,#REF!,#REF!,#REF!,#REF!,#REF!,#REF!,#REF!,#REF!,#REF!,#REF!,#REF!</definedName>
    <definedName name="__APW_RESTORE_DATA717__" hidden="1">#REF!,#REF!,#REF!,#REF!,#REF!,#REF!,#REF!,#REF!,#REF!,#REF!,#REF!,#REF!,#REF!,#REF!,#REF!</definedName>
    <definedName name="__APW_RESTORE_DATA718__" hidden="1">#REF!,#REF!,#REF!,#REF!,#REF!,#REF!,#REF!,#REF!,#REF!,#REF!,#REF!,#REF!,#REF!,#REF!,#REF!</definedName>
    <definedName name="__APW_RESTORE_DATA719__" hidden="1">#REF!,#REF!,#REF!,#REF!,#REF!,#REF!,#REF!,#REF!,#REF!</definedName>
    <definedName name="__APW_RESTORE_DATA72__" hidden="1">#REF!,#REF!,#REF!,#REF!,#REF!,#REF!,#REF!,#REF!,#REF!,#REF!,#REF!,#REF!,#REF!,#REF!,#REF!,#REF!,#REF!</definedName>
    <definedName name="__APW_RESTORE_DATA720__" hidden="1">#REF!,#REF!,#REF!,#REF!,#REF!,#REF!,#REF!,#REF!,#REF!,#REF!,#REF!,#REF!,#REF!,#REF!,#REF!,#REF!,#REF!</definedName>
    <definedName name="__APW_RESTORE_DATA721__" hidden="1">#REF!,#REF!,#REF!,#REF!,#REF!,#REF!,#REF!,#REF!,#REF!,#REF!,#REF!,#REF!,#REF!,#REF!,#REF!,#REF!</definedName>
    <definedName name="__APW_RESTORE_DATA722__" hidden="1">#REF!,#REF!,#REF!,#REF!,#REF!,#REF!,#REF!,#REF!,#REF!,#REF!,#REF!,#REF!,#REF!,#REF!,#REF!,#REF!</definedName>
    <definedName name="__APW_RESTORE_DATA723__" hidden="1">#REF!,#REF!,#REF!,#REF!,#REF!,#REF!,#REF!,#REF!,#REF!,#REF!,#REF!,#REF!,#REF!,#REF!,#REF!,#REF!</definedName>
    <definedName name="__APW_RESTORE_DATA724__" hidden="1">#REF!,#REF!,#REF!,#REF!,#REF!,#REF!,#REF!,#REF!,#REF!,#REF!,#REF!,#REF!,#REF!,#REF!,#REF!,#REF!</definedName>
    <definedName name="__APW_RESTORE_DATA725__" hidden="1">#REF!,#REF!,#REF!,#REF!,#REF!,#REF!,#REF!,#REF!,#REF!,#REF!,#REF!,#REF!,#REF!,#REF!,#REF!,#REF!</definedName>
    <definedName name="__APW_RESTORE_DATA726__" hidden="1">#REF!,#REF!,#REF!,#REF!,#REF!,#REF!,#REF!,#REF!,#REF!,#REF!,#REF!,#REF!,#REF!,#REF!,#REF!</definedName>
    <definedName name="__APW_RESTORE_DATA727__" hidden="1">#REF!,#REF!,#REF!,#REF!,#REF!,#REF!,#REF!,#REF!,#REF!,#REF!,#REF!,#REF!,#REF!,#REF!,#REF!</definedName>
    <definedName name="__APW_RESTORE_DATA728__" hidden="1">#REF!,#REF!,#REF!,#REF!,#REF!,#REF!,#REF!,#REF!,#REF!,#REF!,#REF!,#REF!,#REF!,#REF!,#REF!</definedName>
    <definedName name="__APW_RESTORE_DATA729__" hidden="1">#REF!,#REF!,#REF!,#REF!,#REF!,#REF!,#REF!,#REF!,#REF!,#REF!,#REF!,#REF!,#REF!,#REF!,#REF!</definedName>
    <definedName name="__APW_RESTORE_DATA73__" hidden="1">#REF!,#REF!,#REF!,#REF!,#REF!,#REF!,#REF!,#REF!,#REF!,#REF!,#REF!,#REF!,#REF!,#REF!,#REF!,#REF!</definedName>
    <definedName name="__APW_RESTORE_DATA730__" hidden="1">#REF!,#REF!,#REF!,#REF!,#REF!,#REF!,#REF!,#REF!,#REF!,#REF!,#REF!,#REF!,#REF!,#REF!,#REF!</definedName>
    <definedName name="__APW_RESTORE_DATA731__" hidden="1">#REF!,#REF!,#REF!,#REF!,#REF!,#REF!,#REF!,#REF!,#REF!,#REF!,#REF!,#REF!,#REF!,#REF!,#REF!</definedName>
    <definedName name="__APW_RESTORE_DATA732__" hidden="1">#REF!,#REF!,#REF!,#REF!,#REF!,#REF!,#REF!,#REF!,#REF!,#REF!,#REF!,#REF!,#REF!,#REF!,#REF!</definedName>
    <definedName name="__APW_RESTORE_DATA733__" hidden="1">#REF!,#REF!,#REF!,#REF!,#REF!,#REF!,#REF!,#REF!,#REF!,#REF!,#REF!,#REF!,#REF!,#REF!,#REF!</definedName>
    <definedName name="__APW_RESTORE_DATA734__" hidden="1">#REF!,#REF!,#REF!,#REF!,#REF!,#REF!,#REF!,#REF!,#REF!</definedName>
    <definedName name="__APW_RESTORE_DATA735__" hidden="1">#REF!,#REF!,#REF!,#REF!,#REF!,#REF!,#REF!,#REF!,#REF!,#REF!,#REF!,#REF!,#REF!,#REF!,#REF!,#REF!,#REF!</definedName>
    <definedName name="__APW_RESTORE_DATA736__" hidden="1">#REF!,#REF!,#REF!,#REF!,#REF!,#REF!,#REF!,#REF!,#REF!,#REF!,#REF!,#REF!,#REF!,#REF!,#REF!,#REF!</definedName>
    <definedName name="__APW_RESTORE_DATA737__" hidden="1">#REF!,#REF!,#REF!,#REF!,#REF!,#REF!,#REF!,#REF!,#REF!,#REF!,#REF!,#REF!,#REF!,#REF!,#REF!,#REF!</definedName>
    <definedName name="__APW_RESTORE_DATA738__" hidden="1">#REF!,#REF!,#REF!,#REF!,#REF!,#REF!,#REF!,#REF!,#REF!,#REF!,#REF!,#REF!,#REF!,#REF!,#REF!,#REF!</definedName>
    <definedName name="__APW_RESTORE_DATA739__" hidden="1">#REF!,#REF!,#REF!,#REF!,#REF!,#REF!,#REF!,#REF!,#REF!,#REF!,#REF!,#REF!,#REF!,#REF!,#REF!,#REF!</definedName>
    <definedName name="__APW_RESTORE_DATA74__" hidden="1">#REF!,#REF!,#REF!,#REF!,#REF!,#REF!,#REF!,#REF!,#REF!,#REF!,#REF!,#REF!,#REF!,#REF!,#REF!,#REF!</definedName>
    <definedName name="__APW_RESTORE_DATA740__" hidden="1">#REF!,#REF!,#REF!,#REF!,#REF!,#REF!,#REF!,#REF!,#REF!,#REF!,#REF!,#REF!,#REF!,#REF!,#REF!,#REF!</definedName>
    <definedName name="__APW_RESTORE_DATA741__" hidden="1">#REF!,#REF!,#REF!,#REF!,#REF!,#REF!,#REF!,#REF!,#REF!,#REF!,#REF!,#REF!,#REF!,#REF!,#REF!</definedName>
    <definedName name="__APW_RESTORE_DATA742__" hidden="1">#REF!,#REF!,#REF!,#REF!,#REF!,#REF!,#REF!,#REF!,#REF!,#REF!,#REF!,#REF!,#REF!,#REF!,#REF!</definedName>
    <definedName name="__APW_RESTORE_DATA743__" hidden="1">#REF!,#REF!,#REF!,#REF!,#REF!,#REF!,#REF!,#REF!,#REF!,#REF!,#REF!,#REF!,#REF!,#REF!,#REF!</definedName>
    <definedName name="__APW_RESTORE_DATA744__" hidden="1">#REF!,#REF!,#REF!,#REF!,#REF!,#REF!,#REF!,#REF!,#REF!,#REF!,#REF!,#REF!,#REF!,#REF!,#REF!</definedName>
    <definedName name="__APW_RESTORE_DATA745__" hidden="1">#REF!,#REF!,#REF!,#REF!,#REF!,#REF!,#REF!,#REF!,#REF!,#REF!,#REF!,#REF!,#REF!,#REF!,#REF!</definedName>
    <definedName name="__APW_RESTORE_DATA746__" hidden="1">#REF!,#REF!,#REF!,#REF!,#REF!,#REF!,#REF!,#REF!,#REF!,#REF!,#REF!,#REF!,#REF!,#REF!,#REF!</definedName>
    <definedName name="__APW_RESTORE_DATA747__" hidden="1">#REF!,#REF!,#REF!,#REF!,#REF!,#REF!,#REF!,#REF!,#REF!,#REF!,#REF!,#REF!,#REF!,#REF!,#REF!</definedName>
    <definedName name="__APW_RESTORE_DATA748__" hidden="1">#REF!,#REF!,#REF!,#REF!,#REF!,#REF!,#REF!,#REF!,#REF!,#REF!,#REF!,#REF!,#REF!,#REF!,#REF!</definedName>
    <definedName name="__APW_RESTORE_DATA749__" hidden="1">#REF!,#REF!,#REF!,#REF!,#REF!,#REF!,#REF!,#REF!,#REF!</definedName>
    <definedName name="__APW_RESTORE_DATA75__" hidden="1">#REF!,#REF!,#REF!,#REF!,#REF!,#REF!,#REF!,#REF!,#REF!,#REF!,#REF!,#REF!,#REF!,#REF!,#REF!,#REF!</definedName>
    <definedName name="__APW_RESTORE_DATA750__" hidden="1">#REF!,#REF!,#REF!,#REF!,#REF!,#REF!,#REF!,#REF!,#REF!,#REF!,#REF!,#REF!,#REF!,#REF!,#REF!,#REF!,#REF!</definedName>
    <definedName name="__APW_RESTORE_DATA751__" hidden="1">#REF!,#REF!,#REF!,#REF!,#REF!,#REF!,#REF!,#REF!,#REF!,#REF!,#REF!,#REF!,#REF!,#REF!,#REF!,#REF!</definedName>
    <definedName name="__APW_RESTORE_DATA752__" hidden="1">#REF!,#REF!,#REF!,#REF!,#REF!,#REF!,#REF!,#REF!,#REF!,#REF!,#REF!,#REF!,#REF!,#REF!,#REF!,#REF!</definedName>
    <definedName name="__APW_RESTORE_DATA753__" hidden="1">#REF!,#REF!,#REF!,#REF!,#REF!,#REF!,#REF!,#REF!,#REF!,#REF!,#REF!,#REF!,#REF!,#REF!,#REF!,#REF!</definedName>
    <definedName name="__APW_RESTORE_DATA754__" hidden="1">#REF!,#REF!,#REF!,#REF!,#REF!,#REF!,#REF!,#REF!,#REF!,#REF!,#REF!,#REF!,#REF!,#REF!,#REF!,#REF!</definedName>
    <definedName name="__APW_RESTORE_DATA755__" hidden="1">#REF!,#REF!,#REF!,#REF!,#REF!,#REF!,#REF!,#REF!,#REF!,#REF!,#REF!,#REF!,#REF!,#REF!,#REF!,#REF!</definedName>
    <definedName name="__APW_RESTORE_DATA756__" hidden="1">#REF!,#REF!,#REF!,#REF!,#REF!,#REF!,#REF!,#REF!,#REF!,#REF!,#REF!,#REF!,#REF!,#REF!,#REF!</definedName>
    <definedName name="__APW_RESTORE_DATA757__" hidden="1">#REF!,#REF!,#REF!,#REF!,#REF!,#REF!,#REF!,#REF!,#REF!,#REF!,#REF!,#REF!,#REF!,#REF!,#REF!</definedName>
    <definedName name="__APW_RESTORE_DATA758__" hidden="1">#REF!,#REF!,#REF!,#REF!,#REF!,#REF!,#REF!,#REF!,#REF!,#REF!,#REF!,#REF!,#REF!,#REF!,#REF!</definedName>
    <definedName name="__APW_RESTORE_DATA759__" hidden="1">#REF!,#REF!,#REF!,#REF!,#REF!,#REF!,#REF!,#REF!,#REF!,#REF!,#REF!,#REF!,#REF!,#REF!,#REF!</definedName>
    <definedName name="__APW_RESTORE_DATA76__" hidden="1">#REF!,#REF!,#REF!,#REF!,#REF!,#REF!,#REF!,#REF!,#REF!,#REF!,#REF!,#REF!,#REF!,#REF!,#REF!,#REF!</definedName>
    <definedName name="__APW_RESTORE_DATA760__" hidden="1">#REF!,#REF!,#REF!,#REF!,#REF!,#REF!,#REF!,#REF!,#REF!,#REF!,#REF!,#REF!,#REF!,#REF!,#REF!</definedName>
    <definedName name="__APW_RESTORE_DATA761__" hidden="1">#REF!,#REF!,#REF!,#REF!,#REF!,#REF!,#REF!,#REF!,#REF!,#REF!,#REF!,#REF!,#REF!,#REF!,#REF!</definedName>
    <definedName name="__APW_RESTORE_DATA762__" hidden="1">#REF!,#REF!,#REF!,#REF!,#REF!,#REF!,#REF!,#REF!,#REF!,#REF!,#REF!,#REF!,#REF!,#REF!,#REF!</definedName>
    <definedName name="__APW_RESTORE_DATA763__" hidden="1">#REF!,#REF!,#REF!,#REF!,#REF!,#REF!,#REF!,#REF!,#REF!,#REF!,#REF!,#REF!,#REF!,#REF!,#REF!</definedName>
    <definedName name="__APW_RESTORE_DATA764__" hidden="1">#REF!,#REF!,#REF!,#REF!,#REF!,#REF!,#REF!,#REF!,#REF!</definedName>
    <definedName name="__APW_RESTORE_DATA765__" hidden="1">#REF!,#REF!,#REF!,#REF!,#REF!,#REF!,#REF!,#REF!,#REF!,#REF!,#REF!,#REF!,#REF!,#REF!,#REF!,#REF!,#REF!</definedName>
    <definedName name="__APW_RESTORE_DATA766__" hidden="1">#REF!,#REF!,#REF!,#REF!,#REF!,#REF!,#REF!,#REF!,#REF!,#REF!,#REF!,#REF!,#REF!,#REF!,#REF!,#REF!</definedName>
    <definedName name="__APW_RESTORE_DATA767__" hidden="1">#REF!,#REF!,#REF!,#REF!,#REF!,#REF!,#REF!,#REF!,#REF!,#REF!,#REF!,#REF!,#REF!,#REF!,#REF!,#REF!</definedName>
    <definedName name="__APW_RESTORE_DATA768__" hidden="1">#REF!,#REF!,#REF!,#REF!,#REF!,#REF!,#REF!,#REF!,#REF!,#REF!,#REF!,#REF!,#REF!,#REF!,#REF!,#REF!</definedName>
    <definedName name="__APW_RESTORE_DATA769__" hidden="1">#REF!,#REF!,#REF!,#REF!,#REF!,#REF!,#REF!,#REF!,#REF!,#REF!,#REF!,#REF!,#REF!,#REF!,#REF!,#REF!</definedName>
    <definedName name="__APW_RESTORE_DATA77__" hidden="1">#REF!,#REF!,#REF!,#REF!,#REF!,#REF!,#REF!,#REF!,#REF!,#REF!,#REF!,#REF!,#REF!,#REF!,#REF!,#REF!</definedName>
    <definedName name="__APW_RESTORE_DATA770__" hidden="1">#REF!,#REF!,#REF!,#REF!,#REF!,#REF!,#REF!,#REF!,#REF!,#REF!,#REF!,#REF!,#REF!,#REF!,#REF!,#REF!</definedName>
    <definedName name="__APW_RESTORE_DATA771__" hidden="1">#REF!,#REF!,#REF!,#REF!,#REF!,#REF!,#REF!,#REF!,#REF!,#REF!,#REF!,#REF!,#REF!,#REF!,#REF!</definedName>
    <definedName name="__APW_RESTORE_DATA772__" hidden="1">#REF!,#REF!,#REF!,#REF!,#REF!,#REF!,#REF!,#REF!,#REF!,#REF!,#REF!,#REF!,#REF!,#REF!,#REF!</definedName>
    <definedName name="__APW_RESTORE_DATA773__" hidden="1">#REF!,#REF!,#REF!,#REF!,#REF!,#REF!,#REF!,#REF!,#REF!,#REF!,#REF!,#REF!,#REF!,#REF!,#REF!</definedName>
    <definedName name="__APW_RESTORE_DATA774__" hidden="1">#REF!,#REF!,#REF!,#REF!,#REF!,#REF!,#REF!,#REF!,#REF!,#REF!,#REF!,#REF!,#REF!,#REF!,#REF!</definedName>
    <definedName name="__APW_RESTORE_DATA775__" hidden="1">#REF!,#REF!,#REF!,#REF!,#REF!,#REF!,#REF!,#REF!,#REF!,#REF!,#REF!,#REF!,#REF!,#REF!,#REF!</definedName>
    <definedName name="__APW_RESTORE_DATA776__" hidden="1">#REF!,#REF!,#REF!,#REF!,#REF!,#REF!,#REF!,#REF!,#REF!,#REF!,#REF!,#REF!,#REF!,#REF!,#REF!</definedName>
    <definedName name="__APW_RESTORE_DATA777__" hidden="1">#REF!,#REF!,#REF!,#REF!,#REF!,#REF!,#REF!,#REF!,#REF!,#REF!,#REF!,#REF!,#REF!,#REF!,#REF!</definedName>
    <definedName name="__APW_RESTORE_DATA778__" hidden="1">#REF!,#REF!,#REF!,#REF!,#REF!,#REF!,#REF!,#REF!,#REF!,#REF!,#REF!,#REF!,#REF!,#REF!,#REF!</definedName>
    <definedName name="__APW_RESTORE_DATA779__" hidden="1">#REF!,#REF!,#REF!,#REF!,#REF!,#REF!,#REF!,#REF!,#REF!</definedName>
    <definedName name="__APW_RESTORE_DATA78__" hidden="1">#REF!,#REF!,#REF!,#REF!,#REF!,#REF!,#REF!,#REF!,#REF!,#REF!,#REF!,#REF!,#REF!,#REF!,#REF!</definedName>
    <definedName name="__APW_RESTORE_DATA780__" hidden="1">#REF!,#REF!,#REF!,#REF!,#REF!,#REF!,#REF!,#REF!,#REF!,#REF!,#REF!,#REF!,#REF!,#REF!,#REF!,#REF!,#REF!</definedName>
    <definedName name="__APW_RESTORE_DATA781__" hidden="1">#REF!,#REF!,#REF!,#REF!,#REF!,#REF!,#REF!,#REF!,#REF!,#REF!,#REF!,#REF!,#REF!,#REF!,#REF!,#REF!</definedName>
    <definedName name="__APW_RESTORE_DATA782__" hidden="1">#REF!,#REF!,#REF!,#REF!,#REF!,#REF!,#REF!,#REF!,#REF!,#REF!,#REF!,#REF!,#REF!,#REF!,#REF!,#REF!</definedName>
    <definedName name="__APW_RESTORE_DATA783__" hidden="1">#REF!,#REF!,#REF!,#REF!,#REF!,#REF!,#REF!,#REF!,#REF!,#REF!,#REF!,#REF!,#REF!,#REF!,#REF!,#REF!</definedName>
    <definedName name="__APW_RESTORE_DATA784__" hidden="1">#REF!,#REF!,#REF!,#REF!,#REF!,#REF!,#REF!,#REF!,#REF!,#REF!,#REF!,#REF!,#REF!,#REF!,#REF!,#REF!</definedName>
    <definedName name="__APW_RESTORE_DATA785__" hidden="1">#REF!,#REF!,#REF!,#REF!,#REF!,#REF!,#REF!,#REF!,#REF!,#REF!,#REF!,#REF!,#REF!,#REF!,#REF!,#REF!</definedName>
    <definedName name="__APW_RESTORE_DATA786__" hidden="1">#REF!,#REF!,#REF!,#REF!,#REF!,#REF!,#REF!,#REF!,#REF!,#REF!,#REF!,#REF!,#REF!,#REF!,#REF!</definedName>
    <definedName name="__APW_RESTORE_DATA787__" hidden="1">#REF!,#REF!,#REF!,#REF!,#REF!,#REF!,#REF!,#REF!,#REF!,#REF!,#REF!,#REF!,#REF!,#REF!,#REF!</definedName>
    <definedName name="__APW_RESTORE_DATA788__" hidden="1">#REF!,#REF!,#REF!,#REF!,#REF!,#REF!,#REF!,#REF!,#REF!,#REF!,#REF!,#REF!,#REF!,#REF!,#REF!</definedName>
    <definedName name="__APW_RESTORE_DATA789__" hidden="1">#REF!,#REF!,#REF!,#REF!,#REF!,#REF!,#REF!,#REF!,#REF!,#REF!,#REF!,#REF!,#REF!,#REF!,#REF!</definedName>
    <definedName name="__APW_RESTORE_DATA79__" hidden="1">#REF!,#REF!,#REF!,#REF!,#REF!,#REF!,#REF!,#REF!,#REF!,#REF!,#REF!,#REF!,#REF!,#REF!,#REF!</definedName>
    <definedName name="__APW_RESTORE_DATA790__" hidden="1">#REF!,#REF!,#REF!,#REF!,#REF!,#REF!,#REF!,#REF!,#REF!,#REF!,#REF!,#REF!,#REF!,#REF!,#REF!</definedName>
    <definedName name="__APW_RESTORE_DATA791__" hidden="1">#REF!,#REF!,#REF!,#REF!,#REF!,#REF!,#REF!,#REF!,#REF!,#REF!,#REF!,#REF!,#REF!,#REF!,#REF!</definedName>
    <definedName name="__APW_RESTORE_DATA792__" hidden="1">#REF!,#REF!,#REF!,#REF!,#REF!,#REF!,#REF!,#REF!,#REF!,#REF!,#REF!,#REF!,#REF!,#REF!,#REF!</definedName>
    <definedName name="__APW_RESTORE_DATA793__" hidden="1">#REF!,#REF!,#REF!,#REF!,#REF!,#REF!,#REF!,#REF!,#REF!,#REF!,#REF!,#REF!,#REF!,#REF!,#REF!</definedName>
    <definedName name="__APW_RESTORE_DATA794__" hidden="1">#REF!,#REF!,#REF!,#REF!,#REF!,#REF!,#REF!,#REF!,#REF!</definedName>
    <definedName name="__APW_RESTORE_DATA795__" hidden="1">#REF!,#REF!,#REF!,#REF!,#REF!,#REF!,#REF!,#REF!,#REF!,#REF!,#REF!,#REF!,#REF!,#REF!,#REF!,#REF!,#REF!</definedName>
    <definedName name="__APW_RESTORE_DATA796__" hidden="1">#REF!,#REF!,#REF!,#REF!,#REF!,#REF!,#REF!,#REF!,#REF!,#REF!,#REF!,#REF!,#REF!,#REF!,#REF!,#REF!</definedName>
    <definedName name="__APW_RESTORE_DATA797__" hidden="1">#REF!,#REF!,#REF!,#REF!,#REF!,#REF!,#REF!,#REF!,#REF!,#REF!,#REF!,#REF!,#REF!,#REF!,#REF!,#REF!</definedName>
    <definedName name="__APW_RESTORE_DATA798__" hidden="1">#REF!,#REF!,#REF!,#REF!,#REF!,#REF!,#REF!,#REF!,#REF!,#REF!,#REF!,#REF!,#REF!,#REF!,#REF!,#REF!</definedName>
    <definedName name="__APW_RESTORE_DATA799__" hidden="1">#REF!,#REF!,#REF!,#REF!,#REF!,#REF!,#REF!,#REF!,#REF!,#REF!,#REF!,#REF!,#REF!,#REF!,#REF!,#REF!</definedName>
    <definedName name="__APW_RESTORE_DATA8__" hidden="1">#REF!,#REF!,#REF!,#REF!,#REF!,#REF!,#REF!,#REF!,#REF!,#REF!,#REF!,#REF!,#REF!,#REF!,#REF!</definedName>
    <definedName name="__APW_RESTORE_DATA80__" hidden="1">#REF!,#REF!,#REF!,#REF!,#REF!,#REF!,#REF!,#REF!,#REF!,#REF!,#REF!,#REF!,#REF!,#REF!,#REF!</definedName>
    <definedName name="__APW_RESTORE_DATA800__" hidden="1">#REF!,#REF!,#REF!,#REF!,#REF!,#REF!,#REF!,#REF!,#REF!,#REF!,#REF!,#REF!,#REF!,#REF!,#REF!,#REF!</definedName>
    <definedName name="__APW_RESTORE_DATA801__" hidden="1">#REF!,#REF!,#REF!,#REF!,#REF!,#REF!,#REF!,#REF!,#REF!,#REF!,#REF!,#REF!,#REF!,#REF!,#REF!</definedName>
    <definedName name="__APW_RESTORE_DATA802__" hidden="1">#REF!,#REF!,#REF!,#REF!,#REF!,#REF!,#REF!,#REF!,#REF!,#REF!,#REF!,#REF!,#REF!,#REF!,#REF!</definedName>
    <definedName name="__APW_RESTORE_DATA803__" hidden="1">#REF!,#REF!,#REF!,#REF!,#REF!,#REF!,#REF!,#REF!,#REF!,#REF!,#REF!,#REF!,#REF!,#REF!,#REF!</definedName>
    <definedName name="__APW_RESTORE_DATA804__" hidden="1">#REF!,#REF!,#REF!,#REF!,#REF!,#REF!,#REF!,#REF!,#REF!,#REF!,#REF!,#REF!,#REF!,#REF!,#REF!</definedName>
    <definedName name="__APW_RESTORE_DATA805__" hidden="1">#REF!,#REF!,#REF!,#REF!,#REF!,#REF!,#REF!,#REF!,#REF!,#REF!,#REF!,#REF!,#REF!,#REF!,#REF!</definedName>
    <definedName name="__APW_RESTORE_DATA806__" hidden="1">#REF!,#REF!,#REF!,#REF!,#REF!,#REF!,#REF!,#REF!,#REF!,#REF!,#REF!,#REF!,#REF!,#REF!,#REF!</definedName>
    <definedName name="__APW_RESTORE_DATA807__" hidden="1">#REF!,#REF!,#REF!,#REF!,#REF!,#REF!,#REF!,#REF!,#REF!,#REF!,#REF!,#REF!,#REF!,#REF!,#REF!</definedName>
    <definedName name="__APW_RESTORE_DATA808__" hidden="1">#REF!,#REF!,#REF!,#REF!,#REF!,#REF!,#REF!,#REF!,#REF!,#REF!,#REF!,#REF!,#REF!,#REF!,#REF!</definedName>
    <definedName name="__APW_RESTORE_DATA809__" hidden="1">#REF!,#REF!,#REF!,#REF!,#REF!,#REF!,#REF!,#REF!,#REF!</definedName>
    <definedName name="__APW_RESTORE_DATA81__" hidden="1">#REF!,#REF!,#REF!,#REF!,#REF!,#REF!,#REF!,#REF!,#REF!,#REF!,#REF!,#REF!,#REF!,#REF!,#REF!</definedName>
    <definedName name="__APW_RESTORE_DATA810__" hidden="1">#REF!,#REF!,#REF!,#REF!,#REF!,#REF!,#REF!,#REF!,#REF!,#REF!,#REF!,#REF!,#REF!,#REF!,#REF!,#REF!,#REF!</definedName>
    <definedName name="__APW_RESTORE_DATA811__" hidden="1">#REF!,#REF!,#REF!,#REF!,#REF!,#REF!,#REF!,#REF!,#REF!,#REF!,#REF!,#REF!,#REF!,#REF!,#REF!,#REF!</definedName>
    <definedName name="__APW_RESTORE_DATA812__" hidden="1">#REF!,#REF!,#REF!,#REF!,#REF!,#REF!,#REF!,#REF!,#REF!,#REF!,#REF!,#REF!,#REF!,#REF!,#REF!,#REF!</definedName>
    <definedName name="__APW_RESTORE_DATA813__" hidden="1">#REF!,#REF!,#REF!,#REF!,#REF!,#REF!,#REF!,#REF!,#REF!,#REF!,#REF!,#REF!,#REF!,#REF!,#REF!,#REF!</definedName>
    <definedName name="__APW_RESTORE_DATA814__" hidden="1">#REF!,#REF!,#REF!,#REF!,#REF!,#REF!,#REF!,#REF!,#REF!,#REF!,#REF!,#REF!,#REF!,#REF!,#REF!,#REF!</definedName>
    <definedName name="__APW_RESTORE_DATA815__" hidden="1">#REF!,#REF!,#REF!,#REF!,#REF!,#REF!,#REF!,#REF!,#REF!,#REF!,#REF!,#REF!,#REF!,#REF!,#REF!,#REF!</definedName>
    <definedName name="__APW_RESTORE_DATA816__" hidden="1">#REF!,#REF!,#REF!,#REF!,#REF!,#REF!,#REF!,#REF!,#REF!,#REF!,#REF!,#REF!,#REF!,#REF!,#REF!</definedName>
    <definedName name="__APW_RESTORE_DATA817__" hidden="1">#REF!,#REF!,#REF!,#REF!,#REF!,#REF!,#REF!,#REF!,#REF!,#REF!,#REF!,#REF!,#REF!,#REF!,#REF!</definedName>
    <definedName name="__APW_RESTORE_DATA818__" hidden="1">#REF!,#REF!,#REF!,#REF!,#REF!,#REF!,#REF!,#REF!,#REF!,#REF!,#REF!,#REF!,#REF!,#REF!,#REF!</definedName>
    <definedName name="__APW_RESTORE_DATA819__" hidden="1">#REF!,#REF!,#REF!,#REF!,#REF!,#REF!,#REF!,#REF!,#REF!,#REF!,#REF!,#REF!,#REF!,#REF!,#REF!</definedName>
    <definedName name="__APW_RESTORE_DATA82__" hidden="1">#REF!,#REF!,#REF!,#REF!,#REF!,#REF!,#REF!,#REF!,#REF!,#REF!,#REF!,#REF!,#REF!,#REF!,#REF!</definedName>
    <definedName name="__APW_RESTORE_DATA820__" hidden="1">#REF!,#REF!,#REF!,#REF!,#REF!,#REF!,#REF!,#REF!,#REF!,#REF!,#REF!,#REF!,#REF!,#REF!,#REF!</definedName>
    <definedName name="__APW_RESTORE_DATA821__" hidden="1">#REF!,#REF!,#REF!,#REF!,#REF!,#REF!,#REF!,#REF!,#REF!,#REF!,#REF!,#REF!,#REF!,#REF!,#REF!</definedName>
    <definedName name="__APW_RESTORE_DATA822__" hidden="1">#REF!,#REF!,#REF!,#REF!,#REF!,#REF!,#REF!,#REF!,#REF!,#REF!,#REF!,#REF!,#REF!,#REF!,#REF!</definedName>
    <definedName name="__APW_RESTORE_DATA823__" hidden="1">#REF!,#REF!,#REF!,#REF!,#REF!,#REF!,#REF!,#REF!,#REF!,#REF!,#REF!,#REF!,#REF!,#REF!,#REF!</definedName>
    <definedName name="__APW_RESTORE_DATA824__" hidden="1">#REF!,#REF!,#REF!,#REF!,#REF!,#REF!,#REF!,#REF!,#REF!</definedName>
    <definedName name="__APW_RESTORE_DATA825__" hidden="1">#REF!,#REF!,#REF!,#REF!,#REF!,#REF!,#REF!,#REF!,#REF!,#REF!,#REF!,#REF!,#REF!,#REF!,#REF!,#REF!,#REF!</definedName>
    <definedName name="__APW_RESTORE_DATA826__" hidden="1">#REF!,#REF!,#REF!,#REF!,#REF!,#REF!,#REF!,#REF!,#REF!,#REF!,#REF!,#REF!,#REF!,#REF!,#REF!,#REF!</definedName>
    <definedName name="__APW_RESTORE_DATA827__" hidden="1">#REF!,#REF!,#REF!,#REF!,#REF!,#REF!,#REF!,#REF!,#REF!,#REF!,#REF!,#REF!,#REF!,#REF!,#REF!,#REF!</definedName>
    <definedName name="__APW_RESTORE_DATA828__" hidden="1">#REF!,#REF!,#REF!,#REF!,#REF!,#REF!,#REF!,#REF!,#REF!,#REF!,#REF!,#REF!,#REF!,#REF!,#REF!,#REF!</definedName>
    <definedName name="__APW_RESTORE_DATA829__" hidden="1">#REF!,#REF!,#REF!,#REF!,#REF!,#REF!,#REF!,#REF!,#REF!,#REF!,#REF!,#REF!,#REF!,#REF!,#REF!,#REF!</definedName>
    <definedName name="__APW_RESTORE_DATA83__" hidden="1">#REF!,#REF!,#REF!,#REF!,#REF!,#REF!</definedName>
    <definedName name="__APW_RESTORE_DATA830__" hidden="1">#REF!,#REF!,#REF!,#REF!,#REF!,#REF!,#REF!,#REF!,#REF!,#REF!,#REF!,#REF!,#REF!,#REF!,#REF!,#REF!</definedName>
    <definedName name="__APW_RESTORE_DATA831__" hidden="1">#REF!,#REF!,#REF!,#REF!,#REF!,#REF!,#REF!,#REF!,#REF!,#REF!,#REF!,#REF!,#REF!,#REF!,#REF!</definedName>
    <definedName name="__APW_RESTORE_DATA832__" hidden="1">#REF!,#REF!,#REF!,#REF!,#REF!,#REF!,#REF!,#REF!,#REF!,#REF!,#REF!,#REF!,#REF!,#REF!,#REF!</definedName>
    <definedName name="__APW_RESTORE_DATA833__" hidden="1">#REF!,#REF!,#REF!,#REF!,#REF!,#REF!,#REF!,#REF!,#REF!,#REF!,#REF!,#REF!,#REF!,#REF!,#REF!</definedName>
    <definedName name="__APW_RESTORE_DATA834__" hidden="1">#REF!,#REF!,#REF!,#REF!,#REF!,#REF!,#REF!,#REF!,#REF!,#REF!,#REF!,#REF!,#REF!,#REF!,#REF!</definedName>
    <definedName name="__APW_RESTORE_DATA835__" hidden="1">#REF!,#REF!,#REF!,#REF!,#REF!,#REF!,#REF!,#REF!,#REF!,#REF!,#REF!,#REF!,#REF!,#REF!,#REF!</definedName>
    <definedName name="__APW_RESTORE_DATA836__" hidden="1">#REF!,#REF!,#REF!,#REF!,#REF!,#REF!,#REF!,#REF!,#REF!,#REF!,#REF!,#REF!,#REF!,#REF!,#REF!</definedName>
    <definedName name="__APW_RESTORE_DATA837__" hidden="1">#REF!,#REF!,#REF!,#REF!,#REF!,#REF!,#REF!,#REF!,#REF!,#REF!,#REF!,#REF!,#REF!,#REF!,#REF!</definedName>
    <definedName name="__APW_RESTORE_DATA838__" hidden="1">#REF!,#REF!,#REF!,#REF!,#REF!,#REF!,#REF!,#REF!,#REF!,#REF!,#REF!,#REF!,#REF!,#REF!,#REF!</definedName>
    <definedName name="__APW_RESTORE_DATA839__" hidden="1">#REF!,#REF!,#REF!,#REF!,#REF!,#REF!,#REF!,#REF!,#REF!</definedName>
    <definedName name="__APW_RESTORE_DATA84__" hidden="1">#REF!,#REF!,#REF!,#REF!,#REF!,#REF!,#REF!,#REF!,#REF!,#REF!,#REF!,#REF!,#REF!,#REF!,#REF!,#REF!,#REF!</definedName>
    <definedName name="__APW_RESTORE_DATA840__" hidden="1">#REF!,#REF!,#REF!,#REF!,#REF!,#REF!,#REF!,#REF!,#REF!,#REF!,#REF!,#REF!,#REF!,#REF!,#REF!,#REF!,#REF!</definedName>
    <definedName name="__APW_RESTORE_DATA841__" hidden="1">#REF!,#REF!,#REF!,#REF!,#REF!,#REF!,#REF!,#REF!,#REF!,#REF!,#REF!,#REF!,#REF!,#REF!,#REF!,#REF!</definedName>
    <definedName name="__APW_RESTORE_DATA842__" hidden="1">#REF!,#REF!,#REF!,#REF!,#REF!,#REF!,#REF!,#REF!,#REF!,#REF!,#REF!,#REF!,#REF!,#REF!,#REF!,#REF!</definedName>
    <definedName name="__APW_RESTORE_DATA843__" hidden="1">#REF!,#REF!,#REF!,#REF!,#REF!,#REF!,#REF!,#REF!,#REF!,#REF!,#REF!,#REF!,#REF!,#REF!,#REF!,#REF!</definedName>
    <definedName name="__APW_RESTORE_DATA844__" hidden="1">#REF!,#REF!,#REF!,#REF!,#REF!,#REF!,#REF!,#REF!,#REF!,#REF!,#REF!,#REF!,#REF!,#REF!,#REF!,#REF!</definedName>
    <definedName name="__APW_RESTORE_DATA845__" hidden="1">#REF!,#REF!,#REF!,#REF!,#REF!,#REF!,#REF!,#REF!,#REF!,#REF!,#REF!,#REF!,#REF!,#REF!,#REF!,#REF!</definedName>
    <definedName name="__APW_RESTORE_DATA846__" hidden="1">#REF!,#REF!,#REF!,#REF!,#REF!,#REF!,#REF!,#REF!,#REF!,#REF!,#REF!,#REF!,#REF!,#REF!,#REF!</definedName>
    <definedName name="__APW_RESTORE_DATA847__" hidden="1">#REF!,#REF!,#REF!,#REF!,#REF!,#REF!,#REF!,#REF!,#REF!,#REF!,#REF!,#REF!,#REF!,#REF!,#REF!</definedName>
    <definedName name="__APW_RESTORE_DATA848__" hidden="1">#REF!,#REF!,#REF!,#REF!,#REF!,#REF!,#REF!,#REF!,#REF!,#REF!,#REF!,#REF!,#REF!,#REF!,#REF!</definedName>
    <definedName name="__APW_RESTORE_DATA849__" hidden="1">#REF!,#REF!,#REF!,#REF!,#REF!,#REF!,#REF!,#REF!,#REF!,#REF!,#REF!,#REF!,#REF!,#REF!,#REF!</definedName>
    <definedName name="__APW_RESTORE_DATA85__" hidden="1">#REF!,#REF!,#REF!,#REF!,#REF!,#REF!,#REF!,#REF!,#REF!,#REF!,#REF!,#REF!,#REF!,#REF!,#REF!,#REF!</definedName>
    <definedName name="__APW_RESTORE_DATA850__" hidden="1">#REF!,#REF!,#REF!,#REF!,#REF!,#REF!,#REF!,#REF!,#REF!,#REF!,#REF!,#REF!,#REF!,#REF!,#REF!</definedName>
    <definedName name="__APW_RESTORE_DATA851__" hidden="1">#REF!,#REF!,#REF!,#REF!,#REF!,#REF!,#REF!,#REF!,#REF!,#REF!,#REF!,#REF!,#REF!,#REF!,#REF!</definedName>
    <definedName name="__APW_RESTORE_DATA852__" hidden="1">#REF!,#REF!,#REF!,#REF!,#REF!,#REF!,#REF!,#REF!,#REF!,#REF!,#REF!,#REF!,#REF!,#REF!,#REF!</definedName>
    <definedName name="__APW_RESTORE_DATA853__" hidden="1">#REF!,#REF!,#REF!,#REF!,#REF!,#REF!,#REF!,#REF!,#REF!,#REF!,#REF!,#REF!,#REF!,#REF!,#REF!</definedName>
    <definedName name="__APW_RESTORE_DATA854__" hidden="1">#REF!,#REF!,#REF!,#REF!,#REF!,#REF!,#REF!,#REF!,#REF!</definedName>
    <definedName name="__APW_RESTORE_DATA855__" hidden="1">#REF!,#REF!,#REF!,#REF!,#REF!,#REF!,#REF!,#REF!,#REF!,#REF!,#REF!,#REF!,#REF!,#REF!,#REF!,#REF!,#REF!</definedName>
    <definedName name="__APW_RESTORE_DATA856__" hidden="1">#REF!,#REF!,#REF!,#REF!,#REF!,#REF!,#REF!,#REF!,#REF!,#REF!,#REF!,#REF!,#REF!,#REF!,#REF!,#REF!</definedName>
    <definedName name="__APW_RESTORE_DATA857__" hidden="1">#REF!,#REF!,#REF!,#REF!,#REF!,#REF!,#REF!,#REF!,#REF!,#REF!,#REF!,#REF!,#REF!,#REF!,#REF!,#REF!</definedName>
    <definedName name="__APW_RESTORE_DATA858__" hidden="1">#REF!,#REF!,#REF!,#REF!,#REF!,#REF!,#REF!,#REF!,#REF!,#REF!,#REF!,#REF!,#REF!,#REF!,#REF!,#REF!</definedName>
    <definedName name="__APW_RESTORE_DATA859__" hidden="1">#REF!,#REF!,#REF!,#REF!,#REF!,#REF!,#REF!,#REF!,#REF!,#REF!,#REF!,#REF!,#REF!,#REF!,#REF!,#REF!</definedName>
    <definedName name="__APW_RESTORE_DATA86__" hidden="1">#REF!,#REF!,#REF!,#REF!,#REF!,#REF!,#REF!,#REF!,#REF!,#REF!,#REF!,#REF!,#REF!,#REF!,#REF!,#REF!</definedName>
    <definedName name="__APW_RESTORE_DATA860__" hidden="1">#REF!,#REF!,#REF!,#REF!,#REF!,#REF!,#REF!,#REF!,#REF!,#REF!,#REF!,#REF!,#REF!,#REF!,#REF!,#REF!</definedName>
    <definedName name="__APW_RESTORE_DATA861__" hidden="1">#REF!,#REF!,#REF!,#REF!,#REF!,#REF!,#REF!,#REF!,#REF!,#REF!,#REF!,#REF!,#REF!,#REF!,#REF!</definedName>
    <definedName name="__APW_RESTORE_DATA862__" hidden="1">#REF!,#REF!,#REF!,#REF!,#REF!,#REF!,#REF!,#REF!,#REF!,#REF!,#REF!,#REF!,#REF!,#REF!,#REF!</definedName>
    <definedName name="__APW_RESTORE_DATA863__" hidden="1">#REF!,#REF!,#REF!,#REF!,#REF!,#REF!,#REF!,#REF!,#REF!,#REF!,#REF!,#REF!,#REF!,#REF!,#REF!</definedName>
    <definedName name="__APW_RESTORE_DATA864__" hidden="1">#REF!,#REF!,#REF!,#REF!,#REF!,#REF!,#REF!,#REF!,#REF!,#REF!,#REF!,#REF!,#REF!,#REF!,#REF!</definedName>
    <definedName name="__APW_RESTORE_DATA865__" hidden="1">#REF!,#REF!,#REF!,#REF!,#REF!,#REF!,#REF!,#REF!,#REF!,#REF!,#REF!,#REF!,#REF!,#REF!,#REF!</definedName>
    <definedName name="__APW_RESTORE_DATA866__" hidden="1">#REF!,#REF!,#REF!,#REF!,#REF!,#REF!,#REF!,#REF!,#REF!,#REF!,#REF!,#REF!,#REF!,#REF!,#REF!</definedName>
    <definedName name="__APW_RESTORE_DATA867__" hidden="1">#REF!,#REF!,#REF!,#REF!,#REF!,#REF!,#REF!,#REF!,#REF!,#REF!,#REF!,#REF!,#REF!,#REF!,#REF!</definedName>
    <definedName name="__APW_RESTORE_DATA868__" hidden="1">#REF!,#REF!,#REF!,#REF!,#REF!,#REF!,#REF!,#REF!,#REF!,#REF!,#REF!,#REF!,#REF!,#REF!,#REF!</definedName>
    <definedName name="__APW_RESTORE_DATA869__" hidden="1">#REF!,#REF!,#REF!,#REF!,#REF!,#REF!,#REF!,#REF!,#REF!</definedName>
    <definedName name="__APW_RESTORE_DATA87__" hidden="1">#REF!,#REF!,#REF!,#REF!,#REF!,#REF!,#REF!,#REF!,#REF!,#REF!,#REF!,#REF!,#REF!,#REF!,#REF!,#REF!</definedName>
    <definedName name="__APW_RESTORE_DATA870__" hidden="1">#REF!,#REF!,#REF!,#REF!,#REF!,#REF!,#REF!,#REF!,#REF!,#REF!,#REF!,#REF!,#REF!,#REF!,#REF!,#REF!,#REF!</definedName>
    <definedName name="__APW_RESTORE_DATA871__" hidden="1">#REF!,#REF!,#REF!,#REF!,#REF!,#REF!,#REF!,#REF!,#REF!,#REF!,#REF!,#REF!,#REF!,#REF!,#REF!,#REF!</definedName>
    <definedName name="__APW_RESTORE_DATA872__" hidden="1">#REF!,#REF!,#REF!,#REF!,#REF!,#REF!,#REF!,#REF!,#REF!,#REF!,#REF!,#REF!,#REF!,#REF!,#REF!,#REF!</definedName>
    <definedName name="__APW_RESTORE_DATA873__" hidden="1">#REF!,#REF!,#REF!,#REF!,#REF!,#REF!,#REF!,#REF!,#REF!,#REF!,#REF!,#REF!,#REF!,#REF!,#REF!,#REF!</definedName>
    <definedName name="__APW_RESTORE_DATA874__" hidden="1">#REF!,#REF!,#REF!,#REF!,#REF!,#REF!,#REF!,#REF!,#REF!,#REF!,#REF!,#REF!,#REF!,#REF!,#REF!,#REF!</definedName>
    <definedName name="__APW_RESTORE_DATA875__" hidden="1">#REF!,#REF!,#REF!,#REF!,#REF!,#REF!,#REF!,#REF!,#REF!,#REF!,#REF!,#REF!,#REF!,#REF!,#REF!,#REF!</definedName>
    <definedName name="__APW_RESTORE_DATA876__" hidden="1">#REF!,#REF!,#REF!,#REF!,#REF!,#REF!,#REF!,#REF!,#REF!,#REF!,#REF!,#REF!,#REF!,#REF!,#REF!</definedName>
    <definedName name="__APW_RESTORE_DATA877__" hidden="1">#REF!,#REF!,#REF!,#REF!,#REF!,#REF!,#REF!,#REF!,#REF!,#REF!,#REF!,#REF!,#REF!,#REF!,#REF!</definedName>
    <definedName name="__APW_RESTORE_DATA878__" hidden="1">#REF!,#REF!,#REF!,#REF!,#REF!,#REF!,#REF!,#REF!,#REF!,#REF!,#REF!,#REF!,#REF!,#REF!,#REF!</definedName>
    <definedName name="__APW_RESTORE_DATA879__" hidden="1">#REF!,#REF!,#REF!,#REF!,#REF!,#REF!,#REF!,#REF!,#REF!,#REF!,#REF!,#REF!,#REF!,#REF!,#REF!</definedName>
    <definedName name="__APW_RESTORE_DATA88__" hidden="1">#REF!,#REF!,#REF!,#REF!,#REF!,#REF!,#REF!,#REF!,#REF!,#REF!,#REF!,#REF!,#REF!,#REF!,#REF!,#REF!</definedName>
    <definedName name="__APW_RESTORE_DATA880__" hidden="1">#REF!,#REF!,#REF!,#REF!,#REF!,#REF!,#REF!,#REF!,#REF!,#REF!,#REF!,#REF!,#REF!,#REF!,#REF!</definedName>
    <definedName name="__APW_RESTORE_DATA881__" hidden="1">#REF!,#REF!,#REF!,#REF!,#REF!,#REF!,#REF!,#REF!,#REF!,#REF!,#REF!,#REF!,#REF!,#REF!,#REF!</definedName>
    <definedName name="__APW_RESTORE_DATA882__" hidden="1">#REF!,#REF!,#REF!,#REF!,#REF!,#REF!,#REF!,#REF!,#REF!,#REF!,#REF!,#REF!,#REF!,#REF!,#REF!</definedName>
    <definedName name="__APW_RESTORE_DATA883__" hidden="1">#REF!,#REF!,#REF!,#REF!,#REF!,#REF!,#REF!,#REF!,#REF!,#REF!,#REF!,#REF!,#REF!,#REF!,#REF!</definedName>
    <definedName name="__APW_RESTORE_DATA884__" hidden="1">#REF!,#REF!,#REF!,#REF!,#REF!,#REF!,#REF!,#REF!,#REF!</definedName>
    <definedName name="__APW_RESTORE_DATA885__" hidden="1">#REF!,#REF!,#REF!,#REF!,#REF!,#REF!,#REF!,#REF!,#REF!,#REF!,#REF!,#REF!,#REF!,#REF!,#REF!,#REF!,#REF!</definedName>
    <definedName name="__APW_RESTORE_DATA886__" hidden="1">#REF!,#REF!,#REF!,#REF!,#REF!,#REF!,#REF!,#REF!,#REF!,#REF!,#REF!,#REF!,#REF!,#REF!,#REF!,#REF!</definedName>
    <definedName name="__APW_RESTORE_DATA887__" hidden="1">#REF!,#REF!,#REF!,#REF!,#REF!,#REF!,#REF!,#REF!,#REF!,#REF!,#REF!,#REF!,#REF!,#REF!,#REF!,#REF!</definedName>
    <definedName name="__APW_RESTORE_DATA888__" hidden="1">#REF!,#REF!,#REF!,#REF!,#REF!,#REF!,#REF!,#REF!,#REF!,#REF!,#REF!,#REF!,#REF!,#REF!,#REF!,#REF!</definedName>
    <definedName name="__APW_RESTORE_DATA889__" hidden="1">#REF!,#REF!,#REF!,#REF!,#REF!,#REF!,#REF!,#REF!,#REF!,#REF!,#REF!,#REF!,#REF!,#REF!,#REF!,#REF!</definedName>
    <definedName name="__APW_RESTORE_DATA89__" hidden="1">#REF!,#REF!,#REF!,#REF!,#REF!,#REF!,#REF!,#REF!,#REF!,#REF!,#REF!,#REF!,#REF!,#REF!,#REF!,#REF!</definedName>
    <definedName name="__APW_RESTORE_DATA890__" hidden="1">#REF!,#REF!,#REF!,#REF!,#REF!,#REF!,#REF!,#REF!,#REF!,#REF!,#REF!,#REF!,#REF!,#REF!,#REF!,#REF!</definedName>
    <definedName name="__APW_RESTORE_DATA891__" hidden="1">#REF!,#REF!,#REF!,#REF!,#REF!,#REF!,#REF!,#REF!,#REF!,#REF!,#REF!,#REF!,#REF!,#REF!,#REF!</definedName>
    <definedName name="__APW_RESTORE_DATA892__" hidden="1">#REF!,#REF!,#REF!,#REF!,#REF!,#REF!,#REF!,#REF!,#REF!,#REF!,#REF!,#REF!,#REF!,#REF!,#REF!</definedName>
    <definedName name="__APW_RESTORE_DATA893__" hidden="1">#REF!,#REF!,#REF!,#REF!,#REF!,#REF!,#REF!,#REF!,#REF!,#REF!,#REF!,#REF!,#REF!,#REF!,#REF!</definedName>
    <definedName name="__APW_RESTORE_DATA894__" hidden="1">#REF!,#REF!,#REF!,#REF!,#REF!,#REF!,#REF!,#REF!,#REF!,#REF!,#REF!,#REF!,#REF!,#REF!,#REF!</definedName>
    <definedName name="__APW_RESTORE_DATA895__" hidden="1">#REF!,#REF!,#REF!,#REF!,#REF!,#REF!,#REF!,#REF!,#REF!,#REF!,#REF!,#REF!,#REF!,#REF!,#REF!</definedName>
    <definedName name="__APW_RESTORE_DATA896__" hidden="1">#REF!,#REF!,#REF!,#REF!,#REF!,#REF!,#REF!,#REF!,#REF!,#REF!,#REF!,#REF!,#REF!,#REF!,#REF!</definedName>
    <definedName name="__APW_RESTORE_DATA897__" hidden="1">#REF!,#REF!,#REF!,#REF!,#REF!,#REF!,#REF!,#REF!,#REF!,#REF!,#REF!,#REF!,#REF!,#REF!,#REF!</definedName>
    <definedName name="__APW_RESTORE_DATA898__" hidden="1">#REF!,#REF!,#REF!,#REF!,#REF!,#REF!,#REF!,#REF!,#REF!,#REF!,#REF!,#REF!,#REF!,#REF!,#REF!</definedName>
    <definedName name="__APW_RESTORE_DATA899__" hidden="1">#REF!,#REF!,#REF!,#REF!,#REF!,#REF!,#REF!,#REF!,#REF!</definedName>
    <definedName name="__APW_RESTORE_DATA9__" hidden="1">#REF!,#REF!,#REF!,#REF!,#REF!,#REF!,#REF!,#REF!,#REF!,#REF!,#REF!,#REF!,#REF!,#REF!,#REF!</definedName>
    <definedName name="__APW_RESTORE_DATA90__" hidden="1">#REF!,#REF!,#REF!,#REF!,#REF!,#REF!,#REF!,#REF!,#REF!,#REF!,#REF!,#REF!,#REF!,#REF!,#REF!</definedName>
    <definedName name="__APW_RESTORE_DATA900__" hidden="1">#REF!,#REF!,#REF!,#REF!,#REF!,#REF!,#REF!,#REF!,#REF!,#REF!,#REF!,#REF!,#REF!,#REF!,#REF!,#REF!,#REF!</definedName>
    <definedName name="__APW_RESTORE_DATA901__" hidden="1">#REF!,#REF!,#REF!,#REF!,#REF!,#REF!,#REF!,#REF!,#REF!,#REF!,#REF!,#REF!,#REF!,#REF!,#REF!,#REF!</definedName>
    <definedName name="__APW_RESTORE_DATA902__" hidden="1">#REF!,#REF!,#REF!,#REF!,#REF!,#REF!,#REF!,#REF!,#REF!,#REF!,#REF!,#REF!,#REF!,#REF!,#REF!,#REF!</definedName>
    <definedName name="__APW_RESTORE_DATA903__" hidden="1">#REF!,#REF!,#REF!,#REF!,#REF!,#REF!,#REF!,#REF!,#REF!,#REF!,#REF!,#REF!,#REF!,#REF!,#REF!,#REF!</definedName>
    <definedName name="__APW_RESTORE_DATA904__" hidden="1">#REF!,#REF!,#REF!,#REF!,#REF!,#REF!,#REF!,#REF!,#REF!,#REF!,#REF!,#REF!,#REF!,#REF!,#REF!,#REF!</definedName>
    <definedName name="__APW_RESTORE_DATA905__" hidden="1">#REF!,#REF!,#REF!,#REF!,#REF!,#REF!,#REF!,#REF!,#REF!,#REF!,#REF!,#REF!,#REF!,#REF!,#REF!,#REF!</definedName>
    <definedName name="__APW_RESTORE_DATA906__" hidden="1">#REF!,#REF!,#REF!,#REF!,#REF!,#REF!,#REF!,#REF!,#REF!,#REF!,#REF!,#REF!,#REF!,#REF!,#REF!</definedName>
    <definedName name="__APW_RESTORE_DATA907__" hidden="1">#REF!,#REF!,#REF!,#REF!,#REF!,#REF!,#REF!,#REF!,#REF!,#REF!,#REF!,#REF!,#REF!,#REF!,#REF!</definedName>
    <definedName name="__APW_RESTORE_DATA908__" hidden="1">#REF!,#REF!,#REF!,#REF!,#REF!,#REF!,#REF!,#REF!,#REF!,#REF!,#REF!,#REF!,#REF!,#REF!,#REF!</definedName>
    <definedName name="__APW_RESTORE_DATA909__" hidden="1">#REF!,#REF!,#REF!,#REF!,#REF!,#REF!,#REF!,#REF!,#REF!,#REF!,#REF!,#REF!,#REF!,#REF!,#REF!</definedName>
    <definedName name="__APW_RESTORE_DATA91__" hidden="1">#REF!,#REF!,#REF!,#REF!,#REF!,#REF!,#REF!,#REF!,#REF!,#REF!,#REF!,#REF!,#REF!,#REF!,#REF!</definedName>
    <definedName name="__APW_RESTORE_DATA910__" hidden="1">#REF!,#REF!,#REF!,#REF!,#REF!,#REF!,#REF!,#REF!,#REF!,#REF!,#REF!,#REF!,#REF!,#REF!,#REF!</definedName>
    <definedName name="__APW_RESTORE_DATA911__" hidden="1">#REF!,#REF!,#REF!,#REF!,#REF!,#REF!,#REF!,#REF!,#REF!,#REF!,#REF!,#REF!,#REF!,#REF!,#REF!</definedName>
    <definedName name="__APW_RESTORE_DATA912__" hidden="1">#REF!,#REF!,#REF!,#REF!,#REF!,#REF!,#REF!,#REF!,#REF!,#REF!,#REF!,#REF!,#REF!,#REF!,#REF!</definedName>
    <definedName name="__APW_RESTORE_DATA913__" hidden="1">#REF!,#REF!,#REF!,#REF!,#REF!,#REF!,#REF!,#REF!,#REF!,#REF!,#REF!,#REF!,#REF!,#REF!,#REF!</definedName>
    <definedName name="__APW_RESTORE_DATA914__" hidden="1">#REF!,#REF!,#REF!,#REF!,#REF!,#REF!,#REF!,#REF!,#REF!</definedName>
    <definedName name="__APW_RESTORE_DATA915__" hidden="1">#REF!,#REF!,#REF!,#REF!,#REF!,#REF!,#REF!,#REF!,#REF!,#REF!,#REF!,#REF!,#REF!,#REF!,#REF!,#REF!,#REF!</definedName>
    <definedName name="__APW_RESTORE_DATA916__" hidden="1">#REF!,#REF!,#REF!,#REF!,#REF!,#REF!,#REF!,#REF!,#REF!,#REF!,#REF!,#REF!,#REF!,#REF!,#REF!,#REF!</definedName>
    <definedName name="__APW_RESTORE_DATA917__" hidden="1">#REF!,#REF!,#REF!,#REF!,#REF!,#REF!,#REF!,#REF!,#REF!,#REF!,#REF!,#REF!,#REF!,#REF!,#REF!,#REF!</definedName>
    <definedName name="__APW_RESTORE_DATA918__" hidden="1">#REF!,#REF!,#REF!,#REF!,#REF!,#REF!,#REF!,#REF!,#REF!,#REF!,#REF!,#REF!,#REF!,#REF!,#REF!,#REF!</definedName>
    <definedName name="__APW_RESTORE_DATA919__" hidden="1">#REF!,#REF!,#REF!,#REF!,#REF!,#REF!,#REF!,#REF!,#REF!,#REF!,#REF!,#REF!,#REF!,#REF!,#REF!,#REF!</definedName>
    <definedName name="__APW_RESTORE_DATA92__" hidden="1">#REF!,#REF!,#REF!,#REF!,#REF!,#REF!,#REF!,#REF!,#REF!,#REF!,#REF!,#REF!,#REF!,#REF!,#REF!</definedName>
    <definedName name="__APW_RESTORE_DATA920__" hidden="1">#REF!,#REF!,#REF!,#REF!,#REF!,#REF!,#REF!,#REF!,#REF!,#REF!,#REF!,#REF!,#REF!,#REF!,#REF!,#REF!</definedName>
    <definedName name="__APW_RESTORE_DATA921__" hidden="1">#REF!,#REF!,#REF!,#REF!,#REF!,#REF!,#REF!,#REF!,#REF!,#REF!,#REF!,#REF!,#REF!,#REF!,#REF!</definedName>
    <definedName name="__APW_RESTORE_DATA922__" hidden="1">#REF!,#REF!,#REF!,#REF!,#REF!,#REF!,#REF!,#REF!,#REF!,#REF!,#REF!,#REF!,#REF!,#REF!,#REF!</definedName>
    <definedName name="__APW_RESTORE_DATA923__" hidden="1">#REF!,#REF!,#REF!,#REF!,#REF!,#REF!,#REF!,#REF!,#REF!,#REF!,#REF!,#REF!,#REF!,#REF!,#REF!</definedName>
    <definedName name="__APW_RESTORE_DATA924__" hidden="1">#REF!,#REF!,#REF!,#REF!,#REF!,#REF!,#REF!,#REF!,#REF!,#REF!,#REF!,#REF!,#REF!,#REF!,#REF!</definedName>
    <definedName name="__APW_RESTORE_DATA925__" hidden="1">#REF!,#REF!,#REF!,#REF!,#REF!,#REF!,#REF!,#REF!,#REF!,#REF!,#REF!,#REF!,#REF!,#REF!,#REF!</definedName>
    <definedName name="__APW_RESTORE_DATA926__" hidden="1">#REF!,#REF!,#REF!,#REF!,#REF!,#REF!,#REF!,#REF!,#REF!,#REF!,#REF!,#REF!,#REF!,#REF!,#REF!</definedName>
    <definedName name="__APW_RESTORE_DATA927__" hidden="1">#REF!,#REF!,#REF!,#REF!,#REF!,#REF!,#REF!,#REF!,#REF!,#REF!,#REF!,#REF!,#REF!,#REF!,#REF!</definedName>
    <definedName name="__APW_RESTORE_DATA928__" hidden="1">#REF!,#REF!,#REF!,#REF!,#REF!,#REF!,#REF!,#REF!,#REF!,#REF!,#REF!,#REF!,#REF!,#REF!,#REF!</definedName>
    <definedName name="__APW_RESTORE_DATA929__" hidden="1">#REF!,#REF!,#REF!,#REF!,#REF!,#REF!,#REF!,#REF!,#REF!</definedName>
    <definedName name="__APW_RESTORE_DATA93__" hidden="1">#REF!,#REF!,#REF!,#REF!,#REF!,#REF!,#REF!,#REF!,#REF!,#REF!,#REF!,#REF!,#REF!,#REF!,#REF!</definedName>
    <definedName name="__APW_RESTORE_DATA930__" hidden="1">#REF!,#REF!,#REF!,#REF!,#REF!,#REF!,#REF!,#REF!,#REF!,#REF!,#REF!,#REF!,#REF!,#REF!,#REF!,#REF!,#REF!</definedName>
    <definedName name="__APW_RESTORE_DATA931__" hidden="1">#REF!,#REF!,#REF!,#REF!,#REF!,#REF!,#REF!,#REF!,#REF!,#REF!,#REF!,#REF!,#REF!,#REF!,#REF!,#REF!</definedName>
    <definedName name="__APW_RESTORE_DATA932__" hidden="1">#REF!,#REF!,#REF!,#REF!,#REF!,#REF!,#REF!,#REF!,#REF!,#REF!,#REF!,#REF!,#REF!,#REF!,#REF!,#REF!</definedName>
    <definedName name="__APW_RESTORE_DATA933__" hidden="1">#REF!,#REF!,#REF!,#REF!,#REF!,#REF!,#REF!,#REF!,#REF!,#REF!,#REF!,#REF!,#REF!,#REF!,#REF!,#REF!</definedName>
    <definedName name="__APW_RESTORE_DATA934__" hidden="1">#REF!,#REF!,#REF!,#REF!,#REF!,#REF!,#REF!,#REF!,#REF!,#REF!,#REF!,#REF!,#REF!,#REF!,#REF!,#REF!</definedName>
    <definedName name="__APW_RESTORE_DATA935__" hidden="1">#REF!,#REF!,#REF!,#REF!,#REF!,#REF!,#REF!,#REF!,#REF!,#REF!,#REF!,#REF!,#REF!,#REF!,#REF!,#REF!</definedName>
    <definedName name="__APW_RESTORE_DATA936__" hidden="1">#REF!,#REF!,#REF!,#REF!,#REF!,#REF!,#REF!,#REF!,#REF!,#REF!,#REF!,#REF!,#REF!,#REF!,#REF!</definedName>
    <definedName name="__APW_RESTORE_DATA937__" hidden="1">#REF!,#REF!,#REF!,#REF!,#REF!,#REF!,#REF!,#REF!,#REF!,#REF!,#REF!,#REF!,#REF!,#REF!,#REF!</definedName>
    <definedName name="__APW_RESTORE_DATA938__" hidden="1">#REF!,#REF!,#REF!,#REF!,#REF!,#REF!,#REF!,#REF!,#REF!,#REF!,#REF!,#REF!,#REF!,#REF!,#REF!</definedName>
    <definedName name="__APW_RESTORE_DATA939__" hidden="1">#REF!,#REF!,#REF!,#REF!,#REF!,#REF!,#REF!,#REF!,#REF!,#REF!,#REF!,#REF!,#REF!,#REF!,#REF!</definedName>
    <definedName name="__APW_RESTORE_DATA94__" hidden="1">#REF!,#REF!,#REF!,#REF!,#REF!,#REF!,#REF!,#REF!,#REF!,#REF!,#REF!,#REF!,#REF!,#REF!,#REF!</definedName>
    <definedName name="__APW_RESTORE_DATA940__" hidden="1">#REF!,#REF!,#REF!,#REF!,#REF!,#REF!,#REF!,#REF!,#REF!,#REF!,#REF!,#REF!,#REF!,#REF!,#REF!</definedName>
    <definedName name="__APW_RESTORE_DATA941__" hidden="1">#REF!,#REF!,#REF!,#REF!,#REF!,#REF!,#REF!,#REF!,#REF!,#REF!,#REF!,#REF!,#REF!,#REF!,#REF!</definedName>
    <definedName name="__APW_RESTORE_DATA942__" hidden="1">#REF!,#REF!,#REF!,#REF!,#REF!,#REF!,#REF!,#REF!,#REF!,#REF!,#REF!,#REF!,#REF!,#REF!,#REF!</definedName>
    <definedName name="__APW_RESTORE_DATA943__" hidden="1">#REF!,#REF!,#REF!,#REF!,#REF!,#REF!,#REF!,#REF!,#REF!,#REF!,#REF!,#REF!,#REF!,#REF!,#REF!</definedName>
    <definedName name="__APW_RESTORE_DATA944__" hidden="1">#REF!,#REF!,#REF!,#REF!,#REF!,#REF!,#REF!,#REF!,#REF!</definedName>
    <definedName name="__APW_RESTORE_DATA945__" hidden="1">#REF!,#REF!,#REF!,#REF!,#REF!,#REF!,#REF!,#REF!,#REF!,#REF!,#REF!,#REF!,#REF!,#REF!,#REF!,#REF!,#REF!</definedName>
    <definedName name="__APW_RESTORE_DATA946__" hidden="1">#REF!,#REF!,#REF!,#REF!,#REF!,#REF!,#REF!,#REF!,#REF!,#REF!,#REF!,#REF!,#REF!,#REF!,#REF!,#REF!</definedName>
    <definedName name="__APW_RESTORE_DATA947__" hidden="1">#REF!,#REF!,#REF!,#REF!,#REF!,#REF!,#REF!,#REF!,#REF!,#REF!,#REF!,#REF!,#REF!,#REF!,#REF!,#REF!</definedName>
    <definedName name="__APW_RESTORE_DATA948__" hidden="1">#REF!,#REF!,#REF!,#REF!,#REF!,#REF!,#REF!,#REF!,#REF!,#REF!,#REF!,#REF!,#REF!,#REF!,#REF!,#REF!</definedName>
    <definedName name="__APW_RESTORE_DATA949__" hidden="1">#REF!,#REF!,#REF!,#REF!,#REF!,#REF!,#REF!,#REF!,#REF!,#REF!,#REF!,#REF!,#REF!,#REF!,#REF!,#REF!</definedName>
    <definedName name="__APW_RESTORE_DATA95__" hidden="1">#REF!,#REF!,#REF!,#REF!,#REF!,#REF!</definedName>
    <definedName name="__APW_RESTORE_DATA950__" hidden="1">#REF!,#REF!,#REF!,#REF!,#REF!,#REF!,#REF!,#REF!,#REF!,#REF!,#REF!,#REF!,#REF!,#REF!,#REF!,#REF!</definedName>
    <definedName name="__APW_RESTORE_DATA951__" hidden="1">#REF!,#REF!,#REF!,#REF!,#REF!,#REF!,#REF!,#REF!,#REF!,#REF!,#REF!,#REF!,#REF!,#REF!,#REF!</definedName>
    <definedName name="__APW_RESTORE_DATA952__" hidden="1">#REF!,#REF!,#REF!,#REF!,#REF!,#REF!,#REF!,#REF!,#REF!,#REF!,#REF!,#REF!,#REF!,#REF!,#REF!</definedName>
    <definedName name="__APW_RESTORE_DATA953__" hidden="1">#REF!,#REF!,#REF!,#REF!,#REF!,#REF!,#REF!,#REF!,#REF!,#REF!,#REF!,#REF!,#REF!,#REF!,#REF!</definedName>
    <definedName name="__APW_RESTORE_DATA954__" hidden="1">#REF!,#REF!,#REF!,#REF!,#REF!,#REF!,#REF!,#REF!,#REF!,#REF!,#REF!,#REF!,#REF!,#REF!,#REF!</definedName>
    <definedName name="__APW_RESTORE_DATA955__" hidden="1">#REF!,#REF!,#REF!,#REF!,#REF!,#REF!,#REF!,#REF!,#REF!,#REF!,#REF!,#REF!,#REF!,#REF!,#REF!</definedName>
    <definedName name="__APW_RESTORE_DATA956__" hidden="1">#REF!,#REF!,#REF!,#REF!,#REF!,#REF!,#REF!,#REF!,#REF!,#REF!,#REF!,#REF!,#REF!,#REF!,#REF!</definedName>
    <definedName name="__APW_RESTORE_DATA957__" hidden="1">#REF!,#REF!,#REF!,#REF!,#REF!,#REF!,#REF!,#REF!,#REF!,#REF!,#REF!,#REF!,#REF!,#REF!,#REF!</definedName>
    <definedName name="__APW_RESTORE_DATA958__" hidden="1">#REF!,#REF!,#REF!,#REF!,#REF!,#REF!,#REF!,#REF!,#REF!,#REF!,#REF!,#REF!,#REF!,#REF!,#REF!</definedName>
    <definedName name="__APW_RESTORE_DATA959__" hidden="1">#REF!,#REF!,#REF!,#REF!,#REF!,#REF!,#REF!,#REF!,#REF!</definedName>
    <definedName name="__APW_RESTORE_DATA96__" hidden="1">#REF!,#REF!,#REF!,#REF!,#REF!,#REF!,#REF!,#REF!,#REF!,#REF!,#REF!,#REF!,#REF!,#REF!,#REF!,#REF!,#REF!</definedName>
    <definedName name="__APW_RESTORE_DATA960__" hidden="1">#REF!,#REF!,#REF!,#REF!,#REF!,#REF!,#REF!,#REF!,#REF!,#REF!,#REF!,#REF!,#REF!,#REF!,#REF!,#REF!</definedName>
    <definedName name="__APW_RESTORE_DATA961__" hidden="1">#REF!,#REF!,#REF!,#REF!,#REF!,#REF!,#REF!,#REF!,#REF!,#REF!,#REF!,#REF!,#REF!,#REF!,#REF!</definedName>
    <definedName name="__APW_RESTORE_DATA962__" hidden="1">#REF!,#REF!,#REF!,#REF!,#REF!,#REF!,#REF!,#REF!,#REF!,#REF!,#REF!,#REF!,#REF!,#REF!,#REF!</definedName>
    <definedName name="__APW_RESTORE_DATA963__" hidden="1">#REF!,#REF!,#REF!,#REF!,#REF!,#REF!,#REF!,#REF!,#REF!,#REF!,#REF!,#REF!,#REF!,#REF!,#REF!</definedName>
    <definedName name="__APW_RESTORE_DATA964__" hidden="1">#REF!,#REF!,#REF!,#REF!,#REF!,#REF!,#REF!,#REF!,#REF!,#REF!,#REF!,#REF!,#REF!,#REF!,#REF!</definedName>
    <definedName name="__APW_RESTORE_DATA965__" hidden="1">#REF!,#REF!,#REF!,#REF!,#REF!,#REF!,#REF!,#REF!,#REF!,#REF!,#REF!,#REF!,#REF!,#REF!,#REF!</definedName>
    <definedName name="__APW_RESTORE_DATA966__" hidden="1">#REF!,#REF!,#REF!,#REF!,#REF!,#REF!,#REF!,#REF!,#REF!,#REF!,#REF!,#REF!,#REF!,#REF!,#REF!</definedName>
    <definedName name="__APW_RESTORE_DATA967__" hidden="1">#REF!,#REF!,#REF!,#REF!,#REF!,#REF!,#REF!,#REF!,#REF!,#REF!,#REF!,#REF!,#REF!,#REF!</definedName>
    <definedName name="__APW_RESTORE_DATA968__" hidden="1">#REF!,#REF!,#REF!,#REF!,#REF!,#REF!,#REF!,#REF!,#REF!,#REF!,#REF!,#REF!,#REF!,#REF!</definedName>
    <definedName name="__APW_RESTORE_DATA969__" hidden="1">#REF!,#REF!,#REF!,#REF!,#REF!,#REF!,#REF!,#REF!,#REF!,#REF!,#REF!,#REF!,#REF!,#REF!</definedName>
    <definedName name="__APW_RESTORE_DATA97__" hidden="1">#REF!,#REF!,#REF!,#REF!,#REF!,#REF!,#REF!,#REF!,#REF!,#REF!,#REF!,#REF!,#REF!,#REF!,#REF!,#REF!</definedName>
    <definedName name="__APW_RESTORE_DATA970__" hidden="1">#REF!,#REF!,#REF!,#REF!,#REF!,#REF!,#REF!,#REF!,#REF!,#REF!,#REF!,#REF!,#REF!,#REF!</definedName>
    <definedName name="__APW_RESTORE_DATA971__" hidden="1">#REF!,#REF!,#REF!,#REF!,#REF!,#REF!,#REF!,#REF!,#REF!,#REF!,#REF!,#REF!,#REF!,#REF!</definedName>
    <definedName name="__APW_RESTORE_DATA972__" hidden="1">#REF!,#REF!,#REF!,#REF!,#REF!,#REF!,#REF!,#REF!,#REF!,#REF!,#REF!,#REF!,#REF!,#REF!</definedName>
    <definedName name="__APW_RESTORE_DATA973__" hidden="1">#REF!,#REF!,#REF!,#REF!,#REF!,#REF!,#REF!,#REF!,#REF!,#REF!,#REF!,#REF!,#REF!,#REF!</definedName>
    <definedName name="__APW_RESTORE_DATA974__" hidden="1">#REF!,#REF!,#REF!,#REF!,#REF!,#REF!,#REF!,#REF!,#REF!,#REF!,#REF!,#REF!,#REF!,#REF!</definedName>
    <definedName name="__APW_RESTORE_DATA975__" hidden="1">#REF!,#REF!,#REF!,#REF!,#REF!,#REF!,#REF!,#REF!</definedName>
    <definedName name="__APW_RESTORE_DATA98__" hidden="1">#REF!,#REF!,#REF!,#REF!,#REF!,#REF!,#REF!,#REF!,#REF!,#REF!,#REF!,#REF!,#REF!,#REF!,#REF!,#REF!</definedName>
    <definedName name="__APW_RESTORE_DATA99__" hidden="1">#REF!,#REF!,#REF!,#REF!,#REF!,#REF!,#REF!,#REF!,#REF!,#REF!,#REF!,#REF!,#REF!,#REF!,#REF!,#REF!</definedName>
    <definedName name="__BAL1">#REF!</definedName>
    <definedName name="__BSH1" localSheetId="17">[13]fresults!#REF!</definedName>
    <definedName name="__BSH1">[14]fresults!#REF!</definedName>
    <definedName name="__BSH2" localSheetId="17">[13]fresults!#REF!</definedName>
    <definedName name="__BSH2">[14]fresults!#REF!</definedName>
    <definedName name="__BSH3" localSheetId="17">[13]fresults!#REF!</definedName>
    <definedName name="__BSH3">[14]fresults!#REF!</definedName>
    <definedName name="__C" localSheetId="17">'[15]B S-31-3-2006'!#REF!</definedName>
    <definedName name="__C" localSheetId="7">#REF!</definedName>
    <definedName name="__C" localSheetId="10">#REF!</definedName>
    <definedName name="__C" localSheetId="9">#REF!</definedName>
    <definedName name="__C" localSheetId="6">#REF!</definedName>
    <definedName name="__C">'[15]B S-31-3-2006'!#REF!</definedName>
    <definedName name="__col1">#REF!</definedName>
    <definedName name="__col10">#REF!</definedName>
    <definedName name="__col11">#REF!</definedName>
    <definedName name="__col12">#REF!</definedName>
    <definedName name="__col13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DAT1" localSheetId="17">#REF!</definedName>
    <definedName name="__DAT1" localSheetId="7">#REF!</definedName>
    <definedName name="__DAT1" localSheetId="10">#REF!</definedName>
    <definedName name="__DAT1" localSheetId="9">#REF!</definedName>
    <definedName name="__DAT1" localSheetId="6">#REF!</definedName>
    <definedName name="__DAT1">#REF!</definedName>
    <definedName name="__DAT10" localSheetId="7">#REF!</definedName>
    <definedName name="__DAT10" localSheetId="10">#REF!</definedName>
    <definedName name="__DAT10" localSheetId="9">#REF!</definedName>
    <definedName name="__DAT10" localSheetId="6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7">#REF!</definedName>
    <definedName name="__DAT8">#REF!</definedName>
    <definedName name="__DAT9">#REF!</definedName>
    <definedName name="__DOWN_10__GOTO">#REF!</definedName>
    <definedName name="__drs8" localSheetId="7" hidden="1">{"'August 2000'!$A$1:$J$101"}</definedName>
    <definedName name="__drs8" localSheetId="10" hidden="1">{"'August 2000'!$A$1:$J$101"}</definedName>
    <definedName name="__drs8" localSheetId="1" hidden="1">{"'August 2000'!$A$1:$J$101"}</definedName>
    <definedName name="__drs8" localSheetId="0" hidden="1">{"'August 2000'!$A$1:$J$101"}</definedName>
    <definedName name="__drs8" localSheetId="6" hidden="1">{"'August 2000'!$A$1:$J$101"}</definedName>
    <definedName name="__drs8" hidden="1">{"'August 2000'!$A$1:$J$101"}</definedName>
    <definedName name="__ES84__EW84_0.">#REF!</definedName>
    <definedName name="__ESC1">#REF!</definedName>
    <definedName name="__fa1" localSheetId="7" hidden="1">{"plansummary",#N/A,FALSE,"PlanSummary";"sales",#N/A,FALSE,"Sales Rec";"productivity",#N/A,FALSE,"Productivity Rec";"capitalspending",#N/A,FALSE,"Capital Spending"}</definedName>
    <definedName name="__fa1" localSheetId="10" hidden="1">{"plansummary",#N/A,FALSE,"PlanSummary";"sales",#N/A,FALSE,"Sales Rec";"productivity",#N/A,FALSE,"Productivity Rec";"capitalspending",#N/A,FALSE,"Capital Spending"}</definedName>
    <definedName name="__fa1" localSheetId="1" hidden="1">{"plansummary",#N/A,FALSE,"PlanSummary";"sales",#N/A,FALSE,"Sales Rec";"productivity",#N/A,FALSE,"Productivity Rec";"capitalspending",#N/A,FALSE,"Capital Spending"}</definedName>
    <definedName name="__fa1" localSheetId="0" hidden="1">{"plansummary",#N/A,FALSE,"PlanSummary";"sales",#N/A,FALSE,"Sales Rec";"productivity",#N/A,FALSE,"Productivity Rec";"capitalspending",#N/A,FALSE,"Capital Spending"}</definedName>
    <definedName name="__fa1" localSheetId="6" hidden="1">{"plansummary",#N/A,FALSE,"PlanSummary";"sales",#N/A,FALSE,"Sales Rec";"productivity",#N/A,FALSE,"Productivity Rec";"capitalspending",#N/A,FALSE,"Capital Spending"}</definedName>
    <definedName name="__fa1" hidden="1">{"plansummary",#N/A,FALSE,"PlanSummary";"sales",#N/A,FALSE,"Sales Rec";"productivity",#N/A,FALSE,"Productivity Rec";"capitalspending",#N/A,FALSE,"Capital Spending"}</definedName>
    <definedName name="__fa2" localSheetId="7" hidden="1">{"plansummary",#N/A,FALSE,"PlanSummary";"sales",#N/A,FALSE,"Sales Rec";"productivity",#N/A,FALSE,"Productivity Rec";"capitalspending",#N/A,FALSE,"Capital Spending"}</definedName>
    <definedName name="__fa2" localSheetId="10" hidden="1">{"plansummary",#N/A,FALSE,"PlanSummary";"sales",#N/A,FALSE,"Sales Rec";"productivity",#N/A,FALSE,"Productivity Rec";"capitalspending",#N/A,FALSE,"Capital Spending"}</definedName>
    <definedName name="__fa2" localSheetId="1" hidden="1">{"plansummary",#N/A,FALSE,"PlanSummary";"sales",#N/A,FALSE,"Sales Rec";"productivity",#N/A,FALSE,"Productivity Rec";"capitalspending",#N/A,FALSE,"Capital Spending"}</definedName>
    <definedName name="__fa2" localSheetId="0" hidden="1">{"plansummary",#N/A,FALSE,"PlanSummary";"sales",#N/A,FALSE,"Sales Rec";"productivity",#N/A,FALSE,"Productivity Rec";"capitalspending",#N/A,FALSE,"Capital Spending"}</definedName>
    <definedName name="__fa2" localSheetId="6" hidden="1">{"plansummary",#N/A,FALSE,"PlanSummary";"sales",#N/A,FALSE,"Sales Rec";"productivity",#N/A,FALSE,"Productivity Rec";"capitalspending",#N/A,FALSE,"Capital Spending"}</definedName>
    <definedName name="__fa2" hidden="1">{"plansummary",#N/A,FALSE,"PlanSummary";"sales",#N/A,FALSE,"Sales Rec";"productivity",#N/A,FALSE,"Productivity Rec";"capitalspending",#N/A,FALSE,"Capital Spending"}</definedName>
    <definedName name="__fa3" localSheetId="7" hidden="1">{"plansummary",#N/A,FALSE,"PlanSummary";"sales",#N/A,FALSE,"Sales Rec";"productivity",#N/A,FALSE,"Productivity Rec";"capitalspending",#N/A,FALSE,"Capital Spending"}</definedName>
    <definedName name="__fa3" localSheetId="10" hidden="1">{"plansummary",#N/A,FALSE,"PlanSummary";"sales",#N/A,FALSE,"Sales Rec";"productivity",#N/A,FALSE,"Productivity Rec";"capitalspending",#N/A,FALSE,"Capital Spending"}</definedName>
    <definedName name="__fa3" localSheetId="1" hidden="1">{"plansummary",#N/A,FALSE,"PlanSummary";"sales",#N/A,FALSE,"Sales Rec";"productivity",#N/A,FALSE,"Productivity Rec";"capitalspending",#N/A,FALSE,"Capital Spending"}</definedName>
    <definedName name="__fa3" localSheetId="0" hidden="1">{"plansummary",#N/A,FALSE,"PlanSummary";"sales",#N/A,FALSE,"Sales Rec";"productivity",#N/A,FALSE,"Productivity Rec";"capitalspending",#N/A,FALSE,"Capital Spending"}</definedName>
    <definedName name="__fa3" localSheetId="6" hidden="1">{"plansummary",#N/A,FALSE,"PlanSummary";"sales",#N/A,FALSE,"Sales Rec";"productivity",#N/A,FALSE,"Productivity Rec";"capitalspending",#N/A,FALSE,"Capital Spending"}</definedName>
    <definedName name="__fa3" hidden="1">{"plansummary",#N/A,FALSE,"PlanSummary";"sales",#N/A,FALSE,"Sales Rec";"productivity",#N/A,FALSE,"Productivity Rec";"capitalspending",#N/A,FALSE,"Capital Spending"}</definedName>
    <definedName name="__FDS_HYPERLINK_TOGGLE_STATE__" hidden="1">"ON"</definedName>
    <definedName name="__GOTO_EP84__AV">#REF!</definedName>
    <definedName name="__IntlFixup" hidden="1">TRUE</definedName>
    <definedName name="__jUL2005" localSheetId="17" hidden="1">{#N/A,#N/A,FALSE,"Aging Summary";#N/A,#N/A,FALSE,"Ratio Analysis";#N/A,#N/A,FALSE,"Test 120 Day Accts";#N/A,#N/A,FALSE,"Tickmarks"}</definedName>
    <definedName name="__jUL2005" localSheetId="1" hidden="1">{#N/A,#N/A,FALSE,"Aging Summary";#N/A,#N/A,FALSE,"Ratio Analysis";#N/A,#N/A,FALSE,"Test 120 Day Accts";#N/A,#N/A,FALSE,"Tickmarks"}</definedName>
    <definedName name="__jUL2005" localSheetId="0" hidden="1">{#N/A,#N/A,FALSE,"Aging Summary";#N/A,#N/A,FALSE,"Ratio Analysis";#N/A,#N/A,FALSE,"Test 120 Day Accts";#N/A,#N/A,FALSE,"Tickmarks"}</definedName>
    <definedName name="__jUL2005" hidden="1">{#N/A,#N/A,FALSE,"Aging Summary";#N/A,#N/A,FALSE,"Ratio Analysis";#N/A,#N/A,FALSE,"Test 120 Day Accts";#N/A,#N/A,FALSE,"Tickmarks"}</definedName>
    <definedName name="__k8" localSheetId="7" hidden="1">{#N/A,#N/A,FALSE,"COVER1.XLS ";#N/A,#N/A,FALSE,"RACT1.XLS";#N/A,#N/A,FALSE,"RACT2.XLS";#N/A,#N/A,FALSE,"ECCMP";#N/A,#N/A,FALSE,"WELDER.XLS"}</definedName>
    <definedName name="__k8" localSheetId="10" hidden="1">{#N/A,#N/A,FALSE,"COVER1.XLS ";#N/A,#N/A,FALSE,"RACT1.XLS";#N/A,#N/A,FALSE,"RACT2.XLS";#N/A,#N/A,FALSE,"ECCMP";#N/A,#N/A,FALSE,"WELDER.XLS"}</definedName>
    <definedName name="__k8" localSheetId="1" hidden="1">{#N/A,#N/A,FALSE,"COVER1.XLS ";#N/A,#N/A,FALSE,"RACT1.XLS";#N/A,#N/A,FALSE,"RACT2.XLS";#N/A,#N/A,FALSE,"ECCMP";#N/A,#N/A,FALSE,"WELDER.XLS"}</definedName>
    <definedName name="__k8" localSheetId="0" hidden="1">{#N/A,#N/A,FALSE,"COVER1.XLS ";#N/A,#N/A,FALSE,"RACT1.XLS";#N/A,#N/A,FALSE,"RACT2.XLS";#N/A,#N/A,FALSE,"ECCMP";#N/A,#N/A,FALSE,"WELDER.XLS"}</definedName>
    <definedName name="__k8" localSheetId="6" hidden="1">{#N/A,#N/A,FALSE,"COVER1.XLS ";#N/A,#N/A,FALSE,"RACT1.XLS";#N/A,#N/A,FALSE,"RACT2.XLS";#N/A,#N/A,FALSE,"ECCMP";#N/A,#N/A,FALSE,"WELDER.XLS"}</definedName>
    <definedName name="__k8" hidden="1">{#N/A,#N/A,FALSE,"COVER1.XLS ";#N/A,#N/A,FALSE,"RACT1.XLS";#N/A,#N/A,FALSE,"RACT2.XLS";#N/A,#N/A,FALSE,"ECCMP";#N/A,#N/A,FALSE,"WELDER.XLS"}</definedName>
    <definedName name="__key1" hidden="1">[6]sheet6!#REF!</definedName>
    <definedName name="__kv2" localSheetId="7" hidden="1">{#N/A,#N/A,FALSE,"COVER1.XLS ";#N/A,#N/A,FALSE,"RACT1.XLS";#N/A,#N/A,FALSE,"RACT2.XLS";#N/A,#N/A,FALSE,"ECCMP";#N/A,#N/A,FALSE,"WELDER.XLS"}</definedName>
    <definedName name="__kv2" localSheetId="10" hidden="1">{#N/A,#N/A,FALSE,"COVER1.XLS ";#N/A,#N/A,FALSE,"RACT1.XLS";#N/A,#N/A,FALSE,"RACT2.XLS";#N/A,#N/A,FALSE,"ECCMP";#N/A,#N/A,FALSE,"WELDER.XLS"}</definedName>
    <definedName name="__kv2" localSheetId="1" hidden="1">{#N/A,#N/A,FALSE,"COVER1.XLS ";#N/A,#N/A,FALSE,"RACT1.XLS";#N/A,#N/A,FALSE,"RACT2.XLS";#N/A,#N/A,FALSE,"ECCMP";#N/A,#N/A,FALSE,"WELDER.XLS"}</definedName>
    <definedName name="__kv2" localSheetId="0" hidden="1">{#N/A,#N/A,FALSE,"COVER1.XLS ";#N/A,#N/A,FALSE,"RACT1.XLS";#N/A,#N/A,FALSE,"RACT2.XLS";#N/A,#N/A,FALSE,"ECCMP";#N/A,#N/A,FALSE,"WELDER.XLS"}</definedName>
    <definedName name="__kv2" localSheetId="6" hidden="1">{#N/A,#N/A,FALSE,"COVER1.XLS ";#N/A,#N/A,FALSE,"RACT1.XLS";#N/A,#N/A,FALSE,"RACT2.XLS";#N/A,#N/A,FALSE,"ECCMP";#N/A,#N/A,FALSE,"WELDER.XLS"}</definedName>
    <definedName name="__kv2" hidden="1">{#N/A,#N/A,FALSE,"COVER1.XLS ";#N/A,#N/A,FALSE,"RACT1.XLS";#N/A,#N/A,FALSE,"RACT2.XLS";#N/A,#N/A,FALSE,"ECCMP";#N/A,#N/A,FALSE,"WELDER.XLS"}</definedName>
    <definedName name="__kvs1" localSheetId="7" hidden="1">{#N/A,#N/A,FALSE,"COVER1.XLS ";#N/A,#N/A,FALSE,"RACT1.XLS";#N/A,#N/A,FALSE,"RACT2.XLS";#N/A,#N/A,FALSE,"ECCMP";#N/A,#N/A,FALSE,"WELDER.XLS"}</definedName>
    <definedName name="__kvs1" localSheetId="10" hidden="1">{#N/A,#N/A,FALSE,"COVER1.XLS ";#N/A,#N/A,FALSE,"RACT1.XLS";#N/A,#N/A,FALSE,"RACT2.XLS";#N/A,#N/A,FALSE,"ECCMP";#N/A,#N/A,FALSE,"WELDER.XLS"}</definedName>
    <definedName name="__kvs1" localSheetId="1" hidden="1">{#N/A,#N/A,FALSE,"COVER1.XLS ";#N/A,#N/A,FALSE,"RACT1.XLS";#N/A,#N/A,FALSE,"RACT2.XLS";#N/A,#N/A,FALSE,"ECCMP";#N/A,#N/A,FALSE,"WELDER.XLS"}</definedName>
    <definedName name="__kvs1" localSheetId="0" hidden="1">{#N/A,#N/A,FALSE,"COVER1.XLS ";#N/A,#N/A,FALSE,"RACT1.XLS";#N/A,#N/A,FALSE,"RACT2.XLS";#N/A,#N/A,FALSE,"ECCMP";#N/A,#N/A,FALSE,"WELDER.XLS"}</definedName>
    <definedName name="__kvs1" localSheetId="6" hidden="1">{#N/A,#N/A,FALSE,"COVER1.XLS ";#N/A,#N/A,FALSE,"RACT1.XLS";#N/A,#N/A,FALSE,"RACT2.XLS";#N/A,#N/A,FALSE,"ECCMP";#N/A,#N/A,FALSE,"WELDER.XLS"}</definedName>
    <definedName name="__kvs1" hidden="1">{#N/A,#N/A,FALSE,"COVER1.XLS ";#N/A,#N/A,FALSE,"RACT1.XLS";#N/A,#N/A,FALSE,"RACT2.XLS";#N/A,#N/A,FALSE,"ECCMP";#N/A,#N/A,FALSE,"WELDER.XLS"}</definedName>
    <definedName name="__kvs2" localSheetId="7" hidden="1">{#N/A,#N/A,FALSE,"COVER1.XLS ";#N/A,#N/A,FALSE,"RACT1.XLS";#N/A,#N/A,FALSE,"RACT2.XLS";#N/A,#N/A,FALSE,"ECCMP";#N/A,#N/A,FALSE,"WELDER.XLS"}</definedName>
    <definedName name="__kvs2" localSheetId="10" hidden="1">{#N/A,#N/A,FALSE,"COVER1.XLS ";#N/A,#N/A,FALSE,"RACT1.XLS";#N/A,#N/A,FALSE,"RACT2.XLS";#N/A,#N/A,FALSE,"ECCMP";#N/A,#N/A,FALSE,"WELDER.XLS"}</definedName>
    <definedName name="__kvs2" localSheetId="1" hidden="1">{#N/A,#N/A,FALSE,"COVER1.XLS ";#N/A,#N/A,FALSE,"RACT1.XLS";#N/A,#N/A,FALSE,"RACT2.XLS";#N/A,#N/A,FALSE,"ECCMP";#N/A,#N/A,FALSE,"WELDER.XLS"}</definedName>
    <definedName name="__kvs2" localSheetId="0" hidden="1">{#N/A,#N/A,FALSE,"COVER1.XLS ";#N/A,#N/A,FALSE,"RACT1.XLS";#N/A,#N/A,FALSE,"RACT2.XLS";#N/A,#N/A,FALSE,"ECCMP";#N/A,#N/A,FALSE,"WELDER.XLS"}</definedName>
    <definedName name="__kvs2" localSheetId="6" hidden="1">{#N/A,#N/A,FALSE,"COVER1.XLS ";#N/A,#N/A,FALSE,"RACT1.XLS";#N/A,#N/A,FALSE,"RACT2.XLS";#N/A,#N/A,FALSE,"ECCMP";#N/A,#N/A,FALSE,"WELDER.XLS"}</definedName>
    <definedName name="__kvs2" hidden="1">{#N/A,#N/A,FALSE,"COVER1.XLS ";#N/A,#N/A,FALSE,"RACT1.XLS";#N/A,#N/A,FALSE,"RACT2.XLS";#N/A,#N/A,FALSE,"ECCMP";#N/A,#N/A,FALSE,"WELDER.XLS"}</definedName>
    <definedName name="__kvs5" localSheetId="7" hidden="1">{#N/A,#N/A,FALSE,"COVER.XLS";#N/A,#N/A,FALSE,"RACT1.XLS";#N/A,#N/A,FALSE,"RACT2.XLS";#N/A,#N/A,FALSE,"ECCMP";#N/A,#N/A,FALSE,"WELDER.XLS"}</definedName>
    <definedName name="__kvs5" localSheetId="10" hidden="1">{#N/A,#N/A,FALSE,"COVER.XLS";#N/A,#N/A,FALSE,"RACT1.XLS";#N/A,#N/A,FALSE,"RACT2.XLS";#N/A,#N/A,FALSE,"ECCMP";#N/A,#N/A,FALSE,"WELDER.XLS"}</definedName>
    <definedName name="__kvs5" localSheetId="1" hidden="1">{#N/A,#N/A,FALSE,"COVER.XLS";#N/A,#N/A,FALSE,"RACT1.XLS";#N/A,#N/A,FALSE,"RACT2.XLS";#N/A,#N/A,FALSE,"ECCMP";#N/A,#N/A,FALSE,"WELDER.XLS"}</definedName>
    <definedName name="__kvs5" localSheetId="0" hidden="1">{#N/A,#N/A,FALSE,"COVER.XLS";#N/A,#N/A,FALSE,"RACT1.XLS";#N/A,#N/A,FALSE,"RACT2.XLS";#N/A,#N/A,FALSE,"ECCMP";#N/A,#N/A,FALSE,"WELDER.XLS"}</definedName>
    <definedName name="__kvs5" localSheetId="6" hidden="1">{#N/A,#N/A,FALSE,"COVER.XLS";#N/A,#N/A,FALSE,"RACT1.XLS";#N/A,#N/A,FALSE,"RACT2.XLS";#N/A,#N/A,FALSE,"ECCMP";#N/A,#N/A,FALSE,"WELDER.XLS"}</definedName>
    <definedName name="__kvs5" hidden="1">{#N/A,#N/A,FALSE,"COVER.XLS";#N/A,#N/A,FALSE,"RACT1.XLS";#N/A,#N/A,FALSE,"RACT2.XLS";#N/A,#N/A,FALSE,"ECCMP";#N/A,#N/A,FALSE,"WELDER.XLS"}</definedName>
    <definedName name="__kvs7" localSheetId="7" hidden="1">{#N/A,#N/A,FALSE,"COVER1.XLS ";#N/A,#N/A,FALSE,"RACT1.XLS";#N/A,#N/A,FALSE,"RACT2.XLS";#N/A,#N/A,FALSE,"ECCMP";#N/A,#N/A,FALSE,"WELDER.XLS"}</definedName>
    <definedName name="__kvs7" localSheetId="10" hidden="1">{#N/A,#N/A,FALSE,"COVER1.XLS ";#N/A,#N/A,FALSE,"RACT1.XLS";#N/A,#N/A,FALSE,"RACT2.XLS";#N/A,#N/A,FALSE,"ECCMP";#N/A,#N/A,FALSE,"WELDER.XLS"}</definedName>
    <definedName name="__kvs7" localSheetId="1" hidden="1">{#N/A,#N/A,FALSE,"COVER1.XLS ";#N/A,#N/A,FALSE,"RACT1.XLS";#N/A,#N/A,FALSE,"RACT2.XLS";#N/A,#N/A,FALSE,"ECCMP";#N/A,#N/A,FALSE,"WELDER.XLS"}</definedName>
    <definedName name="__kvs7" localSheetId="0" hidden="1">{#N/A,#N/A,FALSE,"COVER1.XLS ";#N/A,#N/A,FALSE,"RACT1.XLS";#N/A,#N/A,FALSE,"RACT2.XLS";#N/A,#N/A,FALSE,"ECCMP";#N/A,#N/A,FALSE,"WELDER.XLS"}</definedName>
    <definedName name="__kvs7" localSheetId="6" hidden="1">{#N/A,#N/A,FALSE,"COVER1.XLS ";#N/A,#N/A,FALSE,"RACT1.XLS";#N/A,#N/A,FALSE,"RACT2.XLS";#N/A,#N/A,FALSE,"ECCMP";#N/A,#N/A,FALSE,"WELDER.XLS"}</definedName>
    <definedName name="__kvs7" hidden="1">{#N/A,#N/A,FALSE,"COVER1.XLS ";#N/A,#N/A,FALSE,"RACT1.XLS";#N/A,#N/A,FALSE,"RACT2.XLS";#N/A,#N/A,FALSE,"ECCMP";#N/A,#N/A,FALSE,"WELDER.XLS"}</definedName>
    <definedName name="__kvs8" localSheetId="7" hidden="1">{#N/A,#N/A,FALSE,"COVER1.XLS ";#N/A,#N/A,FALSE,"RACT1.XLS";#N/A,#N/A,FALSE,"RACT2.XLS";#N/A,#N/A,FALSE,"ECCMP";#N/A,#N/A,FALSE,"WELDER.XLS"}</definedName>
    <definedName name="__kvs8" localSheetId="10" hidden="1">{#N/A,#N/A,FALSE,"COVER1.XLS ";#N/A,#N/A,FALSE,"RACT1.XLS";#N/A,#N/A,FALSE,"RACT2.XLS";#N/A,#N/A,FALSE,"ECCMP";#N/A,#N/A,FALSE,"WELDER.XLS"}</definedName>
    <definedName name="__kvs8" localSheetId="1" hidden="1">{#N/A,#N/A,FALSE,"COVER1.XLS ";#N/A,#N/A,FALSE,"RACT1.XLS";#N/A,#N/A,FALSE,"RACT2.XLS";#N/A,#N/A,FALSE,"ECCMP";#N/A,#N/A,FALSE,"WELDER.XLS"}</definedName>
    <definedName name="__kvs8" localSheetId="0" hidden="1">{#N/A,#N/A,FALSE,"COVER1.XLS ";#N/A,#N/A,FALSE,"RACT1.XLS";#N/A,#N/A,FALSE,"RACT2.XLS";#N/A,#N/A,FALSE,"ECCMP";#N/A,#N/A,FALSE,"WELDER.XLS"}</definedName>
    <definedName name="__kvs8" localSheetId="6" hidden="1">{#N/A,#N/A,FALSE,"COVER1.XLS ";#N/A,#N/A,FALSE,"RACT1.XLS";#N/A,#N/A,FALSE,"RACT2.XLS";#N/A,#N/A,FALSE,"ECCMP";#N/A,#N/A,FALSE,"WELDER.XLS"}</definedName>
    <definedName name="__kvs8" hidden="1">{#N/A,#N/A,FALSE,"COVER1.XLS ";#N/A,#N/A,FALSE,"RACT1.XLS";#N/A,#N/A,FALSE,"RACT2.XLS";#N/A,#N/A,FALSE,"ECCMP";#N/A,#N/A,FALSE,"WELDER.XLS"}</definedName>
    <definedName name="__KVS9" localSheetId="7" hidden="1">{#N/A,#N/A,FALSE,"COVER1.XLS ";#N/A,#N/A,FALSE,"RACT1.XLS";#N/A,#N/A,FALSE,"RACT2.XLS";#N/A,#N/A,FALSE,"ECCMP";#N/A,#N/A,FALSE,"WELDER.XLS"}</definedName>
    <definedName name="__KVS9" localSheetId="10" hidden="1">{#N/A,#N/A,FALSE,"COVER1.XLS ";#N/A,#N/A,FALSE,"RACT1.XLS";#N/A,#N/A,FALSE,"RACT2.XLS";#N/A,#N/A,FALSE,"ECCMP";#N/A,#N/A,FALSE,"WELDER.XLS"}</definedName>
    <definedName name="__KVS9" localSheetId="1" hidden="1">{#N/A,#N/A,FALSE,"COVER1.XLS ";#N/A,#N/A,FALSE,"RACT1.XLS";#N/A,#N/A,FALSE,"RACT2.XLS";#N/A,#N/A,FALSE,"ECCMP";#N/A,#N/A,FALSE,"WELDER.XLS"}</definedName>
    <definedName name="__KVS9" localSheetId="0" hidden="1">{#N/A,#N/A,FALSE,"COVER1.XLS ";#N/A,#N/A,FALSE,"RACT1.XLS";#N/A,#N/A,FALSE,"RACT2.XLS";#N/A,#N/A,FALSE,"ECCMP";#N/A,#N/A,FALSE,"WELDER.XLS"}</definedName>
    <definedName name="__KVS9" localSheetId="6" hidden="1">{#N/A,#N/A,FALSE,"COVER1.XLS ";#N/A,#N/A,FALSE,"RACT1.XLS";#N/A,#N/A,FALSE,"RACT2.XLS";#N/A,#N/A,FALSE,"ECCMP";#N/A,#N/A,FALSE,"WELDER.XLS"}</definedName>
    <definedName name="__KVS9" hidden="1">{#N/A,#N/A,FALSE,"COVER1.XLS ";#N/A,#N/A,FALSE,"RACT1.XLS";#N/A,#N/A,FALSE,"RACT2.XLS";#N/A,#N/A,FALSE,"ECCMP";#N/A,#N/A,FALSE,"WELDER.XLS"}</definedName>
    <definedName name="__l2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2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2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2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2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B1" localSheetId="17">#REF!</definedName>
    <definedName name="__LB1">#REF!</definedName>
    <definedName name="__LB2">#REF!</definedName>
    <definedName name="__lk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MAR9091">'[16]TRIAL BALANCE'!#REF!</definedName>
    <definedName name="__mar98">'[17]dhs-XTL'!#REF!</definedName>
    <definedName name="__mar99">'[17]dhs-XTL'!#REF!</definedName>
    <definedName name="__msy1" localSheetId="17">#REF!</definedName>
    <definedName name="__msy1">#REF!</definedName>
    <definedName name="__msy2">#REF!</definedName>
    <definedName name="__msy3">#REF!</definedName>
    <definedName name="__msy4">#REF!</definedName>
    <definedName name="__net99">#REF!</definedName>
    <definedName name="__Nov09" localSheetId="7" hidden="1">{"'August 2000'!$A$1:$J$101"}</definedName>
    <definedName name="__Nov09" localSheetId="10" hidden="1">{"'August 2000'!$A$1:$J$101"}</definedName>
    <definedName name="__Nov09" localSheetId="1" hidden="1">{"'August 2000'!$A$1:$J$101"}</definedName>
    <definedName name="__Nov09" localSheetId="0" hidden="1">{"'August 2000'!$A$1:$J$101"}</definedName>
    <definedName name="__Nov09" localSheetId="6" hidden="1">{"'August 2000'!$A$1:$J$101"}</definedName>
    <definedName name="__Nov09" hidden="1">{"'August 2000'!$A$1:$J$101"}</definedName>
    <definedName name="__oc1" localSheetId="17">[18]Sensitivities!$F$7</definedName>
    <definedName name="__oc1">[19]Sensitivities!$F$7</definedName>
    <definedName name="__pg1">#REF!</definedName>
    <definedName name="__PM1" localSheetId="17">#REF!</definedName>
    <definedName name="__PM1">#REF!</definedName>
    <definedName name="__PM2">#REF!</definedName>
    <definedName name="__PNB117">'[20]PNB-117'!$E$24</definedName>
    <definedName name="__q2" localSheetId="7" hidden="1">{#N/A,#N/A,FALSE,"COVER1.XLS ";#N/A,#N/A,FALSE,"RACT1.XLS";#N/A,#N/A,FALSE,"RACT2.XLS";#N/A,#N/A,FALSE,"ECCMP";#N/A,#N/A,FALSE,"WELDER.XLS"}</definedName>
    <definedName name="__q2" localSheetId="10" hidden="1">{#N/A,#N/A,FALSE,"COVER1.XLS ";#N/A,#N/A,FALSE,"RACT1.XLS";#N/A,#N/A,FALSE,"RACT2.XLS";#N/A,#N/A,FALSE,"ECCMP";#N/A,#N/A,FALSE,"WELDER.XLS"}</definedName>
    <definedName name="__q2" localSheetId="1" hidden="1">{#N/A,#N/A,FALSE,"COVER1.XLS ";#N/A,#N/A,FALSE,"RACT1.XLS";#N/A,#N/A,FALSE,"RACT2.XLS";#N/A,#N/A,FALSE,"ECCMP";#N/A,#N/A,FALSE,"WELDER.XLS"}</definedName>
    <definedName name="__q2" localSheetId="0" hidden="1">{#N/A,#N/A,FALSE,"COVER1.XLS ";#N/A,#N/A,FALSE,"RACT1.XLS";#N/A,#N/A,FALSE,"RACT2.XLS";#N/A,#N/A,FALSE,"ECCMP";#N/A,#N/A,FALSE,"WELDER.XLS"}</definedName>
    <definedName name="__q2" localSheetId="6" hidden="1">{#N/A,#N/A,FALSE,"COVER1.XLS ";#N/A,#N/A,FALSE,"RACT1.XLS";#N/A,#N/A,FALSE,"RACT2.XLS";#N/A,#N/A,FALSE,"ECCMP";#N/A,#N/A,FALSE,"WELDER.XLS"}</definedName>
    <definedName name="__q2" hidden="1">{#N/A,#N/A,FALSE,"COVER1.XLS ";#N/A,#N/A,FALSE,"RACT1.XLS";#N/A,#N/A,FALSE,"RACT2.XLS";#N/A,#N/A,FALSE,"ECCMP";#N/A,#N/A,FALSE,"WELDER.XLS"}</definedName>
    <definedName name="__rev3">#REF!</definedName>
    <definedName name="__rev4">#REF!</definedName>
    <definedName name="__RM1">#REF!</definedName>
    <definedName name="__RM2">#REF!</definedName>
    <definedName name="__RM3">#REF!</definedName>
    <definedName name="__ROI1">#REF!</definedName>
    <definedName name="__ROI2">'[21]#REF'!$A$46:$I$59</definedName>
    <definedName name="__RSE2">[22]CMA_Calculations!$H$125</definedName>
    <definedName name="__SCH1">#REF!</definedName>
    <definedName name="__SCH10">#REF!</definedName>
    <definedName name="__SCH11">#REF!</definedName>
    <definedName name="__SCH2">#REF!</definedName>
    <definedName name="__SCH3">#REF!</definedName>
    <definedName name="__SCH4">#REF!</definedName>
    <definedName name="__SCH5">#REF!</definedName>
    <definedName name="__SCH6">'[5]04REL'!#REF!</definedName>
    <definedName name="__SCH7">#REF!</definedName>
    <definedName name="__SCH8">#REF!</definedName>
    <definedName name="__SCH9">#REF!</definedName>
    <definedName name="__std1" localSheetId="17">'[23]132417'!$A$11:$Q$33</definedName>
    <definedName name="__std1">'[24]132417'!$A$11:$Q$33</definedName>
    <definedName name="__SUM_CS57..CS6">#REF!</definedName>
    <definedName name="__SUM_CS65..CS7">#REF!</definedName>
    <definedName name="__SUM_FQ20..FQ2">#REF!</definedName>
    <definedName name="__SUM_FQ28..FQ3">#REF!</definedName>
    <definedName name="__SUM1" localSheetId="17">#REF!</definedName>
    <definedName name="__SUM1">#REF!</definedName>
    <definedName name="__t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1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OT1">#REF!</definedName>
    <definedName name="__TOT2">#REF!</definedName>
    <definedName name="__TR1" localSheetId="17">[13]fresults!#REF!</definedName>
    <definedName name="__tr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>[14]fresults!#REF!</definedName>
    <definedName name="__TRA2" localSheetId="17">[13]fresults!#REF!</definedName>
    <definedName name="__TRA2">[14]fresults!#REF!</definedName>
    <definedName name="__VEH1" localSheetId="17">#REF!</definedName>
    <definedName name="__VEH1">#REF!</definedName>
    <definedName name="__VEH2">#REF!</definedName>
    <definedName name="__w2" localSheetId="7" hidden="1">{#N/A,#N/A,FALSE,"17MAY";#N/A,#N/A,FALSE,"24MAY"}</definedName>
    <definedName name="__w2" localSheetId="10" hidden="1">{#N/A,#N/A,FALSE,"17MAY";#N/A,#N/A,FALSE,"24MAY"}</definedName>
    <definedName name="__w2" localSheetId="1" hidden="1">{#N/A,#N/A,FALSE,"17MAY";#N/A,#N/A,FALSE,"24MAY"}</definedName>
    <definedName name="__w2" localSheetId="0" hidden="1">{#N/A,#N/A,FALSE,"17MAY";#N/A,#N/A,FALSE,"24MAY"}</definedName>
    <definedName name="__w2" localSheetId="6" hidden="1">{#N/A,#N/A,FALSE,"17MAY";#N/A,#N/A,FALSE,"24MAY"}</definedName>
    <definedName name="__w2" hidden="1">{#N/A,#N/A,FALSE,"17MAY";#N/A,#N/A,FALSE,"24MAY"}</definedName>
    <definedName name="__XL__ENTER_UNIT">#REF!</definedName>
    <definedName name="__xlnm.Print_Area_2" localSheetId="7">#REF!</definedName>
    <definedName name="__xlnm.Print_Area_2" localSheetId="10">#REF!</definedName>
    <definedName name="__xlnm.Print_Area_2" localSheetId="9">#REF!</definedName>
    <definedName name="__xlnm.Print_Area_2" localSheetId="6">#REF!</definedName>
    <definedName name="__xlnm.Print_Area_2">'Operating Statement'!$A$1:$AD$75</definedName>
    <definedName name="__xlnm.Print_Area_3" localSheetId="7">#REF!</definedName>
    <definedName name="__xlnm.Print_Area_3" localSheetId="10">#REF!</definedName>
    <definedName name="__xlnm.Print_Area_3" localSheetId="9">#REF!</definedName>
    <definedName name="__xlnm.Print_Area_3" localSheetId="6">#REF!</definedName>
    <definedName name="__xlnm.Print_Area_3">'Balance Sheet'!$A$1:$AD$163</definedName>
    <definedName name="__xlnm.Print_Area_4" localSheetId="7">#REF!</definedName>
    <definedName name="__xlnm.Print_Area_4" localSheetId="10">#REF!</definedName>
    <definedName name="__xlnm.Print_Area_4" localSheetId="9">#REF!</definedName>
    <definedName name="__xlnm.Print_Area_4" localSheetId="6">#REF!</definedName>
    <definedName name="__xlnm.Print_Area_4">'Additional Information'!$A$1:$AD$73</definedName>
    <definedName name="__xlnm.Print_Titles_1">#REF!</definedName>
    <definedName name="_01_UNIT1">#REF!</definedName>
    <definedName name="_01_UNIT2">#REF!</definedName>
    <definedName name="_01A__GP___DP">#REF!</definedName>
    <definedName name="_01B__DEP_TX_BK">#REF!</definedName>
    <definedName name="_02A__INTEREST">#REF!</definedName>
    <definedName name="_03_115JA_2A_B">#REF!</definedName>
    <definedName name="_03_SUM_1AX">#REF!</definedName>
    <definedName name="_03_SUM_1BX">#REF!</definedName>
    <definedName name="_04_80HHC_1A">#REF!</definedName>
    <definedName name="_04_80HHC_IIA">#REF!</definedName>
    <definedName name="_0409融資2部" localSheetId="17">#REF!</definedName>
    <definedName name="_0409融資2部">#REF!</definedName>
    <definedName name="_06__INTERUNIT">#REF!</definedName>
    <definedName name="_07__80IA">#REF!</definedName>
    <definedName name="_08__80I">#REF!</definedName>
    <definedName name="_09_TAX_SUMMARY">#REF!</definedName>
    <definedName name="_1" localSheetId="17">[1]H.O!#REF!</definedName>
    <definedName name="_1" localSheetId="7" hidden="1">[25]SUMMARY!$E$64:$H$64</definedName>
    <definedName name="_1" localSheetId="10" hidden="1">[25]SUMMARY!$E$64:$H$64</definedName>
    <definedName name="_1" localSheetId="9" hidden="1">[25]SUMMARY!$E$64:$H$64</definedName>
    <definedName name="_1" localSheetId="6" hidden="1">[25]SUMMARY!$E$64:$H$64</definedName>
    <definedName name="_1">[1]H.O!#REF!</definedName>
    <definedName name="_1__123Graph_ACHART_1" hidden="1">#REF!</definedName>
    <definedName name="_1_0脚注12_ACCOU" localSheetId="17">#REF!</definedName>
    <definedName name="_1_0脚注12_ACCOU">#REF!</definedName>
    <definedName name="_1_FULL">#REF!</definedName>
    <definedName name="_10__123Graph_FCHART_1" hidden="1">#REF!</definedName>
    <definedName name="_10_0_0CO">#REF!</definedName>
    <definedName name="_10_0脚注12_AMOU">#REF!</definedName>
    <definedName name="_11__123Graph_LBL_ACHART_1" hidden="1">#REF!</definedName>
    <definedName name="_11_1">#REF!</definedName>
    <definedName name="_12__123Graph_LBL_CCHART_1" hidden="1">#REF!</definedName>
    <definedName name="_12_0_0COS">#REF!</definedName>
    <definedName name="_12_35D">#REF!</definedName>
    <definedName name="_123" hidden="1">#REF!</definedName>
    <definedName name="_13__123Graph_LBL_DCHART_1" hidden="1">#REF!</definedName>
    <definedName name="_13_43B">#REF!</definedName>
    <definedName name="_14__123Graph_LBL_ECHART_1" hidden="1">#REF!</definedName>
    <definedName name="_14_0_0COST">#REF!</definedName>
    <definedName name="_14_80G">#REF!</definedName>
    <definedName name="_14A">[26]HONOTES!#REF!</definedName>
    <definedName name="_15__123Graph_XCHART_1" hidden="1">#REF!</definedName>
    <definedName name="_15RESI_PREM">#REF!</definedName>
    <definedName name="_16_0_0COST_BENEF">#REF!</definedName>
    <definedName name="_16検索データ">#REF!</definedName>
    <definedName name="_17検索データ">[27]営業収益!#REF!</definedName>
    <definedName name="_18_0_0ISTJBM">'[28]#REF'!#REF!</definedName>
    <definedName name="_18科目3_AMOU" localSheetId="17">#REF!</definedName>
    <definedName name="_18科目3_AMOU">#REF!</definedName>
    <definedName name="_19脚注12_AMOU">#REF!</definedName>
    <definedName name="_1ANNEX_C_1">#REF!</definedName>
    <definedName name="_1RANGE_1">#REF!</definedName>
    <definedName name="_2">[26]HONOTES!#REF!</definedName>
    <definedName name="_2__123Graph_ACHART_2" hidden="1">#REF!</definedName>
    <definedName name="_2_0_0BENEF">#REF!</definedName>
    <definedName name="_2_35D">#REF!</definedName>
    <definedName name="_20_0_0MIS_C">#REF!</definedName>
    <definedName name="_22_0_0PLANJBM">'[28]#REF'!#REF!</definedName>
    <definedName name="_24_0_0PROJECT_O">#REF!</definedName>
    <definedName name="_2脚注12_ACCOU">#REF!</definedName>
    <definedName name="_3__123Graph_ACHART_1" hidden="1">[29]SUMMARY!$E$36:$H$36</definedName>
    <definedName name="_3__123Graph_ACHART_3" hidden="1">#REF!</definedName>
    <definedName name="_3_0脚注12_OPTI">#REF!</definedName>
    <definedName name="_35D">#REF!</definedName>
    <definedName name="_4__123Graph_BCHART_1" hidden="1">#REF!</definedName>
    <definedName name="_4_0_0BENEFIT">#REF!</definedName>
    <definedName name="_4_43B">#REF!</definedName>
    <definedName name="_43B">#REF!</definedName>
    <definedName name="_4脚注12_OPTI">#REF!</definedName>
    <definedName name="_5">#REF!</definedName>
    <definedName name="_5__123Graph_BCHART_3" hidden="1">#REF!</definedName>
    <definedName name="_5_114債権残抜き出し">#REF!</definedName>
    <definedName name="_6">[26]HONOTES!#REF!</definedName>
    <definedName name="_6__123Graph_BCHART_1" hidden="1">[29]SUMMARY!$E$66:$H$66</definedName>
    <definedName name="_6__123Graph_CCHART_1" hidden="1">#REF!</definedName>
    <definedName name="_6_0_0BENEFITS">#REF!</definedName>
    <definedName name="_6_0_0検索データ">[27]営業収益!#REF!</definedName>
    <definedName name="_6_80G" localSheetId="17">#REF!</definedName>
    <definedName name="_6_80G">#REF!</definedName>
    <definedName name="_66_CITIES">#REF!</definedName>
    <definedName name="_7__123Graph_CCHART_3" hidden="1">#REF!</definedName>
    <definedName name="_7_0409融資2部">#REF!</definedName>
    <definedName name="_8__123Graph_DCHART_1" hidden="1">#REF!</definedName>
    <definedName name="_8_0_0Chargeba">#REF!</definedName>
    <definedName name="_8_0検索データ">#REF!</definedName>
    <definedName name="_80G">#REF!</definedName>
    <definedName name="_8RESI_PREM">#REF!</definedName>
    <definedName name="_9__123Graph_CCHART_1" hidden="1">[29]SUMMARY!$E$64:$H$64</definedName>
    <definedName name="_9__123Graph_ECHART_1" hidden="1">#REF!</definedName>
    <definedName name="_9_0科目3_AMOU">#REF!</definedName>
    <definedName name="_a_">#REF!</definedName>
    <definedName name="_a65554">#REF!</definedName>
    <definedName name="_a65600">#REF!</definedName>
    <definedName name="_a65700">#REF!</definedName>
    <definedName name="_a65800">#REF!</definedName>
    <definedName name="_a66000">#REF!</definedName>
    <definedName name="_ACC1">#REF!</definedName>
    <definedName name="_ACK1">#REF!</definedName>
    <definedName name="_ADD1">#REF!</definedName>
    <definedName name="_ADD2">#REF!</definedName>
    <definedName name="_ADD3">#REF!</definedName>
    <definedName name="_adh10">#REF!</definedName>
    <definedName name="_adh26">#REF!</definedName>
    <definedName name="_ads10">#REF!</definedName>
    <definedName name="_ads26">#REF!</definedName>
    <definedName name="_ann2">#REF!</definedName>
    <definedName name="_as10" localSheetId="7" hidden="1">{"'August 2000'!$A$1:$J$101"}</definedName>
    <definedName name="_as10" localSheetId="10" hidden="1">{"'August 2000'!$A$1:$J$101"}</definedName>
    <definedName name="_as10" localSheetId="1" hidden="1">{"'August 2000'!$A$1:$J$101"}</definedName>
    <definedName name="_as10" localSheetId="0" hidden="1">{"'August 2000'!$A$1:$J$101"}</definedName>
    <definedName name="_as10" localSheetId="6" hidden="1">{"'August 2000'!$A$1:$J$101"}</definedName>
    <definedName name="_as10" hidden="1">{"'August 2000'!$A$1:$J$101"}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>'[30]Annexure G'!$HC$42</definedName>
    <definedName name="_BAL1">#REF!</definedName>
    <definedName name="_bdm.09C53A896115416DA6FCC29B5E05FAC7.edm" hidden="1">#REF!</definedName>
    <definedName name="_bdm.37A8781564CE406BBBA912C3F309BF50.edm" hidden="1">#REF!</definedName>
    <definedName name="_bdm.A6745B57B7754BAEBFCBA9DD822111E7.edm" hidden="1">#REF!</definedName>
    <definedName name="_bdm.B23C9AF127C3410E8E4BD71EC9CE5870.edm" hidden="1">#REF!</definedName>
    <definedName name="_bdm.F174F45DBD074731881C153A13334515.edm" hidden="1">#REF!</definedName>
    <definedName name="_bdm.F7E276E3A3FB4933A48DC4BA34350879.edm" hidden="1">#REF!</definedName>
    <definedName name="_BigT">#REF!</definedName>
    <definedName name="_bs1" localSheetId="0">[31]!_xlbgnm.bs1</definedName>
    <definedName name="_bs1">[31]!_xlbgnm.bs1</definedName>
    <definedName name="_BSE500">[32]Sheet1!$B$1:$B$500</definedName>
    <definedName name="_C" localSheetId="7">'[33]Power&amp;Fuel'!#REF!</definedName>
    <definedName name="_C" localSheetId="10">'[33]Power&amp;Fuel'!#REF!</definedName>
    <definedName name="_C" localSheetId="9">'[33]Power&amp;Fuel'!#REF!</definedName>
    <definedName name="_C" localSheetId="6">'[33]Power&amp;Fuel'!#REF!</definedName>
    <definedName name="_C">'[15]B S-31-3-2006'!#REF!</definedName>
    <definedName name="_col1">#REF!</definedName>
    <definedName name="_col10">#REF!</definedName>
    <definedName name="_col11">#REF!</definedName>
    <definedName name="_col12">#REF!</definedName>
    <definedName name="_col13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ur01">'[34]Annexure IV'!#REF!</definedName>
    <definedName name="_cur59">'[35]Co 59'!$B$5</definedName>
    <definedName name="_cur60">'[36]Co 59'!$B$5</definedName>
    <definedName name="_D___GOTO_GK112">#REF!</definedName>
    <definedName name="_D___GOTO_GK56_">#REF!</definedName>
    <definedName name="_D__D___L___GOT">#REF!</definedName>
    <definedName name="_D__D__D___D__D">#REF!</definedName>
    <definedName name="_D_19__U_19_">#REF!</definedName>
    <definedName name="_DAT1" localSheetId="17">#REF!</definedName>
    <definedName name="_DAT1" localSheetId="7">#REF!</definedName>
    <definedName name="_DAT1" localSheetId="10">#REF!</definedName>
    <definedName name="_DAT1" localSheetId="9">#REF!</definedName>
    <definedName name="_DAT1" localSheetId="6">#REF!</definedName>
    <definedName name="_DAT1">#REF!</definedName>
    <definedName name="_DAT10" localSheetId="7">#REF!</definedName>
    <definedName name="_DAT10" localSheetId="10">#REF!</definedName>
    <definedName name="_DAT10" localSheetId="9">#REF!</definedName>
    <definedName name="_DAT10" localSheetId="6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56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7">#REF!</definedName>
    <definedName name="_DAT8">#REF!</definedName>
    <definedName name="_DAT9">#REF!</definedName>
    <definedName name="_dev2">[37]BKCSTOCKVAL!#REF!</definedName>
    <definedName name="_Dist_Bin" hidden="1">#REF!</definedName>
    <definedName name="_Dist_Values" hidden="1">#REF!</definedName>
    <definedName name="_dk1" localSheetId="7" hidden="1">{#N/A,#N/A,FALSE,"COVER.XLS";#N/A,#N/A,FALSE,"RACT1.XLS";#N/A,#N/A,FALSE,"RACT2.XLS";#N/A,#N/A,FALSE,"ECCMP";#N/A,#N/A,FALSE,"WELDER.XLS"}</definedName>
    <definedName name="_dk1" localSheetId="10" hidden="1">{#N/A,#N/A,FALSE,"COVER.XLS";#N/A,#N/A,FALSE,"RACT1.XLS";#N/A,#N/A,FALSE,"RACT2.XLS";#N/A,#N/A,FALSE,"ECCMP";#N/A,#N/A,FALSE,"WELDER.XLS"}</definedName>
    <definedName name="_dk1" localSheetId="1" hidden="1">{#N/A,#N/A,FALSE,"COVER.XLS";#N/A,#N/A,FALSE,"RACT1.XLS";#N/A,#N/A,FALSE,"RACT2.XLS";#N/A,#N/A,FALSE,"ECCMP";#N/A,#N/A,FALSE,"WELDER.XLS"}</definedName>
    <definedName name="_dk1" localSheetId="0" hidden="1">{#N/A,#N/A,FALSE,"COVER.XLS";#N/A,#N/A,FALSE,"RACT1.XLS";#N/A,#N/A,FALSE,"RACT2.XLS";#N/A,#N/A,FALSE,"ECCMP";#N/A,#N/A,FALSE,"WELDER.XLS"}</definedName>
    <definedName name="_dk1" localSheetId="6" hidden="1">{#N/A,#N/A,FALSE,"COVER.XLS";#N/A,#N/A,FALSE,"RACT1.XLS";#N/A,#N/A,FALSE,"RACT2.XLS";#N/A,#N/A,FALSE,"ECCMP";#N/A,#N/A,FALSE,"WELDER.XLS"}</definedName>
    <definedName name="_dk1" hidden="1">{#N/A,#N/A,FALSE,"COVER.XLS";#N/A,#N/A,FALSE,"RACT1.XLS";#N/A,#N/A,FALSE,"RACT2.XLS";#N/A,#N/A,FALSE,"ECCMP";#N/A,#N/A,FALSE,"WELDER.XLS"}</definedName>
    <definedName name="_DOWN_9__RIGHT_">#REF!</definedName>
    <definedName name="_ESC1">#REF!</definedName>
    <definedName name="_eva97">#REF!</definedName>
    <definedName name="_fa1" localSheetId="7" hidden="1">{"plansummary",#N/A,FALSE,"PlanSummary";"sales",#N/A,FALSE,"Sales Rec";"productivity",#N/A,FALSE,"Productivity Rec";"capitalspending",#N/A,FALSE,"Capital Spending"}</definedName>
    <definedName name="_fa1" localSheetId="10" hidden="1">{"plansummary",#N/A,FALSE,"PlanSummary";"sales",#N/A,FALSE,"Sales Rec";"productivity",#N/A,FALSE,"Productivity Rec";"capitalspending",#N/A,FALSE,"Capital Spending"}</definedName>
    <definedName name="_fa1" localSheetId="1" hidden="1">{"plansummary",#N/A,FALSE,"PlanSummary";"sales",#N/A,FALSE,"Sales Rec";"productivity",#N/A,FALSE,"Productivity Rec";"capitalspending",#N/A,FALSE,"Capital Spending"}</definedName>
    <definedName name="_fa1" localSheetId="0" hidden="1">{"plansummary",#N/A,FALSE,"PlanSummary";"sales",#N/A,FALSE,"Sales Rec";"productivity",#N/A,FALSE,"Productivity Rec";"capitalspending",#N/A,FALSE,"Capital Spending"}</definedName>
    <definedName name="_fa1" localSheetId="6" hidden="1">{"plansummary",#N/A,FALSE,"PlanSummary";"sales",#N/A,FALSE,"Sales Rec";"productivity",#N/A,FALSE,"Productivity Rec";"capitalspending",#N/A,FALSE,"Capital Spending"}</definedName>
    <definedName name="_fa1" hidden="1">{"plansummary",#N/A,FALSE,"PlanSummary";"sales",#N/A,FALSE,"Sales Rec";"productivity",#N/A,FALSE,"Productivity Rec";"capitalspending",#N/A,FALSE,"Capital Spending"}</definedName>
    <definedName name="_fa2" localSheetId="7" hidden="1">{"plansummary",#N/A,FALSE,"PlanSummary";"sales",#N/A,FALSE,"Sales Rec";"productivity",#N/A,FALSE,"Productivity Rec";"capitalspending",#N/A,FALSE,"Capital Spending"}</definedName>
    <definedName name="_fa2" localSheetId="10" hidden="1">{"plansummary",#N/A,FALSE,"PlanSummary";"sales",#N/A,FALSE,"Sales Rec";"productivity",#N/A,FALSE,"Productivity Rec";"capitalspending",#N/A,FALSE,"Capital Spending"}</definedName>
    <definedName name="_fa2" localSheetId="1" hidden="1">{"plansummary",#N/A,FALSE,"PlanSummary";"sales",#N/A,FALSE,"Sales Rec";"productivity",#N/A,FALSE,"Productivity Rec";"capitalspending",#N/A,FALSE,"Capital Spending"}</definedName>
    <definedName name="_fa2" localSheetId="0" hidden="1">{"plansummary",#N/A,FALSE,"PlanSummary";"sales",#N/A,FALSE,"Sales Rec";"productivity",#N/A,FALSE,"Productivity Rec";"capitalspending",#N/A,FALSE,"Capital Spending"}</definedName>
    <definedName name="_fa2" localSheetId="6" hidden="1">{"plansummary",#N/A,FALSE,"PlanSummary";"sales",#N/A,FALSE,"Sales Rec";"productivity",#N/A,FALSE,"Productivity Rec";"capitalspending",#N/A,FALSE,"Capital Spending"}</definedName>
    <definedName name="_fa2" hidden="1">{"plansummary",#N/A,FALSE,"PlanSummary";"sales",#N/A,FALSE,"Sales Rec";"productivity",#N/A,FALSE,"Productivity Rec";"capitalspending",#N/A,FALSE,"Capital Spending"}</definedName>
    <definedName name="_fa3" localSheetId="7" hidden="1">{"plansummary",#N/A,FALSE,"PlanSummary";"sales",#N/A,FALSE,"Sales Rec";"productivity",#N/A,FALSE,"Productivity Rec";"capitalspending",#N/A,FALSE,"Capital Spending"}</definedName>
    <definedName name="_fa3" localSheetId="10" hidden="1">{"plansummary",#N/A,FALSE,"PlanSummary";"sales",#N/A,FALSE,"Sales Rec";"productivity",#N/A,FALSE,"Productivity Rec";"capitalspending",#N/A,FALSE,"Capital Spending"}</definedName>
    <definedName name="_fa3" localSheetId="1" hidden="1">{"plansummary",#N/A,FALSE,"PlanSummary";"sales",#N/A,FALSE,"Sales Rec";"productivity",#N/A,FALSE,"Productivity Rec";"capitalspending",#N/A,FALSE,"Capital Spending"}</definedName>
    <definedName name="_fa3" localSheetId="0" hidden="1">{"plansummary",#N/A,FALSE,"PlanSummary";"sales",#N/A,FALSE,"Sales Rec";"productivity",#N/A,FALSE,"Productivity Rec";"capitalspending",#N/A,FALSE,"Capital Spending"}</definedName>
    <definedName name="_fa3" localSheetId="6" hidden="1">{"plansummary",#N/A,FALSE,"PlanSummary";"sales",#N/A,FALSE,"Sales Rec";"productivity",#N/A,FALSE,"Productivity Rec";"capitalspending",#N/A,FALSE,"Capital Spending"}</definedName>
    <definedName name="_fa3" hidden="1">{"plansummary",#N/A,FALSE,"PlanSummary";"sales",#N/A,FALSE,"Sales Rec";"productivity",#N/A,FALSE,"Productivity Rec";"capitalspending",#N/A,FALSE,"Capital Spending"}</definedName>
    <definedName name="_fcf97">#REF!</definedName>
    <definedName name="_Fill" localSheetId="17" hidden="1">'[38]SCH 10'!#REF!</definedName>
    <definedName name="_Fill" localSheetId="7" hidden="1">#REF!</definedName>
    <definedName name="_Fill" localSheetId="10" hidden="1">#REF!</definedName>
    <definedName name="_Fill" localSheetId="9" hidden="1">#REF!</definedName>
    <definedName name="_Fill" localSheetId="6" hidden="1">#REF!</definedName>
    <definedName name="_Fill" hidden="1">'[39]SCH 10'!#REF!</definedName>
    <definedName name="_xlnm._FilterDatabase" localSheetId="13" hidden="1">Dep!$A$15:$B$19</definedName>
    <definedName name="_xlnm._FilterDatabase" localSheetId="21" hidden="1">Sheet1!$A$74:$M$88</definedName>
    <definedName name="_xlnm._FilterDatabase" hidden="1">#REF!</definedName>
    <definedName name="_FROM__R__R__08">#REF!</definedName>
    <definedName name="_FROM__R__R__16">#REF!</definedName>
    <definedName name="_FSTEMP_">#REF!</definedName>
    <definedName name="_GENERATION__R_">#REF!</definedName>
    <definedName name="_GOTO_BT49__R__">#REF!</definedName>
    <definedName name="_GOTO_CF11__?__">#REF!</definedName>
    <definedName name="_GOTO_EO75__WEK">#REF!</definedName>
    <definedName name="_GOTO_EP82__PEA">#REF!</definedName>
    <definedName name="_GOTO_EP86__PER">#REF!</definedName>
    <definedName name="_GOTO_FO112__RV">#REF!</definedName>
    <definedName name="_GOTO_FO56__RV_">#REF!</definedName>
    <definedName name="_HOME__GOTO_M14">#REF!</definedName>
    <definedName name="_Inv1">#REF!</definedName>
    <definedName name="_Inv2">#REF!</definedName>
    <definedName name="_IRR1">#REF!</definedName>
    <definedName name="_IRR2">#REF!</definedName>
    <definedName name="_IRR3">#REF!</definedName>
    <definedName name="_IRR4">#REF!</definedName>
    <definedName name="_IRR5">#REF!</definedName>
    <definedName name="_IRR6">#REF!</definedName>
    <definedName name="_jUL2005" localSheetId="17" hidden="1">{#N/A,#N/A,FALSE,"Aging Summary";#N/A,#N/A,FALSE,"Ratio Analysis";#N/A,#N/A,FALSE,"Test 120 Day Accts";#N/A,#N/A,FALSE,"Tickmarks"}</definedName>
    <definedName name="_jUL2005" localSheetId="1" hidden="1">{#N/A,#N/A,FALSE,"Aging Summary";#N/A,#N/A,FALSE,"Ratio Analysis";#N/A,#N/A,FALSE,"Test 120 Day Accts";#N/A,#N/A,FALSE,"Tickmarks"}</definedName>
    <definedName name="_jUL2005" localSheetId="0" hidden="1">{#N/A,#N/A,FALSE,"Aging Summary";#N/A,#N/A,FALSE,"Ratio Analysis";#N/A,#N/A,FALSE,"Test 120 Day Accts";#N/A,#N/A,FALSE,"Tickmarks"}</definedName>
    <definedName name="_jUL2005" hidden="1">{#N/A,#N/A,FALSE,"Aging Summary";#N/A,#N/A,FALSE,"Ratio Analysis";#N/A,#N/A,FALSE,"Test 120 Day Accts";#N/A,#N/A,FALSE,"Tickmarks"}</definedName>
    <definedName name="_k8" localSheetId="7" hidden="1">{#N/A,#N/A,FALSE,"COVER1.XLS ";#N/A,#N/A,FALSE,"RACT1.XLS";#N/A,#N/A,FALSE,"RACT2.XLS";#N/A,#N/A,FALSE,"ECCMP";#N/A,#N/A,FALSE,"WELDER.XLS"}</definedName>
    <definedName name="_k8" localSheetId="10" hidden="1">{#N/A,#N/A,FALSE,"COVER1.XLS ";#N/A,#N/A,FALSE,"RACT1.XLS";#N/A,#N/A,FALSE,"RACT2.XLS";#N/A,#N/A,FALSE,"ECCMP";#N/A,#N/A,FALSE,"WELDER.XLS"}</definedName>
    <definedName name="_k8" localSheetId="1" hidden="1">{#N/A,#N/A,FALSE,"COVER1.XLS ";#N/A,#N/A,FALSE,"RACT1.XLS";#N/A,#N/A,FALSE,"RACT2.XLS";#N/A,#N/A,FALSE,"ECCMP";#N/A,#N/A,FALSE,"WELDER.XLS"}</definedName>
    <definedName name="_k8" localSheetId="0" hidden="1">{#N/A,#N/A,FALSE,"COVER1.XLS ";#N/A,#N/A,FALSE,"RACT1.XLS";#N/A,#N/A,FALSE,"RACT2.XLS";#N/A,#N/A,FALSE,"ECCMP";#N/A,#N/A,FALSE,"WELDER.XLS"}</definedName>
    <definedName name="_k8" localSheetId="6" hidden="1">{#N/A,#N/A,FALSE,"COVER1.XLS ";#N/A,#N/A,FALSE,"RACT1.XLS";#N/A,#N/A,FALSE,"RACT2.XLS";#N/A,#N/A,FALSE,"ECCMP";#N/A,#N/A,FALSE,"WELDER.XLS"}</definedName>
    <definedName name="_k8" hidden="1">{#N/A,#N/A,FALSE,"COVER1.XLS ";#N/A,#N/A,FALSE,"RACT1.XLS";#N/A,#N/A,FALSE,"RACT2.XLS";#N/A,#N/A,FALSE,"ECCMP";#N/A,#N/A,FALSE,"WELDER.XLS"}</definedName>
    <definedName name="_Key1" localSheetId="17" hidden="1">#REF!</definedName>
    <definedName name="_Key1" localSheetId="7" hidden="1">#REF!</definedName>
    <definedName name="_Key1" localSheetId="10" hidden="1">#REF!</definedName>
    <definedName name="_Key1" localSheetId="9" hidden="1">#REF!</definedName>
    <definedName name="_Key1" localSheetId="6" hidden="1">#REF!</definedName>
    <definedName name="_Key1" hidden="1">#REF!</definedName>
    <definedName name="_Key2" localSheetId="17" hidden="1">'[40]Loans &amp; aDVANCES'!#REF!</definedName>
    <definedName name="_Key2" localSheetId="7" hidden="1">#REF!</definedName>
    <definedName name="_Key2" localSheetId="10" hidden="1">#REF!</definedName>
    <definedName name="_Key2" localSheetId="9" hidden="1">#REF!</definedName>
    <definedName name="_Key2" localSheetId="6" hidden="1">#REF!</definedName>
    <definedName name="_Key2" hidden="1">'[41]Loans &amp; aDVANCES'!#REF!</definedName>
    <definedName name="_kv2" localSheetId="7" hidden="1">{#N/A,#N/A,FALSE,"COVER1.XLS ";#N/A,#N/A,FALSE,"RACT1.XLS";#N/A,#N/A,FALSE,"RACT2.XLS";#N/A,#N/A,FALSE,"ECCMP";#N/A,#N/A,FALSE,"WELDER.XLS"}</definedName>
    <definedName name="_kv2" localSheetId="10" hidden="1">{#N/A,#N/A,FALSE,"COVER1.XLS ";#N/A,#N/A,FALSE,"RACT1.XLS";#N/A,#N/A,FALSE,"RACT2.XLS";#N/A,#N/A,FALSE,"ECCMP";#N/A,#N/A,FALSE,"WELDER.XLS"}</definedName>
    <definedName name="_kv2" localSheetId="1" hidden="1">{#N/A,#N/A,FALSE,"COVER1.XLS ";#N/A,#N/A,FALSE,"RACT1.XLS";#N/A,#N/A,FALSE,"RACT2.XLS";#N/A,#N/A,FALSE,"ECCMP";#N/A,#N/A,FALSE,"WELDER.XLS"}</definedName>
    <definedName name="_kv2" localSheetId="0" hidden="1">{#N/A,#N/A,FALSE,"COVER1.XLS ";#N/A,#N/A,FALSE,"RACT1.XLS";#N/A,#N/A,FALSE,"RACT2.XLS";#N/A,#N/A,FALSE,"ECCMP";#N/A,#N/A,FALSE,"WELDER.XLS"}</definedName>
    <definedName name="_kv2" localSheetId="6" hidden="1">{#N/A,#N/A,FALSE,"COVER1.XLS ";#N/A,#N/A,FALSE,"RACT1.XLS";#N/A,#N/A,FALSE,"RACT2.XLS";#N/A,#N/A,FALSE,"ECCMP";#N/A,#N/A,FALSE,"WELDER.XLS"}</definedName>
    <definedName name="_kv2" hidden="1">{#N/A,#N/A,FALSE,"COVER1.XLS ";#N/A,#N/A,FALSE,"RACT1.XLS";#N/A,#N/A,FALSE,"RACT2.XLS";#N/A,#N/A,FALSE,"ECCMP";#N/A,#N/A,FALSE,"WELDER.XLS"}</definedName>
    <definedName name="_kvs1" localSheetId="7" hidden="1">{#N/A,#N/A,FALSE,"COVER1.XLS ";#N/A,#N/A,FALSE,"RACT1.XLS";#N/A,#N/A,FALSE,"RACT2.XLS";#N/A,#N/A,FALSE,"ECCMP";#N/A,#N/A,FALSE,"WELDER.XLS"}</definedName>
    <definedName name="_kvs1" localSheetId="10" hidden="1">{#N/A,#N/A,FALSE,"COVER1.XLS ";#N/A,#N/A,FALSE,"RACT1.XLS";#N/A,#N/A,FALSE,"RACT2.XLS";#N/A,#N/A,FALSE,"ECCMP";#N/A,#N/A,FALSE,"WELDER.XLS"}</definedName>
    <definedName name="_kvs1" localSheetId="1" hidden="1">{#N/A,#N/A,FALSE,"COVER1.XLS ";#N/A,#N/A,FALSE,"RACT1.XLS";#N/A,#N/A,FALSE,"RACT2.XLS";#N/A,#N/A,FALSE,"ECCMP";#N/A,#N/A,FALSE,"WELDER.XLS"}</definedName>
    <definedName name="_kvs1" localSheetId="0" hidden="1">{#N/A,#N/A,FALSE,"COVER1.XLS ";#N/A,#N/A,FALSE,"RACT1.XLS";#N/A,#N/A,FALSE,"RACT2.XLS";#N/A,#N/A,FALSE,"ECCMP";#N/A,#N/A,FALSE,"WELDER.XLS"}</definedName>
    <definedName name="_kvs1" localSheetId="6" hidden="1">{#N/A,#N/A,FALSE,"COVER1.XLS ";#N/A,#N/A,FALSE,"RACT1.XLS";#N/A,#N/A,FALSE,"RACT2.XLS";#N/A,#N/A,FALSE,"ECCMP";#N/A,#N/A,FALSE,"WELDER.XLS"}</definedName>
    <definedName name="_kvs1" hidden="1">{#N/A,#N/A,FALSE,"COVER1.XLS ";#N/A,#N/A,FALSE,"RACT1.XLS";#N/A,#N/A,FALSE,"RACT2.XLS";#N/A,#N/A,FALSE,"ECCMP";#N/A,#N/A,FALSE,"WELDER.XLS"}</definedName>
    <definedName name="_kvs2" localSheetId="7" hidden="1">{#N/A,#N/A,FALSE,"COVER1.XLS ";#N/A,#N/A,FALSE,"RACT1.XLS";#N/A,#N/A,FALSE,"RACT2.XLS";#N/A,#N/A,FALSE,"ECCMP";#N/A,#N/A,FALSE,"WELDER.XLS"}</definedName>
    <definedName name="_kvs2" localSheetId="10" hidden="1">{#N/A,#N/A,FALSE,"COVER1.XLS ";#N/A,#N/A,FALSE,"RACT1.XLS";#N/A,#N/A,FALSE,"RACT2.XLS";#N/A,#N/A,FALSE,"ECCMP";#N/A,#N/A,FALSE,"WELDER.XLS"}</definedName>
    <definedName name="_kvs2" localSheetId="1" hidden="1">{#N/A,#N/A,FALSE,"COVER1.XLS ";#N/A,#N/A,FALSE,"RACT1.XLS";#N/A,#N/A,FALSE,"RACT2.XLS";#N/A,#N/A,FALSE,"ECCMP";#N/A,#N/A,FALSE,"WELDER.XLS"}</definedName>
    <definedName name="_kvs2" localSheetId="0" hidden="1">{#N/A,#N/A,FALSE,"COVER1.XLS ";#N/A,#N/A,FALSE,"RACT1.XLS";#N/A,#N/A,FALSE,"RACT2.XLS";#N/A,#N/A,FALSE,"ECCMP";#N/A,#N/A,FALSE,"WELDER.XLS"}</definedName>
    <definedName name="_kvs2" localSheetId="6" hidden="1">{#N/A,#N/A,FALSE,"COVER1.XLS ";#N/A,#N/A,FALSE,"RACT1.XLS";#N/A,#N/A,FALSE,"RACT2.XLS";#N/A,#N/A,FALSE,"ECCMP";#N/A,#N/A,FALSE,"WELDER.XLS"}</definedName>
    <definedName name="_kvs2" hidden="1">{#N/A,#N/A,FALSE,"COVER1.XLS ";#N/A,#N/A,FALSE,"RACT1.XLS";#N/A,#N/A,FALSE,"RACT2.XLS";#N/A,#N/A,FALSE,"ECCMP";#N/A,#N/A,FALSE,"WELDER.XLS"}</definedName>
    <definedName name="_kvs5" localSheetId="7" hidden="1">{#N/A,#N/A,FALSE,"COVER.XLS";#N/A,#N/A,FALSE,"RACT1.XLS";#N/A,#N/A,FALSE,"RACT2.XLS";#N/A,#N/A,FALSE,"ECCMP";#N/A,#N/A,FALSE,"WELDER.XLS"}</definedName>
    <definedName name="_kvs5" localSheetId="10" hidden="1">{#N/A,#N/A,FALSE,"COVER.XLS";#N/A,#N/A,FALSE,"RACT1.XLS";#N/A,#N/A,FALSE,"RACT2.XLS";#N/A,#N/A,FALSE,"ECCMP";#N/A,#N/A,FALSE,"WELDER.XLS"}</definedName>
    <definedName name="_kvs5" localSheetId="1" hidden="1">{#N/A,#N/A,FALSE,"COVER.XLS";#N/A,#N/A,FALSE,"RACT1.XLS";#N/A,#N/A,FALSE,"RACT2.XLS";#N/A,#N/A,FALSE,"ECCMP";#N/A,#N/A,FALSE,"WELDER.XLS"}</definedName>
    <definedName name="_kvs5" localSheetId="0" hidden="1">{#N/A,#N/A,FALSE,"COVER.XLS";#N/A,#N/A,FALSE,"RACT1.XLS";#N/A,#N/A,FALSE,"RACT2.XLS";#N/A,#N/A,FALSE,"ECCMP";#N/A,#N/A,FALSE,"WELDER.XLS"}</definedName>
    <definedName name="_kvs5" localSheetId="6" hidden="1">{#N/A,#N/A,FALSE,"COVER.XLS";#N/A,#N/A,FALSE,"RACT1.XLS";#N/A,#N/A,FALSE,"RACT2.XLS";#N/A,#N/A,FALSE,"ECCMP";#N/A,#N/A,FALSE,"WELDER.XLS"}</definedName>
    <definedName name="_kvs5" hidden="1">{#N/A,#N/A,FALSE,"COVER.XLS";#N/A,#N/A,FALSE,"RACT1.XLS";#N/A,#N/A,FALSE,"RACT2.XLS";#N/A,#N/A,FALSE,"ECCMP";#N/A,#N/A,FALSE,"WELDER.XLS"}</definedName>
    <definedName name="_kvs7" localSheetId="7" hidden="1">{#N/A,#N/A,FALSE,"COVER1.XLS ";#N/A,#N/A,FALSE,"RACT1.XLS";#N/A,#N/A,FALSE,"RACT2.XLS";#N/A,#N/A,FALSE,"ECCMP";#N/A,#N/A,FALSE,"WELDER.XLS"}</definedName>
    <definedName name="_kvs7" localSheetId="10" hidden="1">{#N/A,#N/A,FALSE,"COVER1.XLS ";#N/A,#N/A,FALSE,"RACT1.XLS";#N/A,#N/A,FALSE,"RACT2.XLS";#N/A,#N/A,FALSE,"ECCMP";#N/A,#N/A,FALSE,"WELDER.XLS"}</definedName>
    <definedName name="_kvs7" localSheetId="1" hidden="1">{#N/A,#N/A,FALSE,"COVER1.XLS ";#N/A,#N/A,FALSE,"RACT1.XLS";#N/A,#N/A,FALSE,"RACT2.XLS";#N/A,#N/A,FALSE,"ECCMP";#N/A,#N/A,FALSE,"WELDER.XLS"}</definedName>
    <definedName name="_kvs7" localSheetId="0" hidden="1">{#N/A,#N/A,FALSE,"COVER1.XLS ";#N/A,#N/A,FALSE,"RACT1.XLS";#N/A,#N/A,FALSE,"RACT2.XLS";#N/A,#N/A,FALSE,"ECCMP";#N/A,#N/A,FALSE,"WELDER.XLS"}</definedName>
    <definedName name="_kvs7" localSheetId="6" hidden="1">{#N/A,#N/A,FALSE,"COVER1.XLS ";#N/A,#N/A,FALSE,"RACT1.XLS";#N/A,#N/A,FALSE,"RACT2.XLS";#N/A,#N/A,FALSE,"ECCMP";#N/A,#N/A,FALSE,"WELDER.XLS"}</definedName>
    <definedName name="_kvs7" hidden="1">{#N/A,#N/A,FALSE,"COVER1.XLS ";#N/A,#N/A,FALSE,"RACT1.XLS";#N/A,#N/A,FALSE,"RACT2.XLS";#N/A,#N/A,FALSE,"ECCMP";#N/A,#N/A,FALSE,"WELDER.XLS"}</definedName>
    <definedName name="_kvs8" localSheetId="7" hidden="1">{#N/A,#N/A,FALSE,"COVER1.XLS ";#N/A,#N/A,FALSE,"RACT1.XLS";#N/A,#N/A,FALSE,"RACT2.XLS";#N/A,#N/A,FALSE,"ECCMP";#N/A,#N/A,FALSE,"WELDER.XLS"}</definedName>
    <definedName name="_kvs8" localSheetId="10" hidden="1">{#N/A,#N/A,FALSE,"COVER1.XLS ";#N/A,#N/A,FALSE,"RACT1.XLS";#N/A,#N/A,FALSE,"RACT2.XLS";#N/A,#N/A,FALSE,"ECCMP";#N/A,#N/A,FALSE,"WELDER.XLS"}</definedName>
    <definedName name="_kvs8" localSheetId="1" hidden="1">{#N/A,#N/A,FALSE,"COVER1.XLS ";#N/A,#N/A,FALSE,"RACT1.XLS";#N/A,#N/A,FALSE,"RACT2.XLS";#N/A,#N/A,FALSE,"ECCMP";#N/A,#N/A,FALSE,"WELDER.XLS"}</definedName>
    <definedName name="_kvs8" localSheetId="0" hidden="1">{#N/A,#N/A,FALSE,"COVER1.XLS ";#N/A,#N/A,FALSE,"RACT1.XLS";#N/A,#N/A,FALSE,"RACT2.XLS";#N/A,#N/A,FALSE,"ECCMP";#N/A,#N/A,FALSE,"WELDER.XLS"}</definedName>
    <definedName name="_kvs8" localSheetId="6" hidden="1">{#N/A,#N/A,FALSE,"COVER1.XLS ";#N/A,#N/A,FALSE,"RACT1.XLS";#N/A,#N/A,FALSE,"RACT2.XLS";#N/A,#N/A,FALSE,"ECCMP";#N/A,#N/A,FALSE,"WELDER.XLS"}</definedName>
    <definedName name="_kvs8" hidden="1">{#N/A,#N/A,FALSE,"COVER1.XLS ";#N/A,#N/A,FALSE,"RACT1.XLS";#N/A,#N/A,FALSE,"RACT2.XLS";#N/A,#N/A,FALSE,"ECCMP";#N/A,#N/A,FALSE,"WELDER.XLS"}</definedName>
    <definedName name="_KVS9" localSheetId="7" hidden="1">{#N/A,#N/A,FALSE,"COVER1.XLS ";#N/A,#N/A,FALSE,"RACT1.XLS";#N/A,#N/A,FALSE,"RACT2.XLS";#N/A,#N/A,FALSE,"ECCMP";#N/A,#N/A,FALSE,"WELDER.XLS"}</definedName>
    <definedName name="_KVS9" localSheetId="10" hidden="1">{#N/A,#N/A,FALSE,"COVER1.XLS ";#N/A,#N/A,FALSE,"RACT1.XLS";#N/A,#N/A,FALSE,"RACT2.XLS";#N/A,#N/A,FALSE,"ECCMP";#N/A,#N/A,FALSE,"WELDER.XLS"}</definedName>
    <definedName name="_KVS9" localSheetId="1" hidden="1">{#N/A,#N/A,FALSE,"COVER1.XLS ";#N/A,#N/A,FALSE,"RACT1.XLS";#N/A,#N/A,FALSE,"RACT2.XLS";#N/A,#N/A,FALSE,"ECCMP";#N/A,#N/A,FALSE,"WELDER.XLS"}</definedName>
    <definedName name="_KVS9" localSheetId="0" hidden="1">{#N/A,#N/A,FALSE,"COVER1.XLS ";#N/A,#N/A,FALSE,"RACT1.XLS";#N/A,#N/A,FALSE,"RACT2.XLS";#N/A,#N/A,FALSE,"ECCMP";#N/A,#N/A,FALSE,"WELDER.XLS"}</definedName>
    <definedName name="_KVS9" localSheetId="6" hidden="1">{#N/A,#N/A,FALSE,"COVER1.XLS ";#N/A,#N/A,FALSE,"RACT1.XLS";#N/A,#N/A,FALSE,"RACT2.XLS";#N/A,#N/A,FALSE,"ECCMP";#N/A,#N/A,FALSE,"WELDER.XLS"}</definedName>
    <definedName name="_KVS9" hidden="1">{#N/A,#N/A,FALSE,"COVER1.XLS ";#N/A,#N/A,FALSE,"RACT1.XLS";#N/A,#N/A,FALSE,"RACT2.XLS";#N/A,#N/A,FALSE,"ECCMP";#N/A,#N/A,FALSE,"WELDER.XLS"}</definedName>
    <definedName name="_l2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2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2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2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2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B1" localSheetId="17">#REF!</definedName>
    <definedName name="_LB1">#REF!</definedName>
    <definedName name="_LB2">#REF!</definedName>
    <definedName name="_lk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MAR9091">'[42]TRIAL BALANCE'!#REF!</definedName>
    <definedName name="_Mar90911">'[16]TRIAL BALANCE'!#REF!</definedName>
    <definedName name="_Mei97">#REF!</definedName>
    <definedName name="_MKT1">#REF!</definedName>
    <definedName name="_MKT10">#REF!</definedName>
    <definedName name="_MKT11">#REF!</definedName>
    <definedName name="_MKT2">#REF!</definedName>
    <definedName name="_MKT3">#REF!</definedName>
    <definedName name="_MKT4">#REF!</definedName>
    <definedName name="_MKT5">#REF!</definedName>
    <definedName name="_MKT6">#REF!</definedName>
    <definedName name="_MKT7">#REF!</definedName>
    <definedName name="_MKT8">#REF!</definedName>
    <definedName name="_MKT9">#REF!</definedName>
    <definedName name="_mva97">#REF!</definedName>
    <definedName name="_nav2000">#REF!</definedName>
    <definedName name="_New1">#REF!</definedName>
    <definedName name="_NO1">#REF!</definedName>
    <definedName name="_NO2">#REF!</definedName>
    <definedName name="_NO3">#REF!</definedName>
    <definedName name="_NO4">#REF!</definedName>
    <definedName name="_NO5">#REF!</definedName>
    <definedName name="_NO6">#REF!</definedName>
    <definedName name="_NO7">#REF!</definedName>
    <definedName name="_Nov09" localSheetId="7" hidden="1">{"'August 2000'!$A$1:$J$101"}</definedName>
    <definedName name="_Nov09" localSheetId="10" hidden="1">{"'August 2000'!$A$1:$J$101"}</definedName>
    <definedName name="_Nov09" localSheetId="1" hidden="1">{"'August 2000'!$A$1:$J$101"}</definedName>
    <definedName name="_Nov09" localSheetId="0" hidden="1">{"'August 2000'!$A$1:$J$101"}</definedName>
    <definedName name="_Nov09" localSheetId="6" hidden="1">{"'August 2000'!$A$1:$J$101"}</definedName>
    <definedName name="_Nov09" hidden="1">{"'August 2000'!$A$1:$J$101"}</definedName>
    <definedName name="_nov99">#REF!</definedName>
    <definedName name="_oc1">[43]Sensitivities!$F$7</definedName>
    <definedName name="_Order1" hidden="1">255</definedName>
    <definedName name="_Order2" localSheetId="7" hidden="1">255</definedName>
    <definedName name="_Order2" localSheetId="10" hidden="1">255</definedName>
    <definedName name="_Order2" localSheetId="9" hidden="1">255</definedName>
    <definedName name="_Order2" localSheetId="6" hidden="1">255</definedName>
    <definedName name="_Order2" hidden="1">0</definedName>
    <definedName name="_osl1">'[44]SCH -IV OSL-EXPENSES'!$G$15</definedName>
    <definedName name="_P1">#REF!</definedName>
    <definedName name="_Parse_In" localSheetId="17" hidden="1">#REF!</definedName>
    <definedName name="_Parse_In" hidden="1">#REF!</definedName>
    <definedName name="_Parse_Out" localSheetId="7" hidden="1">#REF!</definedName>
    <definedName name="_Parse_Out" localSheetId="10" hidden="1">#REF!</definedName>
    <definedName name="_Parse_Out" localSheetId="9" hidden="1">#REF!</definedName>
    <definedName name="_Parse_Out" localSheetId="6" hidden="1">#REF!</definedName>
    <definedName name="_Parse_Out" hidden="1">#REF!</definedName>
    <definedName name="_PG1">#REF!</definedName>
    <definedName name="_pg10">#REF!</definedName>
    <definedName name="_pg11">#REF!</definedName>
    <definedName name="_pg12">#REF!</definedName>
    <definedName name="_pg13">#REF!</definedName>
    <definedName name="_pg14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g8">#REF!</definedName>
    <definedName name="_pg9">#REF!</definedName>
    <definedName name="_PL1">[45]INFO!$B$13</definedName>
    <definedName name="_PLF__R__R___ES">#REF!</definedName>
    <definedName name="_PM1">#REF!</definedName>
    <definedName name="_PM2">#REF!</definedName>
    <definedName name="_PNB117">'[20]PNB-117'!$E$24</definedName>
    <definedName name="_PNB493">'[20]PNB-493'!$E$36</definedName>
    <definedName name="_prn01">#REF!</definedName>
    <definedName name="_PRN1" localSheetId="7" hidden="1">{#N/A,#N/A,FALSE,"COVER.XLS";#N/A,#N/A,FALSE,"RACT1.XLS";#N/A,#N/A,FALSE,"RACT2.XLS";#N/A,#N/A,FALSE,"ECCMP";#N/A,#N/A,FALSE,"WELDER.XLS"}</definedName>
    <definedName name="_PRN1" localSheetId="10" hidden="1">{#N/A,#N/A,FALSE,"COVER.XLS";#N/A,#N/A,FALSE,"RACT1.XLS";#N/A,#N/A,FALSE,"RACT2.XLS";#N/A,#N/A,FALSE,"ECCMP";#N/A,#N/A,FALSE,"WELDER.XLS"}</definedName>
    <definedName name="_PRN1" localSheetId="1" hidden="1">{#N/A,#N/A,FALSE,"COVER.XLS";#N/A,#N/A,FALSE,"RACT1.XLS";#N/A,#N/A,FALSE,"RACT2.XLS";#N/A,#N/A,FALSE,"ECCMP";#N/A,#N/A,FALSE,"WELDER.XLS"}</definedName>
    <definedName name="_PRN1" localSheetId="0" hidden="1">{#N/A,#N/A,FALSE,"COVER.XLS";#N/A,#N/A,FALSE,"RACT1.XLS";#N/A,#N/A,FALSE,"RACT2.XLS";#N/A,#N/A,FALSE,"ECCMP";#N/A,#N/A,FALSE,"WELDER.XLS"}</definedName>
    <definedName name="_PRN1" localSheetId="6" hidden="1">{#N/A,#N/A,FALSE,"COVER.XLS";#N/A,#N/A,FALSE,"RACT1.XLS";#N/A,#N/A,FALSE,"RACT2.XLS";#N/A,#N/A,FALSE,"ECCMP";#N/A,#N/A,FALSE,"WELDER.XLS"}</definedName>
    <definedName name="_PRN1" hidden="1">{#N/A,#N/A,FALSE,"COVER.XLS";#N/A,#N/A,FALSE,"RACT1.XLS";#N/A,#N/A,FALSE,"RACT2.XLS";#N/A,#N/A,FALSE,"ECCMP";#N/A,#N/A,FALSE,"WELDER.XLS"}</definedName>
    <definedName name="_pu1">#REF!</definedName>
    <definedName name="_q2" localSheetId="7" hidden="1">{#N/A,#N/A,FALSE,"COVER1.XLS ";#N/A,#N/A,FALSE,"RACT1.XLS";#N/A,#N/A,FALSE,"RACT2.XLS";#N/A,#N/A,FALSE,"ECCMP";#N/A,#N/A,FALSE,"WELDER.XLS"}</definedName>
    <definedName name="_q2" localSheetId="10" hidden="1">{#N/A,#N/A,FALSE,"COVER1.XLS ";#N/A,#N/A,FALSE,"RACT1.XLS";#N/A,#N/A,FALSE,"RACT2.XLS";#N/A,#N/A,FALSE,"ECCMP";#N/A,#N/A,FALSE,"WELDER.XLS"}</definedName>
    <definedName name="_q2" localSheetId="1" hidden="1">{#N/A,#N/A,FALSE,"COVER1.XLS ";#N/A,#N/A,FALSE,"RACT1.XLS";#N/A,#N/A,FALSE,"RACT2.XLS";#N/A,#N/A,FALSE,"ECCMP";#N/A,#N/A,FALSE,"WELDER.XLS"}</definedName>
    <definedName name="_q2" localSheetId="0" hidden="1">{#N/A,#N/A,FALSE,"COVER1.XLS ";#N/A,#N/A,FALSE,"RACT1.XLS";#N/A,#N/A,FALSE,"RACT2.XLS";#N/A,#N/A,FALSE,"ECCMP";#N/A,#N/A,FALSE,"WELDER.XLS"}</definedName>
    <definedName name="_q2" localSheetId="6" hidden="1">{#N/A,#N/A,FALSE,"COVER1.XLS ";#N/A,#N/A,FALSE,"RACT1.XLS";#N/A,#N/A,FALSE,"RACT2.XLS";#N/A,#N/A,FALSE,"ECCMP";#N/A,#N/A,FALSE,"WELDER.XLS"}</definedName>
    <definedName name="_q2" hidden="1">{#N/A,#N/A,FALSE,"COVER1.XLS ";#N/A,#N/A,FALSE,"RACT1.XLS";#N/A,#N/A,FALSE,"RACT2.XLS";#N/A,#N/A,FALSE,"ECCMP";#N/A,#N/A,FALSE,"WELDER.XLS"}</definedName>
    <definedName name="_Qtr1">[46]IT_DDTP!$X$3</definedName>
    <definedName name="_Qtr2">[46]IT_DDTP!$Y$3</definedName>
    <definedName name="_Qtr3">[46]IT_DDTP!$Z$3</definedName>
    <definedName name="_Qtr4">[46]IT_DDTP!$AA$3</definedName>
    <definedName name="_Qtr5">[46]IT_DDTP!$AB$3</definedName>
    <definedName name="_ｑ部課つき作成">#REF!</definedName>
    <definedName name="_ra15">#REF!</definedName>
    <definedName name="_ra16">#REF!</definedName>
    <definedName name="_RAN1">#REF!</definedName>
    <definedName name="_RAN2">#REF!</definedName>
    <definedName name="_RAN3">#REF!</definedName>
    <definedName name="_Regression_X" hidden="1">#REF!</definedName>
    <definedName name="_rev1">#REF!</definedName>
    <definedName name="_rev10">#REF!</definedName>
    <definedName name="_rev11">#REF!</definedName>
    <definedName name="_rev12">#REF!</definedName>
    <definedName name="_rev13">#REF!</definedName>
    <definedName name="_rev14">#REF!</definedName>
    <definedName name="_rev15">#REF!</definedName>
    <definedName name="_rev16">#REF!</definedName>
    <definedName name="_rev17">#REF!</definedName>
    <definedName name="_rev18">#REF!</definedName>
    <definedName name="_rev19">#REF!</definedName>
    <definedName name="_rev2">#REF!</definedName>
    <definedName name="_rev20">#REF!</definedName>
    <definedName name="_rev5">#REF!</definedName>
    <definedName name="_rev6">#REF!</definedName>
    <definedName name="_rev7">#REF!</definedName>
    <definedName name="_rev8">#REF!</definedName>
    <definedName name="_rev9">#REF!</definedName>
    <definedName name="_RM1">#REF!</definedName>
    <definedName name="_RM2">#REF!</definedName>
    <definedName name="_RM3">#REF!</definedName>
    <definedName name="_roe97">#REF!</definedName>
    <definedName name="_ROI1">#REF!</definedName>
    <definedName name="_ROI2">'[21]#REF'!$A$46:$I$59</definedName>
    <definedName name="_RSE2">[22]CMA_Calculations!$H$125</definedName>
    <definedName name="_RV_DOWN_6__LEF">#REF!</definedName>
    <definedName name="_S">'[33]Power&amp;Fuel'!#REF!</definedName>
    <definedName name="_sale" hidden="1">#REF!</definedName>
    <definedName name="_SCH1">#REF!</definedName>
    <definedName name="_SCH10">#REF!</definedName>
    <definedName name="_SCH11">#REF!</definedName>
    <definedName name="_SCH12">[47]BSPL!$A$655:$D$692</definedName>
    <definedName name="_SCH13">#REF!</definedName>
    <definedName name="_SCH2">#REF!</definedName>
    <definedName name="_SCH3">#REF!</definedName>
    <definedName name="_sch4">[48]BS!#REF!</definedName>
    <definedName name="_SCH5">#REF!</definedName>
    <definedName name="_SCH6">#REF!</definedName>
    <definedName name="_SCH7">#REF!</definedName>
    <definedName name="_SCH8">#REF!</definedName>
    <definedName name="_SCH9">#REF!</definedName>
    <definedName name="_sen1" localSheetId="17">[49]Assumptions!#REF!</definedName>
    <definedName name="_sen1">[50]Assumptions!#REF!</definedName>
    <definedName name="_sen2" localSheetId="17">[49]Assumptions!#REF!</definedName>
    <definedName name="_sen2">[50]Assumptions!#REF!</definedName>
    <definedName name="_SI1">[46]SI!$O$12</definedName>
    <definedName name="_SI2">[46]SI!$O$13</definedName>
    <definedName name="_SI3">[46]SI!$O$14</definedName>
    <definedName name="_SI4">[46]SI!$O$15</definedName>
    <definedName name="_SI5">[46]SI!$O$16</definedName>
    <definedName name="_SI6">[46]SI!$O$17</definedName>
    <definedName name="_sl1">#REF!</definedName>
    <definedName name="_Sort" localSheetId="17" hidden="1">#REF!</definedName>
    <definedName name="_Sort" localSheetId="7" hidden="1">#REF!</definedName>
    <definedName name="_Sort" localSheetId="10" hidden="1">#REF!</definedName>
    <definedName name="_Sort" localSheetId="9" hidden="1">#REF!</definedName>
    <definedName name="_Sort" localSheetId="6" hidden="1">#REF!</definedName>
    <definedName name="_Sort" hidden="1">#REF!</definedName>
    <definedName name="_std1" localSheetId="17">'[23]132417'!$A$11:$Q$33</definedName>
    <definedName name="_std1">'[24]132417'!$A$11:$Q$33</definedName>
    <definedName name="_SUM_DI14..DI21">#REF!</definedName>
    <definedName name="_SUM_DI22..DI29">#REF!</definedName>
    <definedName name="_SUM1" localSheetId="17">#REF!</definedName>
    <definedName name="_sum1" localSheetId="7">#REF!</definedName>
    <definedName name="_sum1" localSheetId="10">#REF!</definedName>
    <definedName name="_sum1" localSheetId="9">#REF!</definedName>
    <definedName name="_sum1" localSheetId="6">#REF!</definedName>
    <definedName name="_SUM1">#REF!</definedName>
    <definedName name="_sum3">#REF!</definedName>
    <definedName name="_sw1">[46]Calculator!$N$3</definedName>
    <definedName name="_sw2">[46]Calculator!$N$4</definedName>
    <definedName name="_sw3">[46]Calculator!$M$4</definedName>
    <definedName name="_t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1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able1_In1" hidden="1">#REF!</definedName>
    <definedName name="_Table1_Out" hidden="1">#REF!</definedName>
    <definedName name="_Table2_In1" localSheetId="17" hidden="1">[51]CEP99!#REF!</definedName>
    <definedName name="_Table2_In1" localSheetId="7" hidden="1">'[52]03-2000-2001'!$A$1</definedName>
    <definedName name="_Table2_In1" localSheetId="10" hidden="1">'[52]03-2000-2001'!$A$1</definedName>
    <definedName name="_Table2_In1" localSheetId="9" hidden="1">'[52]03-2000-2001'!$A$1</definedName>
    <definedName name="_Table2_In1" localSheetId="6" hidden="1">'[52]03-2000-2001'!$A$1</definedName>
    <definedName name="_Table2_In1" hidden="1">[51]CEP99!#REF!</definedName>
    <definedName name="_Table2_In2" localSheetId="17" hidden="1">[51]CEP99!#REF!</definedName>
    <definedName name="_Table2_In2" localSheetId="7" hidden="1">'[52]03-2000-2001'!$A$1</definedName>
    <definedName name="_Table2_In2" localSheetId="10" hidden="1">'[52]03-2000-2001'!$A$1</definedName>
    <definedName name="_Table2_In2" localSheetId="9" hidden="1">'[52]03-2000-2001'!$A$1</definedName>
    <definedName name="_Table2_In2" localSheetId="6" hidden="1">'[52]03-2000-2001'!$A$1</definedName>
    <definedName name="_Table2_In2" hidden="1">[51]CEP99!#REF!</definedName>
    <definedName name="_Table2_Out" localSheetId="7" hidden="1">'[52]03-2000-2001'!$A$1</definedName>
    <definedName name="_Table2_Out" localSheetId="10" hidden="1">'[52]03-2000-2001'!$A$1</definedName>
    <definedName name="_Table2_Out" localSheetId="9" hidden="1">'[52]03-2000-2001'!$A$1</definedName>
    <definedName name="_Table2_Out" localSheetId="6" hidden="1">'[52]03-2000-2001'!$A$1</definedName>
    <definedName name="_Table2_Out" hidden="1">[51]CEP99!#REF!</definedName>
    <definedName name="_Table3_In2" localSheetId="17" hidden="1">#REF!</definedName>
    <definedName name="_Table3_In2" hidden="1">#REF!</definedName>
    <definedName name="_TAX1">[53]FINAL!$A$10:$B$28</definedName>
    <definedName name="_tax2">#REF!</definedName>
    <definedName name="_tax3">#REF!</definedName>
    <definedName name="_TB0306">'[54]TB-03-06'!$A$7:$G$275</definedName>
    <definedName name="_tb2">#REF!</definedName>
    <definedName name="_tds1">#REF!</definedName>
    <definedName name="_TOT1">#REF!</definedName>
    <definedName name="_TOT2">#REF!</definedName>
    <definedName name="_tr1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3">#N/A</definedName>
    <definedName name="_U__END__U__D__">#REF!</definedName>
    <definedName name="_U__U__END__U__">#REF!</definedName>
    <definedName name="_U__U__U__U__U_">#REF!</definedName>
    <definedName name="_usl1">#REF!</definedName>
    <definedName name="_VEH1" localSheetId="17">#REF!</definedName>
    <definedName name="_VEH1">#REF!</definedName>
    <definedName name="_VEH2">#REF!</definedName>
    <definedName name="_w2" localSheetId="7" hidden="1">{#N/A,#N/A,FALSE,"17MAY";#N/A,#N/A,FALSE,"24MAY"}</definedName>
    <definedName name="_w2" localSheetId="10" hidden="1">{#N/A,#N/A,FALSE,"17MAY";#N/A,#N/A,FALSE,"24MAY"}</definedName>
    <definedName name="_w2" localSheetId="1" hidden="1">{#N/A,#N/A,FALSE,"17MAY";#N/A,#N/A,FALSE,"24MAY"}</definedName>
    <definedName name="_w2" localSheetId="0" hidden="1">{#N/A,#N/A,FALSE,"17MAY";#N/A,#N/A,FALSE,"24MAY"}</definedName>
    <definedName name="_w2" localSheetId="6" hidden="1">{#N/A,#N/A,FALSE,"17MAY";#N/A,#N/A,FALSE,"24MAY"}</definedName>
    <definedName name="_w2" hidden="1">{#N/A,#N/A,FALSE,"17MAY";#N/A,#N/A,FALSE,"24MAY"}</definedName>
    <definedName name="_WA0005">'[55]TB WORLI'!#REF!</definedName>
    <definedName name="_WA0015">'[55]TB WORLI'!#REF!</definedName>
    <definedName name="_WA00212">'[55]TB WORLI'!#REF!</definedName>
    <definedName name="_WA00223">'[55]TB WORLI'!#REF!</definedName>
    <definedName name="_WA00231">'[55]TB WORLI'!#REF!</definedName>
    <definedName name="_WA00237">'[55]TB WORLI'!#REF!</definedName>
    <definedName name="_WA0026">'[55]TB WORLI'!#REF!</definedName>
    <definedName name="_WA00273">'[55]TB WORLI'!#REF!</definedName>
    <definedName name="_WA00288">'[55]TB WORLI'!#REF!</definedName>
    <definedName name="_WA00291">'[55]TB WORLI'!#REF!</definedName>
    <definedName name="_WA00294">'[55]TB WORLI'!#REF!</definedName>
    <definedName name="_WA00295">'[55]TB WORLI'!#REF!</definedName>
    <definedName name="_WA00298">'[55]TB WORLI'!#REF!</definedName>
    <definedName name="_WA00301">'[55]TB WORLI'!#REF!</definedName>
    <definedName name="_WA00302">'[55]TB WORLI'!#REF!</definedName>
    <definedName name="_WA00306">'[55]TB WORLI'!#REF!</definedName>
    <definedName name="_WA00307">'[55]TB WORLI'!#REF!</definedName>
    <definedName name="_WA00308">'[55]TB WORLI'!#REF!</definedName>
    <definedName name="_WA00310">'[55]TB WORLI'!#REF!</definedName>
    <definedName name="_WA00318">'[55]TB WORLI'!#REF!</definedName>
    <definedName name="_WA00321">'[55]TB WORLI'!#REF!</definedName>
    <definedName name="_WA00324">'[55]TB WORLI'!#REF!</definedName>
    <definedName name="_WA00325">'[55]TB WORLI'!#REF!</definedName>
    <definedName name="_WA00326">'[55]TB WORLI'!#REF!</definedName>
    <definedName name="_WA00327">'[55]TB WORLI'!#REF!</definedName>
    <definedName name="_WA00328">'[55]TB WORLI'!#REF!</definedName>
    <definedName name="_WA00329">'[55]TB WORLI'!#REF!</definedName>
    <definedName name="_WA00330">'[55]TB WORLI'!#REF!</definedName>
    <definedName name="_WA00332">'[55]TB WORLI'!#REF!</definedName>
    <definedName name="_WA00337">'[55]TB WORLI'!#REF!</definedName>
    <definedName name="_WA00338">'[55]TB WORLI'!#REF!</definedName>
    <definedName name="_WA00361">'[55]TB WORLI'!#REF!</definedName>
    <definedName name="_WA00362">'[55]TB WORLI'!#REF!</definedName>
    <definedName name="_WA00367">'[55]TB WORLI'!#REF!</definedName>
    <definedName name="_WA00368">'[55]TB WORLI'!#REF!</definedName>
    <definedName name="_WA00369">'[55]TB WORLI'!#REF!</definedName>
    <definedName name="_WA00370">'[55]TB WORLI'!#REF!</definedName>
    <definedName name="_WA00372">'[55]TB WORLI'!#REF!</definedName>
    <definedName name="_WA00373">'[55]TB WORLI'!#REF!</definedName>
    <definedName name="_WA00374">'[55]TB WORLI'!#REF!</definedName>
    <definedName name="_WA00375">'[55]TB WORLI'!#REF!</definedName>
    <definedName name="_WA00376">'[55]TB WORLI'!#REF!</definedName>
    <definedName name="_WA00377">'[55]TB WORLI'!#REF!</definedName>
    <definedName name="_WA00378">'[55]TB WORLI'!#REF!</definedName>
    <definedName name="_WA00379">'[55]TB WORLI'!#REF!</definedName>
    <definedName name="_WA0038">'[55]TB WORLI'!#REF!</definedName>
    <definedName name="_WA00380">'[55]TB WORLI'!#REF!</definedName>
    <definedName name="_WA00381">'[55]TB WORLI'!#REF!</definedName>
    <definedName name="_WA00382">'[55]TB WORLI'!#REF!</definedName>
    <definedName name="_WA00386">'[55]TB WORLI'!#REF!</definedName>
    <definedName name="_WA00387">'[55]TB WORLI'!#REF!</definedName>
    <definedName name="_WA00388">'[55]TB WORLI'!#REF!</definedName>
    <definedName name="_WA00389">'[55]TB WORLI'!#REF!</definedName>
    <definedName name="_WA00390">'[55]TB WORLI'!#REF!</definedName>
    <definedName name="_WA00392">'[55]TB WORLI'!#REF!</definedName>
    <definedName name="_WA00397">'[55]TB WORLI'!#REF!</definedName>
    <definedName name="_WA00400">'[55]TB WORLI'!#REF!</definedName>
    <definedName name="_WA00402">'[55]TB WORLI'!#REF!</definedName>
    <definedName name="_WA00420">'[55]TB WORLI'!#REF!</definedName>
    <definedName name="_WA00434">'[55]TB WORLI'!#REF!</definedName>
    <definedName name="_WA00435">'[55]TB WORLI'!#REF!</definedName>
    <definedName name="_WA00436">'[55]TB WORLI'!#REF!</definedName>
    <definedName name="_WA00437">'[55]TB WORLI'!#REF!</definedName>
    <definedName name="_WA00439">'[55]TB WORLI'!#REF!</definedName>
    <definedName name="_WA00440">'[55]TB WORLI'!#REF!</definedName>
    <definedName name="_WA00441">'[55]TB WORLI'!#REF!</definedName>
    <definedName name="_WA00442">'[55]TB WORLI'!#REF!</definedName>
    <definedName name="_WA00444">'[55]TB WORLI'!#REF!</definedName>
    <definedName name="_WA00445">'[55]TB WORLI'!#REF!</definedName>
    <definedName name="_WA00446">'[55]TB WORLI'!#REF!</definedName>
    <definedName name="_WA00447">'[55]TB WORLI'!#REF!</definedName>
    <definedName name="_WA00452">'[55]TB WORLI'!#REF!</definedName>
    <definedName name="_WA00454">'[55]TB WORLI'!#REF!</definedName>
    <definedName name="_WA0049">'[55]TB WORLI'!#REF!</definedName>
    <definedName name="_WA0065">'[55]TB WORLI'!#REF!</definedName>
    <definedName name="_WA0131">'[55]TB WORLI'!#REF!</definedName>
    <definedName name="_WA0142">'[55]TB WORLI'!#REF!</definedName>
    <definedName name="_WDR_">#REF!</definedName>
    <definedName name="_WE00250">'[55]TB WORLI'!#REF!</definedName>
    <definedName name="_WE00251">'[55]TB WORLI'!#REF!</definedName>
    <definedName name="_WE00281">'[55]TB WORLI'!#REF!</definedName>
    <definedName name="_WE00289">'[55]TB WORLI'!#REF!</definedName>
    <definedName name="_WE0159">'[55]TB WORLI'!#REF!</definedName>
    <definedName name="_WE0160">'[55]TB WORLI'!#REF!</definedName>
    <definedName name="_WE0211">'[55]TB WORLI'!#REF!</definedName>
    <definedName name="_WE0219">'[55]TB WORLI'!#REF!</definedName>
    <definedName name="_WE0225">'[55]TB WORLI'!#REF!</definedName>
    <definedName name="_WE0232">'[55]TB WORLI'!#REF!</definedName>
    <definedName name="_WE0243">'[55]TB WORLI'!#REF!</definedName>
    <definedName name="_WGPD_GOTO_CO10">#REF!</definedName>
    <definedName name="_WI00296">'[55]TB WORLI'!#REF!</definedName>
    <definedName name="_WI00298">'[55]TB WORLI'!#REF!</definedName>
    <definedName name="_WI00319">'[55]TB WORLI'!#REF!</definedName>
    <definedName name="_WI00320">'[55]TB WORLI'!#REF!</definedName>
    <definedName name="_WI00321">'[55]TB WORLI'!#REF!</definedName>
    <definedName name="_WI0256">'[55]TB WORLI'!#REF!</definedName>
    <definedName name="_WI0286">'[55]TB WORLI'!#REF!</definedName>
    <definedName name="_WL00382">'[55]TB WORLI'!#REF!</definedName>
    <definedName name="_WL00623">'[55]TB WORLI'!#REF!</definedName>
    <definedName name="_WL00655">'[55]TB WORLI'!#REF!</definedName>
    <definedName name="_WL00664">'[55]TB WORLI'!#REF!</definedName>
    <definedName name="_WL0333">'[55]TB WORLI'!#REF!</definedName>
    <definedName name="_WL0342">'[55]TB WORLI'!#REF!</definedName>
    <definedName name="_WL0355">'[55]TB WORLI'!#REF!</definedName>
    <definedName name="_WRN1" localSheetId="7" hidden="1">{#N/A,#N/A,FALSE,"COVER1.XLS ";#N/A,#N/A,FALSE,"RACT1.XLS";#N/A,#N/A,FALSE,"RACT2.XLS";#N/A,#N/A,FALSE,"ECCMP";#N/A,#N/A,FALSE,"WELDER.XLS"}</definedName>
    <definedName name="_WRN1" localSheetId="10" hidden="1">{#N/A,#N/A,FALSE,"COVER1.XLS ";#N/A,#N/A,FALSE,"RACT1.XLS";#N/A,#N/A,FALSE,"RACT2.XLS";#N/A,#N/A,FALSE,"ECCMP";#N/A,#N/A,FALSE,"WELDER.XLS"}</definedName>
    <definedName name="_WRN1" localSheetId="1" hidden="1">{#N/A,#N/A,FALSE,"COVER1.XLS ";#N/A,#N/A,FALSE,"RACT1.XLS";#N/A,#N/A,FALSE,"RACT2.XLS";#N/A,#N/A,FALSE,"ECCMP";#N/A,#N/A,FALSE,"WELDER.XLS"}</definedName>
    <definedName name="_WRN1" localSheetId="0" hidden="1">{#N/A,#N/A,FALSE,"COVER1.XLS ";#N/A,#N/A,FALSE,"RACT1.XLS";#N/A,#N/A,FALSE,"RACT2.XLS";#N/A,#N/A,FALSE,"ECCMP";#N/A,#N/A,FALSE,"WELDER.XLS"}</definedName>
    <definedName name="_WRN1" localSheetId="6" hidden="1">{#N/A,#N/A,FALSE,"COVER1.XLS ";#N/A,#N/A,FALSE,"RACT1.XLS";#N/A,#N/A,FALSE,"RACT2.XLS";#N/A,#N/A,FALSE,"ECCMP";#N/A,#N/A,FALSE,"WELDER.XLS"}</definedName>
    <definedName name="_WRN1" hidden="1">{#N/A,#N/A,FALSE,"COVER1.XLS ";#N/A,#N/A,FALSE,"RACT1.XLS";#N/A,#N/A,FALSE,"RACT2.XLS";#N/A,#N/A,FALSE,"ECCMP";#N/A,#N/A,FALSE,"WELDER.XLS"}</definedName>
    <definedName name="_WRN2" localSheetId="7" hidden="1">{#N/A,#N/A,FALSE,"COVER1.XLS ";#N/A,#N/A,FALSE,"RACT1.XLS";#N/A,#N/A,FALSE,"RACT2.XLS";#N/A,#N/A,FALSE,"ECCMP";#N/A,#N/A,FALSE,"WELDER.XLS"}</definedName>
    <definedName name="_WRN2" localSheetId="10" hidden="1">{#N/A,#N/A,FALSE,"COVER1.XLS ";#N/A,#N/A,FALSE,"RACT1.XLS";#N/A,#N/A,FALSE,"RACT2.XLS";#N/A,#N/A,FALSE,"ECCMP";#N/A,#N/A,FALSE,"WELDER.XLS"}</definedName>
    <definedName name="_WRN2" localSheetId="1" hidden="1">{#N/A,#N/A,FALSE,"COVER1.XLS ";#N/A,#N/A,FALSE,"RACT1.XLS";#N/A,#N/A,FALSE,"RACT2.XLS";#N/A,#N/A,FALSE,"ECCMP";#N/A,#N/A,FALSE,"WELDER.XLS"}</definedName>
    <definedName name="_WRN2" localSheetId="0" hidden="1">{#N/A,#N/A,FALSE,"COVER1.XLS ";#N/A,#N/A,FALSE,"RACT1.XLS";#N/A,#N/A,FALSE,"RACT2.XLS";#N/A,#N/A,FALSE,"ECCMP";#N/A,#N/A,FALSE,"WELDER.XLS"}</definedName>
    <definedName name="_WRN2" localSheetId="6" hidden="1">{#N/A,#N/A,FALSE,"COVER1.XLS ";#N/A,#N/A,FALSE,"RACT1.XLS";#N/A,#N/A,FALSE,"RACT2.XLS";#N/A,#N/A,FALSE,"ECCMP";#N/A,#N/A,FALSE,"WELDER.XLS"}</definedName>
    <definedName name="_WRN2" hidden="1">{#N/A,#N/A,FALSE,"COVER1.XLS ";#N/A,#N/A,FALSE,"RACT1.XLS";#N/A,#N/A,FALSE,"RACT2.XLS";#N/A,#N/A,FALSE,"ECCMP";#N/A,#N/A,FALSE,"WELDER.XLS"}</definedName>
    <definedName name="_WRN3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localSheetId="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《_投資有価証券の時価について__">#REF!</definedName>
    <definedName name="・・・">#REF!</definedName>
    <definedName name="A" localSheetId="17">'[56]MAIN-COMP'!#REF!</definedName>
    <definedName name="a" localSheetId="7">"GEA ENERGY SYSTEM (INDIA) LIMITED"</definedName>
    <definedName name="a" localSheetId="10">"GEA ENERGY SYSTEM (INDIA) LIMITED"</definedName>
    <definedName name="a" localSheetId="9">"GEA ENERGY SYSTEM (INDIA) LIMITED"</definedName>
    <definedName name="a" localSheetId="6">"GEA ENERGY SYSTEM (INDIA) LIMITED"</definedName>
    <definedName name="A">'[57]MAIN-COMP'!#REF!</definedName>
    <definedName name="A.R" localSheetId="17">#REF!</definedName>
    <definedName name="A.R">#REF!</definedName>
    <definedName name="a_case">'[58]C Sum'!$C$126</definedName>
    <definedName name="A_GEN1.DomesticCompFlg">[46]GENERAL!$AQ$15</definedName>
    <definedName name="A_GEN1.ResidentialStatus">[46]GENERAL!$U$32</definedName>
    <definedName name="A_Rodricks">#REF!</definedName>
    <definedName name="a0">#REF!</definedName>
    <definedName name="A0002_">'[59]TB APJ'!$B$233</definedName>
    <definedName name="A0005_">'[59]TB APJ'!$B$7</definedName>
    <definedName name="A0007_">'[59]TB APJ'!$B$8</definedName>
    <definedName name="A0008_">'[59]TB APJ'!$B$9</definedName>
    <definedName name="A00167_">'[59]TB APJ'!#REF!</definedName>
    <definedName name="A00168_">'[59]TB APJ'!#REF!</definedName>
    <definedName name="A00169_">[60]tb!$B$8</definedName>
    <definedName name="A00183_">'[59]TB APJ'!#REF!</definedName>
    <definedName name="A0019_">'[59]TB APJ'!$B$10</definedName>
    <definedName name="A00191_">'[59]TB APJ'!$B$246</definedName>
    <definedName name="A00195_">'[59]TB APJ'!#REF!</definedName>
    <definedName name="A00203_">'[59]TB APJ'!#REF!</definedName>
    <definedName name="A00207_">'[59]TB APJ'!#REF!</definedName>
    <definedName name="A00211_">'[59]TB APJ'!#REF!</definedName>
    <definedName name="A00212_">'[59]TB APJ'!$B$247</definedName>
    <definedName name="A00214_">'[59]TB APJ'!#REF!</definedName>
    <definedName name="A00215_">'[55]TB APJ'!#REF!</definedName>
    <definedName name="A00223_">[60]tb!$B$10</definedName>
    <definedName name="A00225_">'[59]TB APJ'!$B$11</definedName>
    <definedName name="A00226_">'[59]TB APJ'!$B$248</definedName>
    <definedName name="A00242_">'[59]TB APJ'!$B$12</definedName>
    <definedName name="A00247_">'[59]TB APJ'!#REF!</definedName>
    <definedName name="A00252_">'[59]TB APJ'!$B$330</definedName>
    <definedName name="A00256_">'[59]TB APJ'!$B$249</definedName>
    <definedName name="A00257_">'[59]TB APJ'!$B$306</definedName>
    <definedName name="A00258_">'[59]TB APJ'!#REF!</definedName>
    <definedName name="A0026_">'[59]TB APJ'!$B$13</definedName>
    <definedName name="A00260_">'[55]TB APJ'!#REF!</definedName>
    <definedName name="A00261_">'[55]TB APJ'!#REF!</definedName>
    <definedName name="A00264_">'[55]TB APJ'!#REF!</definedName>
    <definedName name="A00266_">'[59]TB APJ'!#REF!</definedName>
    <definedName name="A00268_">'[59]TB APJ'!#REF!</definedName>
    <definedName name="A00270_">'[59]TB APJ'!$B$331</definedName>
    <definedName name="A00271_">[60]tb!$B$16</definedName>
    <definedName name="A00273_">'[59]TB APJ'!$B$16</definedName>
    <definedName name="A00274_">'[59]TB APJ'!$B$17</definedName>
    <definedName name="A0028_">'[59]TB APJ'!$B$332</definedName>
    <definedName name="A00280_">'[59]TB APJ'!#REF!</definedName>
    <definedName name="A00281_">'[59]TB APJ'!#REF!</definedName>
    <definedName name="A00283_">'[59]TB APJ'!#REF!</definedName>
    <definedName name="A00290_">'[59]TB APJ'!#REF!</definedName>
    <definedName name="A00291_">'[59]TB APJ'!$B$250</definedName>
    <definedName name="A00293_">'[59]TB APJ'!$B$333</definedName>
    <definedName name="A00294_">'[59]TB APJ'!#REF!</definedName>
    <definedName name="A00295_">'[59]TB APJ'!#REF!</definedName>
    <definedName name="A00296_">'[59]TB APJ'!#REF!</definedName>
    <definedName name="A00297_">'[59]TB APJ'!#REF!</definedName>
    <definedName name="A00300_">'[55]TB APJ'!#REF!</definedName>
    <definedName name="A00301_">'[59]TB APJ'!#REF!</definedName>
    <definedName name="A00302_">'[59]TB APJ'!#REF!</definedName>
    <definedName name="A00303_">[60]tb!$B$25</definedName>
    <definedName name="A00305_">'[59]TB APJ'!#REF!</definedName>
    <definedName name="A00306_">'[55]TB WORLI'!#REF!</definedName>
    <definedName name="A00314_">'[59]TB APJ'!#REF!</definedName>
    <definedName name="A00315_">'[59]TB APJ'!#REF!</definedName>
    <definedName name="A00317_">'[59]TB APJ'!#REF!</definedName>
    <definedName name="A00318_">'[59]TB APJ'!#REF!</definedName>
    <definedName name="A00319_">'[59]TB APJ'!$B$307</definedName>
    <definedName name="A00320_">'[59]TB APJ'!$B$335</definedName>
    <definedName name="A00321_">'[59]TB APJ'!#REF!</definedName>
    <definedName name="A00322_">'[59]TB APJ'!$B$336</definedName>
    <definedName name="A00323_">'[55]TB APJ'!#REF!</definedName>
    <definedName name="A00324_">'[59]TB APJ'!#REF!</definedName>
    <definedName name="A00325_">'[59]TB APJ'!#REF!</definedName>
    <definedName name="A00326_">'[59]TB APJ'!$B$337</definedName>
    <definedName name="A00327_">'[59]TB APJ'!$B$338</definedName>
    <definedName name="A00330_">'[59]TB APJ'!#REF!</definedName>
    <definedName name="A00331_">'[59]TB APJ'!$B$308</definedName>
    <definedName name="A00333_">'[59]TB APJ'!#REF!</definedName>
    <definedName name="A00334_">'[59]TB APJ'!#REF!</definedName>
    <definedName name="A00335_">'[59]TB APJ'!#REF!</definedName>
    <definedName name="A00338_">'[59]TB APJ'!#REF!</definedName>
    <definedName name="A00340_">'[59]TB APJ'!#REF!</definedName>
    <definedName name="A00341_">'[59]TB APJ'!#REF!</definedName>
    <definedName name="A00342_">'[59]TB APJ'!$B$339</definedName>
    <definedName name="A00344_">'[59]TB APJ'!#REF!</definedName>
    <definedName name="A00345_">'[59]TB APJ'!#REF!</definedName>
    <definedName name="A00346_">'[59]TB APJ'!#REF!</definedName>
    <definedName name="A00348_">'[59]TB APJ'!#REF!</definedName>
    <definedName name="A00349_">'[59]TB APJ'!#REF!</definedName>
    <definedName name="A00350_">'[59]TB APJ'!$B$340</definedName>
    <definedName name="A00351_">'[59]TB APJ'!#REF!</definedName>
    <definedName name="A00352_">'[59]TB APJ'!$B$20</definedName>
    <definedName name="A00353_">'[59]TB APJ'!#REF!</definedName>
    <definedName name="A00354_">'[59]TB APJ'!$B$341</definedName>
    <definedName name="A00355_">'[59]TB APJ'!$B$342</definedName>
    <definedName name="A00357_">'[59]TB APJ'!$B$343</definedName>
    <definedName name="A00358_">'[59]TB APJ'!$B$344</definedName>
    <definedName name="A00359_">'[59]TB APJ'!$B$254</definedName>
    <definedName name="A00362_">'[59]TB APJ'!#REF!</definedName>
    <definedName name="A00366_">'[59]TB APJ'!#REF!</definedName>
    <definedName name="A00367_">'[59]TB APJ'!$B$21</definedName>
    <definedName name="A00368_">'[59]TB APJ'!$B$22</definedName>
    <definedName name="A00369_">'[59]TB APJ'!#REF!</definedName>
    <definedName name="A00370_">'[59]TB APJ'!$B$23</definedName>
    <definedName name="A00372_">'[59]TB APJ'!$B$235</definedName>
    <definedName name="A00376_">'[59]TB APJ'!#REF!</definedName>
    <definedName name="A00379_">'[59]TB APJ'!#REF!</definedName>
    <definedName name="A00381_">'[59]TB APJ'!#REF!</definedName>
    <definedName name="A00383_">'[59]TB APJ'!#REF!</definedName>
    <definedName name="A00386_">'[59]TB APJ'!#REF!</definedName>
    <definedName name="A00387_">'[59]TB APJ'!#REF!</definedName>
    <definedName name="A00388_">'[59]TB APJ'!#REF!</definedName>
    <definedName name="A00389_">'[59]TB APJ'!#REF!</definedName>
    <definedName name="A00391_">'[59]TB APJ'!#REF!</definedName>
    <definedName name="A00392_">'[59]TB APJ'!#REF!</definedName>
    <definedName name="A00393_">'[59]TB APJ'!#REF!</definedName>
    <definedName name="A00394_">'[59]TB APJ'!#REF!</definedName>
    <definedName name="A00395_">'[59]TB APJ'!#REF!</definedName>
    <definedName name="A00396_">'[59]TB APJ'!#REF!</definedName>
    <definedName name="A00397_">'[59]TB APJ'!$B$351</definedName>
    <definedName name="A00398_">'[59]TB APJ'!#REF!</definedName>
    <definedName name="A0040_">'[59]TB APJ'!#REF!</definedName>
    <definedName name="A00400_">'[59]TB APJ'!#REF!</definedName>
    <definedName name="A00402_">'[59]TB APJ'!$B$309</definedName>
    <definedName name="A00403_">'[59]TB APJ'!$B$25</definedName>
    <definedName name="A00404_">'[59]TB APJ'!#REF!</definedName>
    <definedName name="A00405_">'[59]TB APJ'!$B$26</definedName>
    <definedName name="A00407_">'[59]TB APJ'!#REF!</definedName>
    <definedName name="A00409_">'[59]TB APJ'!$B$256</definedName>
    <definedName name="A00410_">'[59]TB APJ'!#REF!</definedName>
    <definedName name="A00411_">'[59]TB APJ'!#REF!</definedName>
    <definedName name="A00412_">'[59]TB APJ'!#REF!</definedName>
    <definedName name="A00413_">'[59]TB APJ'!#REF!</definedName>
    <definedName name="A00416_">'[59]TB APJ'!#REF!</definedName>
    <definedName name="A00420_">'[59]TB APJ'!#REF!</definedName>
    <definedName name="A00421_">'[59]TB APJ'!#REF!</definedName>
    <definedName name="A00422_">'[59]TB APJ'!#REF!</definedName>
    <definedName name="A00423_">'[59]TB APJ'!$B$27</definedName>
    <definedName name="A00424_">'[59]TB APJ'!$B$28</definedName>
    <definedName name="A00425_">'[59]TB APJ'!#REF!</definedName>
    <definedName name="A00426_">'[59]TB APJ'!$B$353</definedName>
    <definedName name="A00427_">'[59]TB APJ'!$B$258</definedName>
    <definedName name="A00430_">'[59]TB APJ'!$B$29</definedName>
    <definedName name="A00433_">'[59]TB APJ'!#REF!</definedName>
    <definedName name="A00434_">'[59]TB APJ'!$B$260</definedName>
    <definedName name="A00435_">'[59]TB APJ'!#REF!</definedName>
    <definedName name="A00436_">'[59]TB APJ'!#REF!</definedName>
    <definedName name="A00437_">'[59]TB APJ'!#REF!</definedName>
    <definedName name="A0044_">'[59]TB APJ'!#REF!</definedName>
    <definedName name="A00441_">'[59]TB APJ'!#REF!</definedName>
    <definedName name="A00442_">'[59]TB APJ'!$B$354</definedName>
    <definedName name="A00443_">'[59]TB APJ'!$B$261</definedName>
    <definedName name="A00444_">'[59]TB APJ'!#REF!</definedName>
    <definedName name="A00445_">'[59]TB APJ'!$B$355</definedName>
    <definedName name="A00446_">'[59]TB APJ'!$B$31</definedName>
    <definedName name="A00448_">'[59]TB APJ'!#REF!</definedName>
    <definedName name="A0045_">[60]tb!$B$92</definedName>
    <definedName name="A00453_">'[59]TB APJ'!$B$32</definedName>
    <definedName name="A00457_">'[59]TB APJ'!$B$34</definedName>
    <definedName name="A0048_">'[59]TB APJ'!#REF!</definedName>
    <definedName name="A0049_">'[55]TB WORLI'!#REF!</definedName>
    <definedName name="A0050_">'[59]TB APJ'!$B$36</definedName>
    <definedName name="A0052_">'[59]TB APJ'!#REF!</definedName>
    <definedName name="A0053_">'[59]TB APJ'!$B$37</definedName>
    <definedName name="A0057_">'[59]TB APJ'!$B$38</definedName>
    <definedName name="A0060_">'[59]TB APJ'!$B$39</definedName>
    <definedName name="A0061_">'[59]TB APJ'!#REF!</definedName>
    <definedName name="A0062_">'[59]TB APJ'!$B$40</definedName>
    <definedName name="A0064_">[60]tb!$B$101</definedName>
    <definedName name="A0065_">'[59]TB APJ'!$B$357</definedName>
    <definedName name="A0066_">'[59]TB APJ'!$B$41</definedName>
    <definedName name="A0067_">'[59]TB APJ'!$B$42</definedName>
    <definedName name="A0069_">'[55]TB APJ'!#REF!</definedName>
    <definedName name="A0070_">'[59]TB APJ'!$B$43</definedName>
    <definedName name="A0071_">'[59]TB APJ'!$B$44</definedName>
    <definedName name="A0072_">'[59]TB APJ'!$B$45</definedName>
    <definedName name="A0074_">'[59]TB APJ'!$B$46</definedName>
    <definedName name="A0075_">'[59]TB APJ'!$B$425</definedName>
    <definedName name="A0078_">'[59]TB APJ'!#REF!</definedName>
    <definedName name="A0080_">'[59]TB APJ'!$B$47</definedName>
    <definedName name="A0081_">'[59]TB APJ'!$B$48</definedName>
    <definedName name="A0082_">'[59]TB APJ'!#REF!</definedName>
    <definedName name="A0084_">'[59]TB APJ'!$B$49</definedName>
    <definedName name="A0085_">'[59]TB APJ'!$B$241</definedName>
    <definedName name="A0087_">'[59]TB APJ'!$B$359</definedName>
    <definedName name="A0088_">'[59]TB APJ'!$B$50</definedName>
    <definedName name="A0096_">'[59]TB APJ'!#REF!</definedName>
    <definedName name="A0100_">'[59]TB APJ'!$B$51</definedName>
    <definedName name="A0101_">'[59]TB APJ'!#REF!</definedName>
    <definedName name="A0103_">'[59]TB APJ'!$B$268</definedName>
    <definedName name="A0114_">'[59]TB APJ'!$B$52</definedName>
    <definedName name="A0115_">'[59]TB APJ'!$B$53</definedName>
    <definedName name="A0116_">'[59]TB APJ'!$B$269</definedName>
    <definedName name="A0118_">'[59]TB APJ'!$B$54</definedName>
    <definedName name="A0119_">'[59]TB APJ'!$B$55</definedName>
    <definedName name="A0126_">'[59]TB APJ'!#REF!</definedName>
    <definedName name="A0127_">'[59]TB APJ'!#REF!</definedName>
    <definedName name="A0129_">'[59]TB APJ'!#REF!</definedName>
    <definedName name="A0141_">'[59]TB APJ'!$B$56</definedName>
    <definedName name="A0142_">'[59]TB APJ'!$B$57</definedName>
    <definedName name="A0146_">'[55]TB APJ'!#REF!</definedName>
    <definedName name="A0154_">'[59]TB APJ'!$B$58</definedName>
    <definedName name="A0155_">'[59]TB APJ'!#REF!</definedName>
    <definedName name="A1_">#REF!</definedName>
    <definedName name="A10_">#REF!</definedName>
    <definedName name="A10002_">'[59]TB APJ'!$B$59</definedName>
    <definedName name="A10007_">'[59]TB APJ'!$B$312</definedName>
    <definedName name="A10019_">'[55]TB APJ'!$B$48</definedName>
    <definedName name="A10037_">'[55]TB APJ'!#REF!</definedName>
    <definedName name="A10041_">'[55]TB APJ'!#REF!</definedName>
    <definedName name="A10066_">'[55]TB APJ'!#REF!</definedName>
    <definedName name="A10069_">'[55]TB APJ'!#REF!</definedName>
    <definedName name="A10087_">'[55]TB APJ'!#REF!</definedName>
    <definedName name="A10104_">'[59]TB APJ'!$B$315</definedName>
    <definedName name="A10106_">'[55]TB APJ'!#REF!</definedName>
    <definedName name="A10112_">'[59]TB APJ'!$B$60</definedName>
    <definedName name="A10117_">'[59]TB APJ'!$B$61</definedName>
    <definedName name="A10119_">'[59]TB APJ'!$B$426</definedName>
    <definedName name="A10122_">'[59]TB APJ'!$B$63</definedName>
    <definedName name="A10123_">'[59]TB APJ'!$B$64</definedName>
    <definedName name="A10124_">'[59]TB APJ'!$B$65</definedName>
    <definedName name="A13_">#REF!</definedName>
    <definedName name="A2_">#REF!</definedName>
    <definedName name="A3_">#REF!</definedName>
    <definedName name="A4_">#REF!</definedName>
    <definedName name="A5_">#REF!</definedName>
    <definedName name="A6_">#REF!</definedName>
    <definedName name="a654645454545">#REF!</definedName>
    <definedName name="A7_">#REF!</definedName>
    <definedName name="A8_">#REF!</definedName>
    <definedName name="A9_">#REF!</definedName>
    <definedName name="aa" localSheetId="7">[61]oresreqsum!#REF!</definedName>
    <definedName name="aa" localSheetId="10">[61]oresreqsum!#REF!</definedName>
    <definedName name="aa" localSheetId="9">[61]oresreqsum!#REF!</definedName>
    <definedName name="aa" localSheetId="6">[61]oresreqsum!#REF!</definedName>
    <definedName name="AA">#REF!</definedName>
    <definedName name="AA..." hidden="1">#REF!</definedName>
    <definedName name="AA0005_">'[55]TB WORLI'!#REF!</definedName>
    <definedName name="AA0015_">'[55]TB WORLI'!#REF!</definedName>
    <definedName name="AA00212_">'[55]TB WORLI'!#REF!</definedName>
    <definedName name="AA00223_">'[55]TB WORLI'!#REF!</definedName>
    <definedName name="AA00231_">'[55]TB WORLI'!#REF!</definedName>
    <definedName name="AA00237_">'[55]TB WORLI'!#REF!</definedName>
    <definedName name="AA0026_">'[55]TB WORLI'!#REF!</definedName>
    <definedName name="AA00273_">'[55]TB WORLI'!#REF!</definedName>
    <definedName name="AA00288_">'[55]TB WORLI'!#REF!</definedName>
    <definedName name="AA00291_">'[55]TB WORLI'!#REF!</definedName>
    <definedName name="AA00294_">'[55]TB WORLI'!#REF!</definedName>
    <definedName name="AA00295_">'[55]TB WORLI'!#REF!</definedName>
    <definedName name="AA00298_">'[55]TB WORLI'!#REF!</definedName>
    <definedName name="AA00301_">'[55]TB WORLI'!#REF!</definedName>
    <definedName name="AA00302_">'[55]TB WORLI'!#REF!</definedName>
    <definedName name="AA00306_">'[55]TB WORLI'!#REF!</definedName>
    <definedName name="AA00307_">'[55]TB WORLI'!#REF!</definedName>
    <definedName name="AA00308_">'[55]TB WORLI'!#REF!</definedName>
    <definedName name="AA00310_">'[55]TB WORLI'!#REF!</definedName>
    <definedName name="AA00318_">'[55]TB WORLI'!#REF!</definedName>
    <definedName name="AA00321_">'[55]TB WORLI'!#REF!</definedName>
    <definedName name="AA00324_">'[55]TB WORLI'!#REF!</definedName>
    <definedName name="AA00325_">'[55]TB WORLI'!#REF!</definedName>
    <definedName name="AA00326_">'[55]TB WORLI'!#REF!</definedName>
    <definedName name="AA00327_">'[55]TB WORLI'!#REF!</definedName>
    <definedName name="AA00328_">'[55]TB WORLI'!#REF!</definedName>
    <definedName name="AA00329_">'[55]TB WORLI'!#REF!</definedName>
    <definedName name="AA00330_">'[55]TB WORLI'!#REF!</definedName>
    <definedName name="AA00332_">'[55]TB WORLI'!#REF!</definedName>
    <definedName name="AA00337_">'[55]TB WORLI'!#REF!</definedName>
    <definedName name="AA00338_">'[55]TB WORLI'!#REF!</definedName>
    <definedName name="AA00361_">'[55]TB WORLI'!#REF!</definedName>
    <definedName name="AA00362_">'[55]TB WORLI'!#REF!</definedName>
    <definedName name="AA00367_">'[55]TB WORLI'!#REF!</definedName>
    <definedName name="AA00368_">'[55]TB WORLI'!#REF!</definedName>
    <definedName name="AA00369_">'[55]TB WORLI'!#REF!</definedName>
    <definedName name="AA00370_">'[55]TB WORLI'!#REF!</definedName>
    <definedName name="AA00372_">'[55]TB WORLI'!#REF!</definedName>
    <definedName name="AA00373_">'[55]TB WORLI'!#REF!</definedName>
    <definedName name="AA00374_">'[55]TB WORLI'!#REF!</definedName>
    <definedName name="AA00375_">'[55]TB WORLI'!#REF!</definedName>
    <definedName name="AA00376_">'[55]TB WORLI'!#REF!</definedName>
    <definedName name="AA00377_">'[55]TB WORLI'!#REF!</definedName>
    <definedName name="AA00378_">'[55]TB WORLI'!#REF!</definedName>
    <definedName name="AA00379_">'[55]TB WORLI'!#REF!</definedName>
    <definedName name="AA0038_">'[55]TB WORLI'!#REF!</definedName>
    <definedName name="AA00380_">'[55]TB WORLI'!#REF!</definedName>
    <definedName name="AA00381_">'[55]TB WORLI'!#REF!</definedName>
    <definedName name="AA00382_">'[55]TB WORLI'!#REF!</definedName>
    <definedName name="AA00386_">'[55]TB WORLI'!#REF!</definedName>
    <definedName name="AA00387_">'[55]TB WORLI'!#REF!</definedName>
    <definedName name="AA00388_">'[55]TB WORLI'!#REF!</definedName>
    <definedName name="AA00389_">'[55]TB WORLI'!#REF!</definedName>
    <definedName name="AA00390_">'[55]TB WORLI'!#REF!</definedName>
    <definedName name="AA00392_">'[55]TB WORLI'!#REF!</definedName>
    <definedName name="AA00397_">'[55]TB WORLI'!#REF!</definedName>
    <definedName name="AA00400_">'[55]TB WORLI'!#REF!</definedName>
    <definedName name="AA00402_">'[55]TB WORLI'!#REF!</definedName>
    <definedName name="AA00420_">'[55]TB WORLI'!#REF!</definedName>
    <definedName name="AA00434_">'[55]TB WORLI'!#REF!</definedName>
    <definedName name="AA00435_">'[55]TB WORLI'!#REF!</definedName>
    <definedName name="AA00436_">'[55]TB WORLI'!#REF!</definedName>
    <definedName name="AA00437_">'[55]TB WORLI'!#REF!</definedName>
    <definedName name="AA00439_">'[55]TB WORLI'!#REF!</definedName>
    <definedName name="AA00440_">'[55]TB WORLI'!#REF!</definedName>
    <definedName name="AA00441_">'[55]TB WORLI'!#REF!</definedName>
    <definedName name="AA00442_">'[55]TB WORLI'!#REF!</definedName>
    <definedName name="AA00444_">'[55]TB WORLI'!#REF!</definedName>
    <definedName name="AA00445_">'[55]TB WORLI'!#REF!</definedName>
    <definedName name="AA00446_">'[55]TB WORLI'!#REF!</definedName>
    <definedName name="AA00447_">'[55]TB WORLI'!#REF!</definedName>
    <definedName name="AA00452_">'[55]TB WORLI'!#REF!</definedName>
    <definedName name="AA00454_">'[55]TB WORLI'!#REF!</definedName>
    <definedName name="AA0049_">'[55]TB WORLI'!#REF!</definedName>
    <definedName name="AA0065_">'[55]TB WORLI'!#REF!</definedName>
    <definedName name="AA0131_">'[55]TB WORLI'!#REF!</definedName>
    <definedName name="AA0142_">'[55]TB WORLI'!#REF!</definedName>
    <definedName name="AA10.DedFromUndertaking">'[46]10A'!$F$26</definedName>
    <definedName name="AAa" localSheetId="7" hidden="1">{#N/A,#N/A,FALSE,"COVER1.XLS ";#N/A,#N/A,FALSE,"RACT1.XLS";#N/A,#N/A,FALSE,"RACT2.XLS";#N/A,#N/A,FALSE,"ECCMP";#N/A,#N/A,FALSE,"WELDER.XLS"}</definedName>
    <definedName name="AAa" localSheetId="10" hidden="1">{#N/A,#N/A,FALSE,"COVER1.XLS ";#N/A,#N/A,FALSE,"RACT1.XLS";#N/A,#N/A,FALSE,"RACT2.XLS";#N/A,#N/A,FALSE,"ECCMP";#N/A,#N/A,FALSE,"WELDER.XLS"}</definedName>
    <definedName name="AAa" localSheetId="9" hidden="1">{#N/A,#N/A,FALSE,"COVER1.XLS ";#N/A,#N/A,FALSE,"RACT1.XLS";#N/A,#N/A,FALSE,"RACT2.XLS";#N/A,#N/A,FALSE,"ECCMP";#N/A,#N/A,FALSE,"WELDER.XLS"}</definedName>
    <definedName name="AAa" localSheetId="6" hidden="1">{#N/A,#N/A,FALSE,"COVER1.XLS ";#N/A,#N/A,FALSE,"RACT1.XLS";#N/A,#N/A,FALSE,"RACT2.XLS";#N/A,#N/A,FALSE,"ECCMP";#N/A,#N/A,FALSE,"WELDER.XLS"}</definedName>
    <definedName name="aaa">#REF!</definedName>
    <definedName name="AAA_DOCTOPS" hidden="1">"AAA_SET"</definedName>
    <definedName name="AAA_duser" hidden="1">"OFF"</definedName>
    <definedName name="aaaa">#REF!</definedName>
    <definedName name="aaaaa" hidden="1">#REF!</definedName>
    <definedName name="AAB_Addin5" hidden="1">"AAB_Description for addin 5,Description for addin 5,Description for addin 5,Description for addin 5,Description for addin 5,Description for addin 5"</definedName>
    <definedName name="aasaaaa">'[62]ANNX -II'!$B$80:$K$97</definedName>
    <definedName name="ab" localSheetId="7" hidden="1">{#N/A,#N/A,FALSE,"Full";#N/A,#N/A,FALSE,"Half";#N/A,#N/A,FALSE,"Op Expenses";#N/A,#N/A,FALSE,"Cap Charge";#N/A,#N/A,FALSE,"Cost C";#N/A,#N/A,FALSE,"PP&amp;E";#N/A,#N/A,FALSE,"R&amp;D"}</definedName>
    <definedName name="ab" localSheetId="10" hidden="1">{#N/A,#N/A,FALSE,"Full";#N/A,#N/A,FALSE,"Half";#N/A,#N/A,FALSE,"Op Expenses";#N/A,#N/A,FALSE,"Cap Charge";#N/A,#N/A,FALSE,"Cost C";#N/A,#N/A,FALSE,"PP&amp;E";#N/A,#N/A,FALSE,"R&amp;D"}</definedName>
    <definedName name="ab" localSheetId="9" hidden="1">{#N/A,#N/A,FALSE,"Full";#N/A,#N/A,FALSE,"Half";#N/A,#N/A,FALSE,"Op Expenses";#N/A,#N/A,FALSE,"Cap Charge";#N/A,#N/A,FALSE,"Cost C";#N/A,#N/A,FALSE,"PP&amp;E";#N/A,#N/A,FALSE,"R&amp;D"}</definedName>
    <definedName name="ab" localSheetId="6" hidden="1">{#N/A,#N/A,FALSE,"Full";#N/A,#N/A,FALSE,"Half";#N/A,#N/A,FALSE,"Op Expenses";#N/A,#N/A,FALSE,"Cap Charge";#N/A,#N/A,FALSE,"Cost C";#N/A,#N/A,FALSE,"PP&amp;E";#N/A,#N/A,FALSE,"R&amp;D"}</definedName>
    <definedName name="ab">#REF!</definedName>
    <definedName name="aba" localSheetId="7" hidden="1">{"PG1",#N/A,FALSE,"SSL-FIN";"PG2",#N/A,FALSE,"SSL-FIN";"PG3",#N/A,FALSE,"SSL-FIN";"PG4",#N/A,FALSE,"SSL-FIN";"PG5",#N/A,FALSE,"SSL-FIN";"PG6",#N/A,FALSE,"SSL-FIN";"PG7",#N/A,FALSE,"SSL-FIN"}</definedName>
    <definedName name="aba" localSheetId="10" hidden="1">{"PG1",#N/A,FALSE,"SSL-FIN";"PG2",#N/A,FALSE,"SSL-FIN";"PG3",#N/A,FALSE,"SSL-FIN";"PG4",#N/A,FALSE,"SSL-FIN";"PG5",#N/A,FALSE,"SSL-FIN";"PG6",#N/A,FALSE,"SSL-FIN";"PG7",#N/A,FALSE,"SSL-FIN"}</definedName>
    <definedName name="aba" localSheetId="1" hidden="1">{"PG1",#N/A,FALSE,"SSL-FIN";"PG2",#N/A,FALSE,"SSL-FIN";"PG3",#N/A,FALSE,"SSL-FIN";"PG4",#N/A,FALSE,"SSL-FIN";"PG5",#N/A,FALSE,"SSL-FIN";"PG6",#N/A,FALSE,"SSL-FIN";"PG7",#N/A,FALSE,"SSL-FIN"}</definedName>
    <definedName name="aba" localSheetId="0" hidden="1">{"PG1",#N/A,FALSE,"SSL-FIN";"PG2",#N/A,FALSE,"SSL-FIN";"PG3",#N/A,FALSE,"SSL-FIN";"PG4",#N/A,FALSE,"SSL-FIN";"PG5",#N/A,FALSE,"SSL-FIN";"PG6",#N/A,FALSE,"SSL-FIN";"PG7",#N/A,FALSE,"SSL-FIN"}</definedName>
    <definedName name="aba" localSheetId="6" hidden="1">{"PG1",#N/A,FALSE,"SSL-FIN";"PG2",#N/A,FALSE,"SSL-FIN";"PG3",#N/A,FALSE,"SSL-FIN";"PG4",#N/A,FALSE,"SSL-FIN";"PG5",#N/A,FALSE,"SSL-FIN";"PG6",#N/A,FALSE,"SSL-FIN";"PG7",#N/A,FALSE,"SSL-FIN"}</definedName>
    <definedName name="aba" hidden="1">{"PG1",#N/A,FALSE,"SSL-FIN";"PG2",#N/A,FALSE,"SSL-FIN";"PG3",#N/A,FALSE,"SSL-FIN";"PG4",#N/A,FALSE,"SSL-FIN";"PG5",#N/A,FALSE,"SSL-FIN";"PG6",#N/A,FALSE,"SSL-FIN";"PG7",#N/A,FALSE,"SSL-FIN"}</definedName>
    <definedName name="abba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ba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ba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b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ba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b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c" localSheetId="7">'[63]P &amp; L SCH'!#REF!</definedName>
    <definedName name="abc" localSheetId="10">'[63]P &amp; L SCH'!#REF!</definedName>
    <definedName name="abc" localSheetId="9">'[63]P &amp; L SCH'!#REF!</definedName>
    <definedName name="abc" localSheetId="6">'[63]P &amp; L SCH'!#REF!</definedName>
    <definedName name="ABC">#REF!</definedName>
    <definedName name="abc.doc" localSheetId="7" hidden="1">{"'Income Statement'!$D$96:$E$101"}</definedName>
    <definedName name="abc.doc" localSheetId="10" hidden="1">{"'Income Statement'!$D$96:$E$101"}</definedName>
    <definedName name="abc.doc" localSheetId="1" hidden="1">{"'Income Statement'!$D$96:$E$101"}</definedName>
    <definedName name="abc.doc" localSheetId="0" hidden="1">{"'Income Statement'!$D$96:$E$101"}</definedName>
    <definedName name="abc.doc" localSheetId="6" hidden="1">{"'Income Statement'!$D$96:$E$101"}</definedName>
    <definedName name="abc.doc" hidden="1">{"'Income Statement'!$D$96:$E$101"}</definedName>
    <definedName name="abcd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d" localSheetId="1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d" localSheetId="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d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d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FR">#REF!</definedName>
    <definedName name="abck">#REF!</definedName>
    <definedName name="abnl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" localSheetId="10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" localSheetId="1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" localSheetId="0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l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NORMAL" localSheetId="17">[64]Keyratios!#REF!</definedName>
    <definedName name="ABNORMAL">[65]Keyratios!#REF!</definedName>
    <definedName name="abs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s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s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s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s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x" localSheetId="17">#REF!</definedName>
    <definedName name="abx">#REF!</definedName>
    <definedName name="AC">#REF!</definedName>
    <definedName name="acc">#REF!</definedName>
    <definedName name="ACC_PF">'[66]Data Input'!$R$314:$AF$432</definedName>
    <definedName name="ACC_PROD">#REF!</definedName>
    <definedName name="Acc5BB.Up16Of12To15Of3">[46]CG_OS!$H$78</definedName>
    <definedName name="Acc5BB.Up16Of3To31Of3">[46]CG_OS!$H$79</definedName>
    <definedName name="Acc5BB.Up16Of6To15Of9">[46]CG_OS!$H$76</definedName>
    <definedName name="Acc5BB.Up16Of9To15Of12">[46]CG_OS!$H$77</definedName>
    <definedName name="Acc5BB.Upto15Of6">[46]CG_OS!$H$75</definedName>
    <definedName name="AcceptedBy">[67]ReasonCode!$T$2:$T$39</definedName>
    <definedName name="Access_Button" hidden="1">"SFAS131_9803__Export_List"</definedName>
    <definedName name="Access_Button1" hidden="1">"SFAS131_9803__Export_List"</definedName>
    <definedName name="AccessDatabase" localSheetId="7" hidden="1">"D:\Compensation\comp data 2001.xls"</definedName>
    <definedName name="AccessDatabase" localSheetId="10" hidden="1">"D:\Compensation\comp data 2001.xls"</definedName>
    <definedName name="AccessDatabase" localSheetId="9" hidden="1">"D:\Compensation\comp data 2001.xls"</definedName>
    <definedName name="AccessDatabase" localSheetId="6" hidden="1">"D:\Compensation\comp data 2001.xls"</definedName>
    <definedName name="AccessDatabase" hidden="1">"C:\ABCDE\Segments131\SFAS131(9803).mdb"</definedName>
    <definedName name="AccLTCG.Up16Of12To15Of3">[46]CG_OS!$H$64</definedName>
    <definedName name="AccLTCG.Up16Of3To31Of3">[46]CG_OS!$H$65</definedName>
    <definedName name="AccLTCG.Up16Of6To15Of9">[46]CG_OS!$H$62</definedName>
    <definedName name="AccLTCG.Up16Of9To15Of12">[46]CG_OS!$H$63</definedName>
    <definedName name="AccLTCG.Upto15Of6">[46]CG_OS!$H$61</definedName>
    <definedName name="AccLTCG.Upto15Of9">[46]CG_OS!$H$61</definedName>
    <definedName name="AccLTCGNP.Up16Of12To15Of3">[46]CG_OS!$J$64</definedName>
    <definedName name="AccLTCGNP.Up16Of3To31Of3">[46]CG_OS!$J$65</definedName>
    <definedName name="AccLTCGNP.Up16Of6To15Of9">[46]CG_OS!$J$62</definedName>
    <definedName name="AccLTCGNP.Up16Of9To15Of12">[46]CG_OS!$J$63</definedName>
    <definedName name="AccLTCGNP.Upto15Of6">[46]CG_OS!$J$61</definedName>
    <definedName name="AccLTCGNP.Upto15Of9">[46]CG_OS!$J$61</definedName>
    <definedName name="ACCOUNT">#REF!</definedName>
    <definedName name="Account_Balance" localSheetId="17">#REF!</definedName>
    <definedName name="Account_Balance" localSheetId="7">'[68]Excess Calc'!#REF!</definedName>
    <definedName name="Account_Balance" localSheetId="10">'[68]Excess Calc'!#REF!</definedName>
    <definedName name="Account_Balance" localSheetId="9">'[68]Excess Calc'!#REF!</definedName>
    <definedName name="Account_Balance" localSheetId="6">'[68]Excess Calc'!#REF!</definedName>
    <definedName name="Account_Balance">#REF!</definedName>
    <definedName name="ACCOUNTEDPERIODTYPE1">[69]CRITERIA1!$B$5</definedName>
    <definedName name="Accrual_Info___Current">#REF!</definedName>
    <definedName name="Accrual_Info___Month_End">#REF!</definedName>
    <definedName name="accruedc">'[45]NOTES '!#REF!</definedName>
    <definedName name="accruedp">'[45]NOTES '!#REF!</definedName>
    <definedName name="AccSTCG.Up16Of12To15Of3">[46]CG_OS!$H$71</definedName>
    <definedName name="AccSTCG.Up16Of3To31Of3">[46]CG_OS!$H$72</definedName>
    <definedName name="AccSTCG.Up16Of6To15Of9">[46]CG_OS!$H$69</definedName>
    <definedName name="AccSTCG.Up16Of9To15Of12">[46]CG_OS!$H$70</definedName>
    <definedName name="AccSTCG.Upto15Of6">[46]CG_OS!$H$68</definedName>
    <definedName name="AccSTCG.Upto15Of9">[46]CG_OS!$H$68</definedName>
    <definedName name="AccSTCGOTH.Up16Of12To15Of3">[46]CG_OS!$J$71</definedName>
    <definedName name="AccSTCGOTH.Up16Of3To31Of3">[46]CG_OS!$J$72</definedName>
    <definedName name="AccSTCGOTH.Up16Of6To15Of9">[46]CG_OS!$J$69</definedName>
    <definedName name="AccSTCGOTH.Up16Of9To15Of12">[46]CG_OS!$J$70</definedName>
    <definedName name="AccSTCGOTH.Upto15Of6">[46]CG_OS!$J$68</definedName>
    <definedName name="AccSTCGOTH.Upto15Of9">[46]CG_OS!$J$68</definedName>
    <definedName name="achscs">#REF!</definedName>
    <definedName name="ACK">#REF!</definedName>
    <definedName name="ACL">#REF!</definedName>
    <definedName name="ACN">0.000601851854298729</definedName>
    <definedName name="Acq">#REF!</definedName>
    <definedName name="AcqData">'[70]A-General'!#REF!</definedName>
    <definedName name="AcqData2">'[70]A-General'!#REF!</definedName>
    <definedName name="Act_DSCR">[71]Input!#REF!</definedName>
    <definedName name="ActiveBldgIDNumbers">#REF!</definedName>
    <definedName name="Actual">#REF!</definedName>
    <definedName name="Actual_vs.">#REF!</definedName>
    <definedName name="ADD">#REF!</definedName>
    <definedName name="additions_companies_act">#REF!</definedName>
    <definedName name="ADDRESS">#REF!</definedName>
    <definedName name="adf" localSheetId="7" hidden="1">{#N/A,#N/A,FALSE,"COVER1.XLS ";#N/A,#N/A,FALSE,"RACT1.XLS";#N/A,#N/A,FALSE,"RACT2.XLS";#N/A,#N/A,FALSE,"ECCMP";#N/A,#N/A,FALSE,"WELDER.XLS"}</definedName>
    <definedName name="adf" localSheetId="10" hidden="1">{#N/A,#N/A,FALSE,"COVER1.XLS ";#N/A,#N/A,FALSE,"RACT1.XLS";#N/A,#N/A,FALSE,"RACT2.XLS";#N/A,#N/A,FALSE,"ECCMP";#N/A,#N/A,FALSE,"WELDER.XLS"}</definedName>
    <definedName name="adf" localSheetId="1" hidden="1">{#N/A,#N/A,FALSE,"COVER1.XLS ";#N/A,#N/A,FALSE,"RACT1.XLS";#N/A,#N/A,FALSE,"RACT2.XLS";#N/A,#N/A,FALSE,"ECCMP";#N/A,#N/A,FALSE,"WELDER.XLS"}</definedName>
    <definedName name="adf" localSheetId="0" hidden="1">{#N/A,#N/A,FALSE,"COVER1.XLS ";#N/A,#N/A,FALSE,"RACT1.XLS";#N/A,#N/A,FALSE,"RACT2.XLS";#N/A,#N/A,FALSE,"ECCMP";#N/A,#N/A,FALSE,"WELDER.XLS"}</definedName>
    <definedName name="adf" localSheetId="6" hidden="1">{#N/A,#N/A,FALSE,"COVER1.XLS ";#N/A,#N/A,FALSE,"RACT1.XLS";#N/A,#N/A,FALSE,"RACT2.XLS";#N/A,#N/A,FALSE,"ECCMP";#N/A,#N/A,FALSE,"WELDER.XLS"}</definedName>
    <definedName name="adf" hidden="1">{#N/A,#N/A,FALSE,"COVER1.XLS ";#N/A,#N/A,FALSE,"RACT1.XLS";#N/A,#N/A,FALSE,"RACT2.XLS";#N/A,#N/A,FALSE,"ECCMP";#N/A,#N/A,FALSE,"WELDER.XLS"}</definedName>
    <definedName name="adfrs" localSheetId="7" hidden="1">{#N/A,#N/A,FALSE,"COVER.XLS";#N/A,#N/A,FALSE,"RACT1.XLS";#N/A,#N/A,FALSE,"RACT2.XLS";#N/A,#N/A,FALSE,"ECCMP";#N/A,#N/A,FALSE,"WELDER.XLS"}</definedName>
    <definedName name="adfrs" localSheetId="10" hidden="1">{#N/A,#N/A,FALSE,"COVER.XLS";#N/A,#N/A,FALSE,"RACT1.XLS";#N/A,#N/A,FALSE,"RACT2.XLS";#N/A,#N/A,FALSE,"ECCMP";#N/A,#N/A,FALSE,"WELDER.XLS"}</definedName>
    <definedName name="adfrs" localSheetId="1" hidden="1">{#N/A,#N/A,FALSE,"COVER.XLS";#N/A,#N/A,FALSE,"RACT1.XLS";#N/A,#N/A,FALSE,"RACT2.XLS";#N/A,#N/A,FALSE,"ECCMP";#N/A,#N/A,FALSE,"WELDER.XLS"}</definedName>
    <definedName name="adfrs" localSheetId="0" hidden="1">{#N/A,#N/A,FALSE,"COVER.XLS";#N/A,#N/A,FALSE,"RACT1.XLS";#N/A,#N/A,FALSE,"RACT2.XLS";#N/A,#N/A,FALSE,"ECCMP";#N/A,#N/A,FALSE,"WELDER.XLS"}</definedName>
    <definedName name="adfrs" localSheetId="6" hidden="1">{#N/A,#N/A,FALSE,"COVER.XLS";#N/A,#N/A,FALSE,"RACT1.XLS";#N/A,#N/A,FALSE,"RACT2.XLS";#N/A,#N/A,FALSE,"ECCMP";#N/A,#N/A,FALSE,"WELDER.XLS"}</definedName>
    <definedName name="adfrs" hidden="1">{#N/A,#N/A,FALSE,"COVER.XLS";#N/A,#N/A,FALSE,"RACT1.XLS";#N/A,#N/A,FALSE,"RACT2.XLS";#N/A,#N/A,FALSE,"ECCMP";#N/A,#N/A,FALSE,"WELDER.XLS"}</definedName>
    <definedName name="Adj_EBITA_P2">'[72]2. Forecast Drivers'!$T$297:$AD$297</definedName>
    <definedName name="adjhw">#REF!</definedName>
    <definedName name="adjsw">#REF!</definedName>
    <definedName name="adjtotloss.STCGLossCF9">[46]CFL!$I$12</definedName>
    <definedName name="ADL.63">[73]Addl.40!$A$38:$I$284</definedName>
    <definedName name="Administration_Cost">#REF!</definedName>
    <definedName name="ADR_SWITCH">#REF!</definedName>
    <definedName name="ADSCR" localSheetId="17">'[74]DEBT SCHEDULE'!#REF!</definedName>
    <definedName name="ADSCR">'[74]DEBT SCHEDULE'!#REF!</definedName>
    <definedName name="adsds">#REF!</definedName>
    <definedName name="adv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ancetax">#REF!</definedName>
    <definedName name="advr">#REF!</definedName>
    <definedName name="ADVS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DVS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DVS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DVS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DVS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DV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dvtgcost" localSheetId="17">#REF!</definedName>
    <definedName name="advtgcost">#REF!</definedName>
    <definedName name="AE00250_">'[55]TB WORLI'!#REF!</definedName>
    <definedName name="AE00251_">'[55]TB WORLI'!#REF!</definedName>
    <definedName name="AE00281_">'[55]TB WORLI'!#REF!</definedName>
    <definedName name="AE00289_">'[55]TB WORLI'!#REF!</definedName>
    <definedName name="AE0159_">'[55]TB WORLI'!#REF!</definedName>
    <definedName name="AE0160_">'[55]TB WORLI'!#REF!</definedName>
    <definedName name="AE0211_">'[55]TB WORLI'!#REF!</definedName>
    <definedName name="AE0219_">'[55]TB WORLI'!#REF!</definedName>
    <definedName name="AE0225_">'[55]TB WORLI'!#REF!</definedName>
    <definedName name="AE0232_">'[55]TB WORLI'!#REF!</definedName>
    <definedName name="AE0243_">'[55]TB WORLI'!#REF!</definedName>
    <definedName name="AF">[75]Assumptions!$C$22</definedName>
    <definedName name="AF_2">[75]Assumptions!$C$23</definedName>
    <definedName name="afasfasf">#REF!</definedName>
    <definedName name="afc" localSheetId="17">'[76]Cost Breakup Depreciation&amp; Tax'!$C$14</definedName>
    <definedName name="afc">'[77]Cost Breakup Depreciation&amp; Tax'!$C$14</definedName>
    <definedName name="AFFIL">'[78]YE-SW2'!$IM$8159</definedName>
    <definedName name="Agency" localSheetId="17">[79]Pool!$D$3:$D$2456</definedName>
    <definedName name="Agency">[80]Pool!$D$3:$D$2456</definedName>
    <definedName name="AggregateInc">[46]Calculator!$M$3</definedName>
    <definedName name="Aging" localSheetId="17" hidden="1">{#N/A,#N/A,FALSE,"Aging Summary";#N/A,#N/A,FALSE,"Ratio Analysis";#N/A,#N/A,FALSE,"Test 120 Day Accts";#N/A,#N/A,FALSE,"Tickmarks"}</definedName>
    <definedName name="Aging" localSheetId="1" hidden="1">{#N/A,#N/A,FALSE,"Aging Summary";#N/A,#N/A,FALSE,"Ratio Analysis";#N/A,#N/A,FALSE,"Test 120 Day Accts";#N/A,#N/A,FALSE,"Tickmarks"}</definedName>
    <definedName name="Aging" localSheetId="0" hidden="1">{#N/A,#N/A,FALSE,"Aging Summary";#N/A,#N/A,FALSE,"Ratio Analysis";#N/A,#N/A,FALSE,"Test 120 Day Accts";#N/A,#N/A,FALSE,"Tickmarks"}</definedName>
    <definedName name="Aging" hidden="1">{#N/A,#N/A,FALSE,"Aging Summary";#N/A,#N/A,FALSE,"Ratio Analysis";#N/A,#N/A,FALSE,"Test 120 Day Accts";#N/A,#N/A,FALSE,"Tickmarks"}</definedName>
    <definedName name="aging_Analysis" localSheetId="17" hidden="1">{#N/A,#N/A,FALSE,"Aging Summary";#N/A,#N/A,FALSE,"Ratio Analysis";#N/A,#N/A,FALSE,"Test 120 Day Accts";#N/A,#N/A,FALSE,"Tickmarks"}</definedName>
    <definedName name="aging_Analysis" localSheetId="1" hidden="1">{#N/A,#N/A,FALSE,"Aging Summary";#N/A,#N/A,FALSE,"Ratio Analysis";#N/A,#N/A,FALSE,"Test 120 Day Accts";#N/A,#N/A,FALSE,"Tickmarks"}</definedName>
    <definedName name="aging_Analysis" localSheetId="0" hidden="1">{#N/A,#N/A,FALSE,"Aging Summary";#N/A,#N/A,FALSE,"Ratio Analysis";#N/A,#N/A,FALSE,"Test 120 Day Accts";#N/A,#N/A,FALSE,"Tickmarks"}</definedName>
    <definedName name="aging_Analysis" hidden="1">{#N/A,#N/A,FALSE,"Aging Summary";#N/A,#N/A,FALSE,"Ratio Analysis";#N/A,#N/A,FALSE,"Test 120 Day Accts";#N/A,#N/A,FALSE,"Tickmarks"}</definedName>
    <definedName name="Aging_percent">'[81]Statistics {pbc}'!$A$13:$G$13,'[81]Statistics {pbc}'!$A$22:$G$26</definedName>
    <definedName name="agpl_data_tb" localSheetId="17">#REF!</definedName>
    <definedName name="agpl_data_tb">#REF!</definedName>
    <definedName name="AGPL_TB">#REF!</definedName>
    <definedName name="ahjsdhjkdh">#REF!</definedName>
    <definedName name="AI00296_">'[55]TB WORLI'!#REF!</definedName>
    <definedName name="AI00298_">'[55]TB WORLI'!#REF!</definedName>
    <definedName name="AI00319_">'[55]TB WORLI'!#REF!</definedName>
    <definedName name="AI00320_">'[55]TB WORLI'!#REF!</definedName>
    <definedName name="AI00321_">'[55]TB WORLI'!#REF!</definedName>
    <definedName name="AI0256_">'[55]TB WORLI'!#REF!</definedName>
    <definedName name="AI0286_">'[55]TB WORLI'!#REF!</definedName>
    <definedName name="AKA" localSheetId="7" hidden="1">{"'August 2000'!$A$1:$J$101"}</definedName>
    <definedName name="AKA" localSheetId="10" hidden="1">{"'August 2000'!$A$1:$J$101"}</definedName>
    <definedName name="AKA" localSheetId="1" hidden="1">{"'August 2000'!$A$1:$J$101"}</definedName>
    <definedName name="AKA" localSheetId="0" hidden="1">{"'August 2000'!$A$1:$J$101"}</definedName>
    <definedName name="AKA" localSheetId="6" hidden="1">{"'August 2000'!$A$1:$J$101"}</definedName>
    <definedName name="AKA" hidden="1">{"'August 2000'!$A$1:$J$101"}</definedName>
    <definedName name="al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00382_">'[55]TB WORLI'!#REF!</definedName>
    <definedName name="AL00623_">'[55]TB WORLI'!#REF!</definedName>
    <definedName name="AL00655_">'[55]TB WORLI'!#REF!</definedName>
    <definedName name="AL00664_">'[55]TB WORLI'!#REF!</definedName>
    <definedName name="AL0333_">'[55]TB WORLI'!#REF!</definedName>
    <definedName name="AL0342_">'[55]TB WORLI'!#REF!</definedName>
    <definedName name="AL0355_">'[55]TB WORLI'!#REF!</definedName>
    <definedName name="Alcohols__Volume__Units">'[82]EVA Calculations'!#REF!</definedName>
    <definedName name="allincomes">[46]Calculator!$Q$3</definedName>
    <definedName name="Allowance_to_Receivables">'[81]Statistics {pbc}'!$A$2:$G$2,'[81]Statistics {pbc}'!$A$9:$G$9</definedName>
    <definedName name="Allowance_to_Sales">'[81]Statistics {pbc}'!$A$2:$G$2,'[81]Statistics {pbc}'!$A$10:$G$10</definedName>
    <definedName name="AllTables" localSheetId="17">{1}</definedName>
    <definedName name="AllTables" localSheetId="7">{17}</definedName>
    <definedName name="AllTables" localSheetId="10">{17}</definedName>
    <definedName name="AllTables" localSheetId="1">{1}</definedName>
    <definedName name="AllTables" localSheetId="0">{1}</definedName>
    <definedName name="AllTables" localSheetId="9">{17}</definedName>
    <definedName name="AllTables" localSheetId="6">{17}</definedName>
    <definedName name="AllTables">{1}</definedName>
    <definedName name="Alltables2" localSheetId="7">{2}</definedName>
    <definedName name="Alltables2" localSheetId="10">{2}</definedName>
    <definedName name="Alltables2" localSheetId="1">{2}</definedName>
    <definedName name="Alltables2" localSheetId="0">{2}</definedName>
    <definedName name="Alltables2" localSheetId="6">{2}</definedName>
    <definedName name="Alltables2">{2}</definedName>
    <definedName name="AllTables3" localSheetId="7">{17}</definedName>
    <definedName name="AllTables3" localSheetId="10">{17}</definedName>
    <definedName name="AllTables3" localSheetId="1">{17}</definedName>
    <definedName name="AllTables3" localSheetId="0">{17}</definedName>
    <definedName name="AllTables3" localSheetId="6">{17}</definedName>
    <definedName name="AllTables3">{17}</definedName>
    <definedName name="ALPHA_P_M" localSheetId="17">[83]関係会社貸付金データ!$D$7</definedName>
    <definedName name="ALPHA_P_M">[84]関係会社貸付金データ!$D$7</definedName>
    <definedName name="ALPHA_P_Q" localSheetId="17">[83]関係会社貸付金データ!$D$20</definedName>
    <definedName name="ALPHA_P_Q">[84]関係会社貸付金データ!$D$20</definedName>
    <definedName name="ALPHA_P2_M" localSheetId="17">'[85]末残計画(四半期ベース)'!$F$145</definedName>
    <definedName name="ALPHA_P2_M">'[86]末残計画(四半期ベース)'!$F$145</definedName>
    <definedName name="ALPHA_P2_Q" localSheetId="17">'[85]末残計画(四半期ベース)'!$G$145</definedName>
    <definedName name="ALPHA_P2_Q">'[86]末残計画(四半期ベース)'!$G$145</definedName>
    <definedName name="ALPHA_PX_M" localSheetId="17">[87]関係会社貸付金データ!$D$7</definedName>
    <definedName name="ALPHA_PX_M">[88]関係会社貸付金データ!$D$7</definedName>
    <definedName name="ALPHA_PX_Q" localSheetId="17">[87]関係会社貸付金データ!$D$32</definedName>
    <definedName name="ALPHA_PX_Q">[88]関係会社貸付金データ!$D$32</definedName>
    <definedName name="ALPHA_PX2_M" localSheetId="17">'[85]末残計画(四半期ベース)'!$F$141</definedName>
    <definedName name="ALPHA_PX2_M">'[86]末残計画(四半期ベース)'!$F$141</definedName>
    <definedName name="ALPHA_PX2_Q" localSheetId="17">'[85]末残計画(四半期ベース)'!$G$141</definedName>
    <definedName name="ALPHA_PX2_Q">'[86]末残計画(四半期ベース)'!$G$141</definedName>
    <definedName name="ALPHA_PY_M" localSheetId="17">[87]関係会社貸付金データ!$D$9</definedName>
    <definedName name="ALPHA_PY_M">[88]関係会社貸付金データ!$D$9</definedName>
    <definedName name="ALPHA_PY_Q" localSheetId="17">[87]関係会社貸付金データ!$D$34</definedName>
    <definedName name="ALPHA_PY_Q">[88]関係会社貸付金データ!$D$34</definedName>
    <definedName name="ALPHA_PY2_M" localSheetId="17">'[85]末残計画(四半期ベース)'!$F$143</definedName>
    <definedName name="ALPHA_PY2_M">'[86]末残計画(四半期ベース)'!$F$143</definedName>
    <definedName name="ALPHA_PY2_Q" localSheetId="17">'[85]末残計画(四半期ベース)'!$G$143</definedName>
    <definedName name="ALPHA_PY2_Q">'[86]末残計画(四半期ベース)'!$G$143</definedName>
    <definedName name="ALPHA_R_M" localSheetId="17">[83]関係会社貸付金データ!$D$8</definedName>
    <definedName name="ALPHA_R_M">[84]関係会社貸付金データ!$D$8</definedName>
    <definedName name="ALPHA_R_Q" localSheetId="17">[83]関係会社貸付金データ!$D$21</definedName>
    <definedName name="ALPHA_R_Q">[84]関係会社貸付金データ!$D$21</definedName>
    <definedName name="ALPHA_R2_M" localSheetId="17">'[85]末残計画(四半期ベース)'!$F$146</definedName>
    <definedName name="ALPHA_R2_M">'[86]末残計画(四半期ベース)'!$F$146</definedName>
    <definedName name="ALPHA_R2_Q" localSheetId="17">'[85]末残計画(四半期ベース)'!$G$146</definedName>
    <definedName name="ALPHA_R2_Q">'[86]末残計画(四半期ベース)'!$G$146</definedName>
    <definedName name="ALPHA_RX_M" localSheetId="17">[87]関係会社貸付金データ!$D$8</definedName>
    <definedName name="ALPHA_RX_M">[88]関係会社貸付金データ!$D$8</definedName>
    <definedName name="ALPHA_RX_Q" localSheetId="17">[87]関係会社貸付金データ!$D$33</definedName>
    <definedName name="ALPHA_RX_Q">[88]関係会社貸付金データ!$D$33</definedName>
    <definedName name="ALPHA_RX2_M" localSheetId="17">'[85]末残計画(四半期ベース)'!$F$142</definedName>
    <definedName name="ALPHA_RX2_M">'[86]末残計画(四半期ベース)'!$F$142</definedName>
    <definedName name="ALPHA_RX2_Q" localSheetId="17">'[85]末残計画(四半期ベース)'!$G$142</definedName>
    <definedName name="ALPHA_RX2_Q">'[86]末残計画(四半期ベース)'!$G$142</definedName>
    <definedName name="ALPHA_RY_M" localSheetId="17">[87]関係会社貸付金データ!$D$10</definedName>
    <definedName name="ALPHA_RY_M">[88]関係会社貸付金データ!$D$10</definedName>
    <definedName name="ALPHA_RY_Q" localSheetId="17">[87]関係会社貸付金データ!$D$35</definedName>
    <definedName name="ALPHA_RY_Q">[88]関係会社貸付金データ!$D$35</definedName>
    <definedName name="ALPHA_RY2_M" localSheetId="17">'[85]末残計画(四半期ベース)'!$F$144</definedName>
    <definedName name="ALPHA_RY2_M">'[86]末残計画(四半期ベース)'!$F$144</definedName>
    <definedName name="ALPHA_RY2_Q" localSheetId="17">'[85]末残計画(四半期ベース)'!$G$144</definedName>
    <definedName name="ALPHA_RY2_Q">'[86]末残計画(四半期ベース)'!$G$144</definedName>
    <definedName name="alpuussss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puussss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puussss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puussss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puussss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puussss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MC">#REF!</definedName>
    <definedName name="amit" localSheetId="17">[89]MISBS!#REF!</definedName>
    <definedName name="amit" localSheetId="7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amit" localSheetId="10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amit" localSheetId="9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amit" localSheetId="6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amit">[90]MISBS!#REF!</definedName>
    <definedName name="amitt" localSheetId="17">'[89]BOD PL NEW'!$D$11</definedName>
    <definedName name="amitt">'[90]BOD PL NEW'!$D$11</definedName>
    <definedName name="Amortisationperiod" localSheetId="17">#REF!</definedName>
    <definedName name="Amortisationperiod">#REF!</definedName>
    <definedName name="Amountunit">#REF!</definedName>
    <definedName name="Amtfin" localSheetId="17">'[91]Pool details'!$I$3:$I$4876</definedName>
    <definedName name="Amtfin">'[92]Pool details'!$I$3:$I$4876</definedName>
    <definedName name="anal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ysis15" localSheetId="17">#REF!</definedName>
    <definedName name="analysis15">#REF!</definedName>
    <definedName name="Analyst">[93]Introduction!#REF!</definedName>
    <definedName name="ANANT">#REF!</definedName>
    <definedName name="Andover">'[58]A Sum'!$B$10</definedName>
    <definedName name="anil">'[63]P &amp; L SCH'!#REF!</definedName>
    <definedName name="ANJU_SHENOY">#REF!</definedName>
    <definedName name="annC">#REF!</definedName>
    <definedName name="annexA" localSheetId="17">'[94]Workings-JVSL'!#REF!</definedName>
    <definedName name="ANNEXA" localSheetId="7">#REF!</definedName>
    <definedName name="ANNEXA" localSheetId="10">#REF!</definedName>
    <definedName name="ANNEXA" localSheetId="9">#REF!</definedName>
    <definedName name="ANNEXA" localSheetId="6">#REF!</definedName>
    <definedName name="annexA">'[95]Workings-JVSL'!#REF!</definedName>
    <definedName name="annexB" localSheetId="17">#REF!</definedName>
    <definedName name="annexB">#REF!</definedName>
    <definedName name="annexC" localSheetId="17">'[94]Workings-JVSL'!#REF!</definedName>
    <definedName name="annexC">'[95]Workings-JVSL'!#REF!</definedName>
    <definedName name="Annexure">#REF!</definedName>
    <definedName name="annexure_1">#REF!</definedName>
    <definedName name="ANNEXURE1">#REF!</definedName>
    <definedName name="Annexure2">[96]Directors!#REF!</definedName>
    <definedName name="annexurea" localSheetId="17">#REF!</definedName>
    <definedName name="annexurea">#REF!</definedName>
    <definedName name="annexureb">#REF!</definedName>
    <definedName name="annexureC">#REF!</definedName>
    <definedName name="Annual_interest_rate">'[97]FITZ MORT 94'!$C$7</definedName>
    <definedName name="annxA" localSheetId="17">[98]DHS!#REF!</definedName>
    <definedName name="annxA">[99]DHS!#REF!</definedName>
    <definedName name="annxB" localSheetId="17">[98]DHS!#REF!</definedName>
    <definedName name="annxB">[99]DHS!#REF!</definedName>
    <definedName name="annxC" localSheetId="17">[98]DHS!#REF!</definedName>
    <definedName name="annxC">[99]DHS!#REF!</definedName>
    <definedName name="annxE" localSheetId="17">#REF!</definedName>
    <definedName name="annxE">#REF!</definedName>
    <definedName name="anscount" hidden="1">1</definedName>
    <definedName name="ant_duty">#REF!</definedName>
    <definedName name="AOS___Volume__Units">'[82]EVA Calculations'!#REF!</definedName>
    <definedName name="AOS__Price__Rs___Unit">'[82]EVA Calculations'!#REF!</definedName>
    <definedName name="app_tax_chk" localSheetId="17">[100]Financials!$A$198</definedName>
    <definedName name="app_tax_chk">[101]Financials!$A$199</definedName>
    <definedName name="appendix4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SUSERNAME1">[69]CRITERIA1!$B$14</definedName>
    <definedName name="APRIL">'[102]SALT{PBC}'!#REF!</definedName>
    <definedName name="AprtoDec">#REF!</definedName>
    <definedName name="APSUMMARY" localSheetId="17">#REF!</definedName>
    <definedName name="APSUMMARY">#REF!</definedName>
    <definedName name="ar" hidden="1">#REF!</definedName>
    <definedName name="ARA_Threshold" localSheetId="7">#REF!</definedName>
    <definedName name="ARA_Threshold" localSheetId="10">#REF!</definedName>
    <definedName name="ARA_Threshold" localSheetId="9">#REF!</definedName>
    <definedName name="ARA_Threshold" localSheetId="6">#REF!</definedName>
    <definedName name="ARA_Threshold">#REF!</definedName>
    <definedName name="AravaliHold">'[103]Core Assumptions'!$C$357</definedName>
    <definedName name="AravaliOGI">'[103]Core Assumptions'!$G$357</definedName>
    <definedName name="Area">'[104]Ver 1'!#REF!</definedName>
    <definedName name="AREA1">#REF!</definedName>
    <definedName name="areais">#REF!</definedName>
    <definedName name="areamcn">#REF!</definedName>
    <definedName name="AreaNRA">'[105]A-Property'!#REF!</definedName>
    <definedName name="areaotherpoi">#REF!</definedName>
    <definedName name="Argentina">[106]List_ratios!#REF!</definedName>
    <definedName name="ARP_Threshold" localSheetId="7">#REF!</definedName>
    <definedName name="ARP_Threshold" localSheetId="10">#REF!</definedName>
    <definedName name="ARP_Threshold" localSheetId="9">#REF!</definedName>
    <definedName name="ARP_Threshold" localSheetId="6">#REF!</definedName>
    <definedName name="ARP_Threshold">#REF!</definedName>
    <definedName name="arrun">'[107]combnd 08 09'!#REF!</definedName>
    <definedName name="as" localSheetId="17">CMA!as</definedName>
    <definedName name="as" localSheetId="7" hidden="1">{#N/A,#N/A,FALSE,"COVER.XLS";#N/A,#N/A,FALSE,"RACT1.XLS";#N/A,#N/A,FALSE,"RACT2.XLS";#N/A,#N/A,FALSE,"ECCMP";#N/A,#N/A,FALSE,"WELDER.XLS"}</definedName>
    <definedName name="as" localSheetId="10" hidden="1">{#N/A,#N/A,FALSE,"COVER.XLS";#N/A,#N/A,FALSE,"RACT1.XLS";#N/A,#N/A,FALSE,"RACT2.XLS";#N/A,#N/A,FALSE,"ECCMP";#N/A,#N/A,FALSE,"WELDER.XLS"}</definedName>
    <definedName name="as" localSheetId="1">Historical!as</definedName>
    <definedName name="as" localSheetId="0">Projected!as</definedName>
    <definedName name="as" localSheetId="9" hidden="1">{#N/A,#N/A,FALSE,"COVER.XLS";#N/A,#N/A,FALSE,"RACT1.XLS";#N/A,#N/A,FALSE,"RACT2.XLS";#N/A,#N/A,FALSE,"ECCMP";#N/A,#N/A,FALSE,"WELDER.XLS"}</definedName>
    <definedName name="as" localSheetId="6" hidden="1">{#N/A,#N/A,FALSE,"COVER.XLS";#N/A,#N/A,FALSE,"RACT1.XLS";#N/A,#N/A,FALSE,"RACT2.XLS";#N/A,#N/A,FALSE,"ECCMP";#N/A,#N/A,FALSE,"WELDER.XLS"}</definedName>
    <definedName name="as">as</definedName>
    <definedName name="AS2DocOpenMode" hidden="1">"AS2DocumentEdit"</definedName>
    <definedName name="AS2HasNoAutoHeaderFooter" hidden="1">" "</definedName>
    <definedName name="AS2NamedRange" localSheetId="7" hidden="1">2</definedName>
    <definedName name="AS2NamedRange" localSheetId="10" hidden="1">2</definedName>
    <definedName name="AS2NamedRange" localSheetId="9" hidden="1">2</definedName>
    <definedName name="AS2NamedRange" localSheetId="6" hidden="1">2</definedName>
    <definedName name="AS2NamedRange" hidden="1">5</definedName>
    <definedName name="AS2ReportLS" hidden="1">1</definedName>
    <definedName name="AS2StaticLS" localSheetId="17" hidden="1">#REF!</definedName>
    <definedName name="AS2StaticLS" localSheetId="7" hidden="1">#REF!</definedName>
    <definedName name="AS2StaticLS" localSheetId="10" hidden="1">#REF!</definedName>
    <definedName name="AS2StaticLS" localSheetId="9" hidden="1">#REF!</definedName>
    <definedName name="AS2StaticLS" localSheetId="6" hidden="1">#REF!</definedName>
    <definedName name="AS2StaticLS" hidden="1">#REF!</definedName>
    <definedName name="AS2SyncStepLS" hidden="1">0</definedName>
    <definedName name="AS2TickmarkLS" localSheetId="7" hidden="1">#REF!</definedName>
    <definedName name="AS2TickmarkLS" localSheetId="10" hidden="1">#REF!</definedName>
    <definedName name="AS2TickmarkLS" localSheetId="9" hidden="1">#REF!</definedName>
    <definedName name="AS2TickmarkLS" localSheetId="6" hidden="1">#REF!</definedName>
    <definedName name="AS2TickmarkLS" hidden="1">#REF!</definedName>
    <definedName name="AS2VersionLS" hidden="1">300</definedName>
    <definedName name="asa" hidden="1">#REF!</definedName>
    <definedName name="asaaa">#REF!</definedName>
    <definedName name="asad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d" localSheetId="1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d" localSheetId="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d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d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s" hidden="1">#REF!</definedName>
    <definedName name="ASD">#REF!</definedName>
    <definedName name="ash">'[108]ALL-IBANK-BRS'!$A$1:$B$453</definedName>
    <definedName name="ashv">'[109]ALL-IBANK-BRS'!$A$1:$B$453</definedName>
    <definedName name="ashva">'[108]ALL-IBANK-BRS'!$A$1:$B$453</definedName>
    <definedName name="ashvan">'[110]ALL-IBANK-BRS'!$A$1:$B$453</definedName>
    <definedName name="ashvany">'[111]ALL-IBANK-BRS'!$A$1:$B$453</definedName>
    <definedName name="ASIA_PLASTIC_in_KUSD">#REF!</definedName>
    <definedName name="ASIA為替" localSheetId="17">[112]AFFI内訳!#REF!</definedName>
    <definedName name="ASIA為替">[113]AFFI内訳!#REF!</definedName>
    <definedName name="ass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et_Size">#REF!</definedName>
    <definedName name="Asset_type" localSheetId="17">'[91]Pool details'!$AH$3:$AH$4876</definedName>
    <definedName name="Asset_type">'[92]Pool details'!$AH$3:$AH$4876</definedName>
    <definedName name="AssetType">[32]Sheet1!$C$1:$C$5</definedName>
    <definedName name="AsstYr">[114]Masters!$C$34</definedName>
    <definedName name="assum_add_tax_dep_rate">[115]Assum!$F$799</definedName>
    <definedName name="assum_adntl_cost_tinted_power">[116]Assumption!#REF!</definedName>
    <definedName name="assum_adntl_cost_tinted_RM">[116]Assumption!#REF!</definedName>
    <definedName name="assum_cash_balance">[115]Assum!#REF!</definedName>
    <definedName name="assum_const_end">[117]Assum!$E$7</definedName>
    <definedName name="assum_const_start">[117]Assum!$E$5</definedName>
    <definedName name="assum_debt_funding">[115]Sens!$F$48</definedName>
    <definedName name="assum_dep_max_book">[115]Assum!$F$784</definedName>
    <definedName name="assum_FG_inventory_days">[115]Assum!$C$820:$O$820</definedName>
    <definedName name="assum_HNGFL_add_dep">[116]Assumption!#REF!</definedName>
    <definedName name="assum_HNGFL_AR_days">[116]Assumption!#REF!</definedName>
    <definedName name="assum_HNGFL_excise">[116]Assumption!#REF!</definedName>
    <definedName name="assum_HNGFL_P_M_proc">[116]Assumption!#REF!</definedName>
    <definedName name="assum_HNGFL_power_fuel_days">[116]Assumption!#REF!</definedName>
    <definedName name="assum_HNGFL_repairs">[116]Assumption!#REF!</definedName>
    <definedName name="assum_HNGFL_RM_creditor_days">[116]Assumption!#REF!</definedName>
    <definedName name="assum_HNGFL_RM_days">[116]Assumption!#REF!</definedName>
    <definedName name="assum_HNGFL_stores">[116]Assumption!#REF!</definedName>
    <definedName name="assum_HNGFL_stores_spares_creditor_days">[116]Assumption!#REF!</definedName>
    <definedName name="assum_HNGFL_stores_spares_days">[116]Assumption!#REF!</definedName>
    <definedName name="assum_HNGFL_WIP_days">[116]Assumption!#REF!</definedName>
    <definedName name="assum_LIBOR">[116]Assumption!#REF!</definedName>
    <definedName name="assum_loans_advances_days">[115]Assum!#REF!</definedName>
    <definedName name="assum_max_dep">[116]Assumption!#REF!</definedName>
    <definedName name="assum_model_intervals">[117]Assum!$E$310</definedName>
    <definedName name="assum_model_start">[117]Assum!$E$309</definedName>
    <definedName name="assum_MPBF">[115]Sens!$C$55:$O$55</definedName>
    <definedName name="assum_ops_end">[117]Assum!$E$10</definedName>
    <definedName name="assum_ops_start">[117]Assum!$E$8</definedName>
    <definedName name="assum_packing_inventory_days">[115]Assum!$C$817:$O$817</definedName>
    <definedName name="assum_proposed_TL_period">[115]Sens!$F$51</definedName>
    <definedName name="assum_proposed_TL_rate">[115]Sens!$F$52</definedName>
    <definedName name="assum_repay_end">[117]Assum!#REF!</definedName>
    <definedName name="assum_RM_inventory_days">[115]Assum!$C$816:$O$816</definedName>
    <definedName name="assum_stores_inventory_days">[115]Assum!$C$818:$O$818</definedName>
    <definedName name="assum_sundry_creditor_days">[115]Assum!$C$825:$O$825</definedName>
    <definedName name="assum_sundry_debtor_days">[115]Assum!$C$822:$O$822</definedName>
    <definedName name="assum_tax_rate_Corp">[117]Assum!$E$268</definedName>
    <definedName name="assum_tax_rate_MAT">[117]Assum!$E$274</definedName>
    <definedName name="assum_WIP_inventory_days">[115]Assum!$C$819:$O$819</definedName>
    <definedName name="assump" localSheetId="17">#REF!</definedName>
    <definedName name="assump">#REF!</definedName>
    <definedName name="ASSUMPTION">#REF!</definedName>
    <definedName name="assumptions_print">#REF!</definedName>
    <definedName name="AST" localSheetId="7" hidden="1">{#N/A,#N/A,FALSE,"COVER.XLS";#N/A,#N/A,FALSE,"RACT1.XLS";#N/A,#N/A,FALSE,"RACT2.XLS";#N/A,#N/A,FALSE,"ECCMP";#N/A,#N/A,FALSE,"WELDER.XLS"}</definedName>
    <definedName name="AST" localSheetId="10" hidden="1">{#N/A,#N/A,FALSE,"COVER.XLS";#N/A,#N/A,FALSE,"RACT1.XLS";#N/A,#N/A,FALSE,"RACT2.XLS";#N/A,#N/A,FALSE,"ECCMP";#N/A,#N/A,FALSE,"WELDER.XLS"}</definedName>
    <definedName name="AST" localSheetId="1" hidden="1">{#N/A,#N/A,FALSE,"COVER.XLS";#N/A,#N/A,FALSE,"RACT1.XLS";#N/A,#N/A,FALSE,"RACT2.XLS";#N/A,#N/A,FALSE,"ECCMP";#N/A,#N/A,FALSE,"WELDER.XLS"}</definedName>
    <definedName name="AST" localSheetId="0" hidden="1">{#N/A,#N/A,FALSE,"COVER.XLS";#N/A,#N/A,FALSE,"RACT1.XLS";#N/A,#N/A,FALSE,"RACT2.XLS";#N/A,#N/A,FALSE,"ECCMP";#N/A,#N/A,FALSE,"WELDER.XLS"}</definedName>
    <definedName name="AST" localSheetId="6" hidden="1">{#N/A,#N/A,FALSE,"COVER.XLS";#N/A,#N/A,FALSE,"RACT1.XLS";#N/A,#N/A,FALSE,"RACT2.XLS";#N/A,#N/A,FALSE,"ECCMP";#N/A,#N/A,FALSE,"WELDER.XLS"}</definedName>
    <definedName name="AST" hidden="1">{#N/A,#N/A,FALSE,"COVER.XLS";#N/A,#N/A,FALSE,"RACT1.XLS";#N/A,#N/A,FALSE,"RACT2.XLS";#N/A,#N/A,FALSE,"ECCMP";#N/A,#N/A,FALSE,"WELDER.XLS"}</definedName>
    <definedName name="atish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localSheetId="1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localSheetId="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TEND">#REF!</definedName>
    <definedName name="atul">#REF!</definedName>
    <definedName name="atyfafa">#REF!</definedName>
    <definedName name="AuBhu0910">[118]Assumption_PwC!$D$7</definedName>
    <definedName name="AuBhu1011">[118]Assumption_PwC!$E$7</definedName>
    <definedName name="AuCha0910">[118]Assumption_PwC!$D$8</definedName>
    <definedName name="AUST">#REF!</definedName>
    <definedName name="Australasian_Average">[106]List_ratios!#REF!</definedName>
    <definedName name="AUSTRALIA">#REF!</definedName>
    <definedName name="AUSTRIA">#REF!</definedName>
    <definedName name="AUTO_FINANCE">#REF!</definedName>
    <definedName name="AUTO_P_M" localSheetId="17">[83]関係会社貸付金データ!$D$10</definedName>
    <definedName name="AUTO_P_M">[84]関係会社貸付金データ!$D$10</definedName>
    <definedName name="AUTO_P_Q" localSheetId="17">[83]関係会社貸付金データ!$D$23</definedName>
    <definedName name="AUTO_P_Q">[84]関係会社貸付金データ!$D$23</definedName>
    <definedName name="AUTO_P2_M" localSheetId="17">'[85]末残計画(四半期ベース)'!$F$329</definedName>
    <definedName name="AUTO_P2_M">'[86]末残計画(四半期ベース)'!$F$329</definedName>
    <definedName name="AUTO_P2_Q" localSheetId="17">'[85]末残計画(四半期ベース)'!$G$329</definedName>
    <definedName name="AUTO_P2_Q">'[86]末残計画(四半期ベース)'!$G$329</definedName>
    <definedName name="AUTO_PX_M" localSheetId="17">[87]関係会社貸付金データ!$D$14</definedName>
    <definedName name="AUTO_PX_M">[88]関係会社貸付金データ!$D$14</definedName>
    <definedName name="AUTO_PX_Q" localSheetId="17">[87]関係会社貸付金データ!$D$39</definedName>
    <definedName name="AUTO_PX_Q">[88]関係会社貸付金データ!$D$39</definedName>
    <definedName name="AUTO_PX2_M" localSheetId="17">'[85]末残計画(四半期ベース)'!$F$325</definedName>
    <definedName name="AUTO_PX2_M">'[86]末残計画(四半期ベース)'!$F$325</definedName>
    <definedName name="AUTO_PX2_Q" localSheetId="17">'[85]末残計画(四半期ベース)'!$G$325</definedName>
    <definedName name="AUTO_PX2_Q">'[86]末残計画(四半期ベース)'!$G$325</definedName>
    <definedName name="AUTO_PY_M" localSheetId="17">[87]関係会社貸付金データ!$D$16</definedName>
    <definedName name="AUTO_PY_M">[88]関係会社貸付金データ!$D$16</definedName>
    <definedName name="AUTO_PY_Q" localSheetId="17">[87]関係会社貸付金データ!$D$41</definedName>
    <definedName name="AUTO_PY_Q">[88]関係会社貸付金データ!$D$41</definedName>
    <definedName name="AUTO_PY2_M" localSheetId="17">'[85]末残計画(四半期ベース)'!$F$327</definedName>
    <definedName name="AUTO_PY2_M">'[86]末残計画(四半期ベース)'!$F$327</definedName>
    <definedName name="AUTO_PY2_Q" localSheetId="17">'[85]末残計画(四半期ベース)'!$G$327</definedName>
    <definedName name="AUTO_PY2_Q">'[86]末残計画(四半期ベース)'!$G$327</definedName>
    <definedName name="AUTO_R_M" localSheetId="17">[83]関係会社貸付金データ!$D$11</definedName>
    <definedName name="AUTO_R_M">[84]関係会社貸付金データ!$D$11</definedName>
    <definedName name="AUTO_R_Q" localSheetId="17">[83]関係会社貸付金データ!$D$24</definedName>
    <definedName name="AUTO_R_Q">[84]関係会社貸付金データ!$D$24</definedName>
    <definedName name="AUTO_R2_M" localSheetId="17">'[85]末残計画(四半期ベース)'!$F$330</definedName>
    <definedName name="AUTO_R2_M">'[86]末残計画(四半期ベース)'!$F$330</definedName>
    <definedName name="AUTO_R2_Q" localSheetId="17">'[85]末残計画(四半期ベース)'!$G$330</definedName>
    <definedName name="AUTO_R2_Q">'[86]末残計画(四半期ベース)'!$G$330</definedName>
    <definedName name="AUTO_RX_M" localSheetId="17">[87]関係会社貸付金データ!$D$15</definedName>
    <definedName name="AUTO_RX_M">[88]関係会社貸付金データ!$D$15</definedName>
    <definedName name="AUTO_RX_Q" localSheetId="17">[87]関係会社貸付金データ!$D$40</definedName>
    <definedName name="AUTO_RX_Q">[88]関係会社貸付金データ!$D$40</definedName>
    <definedName name="AUTO_RX2_M" localSheetId="17">'[85]末残計画(四半期ベース)'!$F$326</definedName>
    <definedName name="AUTO_RX2_M">'[86]末残計画(四半期ベース)'!$F$326</definedName>
    <definedName name="AUTO_RX2_Q" localSheetId="17">'[85]末残計画(四半期ベース)'!$G$326</definedName>
    <definedName name="AUTO_RX2_Q">'[86]末残計画(四半期ベース)'!$G$326</definedName>
    <definedName name="AUTO_RY_M" localSheetId="17">[87]関係会社貸付金データ!$D$17</definedName>
    <definedName name="AUTO_RY_M">[88]関係会社貸付金データ!$D$17</definedName>
    <definedName name="AUTO_RY_Q" localSheetId="17">[87]関係会社貸付金データ!$D$42</definedName>
    <definedName name="AUTO_RY_Q">[88]関係会社貸付金データ!$D$42</definedName>
    <definedName name="AUTO_RY2_M" localSheetId="17">'[85]末残計画(四半期ベース)'!$F$328</definedName>
    <definedName name="AUTO_RY2_M">'[86]末残計画(四半期ベース)'!$F$328</definedName>
    <definedName name="AUTO_RY2_Q" localSheetId="17">'[85]末残計画(四半期ベース)'!$G$328</definedName>
    <definedName name="AUTO_RY2_Q">'[86]末残計画(四半期ベース)'!$G$328</definedName>
    <definedName name="AUX">[71]Assumptions!$C$40</definedName>
    <definedName name="AUX_Base">#REF!</definedName>
    <definedName name="Aux_Sen">#REF!</definedName>
    <definedName name="AV">#REF!</definedName>
    <definedName name="Availability">#REF!</definedName>
    <definedName name="Average_DSCR">[119]Assumptions!$I$31</definedName>
    <definedName name="Average_no_of_employees_trained_in_one_session">[120]Assumptions!#REF!</definedName>
    <definedName name="AverageOctroi">'[121]Category Breakup'!$AK$12</definedName>
    <definedName name="AverageOctroiOnSales">[122]Assumptions!#REF!</definedName>
    <definedName name="AverageVAT">'[121]Category Breakup'!$AM$12</definedName>
    <definedName name="avg">#REF!</definedName>
    <definedName name="Avg.">#REF!</definedName>
    <definedName name="Avg.DSCR">[123]Assumptions!$I$31</definedName>
    <definedName name="AvgRate" localSheetId="17">#REF!</definedName>
    <definedName name="AvgRate">#REF!</definedName>
    <definedName name="avgratetax">[46]Calculator!$R$4</definedName>
    <definedName name="aw">#REF!</definedName>
    <definedName name="axedoc">#REF!</definedName>
    <definedName name="AY">[124]TaxComputn!$A$2</definedName>
    <definedName name="b" localSheetId="7">'[125]RCIL-Conso-details'!#REF!</definedName>
    <definedName name="b" localSheetId="10">'[125]RCIL-Conso-details'!#REF!</definedName>
    <definedName name="b" localSheetId="9">'[125]RCIL-Conso-details'!#REF!</definedName>
    <definedName name="b" localSheetId="6">'[125]RCIL-Conso-details'!#REF!</definedName>
    <definedName name="b">#N/A</definedName>
    <definedName name="b_1">#REF!</definedName>
    <definedName name="b_2">#REF!</definedName>
    <definedName name="b_3">#REF!</definedName>
    <definedName name="b_4">#REF!</definedName>
    <definedName name="b_asm" localSheetId="17">[100]Assumptions!#REF!</definedName>
    <definedName name="B_BALKRISHANAN">#REF!</definedName>
    <definedName name="b_pc" localSheetId="17">#REF!</definedName>
    <definedName name="b_pc">#REF!</definedName>
    <definedName name="B10.DedFromUndertaking">'[46]10A'!$F$31</definedName>
    <definedName name="B2各種ﾃﾞｰﾀｰ統合">#REF!</definedName>
    <definedName name="ba_diat">#REF!</definedName>
    <definedName name="BA0007_">'[59]TB WORLI'!$B$5</definedName>
    <definedName name="BA0008_">'[59]TB WORLI'!$B$6</definedName>
    <definedName name="BA00169_">'[59]TB WORLI'!$B$8</definedName>
    <definedName name="BA00212_">'[55]TB WORLI'!$B$136</definedName>
    <definedName name="BA00223_">'[59]TB WORLI'!$B$10</definedName>
    <definedName name="BA00238_">'[59]TB WORLI'!$B$13</definedName>
    <definedName name="BA00270_">'[55]TB WORLI'!$B$8</definedName>
    <definedName name="BA00271_">'[59]TB WORLI'!$B$16</definedName>
    <definedName name="BA00298_">'[55]TB WORLI'!$B$139</definedName>
    <definedName name="BA00301_">'[59]TB WORLI'!$B$23</definedName>
    <definedName name="BA00302_">'[59]TB WORLI'!$B$24</definedName>
    <definedName name="BA00303_">'[59]TB WORLI'!$B$25</definedName>
    <definedName name="BA00304_">'[59]TB WORLI'!$B$26</definedName>
    <definedName name="BA00319_">'[59]TB WORLI'!$B$32</definedName>
    <definedName name="BA00338_">'[59]TB WORLI'!$B$45</definedName>
    <definedName name="BA00339_">'[59]TB WORLI'!$B$46</definedName>
    <definedName name="BA00358_">'[59]TB WORLI'!$B$47</definedName>
    <definedName name="BA00362_">'[59]TB WORLI'!$B$49</definedName>
    <definedName name="BA00371_">'[59]TB WORLI'!$B$54</definedName>
    <definedName name="BA00405_">'[55]TB WORLI'!$B$18</definedName>
    <definedName name="BA00433_">'[59]TB WORLI'!$B$78</definedName>
    <definedName name="BA00434_">'[59]TB WORLI'!$B$79</definedName>
    <definedName name="BA00437_">'[59]TB WORLI'!$B$82</definedName>
    <definedName name="BA00441_">'[59]TB WORLI'!$B$85</definedName>
    <definedName name="BA00442_">'[59]TB WORLI'!$B$86</definedName>
    <definedName name="BA00449_">'[59]TB WORLI'!$B$91</definedName>
    <definedName name="BA0045_">'[59]TB WORLI'!$B$92</definedName>
    <definedName name="BA00450_">'[55]TB WORLI'!$B$22</definedName>
    <definedName name="BA00453_">'[55]TB WORLI'!$B$23</definedName>
    <definedName name="BA0049_">'[59]TB WORLI'!$B$97</definedName>
    <definedName name="BA0051_">'[59]TB WORLI'!$B$98</definedName>
    <definedName name="BA0062_">'[59]TB WORLI'!$B$100</definedName>
    <definedName name="BA0064_">'[59]TB WORLI'!$B$101</definedName>
    <definedName name="BA0072_">'[59]TB WORLI'!$B$103</definedName>
    <definedName name="BA0141_">'[59]TB WORLI'!$B$105</definedName>
    <definedName name="BA10.DedFromUndertaking">'[46]10A'!$F$36:$F$36</definedName>
    <definedName name="BACK_A">[126]AcqIS:AcqBSCF!$A$54:$N$55</definedName>
    <definedName name="Back_Solve_Original">#REF!</definedName>
    <definedName name="Back_solve_selector">#REF!</definedName>
    <definedName name="Back_solve_Target">#REF!</definedName>
    <definedName name="backstop_sen">'[127]Core Assumptions'!$E$355</definedName>
    <definedName name="Bad_Debts">[128]assumptions!$D$44</definedName>
    <definedName name="BAL" localSheetId="17">'[64]Cntrl Sheet'!#REF!</definedName>
    <definedName name="BAL" localSheetId="7">'[129]MN T.B.'!#REF!</definedName>
    <definedName name="BAL" localSheetId="10">'[129]MN T.B.'!#REF!</definedName>
    <definedName name="BAL" localSheetId="9">'[129]MN T.B.'!#REF!</definedName>
    <definedName name="BAL" localSheetId="6">'[129]MN T.B.'!#REF!</definedName>
    <definedName name="BAL">'[65]Cntrl Sheet'!#REF!</definedName>
    <definedName name="bal_Mat" localSheetId="17">'[91]Pool details'!$AR$3:$AR$4876</definedName>
    <definedName name="bal_Mat">'[92]Pool details'!$AR$3:$AR$4876</definedName>
    <definedName name="Bal_Sheet" localSheetId="17">#REF!</definedName>
    <definedName name="bal_sheet" localSheetId="7">#REF!</definedName>
    <definedName name="bal_sheet" localSheetId="10">#REF!</definedName>
    <definedName name="bal_sheet" localSheetId="9">#REF!</definedName>
    <definedName name="bal_sheet" localSheetId="6">#REF!</definedName>
    <definedName name="Bal_Sheet">#REF!</definedName>
    <definedName name="Bal_TB">#REF!</definedName>
    <definedName name="BALANCE">[45]INFO!$B$11</definedName>
    <definedName name="Balance_Sheet">#REF!</definedName>
    <definedName name="balance_type">1</definedName>
    <definedName name="BalanceSheet">#REF!</definedName>
    <definedName name="BalanceSheet98">#REF!</definedName>
    <definedName name="balg1">#REF!</definedName>
    <definedName name="balg2">#REF!</definedName>
    <definedName name="balg3">#REF!</definedName>
    <definedName name="BANK">#REF!</definedName>
    <definedName name="bankfinance">#REF!</definedName>
    <definedName name="base" localSheetId="7">{"Project Oasis"}</definedName>
    <definedName name="base" localSheetId="10">{"Project Oasis"}</definedName>
    <definedName name="base" localSheetId="9">{"Project Oasis"}</definedName>
    <definedName name="base" localSheetId="6">{"Project Oasis"}</definedName>
    <definedName name="BASE">[130]Financials!#REF!</definedName>
    <definedName name="Base_Case">#REF!</definedName>
    <definedName name="BASE_DSCR">#REF!</definedName>
    <definedName name="BaseDisp">'[70]A-General'!$AJ$69</definedName>
    <definedName name="Basepopulation" localSheetId="17">#REF!</definedName>
    <definedName name="Basepopulation">#REF!</definedName>
    <definedName name="baseyr">'[131]Forecast-Input'!$E1</definedName>
    <definedName name="basic">#REF!</definedName>
    <definedName name="Basis">#REF!</definedName>
    <definedName name="bbb" localSheetId="7" hidden="1">{#N/A,#N/A,FALSE,"Staffnos &amp; cost"}</definedName>
    <definedName name="bbb" localSheetId="10" hidden="1">{#N/A,#N/A,FALSE,"Staffnos &amp; cost"}</definedName>
    <definedName name="bbb" localSheetId="1" hidden="1">{#N/A,#N/A,FALSE,"Staffnos &amp; cost"}</definedName>
    <definedName name="bbb" localSheetId="0" hidden="1">{#N/A,#N/A,FALSE,"Staffnos &amp; cost"}</definedName>
    <definedName name="bbb" localSheetId="6" hidden="1">{#N/A,#N/A,FALSE,"Staffnos &amp; cost"}</definedName>
    <definedName name="bbb" hidden="1">{#N/A,#N/A,FALSE,"Staffnos &amp; cost"}</definedName>
    <definedName name="BBData">#REF!</definedName>
    <definedName name="BBRAS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BRAS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BRAS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BRAS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BRAS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BRA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d">#REF!</definedName>
    <definedName name="BE00281_">'[59]TB WORLI'!$B$109</definedName>
    <definedName name="BE00289_">'[59]TB WORLI'!$B$110</definedName>
    <definedName name="BE00306_">'[59]TB WORLI'!$B$111</definedName>
    <definedName name="BE0160_">'[59]TB WORLI'!$B$113</definedName>
    <definedName name="BE0161_">'[59]TB WORLI'!$B$114</definedName>
    <definedName name="BE0211_">'[59]TB WORLI'!$B$115</definedName>
    <definedName name="BE0219_">'[59]TB WORLI'!$B$116</definedName>
    <definedName name="BE0225_">'[55]TB WORLI'!$B$151</definedName>
    <definedName name="BE0235_">'[55]TB WORLI'!$B$33</definedName>
    <definedName name="BE0243_">'[59]TB WORLI'!$B$119</definedName>
    <definedName name="Beg.Bal">IF('[97]FITZ MORT 94'!XFC1&lt;&gt;"",'[97]FITZ MORT 94'!D1048576,"")</definedName>
    <definedName name="Beg_Bal">#REF!</definedName>
    <definedName name="begavg">[131]Valuation!$Y$15</definedName>
    <definedName name="BEGIN">#REF!</definedName>
    <definedName name="BeRate">#REF!</definedName>
    <definedName name="BeRate2">#REF!</definedName>
    <definedName name="Beurteilung">#REF!</definedName>
    <definedName name="bf">#REF!</definedName>
    <definedName name="bfjksbnf">#REF!</definedName>
    <definedName name="BG_Del" hidden="1">15</definedName>
    <definedName name="BG_Ins" hidden="1">4</definedName>
    <definedName name="BG_Mod" hidden="1">6</definedName>
    <definedName name="bgbgb">#REF!,#REF!</definedName>
    <definedName name="bgcharge">'[132]NLD - Assum'!#REF!</definedName>
    <definedName name="Bgr" hidden="1">#REF!</definedName>
    <definedName name="BHAIRAV">#REF!</definedName>
    <definedName name="Bharat_diam.Brou_99">#REF!</definedName>
    <definedName name="bhjvjcg">'[132]Capex-fixed'!#REF!</definedName>
    <definedName name="BI00296_">'[59]TB WORLI'!$B$120</definedName>
    <definedName name="BI00298_">'[59]TB WORLI'!$B$121</definedName>
    <definedName name="BI00319_">'[59]TB WORLI'!$B$122</definedName>
    <definedName name="BI00320_">'[59]TB WORLI'!$B$123</definedName>
    <definedName name="BI00321_">'[59]TB WORLI'!$B$124</definedName>
    <definedName name="BI00326_">'[59]TB WORLI'!$B$125</definedName>
    <definedName name="BI00335_">'[59]TB WORLI'!$B$126</definedName>
    <definedName name="BI0260_">'[59]TB WORLI'!$B$128</definedName>
    <definedName name="BI0261_">'[59]TB WORLI'!$B$129</definedName>
    <definedName name="BI0286_">'[59]TB WORLI'!$B$130</definedName>
    <definedName name="bih">'[132]Capex-fixed'!#REF!</definedName>
    <definedName name="Billable_Hours_for_IBS">#REF!</definedName>
    <definedName name="BILLING">#N/A</definedName>
    <definedName name="billingcollectionexpense" localSheetId="17">#REF!</definedName>
    <definedName name="billingcollectionexpense">#REF!</definedName>
    <definedName name="BillMkt1">#REF!</definedName>
    <definedName name="BillMkt10">#REF!</definedName>
    <definedName name="BillMkt11">#REF!</definedName>
    <definedName name="BillMkt2">#REF!</definedName>
    <definedName name="BillMkt3">#REF!</definedName>
    <definedName name="BillMkt4">#REF!</definedName>
    <definedName name="BillMkt5">#REF!</definedName>
    <definedName name="BillMkt6">#REF!</definedName>
    <definedName name="BillMkt7">#REF!</definedName>
    <definedName name="BillMkt8">#REF!</definedName>
    <definedName name="BillMkt9">#REF!</definedName>
    <definedName name="BillTtl">#REF!</definedName>
    <definedName name="bkbal1">#REF!</definedName>
    <definedName name="bkbal2">#REF!</definedName>
    <definedName name="bkod">#REF!</definedName>
    <definedName name="BL00380_">'[59]TB WORLI'!$B$131</definedName>
    <definedName name="BL00386_">'[59]TB WORLI'!$B$133</definedName>
    <definedName name="BL00649_">'[59]TB WORLI'!$B$135</definedName>
    <definedName name="BL00664_">'[59]TB WORLI'!$B$137</definedName>
    <definedName name="BL00678_">'[59]TB WORLI'!$B$138</definedName>
    <definedName name="BL00702_">'[55]TB WORLI'!$B$43</definedName>
    <definedName name="BL0302_">'[59]TB WORLI'!$B$139</definedName>
    <definedName name="BL0322_">'[59]TB WORLI'!$B$140</definedName>
    <definedName name="BL0333_">'[59]TB WORLI'!$B$141</definedName>
    <definedName name="BL0342_">'[55]TB WORLI'!$B$155</definedName>
    <definedName name="Blanket">[133]PECVD!$A$1:$I$68</definedName>
    <definedName name="BLDG">#REF!</definedName>
    <definedName name="bldgaqscharge" localSheetId="17">'[132]Capex-fixed'!#REF!</definedName>
    <definedName name="bldgaqscharge">'[132]Capex-fixed'!#REF!</definedName>
    <definedName name="blnHideRow" localSheetId="7">IF(SUM(ABS(IF(ISERROR(HistForc),0,IF(ISTEXT(HistForc),0,HistForc))))&gt;0.00001,1,TRUE)</definedName>
    <definedName name="blnHideRow" localSheetId="10">IF(SUM(ABS(IF(ISERROR(HistForc),0,IF(ISTEXT(HistForc),0,HistForc))))&gt;0.00001,1,TRUE)</definedName>
    <definedName name="blnHideRow" localSheetId="1">IF(SUM(ABS(IF(ISERROR(HistForc),0,IF(ISTEXT(HistForc),0,HistForc))))&gt;0.00001,1,TRUE)</definedName>
    <definedName name="blnHideRow" localSheetId="0">IF(SUM(ABS(IF(ISERROR([0]!HistForc),0,IF(ISTEXT([0]!HistForc),0,[0]!HistForc))))&gt;0.00001,1,TRUE)</definedName>
    <definedName name="blnHideRow" localSheetId="6">IF(SUM(ABS(IF(ISERROR(HistForc),0,IF(ISTEXT(HistForc),0,HistForc))))&gt;0.00001,1,TRUE)</definedName>
    <definedName name="blnHideRow">IF(SUM(ABS(IF(ISERROR(HistForc),0,IF(ISTEXT(HistForc),0,HistForc))))&gt;0.00001,1,TRUE)</definedName>
    <definedName name="BLPH1" localSheetId="17" hidden="1">#REF!</definedName>
    <definedName name="BLPH1" localSheetId="1" hidden="1">#REF!</definedName>
    <definedName name="BLPH1" localSheetId="0" hidden="1">#REF!</definedName>
    <definedName name="BLPH1" hidden="1">#REF!</definedName>
    <definedName name="BLR80IA">#N/A</definedName>
    <definedName name="blsht" localSheetId="1">#REF!</definedName>
    <definedName name="blsht" localSheetId="0">#REF!</definedName>
    <definedName name="blsht">#REF!</definedName>
    <definedName name="blsht2">#REF!</definedName>
    <definedName name="blsht3_">#REF!</definedName>
    <definedName name="BLTable">'[134]BL-Bud'!$A$11:$Y$133</definedName>
    <definedName name="BOARD1">'[129]MN T.B.'!#REF!</definedName>
    <definedName name="BOARD2">'[129]MN T.B.'!#REF!</definedName>
    <definedName name="BOARD3">'[129]MN T.B.'!#REF!</definedName>
    <definedName name="BOBAY_CONVEYAN">#REF!</definedName>
    <definedName name="BOD">#REF!</definedName>
    <definedName name="BONreco">#REF!</definedName>
    <definedName name="bonus_1">#REF!</definedName>
    <definedName name="bookdepr">#REF!</definedName>
    <definedName name="Borrowing">#REF!</definedName>
    <definedName name="box2_select" localSheetId="5">[135]!box2_select</definedName>
    <definedName name="box2_select" localSheetId="0">[135]!box2_select</definedName>
    <definedName name="box2_select">[135]!box2_select</definedName>
    <definedName name="bploss1.unabs">'[46]CYLA BFLA'!$F$55</definedName>
    <definedName name="bpnsincome">'[46]CYLA BFLA'!$O$12</definedName>
    <definedName name="bpnsincome.bf">'[46]CYLA BFLA'!$AF$12</definedName>
    <definedName name="bpnsincome.bp">'[46]CYLA BFLA'!$AB$12</definedName>
    <definedName name="bpnsincome.hp">'[46]CYLA BFLA'!$X$12</definedName>
    <definedName name="bpnsincome.ih">'[46]CYLA BFLA'!$Q$12</definedName>
    <definedName name="bpnsincome.os">'[46]CYLA BFLA'!$T$12</definedName>
    <definedName name="bpnsincome.rem">'[46]CYLA BFLA'!$AO$10</definedName>
    <definedName name="bpnsloss">'[46]CYLA BFLA'!$P$12</definedName>
    <definedName name="bpnsloss.aftbfl">'[46]CYLA BFLA'!$AH$12</definedName>
    <definedName name="bpnsloss.bf">'[46]CYLA BFLA'!$AE$12</definedName>
    <definedName name="bpnsloss.bfadj">'[46]CYLA BFLA'!$AG$12</definedName>
    <definedName name="bpnsloss.bp">'[46]CYLA BFLA'!$AD$12</definedName>
    <definedName name="bpnsloss.hp">'[46]CYLA BFLA'!$Z$12</definedName>
    <definedName name="bpnsloss.ih">'[46]CYLA BFLA'!$R$12</definedName>
    <definedName name="bpnsloss.os">'[46]CYLA BFLA'!$V$12</definedName>
    <definedName name="bpnsloss.unabs">'[46]CYLA BFLA'!$AN$10</definedName>
    <definedName name="bpsincome">'[46]CYLA BFLA'!$O$24</definedName>
    <definedName name="bpsincome.bf">'[46]CYLA BFLA'!$AF$24</definedName>
    <definedName name="bpsincome.bp">'[46]CYLA BFLA'!$AB$24</definedName>
    <definedName name="bpsincome.hp">'[46]CYLA BFLA'!$X$24</definedName>
    <definedName name="bpsincome.ih">'[46]CYLA BFLA'!$Q$24</definedName>
    <definedName name="bpsincome.os">'[46]CYLA BFLA'!$T$24</definedName>
    <definedName name="bpsincome.rem">'[46]CYLA BFLA'!$AO$11</definedName>
    <definedName name="bpsloss">'[46]CYLA BFLA'!$P$24</definedName>
    <definedName name="bpsloss.aftbfl">'[46]CYLA BFLA'!$AH$24</definedName>
    <definedName name="bpsloss.bf">'[46]CYLA BFLA'!$AE$24</definedName>
    <definedName name="bpsloss.bfadj">'[46]CYLA BFLA'!$AG$24</definedName>
    <definedName name="bpsloss.bp">'[46]CYLA BFLA'!$AD$24</definedName>
    <definedName name="bpsloss.hp">'[46]CYLA BFLA'!$Z$24</definedName>
    <definedName name="bpsloss.ih">'[46]CYLA BFLA'!$R$24</definedName>
    <definedName name="bpsloss.os">'[46]CYLA BFLA'!$V$24</definedName>
    <definedName name="bpsloss.unabs">'[46]CYLA BFLA'!$AN$11</definedName>
    <definedName name="bpspincome">'[46]CYLA BFLA'!$O$25</definedName>
    <definedName name="bpspincome.bf">'[46]CYLA BFLA'!$AF$25</definedName>
    <definedName name="bpspincome.bp">'[46]CYLA BFLA'!$AB$25</definedName>
    <definedName name="bpspincome.hp">'[46]CYLA BFLA'!$X$25</definedName>
    <definedName name="bpspincome.ih">'[46]CYLA BFLA'!$Q$25</definedName>
    <definedName name="bpspincome.os">'[46]CYLA BFLA'!$T$25</definedName>
    <definedName name="bpspincome.rem">'[46]CYLA BFLA'!$AO$6</definedName>
    <definedName name="bpsploss">'[46]CYLA BFLA'!$P$25</definedName>
    <definedName name="bpsploss.aftbfl">'[46]CYLA BFLA'!$AH$25</definedName>
    <definedName name="bpsploss.bf">'[46]CYLA BFLA'!$AE$25</definedName>
    <definedName name="bpsploss.bfadj">'[46]CYLA BFLA'!$AG$25</definedName>
    <definedName name="bpsploss.bp">'[46]CYLA BFLA'!$AD$25</definedName>
    <definedName name="bpsploss.hp">'[46]CYLA BFLA'!$Z$25</definedName>
    <definedName name="bpsploss.ih">'[46]CYLA BFLA'!$R$25</definedName>
    <definedName name="bpsploss.os">'[46]CYLA BFLA'!$V$25</definedName>
    <definedName name="bpsploss.unabs">'[46]CYLA BFLA'!$AN$6</definedName>
    <definedName name="BR_Resou">[136]ecc_res!#REF!</definedName>
    <definedName name="BRanch__Sales___Aug">#REF!</definedName>
    <definedName name="BRS">'[137]ALL-IBANK-BRS'!$A$1:$B$453</definedName>
    <definedName name="BRS_ADJ_31399">#REF!</definedName>
    <definedName name="BS" localSheetId="17">'[138]B S'!$C$77</definedName>
    <definedName name="bs" localSheetId="7">#REF!</definedName>
    <definedName name="bs" localSheetId="10">#REF!</definedName>
    <definedName name="bs" localSheetId="9">#REF!</definedName>
    <definedName name="bs" localSheetId="6">#REF!</definedName>
    <definedName name="BS">'[139]B S'!$C$77</definedName>
    <definedName name="BS.CapWrkProg">[46]BALANCE_SHEET!$H$45</definedName>
    <definedName name="BS.Depreciation">[46]BALANCE_SHEET!$H$43</definedName>
    <definedName name="BS.GrossBlock">[46]BALANCE_SHEET!$H$42</definedName>
    <definedName name="BS.NetBlock">[46]BALANCE_SHEET!$H$44</definedName>
    <definedName name="BS.TotSecrLoan">[46]BALANCE_SHEET!$J$27</definedName>
    <definedName name="BS_1">'[129]MN T.B.'!#REF!</definedName>
    <definedName name="BS_2">'[129]MN T.B.'!#REF!</definedName>
    <definedName name="BSblnHideRow" localSheetId="7">IF(SUM(ABS(IF(ISERROR(BSHistForc),0,IF(ISTEXT(BSHistForc),0,BSHistForc))))&gt;0.00001,1,TRUE)</definedName>
    <definedName name="BSblnHideRow" localSheetId="10">IF(SUM(ABS(IF(ISERROR(BSHistForc),0,IF(ISTEXT(BSHistForc),0,BSHistForc))))&gt;0.00001,1,TRUE)</definedName>
    <definedName name="BSblnHideRow" localSheetId="1">IF(SUM(ABS(IF(ISERROR(BSHistForc),0,IF(ISTEXT(BSHistForc),0,BSHistForc))))&gt;0.00001,1,TRUE)</definedName>
    <definedName name="BSblnHideRow" localSheetId="0">IF(SUM(ABS(IF(ISERROR([0]!BSHistForc),0,IF(ISTEXT([0]!BSHistForc),0,[0]!BSHistForc))))&gt;0.00001,1,TRUE)</definedName>
    <definedName name="BSblnHideRow" localSheetId="6">IF(SUM(ABS(IF(ISERROR(BSHistForc),0,IF(ISTEXT(BSHistForc),0,BSHistForc))))&gt;0.00001,1,TRUE)</definedName>
    <definedName name="BSblnHideRow">IF(SUM(ABS(IF(ISERROR(BSHistForc),0,IF(ISTEXT(BSHistForc),0,BSHistForc))))&gt;0.00001,1,TRUE)</definedName>
    <definedName name="BSDateSF">[114]Masters!$C$28</definedName>
    <definedName name="BSDEC02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localSheetId="1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FULL">#REF!</definedName>
    <definedName name="BSGROUP">#REF!</definedName>
    <definedName name="bsheet">#REF!</definedName>
    <definedName name="bsheet1">#REF!</definedName>
    <definedName name="BSHEET95">#REF!</definedName>
    <definedName name="bsheet96">#REF!</definedName>
    <definedName name="bsheet97">#REF!</definedName>
    <definedName name="BSHistForc">#REF!</definedName>
    <definedName name="BSOS" localSheetId="17">#REF!</definedName>
    <definedName name="BSOS">#REF!</definedName>
    <definedName name="BSPL">#REF!</definedName>
    <definedName name="BSRateGBP_USD">[140]Rates!$C$3</definedName>
    <definedName name="bss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localSheetId="1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CH">#REF!</definedName>
    <definedName name="BSTable">'[134]BS-Bud'!$A$11:$Y$133</definedName>
    <definedName name="BSUnSec.FrmBank">[46]BALANCE_SHEET!$H$30</definedName>
    <definedName name="BSUnSec.FrmOthrs">[46]BALANCE_SHEET!$H$31</definedName>
    <definedName name="BU">'[141]Report Setup Sheet'!$B$50</definedName>
    <definedName name="BucketMetric">[142]Summary!#REF!</definedName>
    <definedName name="BucketMetric2">[142]Summary!#REF!</definedName>
    <definedName name="BucketMetric3">[142]Summary!#REF!</definedName>
    <definedName name="BucketOrig">[142]Rollup!#REF!</definedName>
    <definedName name="BUDGET">#REF!</definedName>
    <definedName name="BUDREC">#REF!</definedName>
    <definedName name="BuiltIn_Print_Area" localSheetId="7">#REF!</definedName>
    <definedName name="BuiltIn_Print_Area" localSheetId="10">#REF!</definedName>
    <definedName name="BuiltIn_Print_Area" localSheetId="9">#REF!</definedName>
    <definedName name="BuiltIn_Print_Area" localSheetId="6">#REF!</definedName>
    <definedName name="BuiltIn_Print_Area">#REF!</definedName>
    <definedName name="BuiltIn_Print_Area___0" localSheetId="7">#REF!</definedName>
    <definedName name="BuiltIn_Print_Area___0" localSheetId="10">#REF!</definedName>
    <definedName name="BuiltIn_Print_Area___0" localSheetId="9">#REF!</definedName>
    <definedName name="BuiltIn_Print_Area___0" localSheetId="6">#REF!</definedName>
    <definedName name="BuiltIn_Print_Area___0">#REF!</definedName>
    <definedName name="BuiltIn_Print_Area___0___0" localSheetId="7">#REF!</definedName>
    <definedName name="BuiltIn_Print_Area___0___0" localSheetId="10">#REF!</definedName>
    <definedName name="BuiltIn_Print_Area___0___0" localSheetId="9">#REF!</definedName>
    <definedName name="BuiltIn_Print_Area___0___0" localSheetId="6">#REF!</definedName>
    <definedName name="BuiltIn_Print_Area___0___0">#REF!</definedName>
    <definedName name="BuiltIn_Print_Area___0___0___0">#REF!</definedName>
    <definedName name="BuiltIn_Print_Area___0___0___0___0">#REF!</definedName>
    <definedName name="BuiltIn_Print_Area___0___0___0___0___0">'[143]Tools Rev'!#REF!</definedName>
    <definedName name="BuiltIn_Print_Area___0___0___0___0___0___0">#REF!</definedName>
    <definedName name="BuiltIn_Print_Area___0___0___0___0___0___0___0">#REF!</definedName>
    <definedName name="BuiltIn_Print_Area___0___0___0___0___0___0___0___0">#REF!</definedName>
    <definedName name="BuiltIn_Print_Titles" localSheetId="7">'[143]Tools Rev'!#REF!</definedName>
    <definedName name="BuiltIn_Print_Titles" localSheetId="10">'[143]Tools Rev'!#REF!</definedName>
    <definedName name="BuiltIn_Print_Titles" localSheetId="9">'[143]Tools Rev'!#REF!</definedName>
    <definedName name="BuiltIn_Print_Titles" localSheetId="6">'[143]Tools Rev'!#REF!</definedName>
    <definedName name="BuiltIn_Print_Titles">#REF!</definedName>
    <definedName name="BuiltIn_Print_Titles___0" localSheetId="7">#REF!</definedName>
    <definedName name="BuiltIn_Print_Titles___0" localSheetId="10">#REF!</definedName>
    <definedName name="BuiltIn_Print_Titles___0" localSheetId="9">#REF!</definedName>
    <definedName name="BuiltIn_Print_Titles___0" localSheetId="6">#REF!</definedName>
    <definedName name="BuiltIn_Print_Titles___0">#REF!</definedName>
    <definedName name="BURGLARY">#N/A</definedName>
    <definedName name="BusCase">'[103]Core Assumptions'!$D$318</definedName>
    <definedName name="busipofincl.BFUnabsorbedDeprSetoff2">'[46]CYLA BFLA'!$F$21</definedName>
    <definedName name="busipofinclspec.IncOfCurYrUndHeadFromCYLA2a">'[46]CYLA BFLA'!$D$22</definedName>
    <definedName name="busipofinclspecified.IncOfCurYrUndHeadFromCYLA2b">'[46]CYLA BFLA'!$D$23</definedName>
    <definedName name="BusMGT">'[133]Bus Mgmt'!$A$1:$K$68</definedName>
    <definedName name="busprof.IncOfCurYrAfterSetOff">'[46]CYLA BFLA'!$H$7</definedName>
    <definedName name="busprofspec.IncOfCurYrAfterSetOff0a">'[46]CYLA BFLA'!$H$8</definedName>
    <definedName name="busprofspec.IncOfCurYrUnderThatHead0a">'[46]CYLA BFLA'!$D$8</definedName>
    <definedName name="busprofspecified.IncOfCurYrAfterSetOff0b">'[46]CYLA BFLA'!$H$9</definedName>
    <definedName name="busprofspecified.IncOfCurYrUnderThatHead0b">'[46]CYLA BFLA'!$D$9</definedName>
    <definedName name="button_area_1">#REF!</definedName>
    <definedName name="Buyer_Downpayment">[142]Summary!#REF!</definedName>
    <definedName name="BV">[144]INFO!$B$4</definedName>
    <definedName name="bvc">'[132]Capex-fixed'!#REF!</definedName>
    <definedName name="c.">[145]CFLOW!#REF!</definedName>
    <definedName name="C.R" localSheetId="17">#REF!</definedName>
    <definedName name="C.R">#REF!</definedName>
    <definedName name="C_">#N/A</definedName>
    <definedName name="C_Data_1">'[146]2000-01'!#REF!</definedName>
    <definedName name="C_Data_2">'[146]2000-01'!#REF!</definedName>
    <definedName name="C_Eligible">'[46]80G'!$L$1</definedName>
    <definedName name="cablelomif" localSheetId="17">'[132]Capex-fixed'!#REF!</definedName>
    <definedName name="cablelomif">'[132]Capex-fixed'!#REF!</definedName>
    <definedName name="cacl">#REF!</definedName>
    <definedName name="CAL_MEL">#REF!</definedName>
    <definedName name="calc">2</definedName>
    <definedName name="Calc_ED">[46]Calculator!$D$25</definedName>
    <definedName name="calc_G">[46]Calculator!$Q$8</definedName>
    <definedName name="calc_GF">[46]Calculator!$Q$14</definedName>
    <definedName name="Calc_NetSur">[46]Calculator!$D$24</definedName>
    <definedName name="Calc_SplRate">[46]Calculator!$D$20</definedName>
    <definedName name="CalDate">[147]Setting!#REF!</definedName>
    <definedName name="calldata">[148]data!$B$2:$B$51</definedName>
    <definedName name="Calldata1">[148]data!$B$2:$B$51</definedName>
    <definedName name="can1_240fixed">'[132]Capex-fixed'!#REF!</definedName>
    <definedName name="can1_240var">'[132]Capex-fixed'!#REF!</definedName>
    <definedName name="can1_480fixed">'[132]Capex-fixed'!#REF!</definedName>
    <definedName name="can1_480var">'[132]Capex-fixed'!#REF!</definedName>
    <definedName name="can1_960fixed">'[132]Capex-fixed'!#REF!</definedName>
    <definedName name="can1_960var">'[132]Capex-fixed'!#REF!</definedName>
    <definedName name="can1fixed">'[132]Capex-fixed'!#REF!</definedName>
    <definedName name="can1fixed_960">'[132]Capex-fixed'!#REF!</definedName>
    <definedName name="can1fixed960">'[132]Capex-fixed'!#REF!</definedName>
    <definedName name="can1mediacost" localSheetId="17">#REF!</definedName>
    <definedName name="can1mediacost">#REF!</definedName>
    <definedName name="can1var" localSheetId="17">'[132]Capex-fixed'!#REF!</definedName>
    <definedName name="can1var">'[132]Capex-fixed'!#REF!</definedName>
    <definedName name="can2_240fixed">'[132]Capex-fixed'!#REF!</definedName>
    <definedName name="can2_240var">'[132]Capex-fixed'!#REF!</definedName>
    <definedName name="can2_480fixed">'[132]Capex-fixed'!#REF!</definedName>
    <definedName name="can2_480var">'[132]Capex-fixed'!#REF!</definedName>
    <definedName name="can2_960fixed">'[132]Capex-fixed'!#REF!</definedName>
    <definedName name="can2_960var">'[132]Capex-fixed'!#REF!</definedName>
    <definedName name="can4_240">'[132]Capex-fixed'!#REF!</definedName>
    <definedName name="can4_240fixed">'[132]Capex-fixed'!#REF!</definedName>
    <definedName name="can4_240var">'[132]Capex-fixed'!#REF!</definedName>
    <definedName name="can4_480">'[132]Capex-fixed'!#REF!</definedName>
    <definedName name="can4_480fixed">'[132]Capex-fixed'!#REF!</definedName>
    <definedName name="can4_480var">'[132]Capex-fixed'!#REF!</definedName>
    <definedName name="can4_960">'[132]Capex-fixed'!#REF!</definedName>
    <definedName name="can4_960fixed">'[132]Capex-fixed'!#REF!</definedName>
    <definedName name="can4_960var">'[132]Capex-fixed'!#REF!</definedName>
    <definedName name="can4_power">'[132]Capex-fixed'!#REF!</definedName>
    <definedName name="can8_240fixed">'[132]Capex-fixed'!#REF!</definedName>
    <definedName name="can8_240var">'[132]Capex-fixed'!#REF!</definedName>
    <definedName name="can8_480fixed">'[132]Capex-fixed'!#REF!</definedName>
    <definedName name="can8_480var">'[132]Capex-fixed'!#REF!</definedName>
    <definedName name="can8_960fixed">'[132]Capex-fixed'!#REF!</definedName>
    <definedName name="can8_960var">'[132]Capex-fixed'!#REF!</definedName>
    <definedName name="can8_power">'[132]Capex-fixed'!#REF!</definedName>
    <definedName name="can8media" localSheetId="17">#REF!</definedName>
    <definedName name="can8media">#REF!</definedName>
    <definedName name="canada">#REF!</definedName>
    <definedName name="canfourmediacost" localSheetId="17">'[132]Capex-fixed'!#REF!</definedName>
    <definedName name="canfourmediacost">'[132]Capex-fixed'!#REF!</definedName>
    <definedName name="cantwomediacost" localSheetId="17">#REF!</definedName>
    <definedName name="cantwomediacost">#REF!</definedName>
    <definedName name="CAP" localSheetId="7">#REF!</definedName>
    <definedName name="CAP" localSheetId="10">#REF!</definedName>
    <definedName name="CAP" localSheetId="9">#REF!</definedName>
    <definedName name="CAP" localSheetId="6">#REF!</definedName>
    <definedName name="CAP">#REF!</definedName>
    <definedName name="CAP_Base">#REF!</definedName>
    <definedName name="cap_paste">[74]Sensitivity!#REF!</definedName>
    <definedName name="CAP_SEN">#REF!</definedName>
    <definedName name="capch">[131]Valuation!$U$13</definedName>
    <definedName name="capchrg">#REF!</definedName>
    <definedName name="capchrgadj">#REF!</definedName>
    <definedName name="Capex">'[72]2. Forecast Drivers'!$E$72:$S$72</definedName>
    <definedName name="capex_working">'[149]Main workings'!$A$156:$DS$192</definedName>
    <definedName name="capex1a" localSheetId="17">#REF!</definedName>
    <definedName name="capex1a">#REF!</definedName>
    <definedName name="capex1b">#REF!</definedName>
    <definedName name="capex2">#REF!</definedName>
    <definedName name="CAPGAIN">#REF!</definedName>
    <definedName name="capgains">#REF!</definedName>
    <definedName name="capital">#REF!</definedName>
    <definedName name="capital.costs">#REF!</definedName>
    <definedName name="capital97">#REF!</definedName>
    <definedName name="capitaladj">#REF!</definedName>
    <definedName name="capitalc">'[45]NOTES '!$H$61</definedName>
    <definedName name="CapitalEmployed">[150]Financials!$J$114:$R$114</definedName>
    <definedName name="CapitalLink">[151]Capital_by_Years_Valuation!$B$8</definedName>
    <definedName name="capitalp">'[144]NOTES '!$D$61</definedName>
    <definedName name="CAPWIP">[152]tb!$G$46:$P$56</definedName>
    <definedName name="CAR">#REF!</definedName>
    <definedName name="CArea">#REF!</definedName>
    <definedName name="cars_comp">#REF!</definedName>
    <definedName name="CAS">#REF!</definedName>
    <definedName name="Case">#REF!</definedName>
    <definedName name="CaseSelect">'[153]A-General'!$R$10</definedName>
    <definedName name="Cash" localSheetId="7">'[72]2. Forecast Drivers'!$E$199:$S$199</definedName>
    <definedName name="Cash" localSheetId="10">'[72]2. Forecast Drivers'!$E$199:$S$199</definedName>
    <definedName name="Cash" localSheetId="9">'[72]2. Forecast Drivers'!$E$199:$S$199</definedName>
    <definedName name="Cash" localSheetId="6">'[72]2. Forecast Drivers'!$E$199:$S$199</definedName>
    <definedName name="Cash">#REF!</definedName>
    <definedName name="cash_bank_bal_99">#REF!</definedName>
    <definedName name="Cash_Calc">'[72]3. Results'!$F$133:$S$133</definedName>
    <definedName name="Cash_OD">'[72]3. Results'!$F$134:$S$134</definedName>
    <definedName name="CashFlow" localSheetId="7">#REF!</definedName>
    <definedName name="CashFlow" localSheetId="10">#REF!</definedName>
    <definedName name="CashFlow" localSheetId="9">#REF!</definedName>
    <definedName name="CashFlow" localSheetId="6">#REF!</definedName>
    <definedName name="CashFlow">#REF!</definedName>
    <definedName name="CashFlow2">#REF!</definedName>
    <definedName name="cashflows_1">#REF!</definedName>
    <definedName name="cashflows_2">#REF!</definedName>
    <definedName name="cashflows_3">#REF!</definedName>
    <definedName name="cashflows_4">#REF!</definedName>
    <definedName name="Cashflows_from_March_2003" localSheetId="17">'[91]Pool details'!$CK$3:$CK$4876</definedName>
    <definedName name="Cashflows_from_March_2003">'[92]Pool details'!$CK$3:$CK$4876</definedName>
    <definedName name="cashflows_print">#REF!</definedName>
    <definedName name="cashflows1_print">#REF!</definedName>
    <definedName name="cashflows2_print">#REF!</definedName>
    <definedName name="CashTax_P2">'[72]2. Forecast Drivers'!$T$299:$AD$299</definedName>
    <definedName name="CAT" localSheetId="17">#REF!</definedName>
    <definedName name="CAT">#REF!</definedName>
    <definedName name="Catch_Factor_Calc.">[75]Assumptions!#REF!</definedName>
    <definedName name="CAvgRate">#REF!</definedName>
    <definedName name="CAvgRate2">#REF!</definedName>
    <definedName name="CBeRate" localSheetId="17">[154]Dwt!#REF!</definedName>
    <definedName name="CBeRate">[155]Dwt!#REF!</definedName>
    <definedName name="cbi_facility_99">#REF!</definedName>
    <definedName name="cbu" localSheetId="7" hidden="1">{#N/A,#N/A,FALSE,"COVER.XLS";#N/A,#N/A,FALSE,"RACT1.XLS";#N/A,#N/A,FALSE,"RACT2.XLS";#N/A,#N/A,FALSE,"ECCMP";#N/A,#N/A,FALSE,"WELDER.XLS"}</definedName>
    <definedName name="cbu" localSheetId="10" hidden="1">{#N/A,#N/A,FALSE,"COVER.XLS";#N/A,#N/A,FALSE,"RACT1.XLS";#N/A,#N/A,FALSE,"RACT2.XLS";#N/A,#N/A,FALSE,"ECCMP";#N/A,#N/A,FALSE,"WELDER.XLS"}</definedName>
    <definedName name="cbu" localSheetId="1" hidden="1">{#N/A,#N/A,FALSE,"COVER.XLS";#N/A,#N/A,FALSE,"RACT1.XLS";#N/A,#N/A,FALSE,"RACT2.XLS";#N/A,#N/A,FALSE,"ECCMP";#N/A,#N/A,FALSE,"WELDER.XLS"}</definedName>
    <definedName name="cbu" localSheetId="0" hidden="1">{#N/A,#N/A,FALSE,"COVER.XLS";#N/A,#N/A,FALSE,"RACT1.XLS";#N/A,#N/A,FALSE,"RACT2.XLS";#N/A,#N/A,FALSE,"ECCMP";#N/A,#N/A,FALSE,"WELDER.XLS"}</definedName>
    <definedName name="cbu" localSheetId="6" hidden="1">{#N/A,#N/A,FALSE,"COVER.XLS";#N/A,#N/A,FALSE,"RACT1.XLS";#N/A,#N/A,FALSE,"RACT2.XLS";#N/A,#N/A,FALSE,"ECCMP";#N/A,#N/A,FALSE,"WELDER.XLS"}</definedName>
    <definedName name="cbu" hidden="1">{#N/A,#N/A,FALSE,"COVER.XLS";#N/A,#N/A,FALSE,"RACT1.XLS";#N/A,#N/A,FALSE,"RACT2.XLS";#N/A,#N/A,FALSE,"ECCMP";#N/A,#N/A,FALSE,"WELDER.XLS"}</definedName>
    <definedName name="CC">'[156]Customize Your Invoice'!$G$22:$G$25</definedName>
    <definedName name="ccc" localSheetId="17">#REF!</definedName>
    <definedName name="ccc">#REF!</definedName>
    <definedName name="CCC100prcost" localSheetId="17">'[132]Capex-fixed'!#REF!</definedName>
    <definedName name="CCC100prcost">'[132]Capex-fixed'!#REF!</definedName>
    <definedName name="ccFootnote" localSheetId="7">IF([0]!BefAft=1,"","[1] The Pre-Tax Cost of Capital = After-Tax Cost of Capital/(1-Tax Rate)")</definedName>
    <definedName name="ccFootnote" localSheetId="10">IF([0]!BefAft=1,"","[1] The Pre-Tax Cost of Capital = After-Tax Cost of Capital/(1-Tax Rate)")</definedName>
    <definedName name="ccFootnote" localSheetId="1">IF([0]!BefAft=1,"","[1] The Pre-Tax Cost of Capital = After-Tax Cost of Capital/(1-Tax Rate)")</definedName>
    <definedName name="ccFootnote" localSheetId="0">IF([0]!BefAft=1,"","[1] The Pre-Tax Cost of Capital = After-Tax Cost of Capital/(1-Tax Rate)")</definedName>
    <definedName name="ccFootnote" localSheetId="6">IF([0]!BefAft=1,"","[1] The Pre-Tax Cost of Capital = After-Tax Cost of Capital/(1-Tax Rate)")</definedName>
    <definedName name="ccFootnote">IF([0]!BefAft=1,"","[1] The Pre-Tax Cost of Capital = After-Tax Cost of Capital/(1-Tax Rate)")</definedName>
    <definedName name="CCost" localSheetId="1">#REF!</definedName>
    <definedName name="CCost" localSheetId="0">#REF!</definedName>
    <definedName name="CCost">#REF!</definedName>
    <definedName name="CCT" localSheetId="1">#REF!</definedName>
    <definedName name="CCT" localSheetId="0">#REF!</definedName>
    <definedName name="CCT">#REF!</definedName>
    <definedName name="cd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" localSheetId="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_EligibleAmount">'[46]80G'!$O$1</definedName>
    <definedName name="CDE_EligibleAmount">'[46]80G'!$P$1</definedName>
    <definedName name="CDPG1">#REF!</definedName>
    <definedName name="CDPG5">#REF!</definedName>
    <definedName name="cdu" localSheetId="7" hidden="1">{#N/A,#N/A,FALSE,"COVER.XLS";#N/A,#N/A,FALSE,"RACT1.XLS";#N/A,#N/A,FALSE,"RACT2.XLS";#N/A,#N/A,FALSE,"ECCMP";#N/A,#N/A,FALSE,"WELDER.XLS"}</definedName>
    <definedName name="cdu" localSheetId="10" hidden="1">{#N/A,#N/A,FALSE,"COVER.XLS";#N/A,#N/A,FALSE,"RACT1.XLS";#N/A,#N/A,FALSE,"RACT2.XLS";#N/A,#N/A,FALSE,"ECCMP";#N/A,#N/A,FALSE,"WELDER.XLS"}</definedName>
    <definedName name="cdu" localSheetId="1" hidden="1">{#N/A,#N/A,FALSE,"COVER.XLS";#N/A,#N/A,FALSE,"RACT1.XLS";#N/A,#N/A,FALSE,"RACT2.XLS";#N/A,#N/A,FALSE,"ECCMP";#N/A,#N/A,FALSE,"WELDER.XLS"}</definedName>
    <definedName name="cdu" localSheetId="0" hidden="1">{#N/A,#N/A,FALSE,"COVER.XLS";#N/A,#N/A,FALSE,"RACT1.XLS";#N/A,#N/A,FALSE,"RACT2.XLS";#N/A,#N/A,FALSE,"ECCMP";#N/A,#N/A,FALSE,"WELDER.XLS"}</definedName>
    <definedName name="cdu" localSheetId="6" hidden="1">{#N/A,#N/A,FALSE,"COVER.XLS";#N/A,#N/A,FALSE,"RACT1.XLS";#N/A,#N/A,FALSE,"RACT2.XLS";#N/A,#N/A,FALSE,"ECCMP";#N/A,#N/A,FALSE,"WELDER.XLS"}</definedName>
    <definedName name="cdu" hidden="1">{#N/A,#N/A,FALSE,"COVER.XLS";#N/A,#N/A,FALSE,"RACT1.XLS";#N/A,#N/A,FALSE,"RACT2.XLS";#N/A,#N/A,FALSE,"ECCMP";#N/A,#N/A,FALSE,"WELDER.XLS"}</definedName>
    <definedName name="celltips_area">#REF!</definedName>
    <definedName name="Cellulargrowthrate" localSheetId="17">#REF!</definedName>
    <definedName name="Cellulargrowthrate">#REF!</definedName>
    <definedName name="CellularsubscriberperE1">#REF!</definedName>
    <definedName name="cellularsubscribers">#REF!</definedName>
    <definedName name="Center_Name">#REF!</definedName>
    <definedName name="CentralSalesTax">[122]Assumptions!#REF!</definedName>
    <definedName name="cenvat" localSheetId="7" hidden="1">{"'August 2000'!$A$1:$J$101"}</definedName>
    <definedName name="cenvat" localSheetId="10" hidden="1">{"'August 2000'!$A$1:$J$101"}</definedName>
    <definedName name="cenvat" localSheetId="1" hidden="1">{"'August 2000'!$A$1:$J$101"}</definedName>
    <definedName name="cenvat" localSheetId="0" hidden="1">{"'August 2000'!$A$1:$J$101"}</definedName>
    <definedName name="cenvat" localSheetId="6" hidden="1">{"'August 2000'!$A$1:$J$101"}</definedName>
    <definedName name="cenvat" hidden="1">{"'August 2000'!$A$1:$J$101"}</definedName>
    <definedName name="CERCOps">'[103]Core Assumptions'!$H$139:$AS$157</definedName>
    <definedName name="CERCType">'[103]Core Assumptions'!$C$142:$E$157</definedName>
    <definedName name="cf">#REF!</definedName>
    <definedName name="cg.AmtDeemedCGSec54">[46]CG_OS!$J$54</definedName>
    <definedName name="cg.TotalLTCG">[46]CG_OS!$J$55</definedName>
    <definedName name="CG1_">#REF!</definedName>
    <definedName name="CG2_">#REF!</definedName>
    <definedName name="CG3_">#REF!</definedName>
    <definedName name="CG4_">#REF!</definedName>
    <definedName name="CG5_">#REF!</definedName>
    <definedName name="CG6_">#REF!</definedName>
    <definedName name="cgfcf">'[132]Capex-fixed'!#REF!</definedName>
    <definedName name="cglng.BalanceCG1">[46]CG_OS!$H$41</definedName>
    <definedName name="cglng.BalLTCGNo1121">[46]CG_OS!$J$43</definedName>
    <definedName name="cglng.CGSlumpSale2">[46]CG_OS!$H$30</definedName>
    <definedName name="cglng.DednUs54s2">[46]CG_OS!$H$31</definedName>
    <definedName name="cglng.ExemptionOrDednUs54s1">[46]CG_OS!$H$42</definedName>
    <definedName name="cglng.FullConsideration01">[46]CG_OS!$H$35</definedName>
    <definedName name="cglng.FullConsideration3">[46]CG_OS!$H$28</definedName>
    <definedName name="cglng.NetCGSlumpSale2">[46]CG_OS!$J$32</definedName>
    <definedName name="cglng.NetWorthOfUTDivn2">[46]CG_OS!$H$29</definedName>
    <definedName name="cglng.NRIAssetSec482">[46]CG_OS!$J$33</definedName>
    <definedName name="cglng.TotalDedn1">[46]CG_OS!$H$40</definedName>
    <definedName name="cgoth.BalanceCG2">[46]CG_OS!$H$51</definedName>
    <definedName name="cgoth.BalLTCGNo1122">[46]CG_OS!$J$53</definedName>
    <definedName name="cgoth.ExemptionOrDednUs54s2">[46]CG_OS!$H$52</definedName>
    <definedName name="cgoth.FullConsideration02">[46]CG_OS!$H$45</definedName>
    <definedName name="cgoth.TotalDedn2">[46]CG_OS!$H$50</definedName>
    <definedName name="cgshrt.CGSlumpSale1">[46]CG_OS!$H$6</definedName>
    <definedName name="cgshrt.DednUs54s1">[46]CG_OS!$H$7</definedName>
    <definedName name="cgshrt.FullConsideration2">[46]CG_OS!$H$11</definedName>
    <definedName name="cgshrt.STCGNotSec111A">[46]CG_OS!$J$25</definedName>
    <definedName name="cgshrt.STCGSec111A">[46]CG_OS!$J$24</definedName>
    <definedName name="cgshrt.TotalDedn">[46]CG_OS!$H$16</definedName>
    <definedName name="cgshrt.TotalSTCG">[46]CG_OS!$J$23</definedName>
    <definedName name="CH">'[157]194C'!#REF!</definedName>
    <definedName name="CHA">#REF!</definedName>
    <definedName name="Chal" localSheetId="17">#REF!</definedName>
    <definedName name="Chal">#REF!</definedName>
    <definedName name="Chall">#REF!</definedName>
    <definedName name="ChallanSrnoList">[158]Challan!$A$7:$A$57</definedName>
    <definedName name="CHANGE">#REF!</definedName>
    <definedName name="Channel_Sales_Commission_on_Revenue">[128]assumptions!$D$42</definedName>
    <definedName name="charan">'[62]ANNX -II'!$B$80:$K$97</definedName>
    <definedName name="chartfield">#REF!</definedName>
    <definedName name="CHARTOFACCOUNTSID1">[69]CRITERIA1!$B$3</definedName>
    <definedName name="Check">'[159]BALANCE SHEET'!$D$27</definedName>
    <definedName name="Check_Code">"Check Code"</definedName>
    <definedName name="Chile">[106]List_ratios!#REF!</definedName>
    <definedName name="CHINA_PLASTIC_in_KUSD">#REF!</definedName>
    <definedName name="CIF">#REF!</definedName>
    <definedName name="CIQWBGuid" hidden="1">"09d778bf-0536-4528-9053-32f245d583fc"</definedName>
    <definedName name="Circ">'[160]TATA Power'!$L$2</definedName>
    <definedName name="circbaspa" localSheetId="17">[161]Baspa!$E$6</definedName>
    <definedName name="circbaspa">[162]Baspa!$E$6</definedName>
    <definedName name="circkw" localSheetId="17">[161]KW!$E$6</definedName>
    <definedName name="circkw">[162]KW!$E$6</definedName>
    <definedName name="cisco_dscnt">#REF!</definedName>
    <definedName name="city_bal_127">#REF!</definedName>
    <definedName name="city_next_57">#REF!</definedName>
    <definedName name="city_top_10">#REF!</definedName>
    <definedName name="CityData">#REF!</definedName>
    <definedName name="CityName">[163]Assumptions!$M$2</definedName>
    <definedName name="cl_debt">'[164]debt schedule'!#REF!</definedName>
    <definedName name="cl_stk_rough_99">#REF!</definedName>
    <definedName name="Clac_MR">[46]Calculator!$D$23</definedName>
    <definedName name="clause10">#REF!</definedName>
    <definedName name="CLAUSE13">#REF!</definedName>
    <definedName name="CLAUSE13b">#REF!</definedName>
    <definedName name="clause14">#REF!</definedName>
    <definedName name="clause14d">#REF!</definedName>
    <definedName name="clause15">#REF!</definedName>
    <definedName name="clause16b">#REF!</definedName>
    <definedName name="clause17a">#REF!</definedName>
    <definedName name="clause17B">#REF!</definedName>
    <definedName name="clause17C">#REF!</definedName>
    <definedName name="CLAUSE17D">#REF!</definedName>
    <definedName name="clause17E">#REF!</definedName>
    <definedName name="clause17F">#REF!</definedName>
    <definedName name="clause17h">#REF!</definedName>
    <definedName name="clause17K">#REF!</definedName>
    <definedName name="clause18">#REF!</definedName>
    <definedName name="CLAUSE20">#REF!</definedName>
    <definedName name="clause21">#REF!</definedName>
    <definedName name="CLAUSE22A">#REF!</definedName>
    <definedName name="CLAUSE22B">#REF!</definedName>
    <definedName name="clause23">#REF!</definedName>
    <definedName name="clause24">#REF!</definedName>
    <definedName name="clause24b">#REF!</definedName>
    <definedName name="clause25">#REF!</definedName>
    <definedName name="clause26">#REF!</definedName>
    <definedName name="clause27">#REF!</definedName>
    <definedName name="clause28">#REF!</definedName>
    <definedName name="clause28b">#REF!</definedName>
    <definedName name="CLIAB">#REF!</definedName>
    <definedName name="Client">"Client"</definedName>
    <definedName name="Client_Grade">"C"</definedName>
    <definedName name="Close_Confirm" localSheetId="17">#REF!</definedName>
    <definedName name="Close_Confirm">#REF!</definedName>
    <definedName name="CLUB">#REF!</definedName>
    <definedName name="CLUB_P2_M" localSheetId="17">'[85]末残計画(四半期ベース)'!$F$653</definedName>
    <definedName name="CLUB_P2_M">'[86]末残計画(四半期ベース)'!$F$653</definedName>
    <definedName name="CLUB_P2_Q" localSheetId="17">'[85]末残計画(四半期ベース)'!$G$653</definedName>
    <definedName name="CLUB_P2_Q">'[86]末残計画(四半期ベース)'!$G$653</definedName>
    <definedName name="CLUB_PX2_M" localSheetId="17">'[85]末残計画(四半期ベース)'!$F$649</definedName>
    <definedName name="CLUB_PX2_M">'[86]末残計画(四半期ベース)'!$F$649</definedName>
    <definedName name="CLUB_PX2_Q" localSheetId="17">'[85]末残計画(四半期ベース)'!$G$649</definedName>
    <definedName name="CLUB_PX2_Q">'[86]末残計画(四半期ベース)'!$G$649</definedName>
    <definedName name="CLUB_PY2_M" localSheetId="17">'[85]末残計画(四半期ベース)'!$F$651</definedName>
    <definedName name="CLUB_PY2_M">'[86]末残計画(四半期ベース)'!$F$651</definedName>
    <definedName name="CLUB_PY2_Q" localSheetId="17">'[85]末残計画(四半期ベース)'!$G$651</definedName>
    <definedName name="CLUB_PY2_Q">'[86]末残計画(四半期ベース)'!$G$651</definedName>
    <definedName name="CLUB_R2_M" localSheetId="17">'[85]末残計画(四半期ベース)'!$F$654</definedName>
    <definedName name="CLUB_R2_M">'[86]末残計画(四半期ベース)'!$F$654</definedName>
    <definedName name="CLUB_R2_Q" localSheetId="17">'[85]末残計画(四半期ベース)'!$G$654</definedName>
    <definedName name="CLUB_R2_Q">'[86]末残計画(四半期ベース)'!$G$654</definedName>
    <definedName name="CLUB_RX2_M" localSheetId="17">'[85]末残計画(四半期ベース)'!$F$650</definedName>
    <definedName name="CLUB_RX2_M">'[86]末残計画(四半期ベース)'!$F$650</definedName>
    <definedName name="CLUB_RX2_Q" localSheetId="17">'[85]末残計画(四半期ベース)'!$G$650</definedName>
    <definedName name="CLUB_RX2_Q">'[86]末残計画(四半期ベース)'!$G$650</definedName>
    <definedName name="CLUB_RY2_M" localSheetId="17">'[85]末残計画(四半期ベース)'!$F$652</definedName>
    <definedName name="CLUB_RY2_M">'[86]末残計画(四半期ベース)'!$F$652</definedName>
    <definedName name="CLUB_RY2_Q" localSheetId="17">'[85]末残計画(四半期ベース)'!$G$652</definedName>
    <definedName name="CLUB_RY2_Q">'[86]末残計画(四半期ベース)'!$G$652</definedName>
    <definedName name="CLUBS">#REF!</definedName>
    <definedName name="clusters">[165]Sheet2!$A$3:$C$596</definedName>
    <definedName name="CM10_C_RIGHT___">#REF!</definedName>
    <definedName name="cmb_A_GEN1.AsseseeRepFlg">[46]GENERAL!$DH$52:$DH$53</definedName>
    <definedName name="cmb_A_GEN1.IncomeTaxSec">[46]GENERAL!$AJ$52:$AJ$59</definedName>
    <definedName name="cmb_A_GEN1.NRI_PE">[46]GENERAL!$DA$52:$DA$53</definedName>
    <definedName name="cmb_A_GEN1.ResidentialStatus">[46]GENERAL!$EM$52:$EM$53</definedName>
    <definedName name="cmb_A_GEN1.ReturnType">[46]GENERAL!$EB$52:$EB$53</definedName>
    <definedName name="cmb_A_GEN1.StateCode">[46]GENERAL!$B$52:$B$87</definedName>
    <definedName name="cmb_A_GEN1.StatusOrCompanyType">[46]GENERAL!$U$52:$U$53</definedName>
    <definedName name="cmb_A_GEN2.LiableSec44AAflg">[46]GENERAL!$DP$52:$DP$53</definedName>
    <definedName name="cmb_A_GEN2.LiableSec44ABflg">[46]GENERAL!$DS$52:$DS$53</definedName>
    <definedName name="cmb_DDT.RateDividPrevYrType">[46]DDT_TDS_TCS!$Z$3:$Z$4</definedName>
    <definedName name="cmb_FBI.EmployeesInOutIndiaFlg">[46]FRINGE_BENEFIT_INFO!$P$2:$P$3</definedName>
    <definedName name="cmb_FBI.SeparateAcntMaintainForIndiaForeignFlg">[46]FRINGE_BENEFIT_INFO!$Q$2:$Q$3</definedName>
    <definedName name="cmb_FSI.Country">[46]FSI!$B$400:$B$639</definedName>
    <definedName name="cmb_HP.ifLetOut1">#REF!</definedName>
    <definedName name="cmb_HP.StateCode1">#REF!</definedName>
    <definedName name="cmb_NOB.Code">[46]NATUREOFBUSINESS!$C$31:$C$104</definedName>
    <definedName name="cmb_OI.ChangeInAcctMethFlg">[46]OTHER_INFORMATION!$P$4:$P$5</definedName>
    <definedName name="cmb_OI.MethodOfAcct">[46]OTHER_INFORMATION!$O$4:$O$5</definedName>
    <definedName name="cmb_OIMethodofValClgStk.ChngStockValMetFlg">[46]OTHER_INFORMATION!$S$4:$S$5</definedName>
    <definedName name="cmb_OIMethodofValClgStk.ValFinishedGoods">[46]OTHER_INFORMATION!$R$4:$R$6</definedName>
    <definedName name="cmb_OIMethodofValClgStk.ValRawMaterial">[46]OTHER_INFORMATION!$Q$4:$Q$6</definedName>
    <definedName name="cmb_PAGBU2.BusOrgType">[46]GENERAL2!$D$50:$D$53</definedName>
    <definedName name="cmb_PAGH2.NatOfCompFlg">[46]GENERAL2!$C$50:$C$53</definedName>
    <definedName name="cmb_PAGH2.StateCode">[46]GENERAL2!$E$50:$E$85</definedName>
    <definedName name="cmb_PAGNA2.PubSectCompUs2_36AFlg">[46]GENERAL2!$G$50:$G$51</definedName>
    <definedName name="cmb_PAGS2.StateCode">'[46]SUBSIDIARY DETAILS'!$C$10:$C$45</definedName>
    <definedName name="cmb_Per10080G.StateCode">'[46]80G'!$B$79:$B$114</definedName>
    <definedName name="cmb_PMChange.PrevYrMemPartChange">[46]NATUREOFBUSINESS!$E$31:$E$32</definedName>
    <definedName name="cmb_PMInfo.StateCode">[46]NATUREOFBUSINESS!$I$31:$I$63</definedName>
    <definedName name="cmb_QDFinishrByProd.UnitOfMeasure">[46]QUANTITATIVE_DETAILS!$C$77:$C$99</definedName>
    <definedName name="cmb_QDRawMaterial.UnitOfMeasure">[46]QUANTITATIVE_DETAILS!$B$77:$B$99</definedName>
    <definedName name="cmb_QDTradingConcern.UnitOfMeasure">[46]QUANTITATIVE_DETAILS!$A$77:$A$99</definedName>
    <definedName name="cmb_SI.SecCode">[46]SI!$BC$11:$BC$33</definedName>
    <definedName name="cmb_TR.Country">[46]TR_FA!$B$400:$B$639</definedName>
    <definedName name="CMma" localSheetId="17">#REF!</definedName>
    <definedName name="CMma">#REF!</definedName>
    <definedName name="CN">[166]Index!$E$8</definedName>
    <definedName name="cn1_240" localSheetId="17">'[132]Capex-fixed'!#REF!</definedName>
    <definedName name="cn1_240">'[132]Capex-fixed'!#REF!</definedName>
    <definedName name="cn1_480" localSheetId="17">'[132]Capex-fixed'!#REF!</definedName>
    <definedName name="cn1_480">'[132]Capex-fixed'!#REF!</definedName>
    <definedName name="cn1_960">'[132]Capex-fixed'!#REF!</definedName>
    <definedName name="cn1_power">'[132]Capex-fixed'!#REF!</definedName>
    <definedName name="cn1fixed960">'[132]Capex-fixed'!#REF!</definedName>
    <definedName name="cn2_240">'[132]Capex-fixed'!#REF!</definedName>
    <definedName name="cn2_480">'[132]Capex-fixed'!#REF!</definedName>
    <definedName name="cn2_960">'[132]Capex-fixed'!#REF!</definedName>
    <definedName name="cn2_power">'[132]Capex-fixed'!#REF!</definedName>
    <definedName name="cn3_960">'[132]Capex-fixed'!#REF!</definedName>
    <definedName name="cn4_960">'[132]Capex-fixed'!#REF!</definedName>
    <definedName name="CNC">#REF!</definedName>
    <definedName name="cntr.hprptfrm">#REF!</definedName>
    <definedName name="CO" localSheetId="17">'[167]EXPENDITURE CYCLE'!#REF!</definedName>
    <definedName name="co" localSheetId="7">1</definedName>
    <definedName name="co" localSheetId="10">1</definedName>
    <definedName name="co" localSheetId="9">1</definedName>
    <definedName name="co" localSheetId="6">1</definedName>
    <definedName name="CO">'[168]EXPENDITURE CYCLE'!#REF!</definedName>
    <definedName name="COA">'[169]lov-COAct'!$A$2:$A$24</definedName>
    <definedName name="CoAdd">[114]Masters!$C$4</definedName>
    <definedName name="COAL_ESC">'[71]CERC Esc. rates'!$I$30</definedName>
    <definedName name="COAL_ESC_BASE">#REF!</definedName>
    <definedName name="COAL_ESC_SEN">#REF!</definedName>
    <definedName name="CoalSPV_DSCR">#REF!</definedName>
    <definedName name="COALSPV_FLAG">[71]Input!#REF!</definedName>
    <definedName name="cod" localSheetId="17">[100]Assumptions!$C$30</definedName>
    <definedName name="COD" localSheetId="7">[71]Assumptions!$D$12</definedName>
    <definedName name="COD" localSheetId="10">[71]Assumptions!$D$12</definedName>
    <definedName name="COD" localSheetId="9">[71]Assumptions!$D$12</definedName>
    <definedName name="COD" localSheetId="6">[71]Assumptions!$D$12</definedName>
    <definedName name="COD">'[170]Assumption-II'!$S$7</definedName>
    <definedName name="Code" hidden="1">#REF!</definedName>
    <definedName name="codi" localSheetId="17">[100]Assumptions!$D$30</definedName>
    <definedName name="codi">[101]Assumptions!$D$30</definedName>
    <definedName name="codii" localSheetId="17">[100]Assumptions!$E$30</definedName>
    <definedName name="codii">[101]Assumptions!$E$30</definedName>
    <definedName name="COGS">'[72]2. Forecast Drivers'!$E$31:$S$31</definedName>
    <definedName name="COLC" localSheetId="17">#REF!</definedName>
    <definedName name="COLC">#REF!</definedName>
    <definedName name="COLF">#REF!</definedName>
    <definedName name="COMMCORP" localSheetId="17">[171]海外WORK!#REF!</definedName>
    <definedName name="COMMCORP">[172]海外WORK!#REF!</definedName>
    <definedName name="comminfracost">'[132]Capex-fixed'!#REF!</definedName>
    <definedName name="commit">[133]commit!$A$2:$F$55</definedName>
    <definedName name="Common.On_Click" localSheetId="17">CMA!Common.On_Click</definedName>
    <definedName name="Common.On_Click" localSheetId="1">Historical!Common.On_Click</definedName>
    <definedName name="Common.On_Click" localSheetId="0">Projected!Common.On_Click</definedName>
    <definedName name="Common.On_Click">Common.On_Click</definedName>
    <definedName name="COMP" localSheetId="1">#REF!</definedName>
    <definedName name="COMP" localSheetId="0">#REF!</definedName>
    <definedName name="COMP">#REF!</definedName>
    <definedName name="Comp.97" localSheetId="1">#REF!</definedName>
    <definedName name="Comp.97" localSheetId="0">#REF!</definedName>
    <definedName name="Comp.97">#REF!</definedName>
    <definedName name="COMP.98" localSheetId="1">#REF!</definedName>
    <definedName name="COMP.98" localSheetId="0">#REF!</definedName>
    <definedName name="COMP.98">#REF!</definedName>
    <definedName name="COMP0203">#REF!</definedName>
    <definedName name="comp1" localSheetId="17">#REF!</definedName>
    <definedName name="comp1" localSheetId="7">#REF!</definedName>
    <definedName name="comp1" localSheetId="10">#REF!</definedName>
    <definedName name="comp1" localSheetId="9">#REF!</definedName>
    <definedName name="comp1" localSheetId="6">#REF!</definedName>
    <definedName name="comp1">#REF!</definedName>
    <definedName name="comp2">#REF!</definedName>
    <definedName name="comp2003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localSheetId="1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3">#REF!</definedName>
    <definedName name="Company" localSheetId="7">#REF!</definedName>
    <definedName name="Company" localSheetId="10">#REF!</definedName>
    <definedName name="Company" localSheetId="9">#REF!</definedName>
    <definedName name="Company" localSheetId="6">#REF!</definedName>
    <definedName name="company">'[132]RCPL-P&amp;L'!$B$2</definedName>
    <definedName name="Company_scope" localSheetId="17">#REF!</definedName>
    <definedName name="Company_scope">#REF!</definedName>
    <definedName name="Company98">#REF!</definedName>
    <definedName name="CompanyName">#REF!</definedName>
    <definedName name="CompanyNameShort">#REF!</definedName>
    <definedName name="Complex">[173]Input!$A$119:$B$129</definedName>
    <definedName name="Comput">#REF!</definedName>
    <definedName name="Computation">#REF!</definedName>
    <definedName name="COMPUTATION_OF_INTEREST_UNDER_SECTION_234_C">#REF!</definedName>
    <definedName name="Computers">#REF!</definedName>
    <definedName name="CoName">[114]Masters!$C$3</definedName>
    <definedName name="Conflict">[96]Directors!#REF!</definedName>
    <definedName name="CONNECTSTRING1">[69]CRITERIA1!$B$10</definedName>
    <definedName name="CONS..1">#REF!</definedName>
    <definedName name="CONS..2">#REF!</definedName>
    <definedName name="CONS..3">#REF!</definedName>
    <definedName name="CONS..4">#REF!</definedName>
    <definedName name="CONSOLID_E">#REF!</definedName>
    <definedName name="Consolidation">#REF!</definedName>
    <definedName name="CONSTANT">[130]Financials!#REF!</definedName>
    <definedName name="CONSTR">#REF!</definedName>
    <definedName name="consultancy" localSheetId="17">'[76]Cost Breakup Depreciation&amp; Tax'!$C$20</definedName>
    <definedName name="consultancy">'[77]Cost Breakup Depreciation&amp; Tax'!$C$20</definedName>
    <definedName name="Content_Applications">#REF!</definedName>
    <definedName name="ContentChangedEntryProductivity">[122]Assumptions!#REF!</definedName>
    <definedName name="ContentInfrastructureCost">[122]Assumptions!#REF!</definedName>
    <definedName name="ContentNewEntryProductivity">[122]Assumptions!#REF!</definedName>
    <definedName name="ContentResourceCost">[122]Assumptions!#REF!</definedName>
    <definedName name="contingency" localSheetId="17">'[76]Cost Breakup Depreciation&amp; Tax'!$C$32</definedName>
    <definedName name="contingency">'[77]Cost Breakup Depreciation&amp; Tax'!$C$32</definedName>
    <definedName name="CONTINUE">#REF!</definedName>
    <definedName name="CONTROL">#REF!</definedName>
    <definedName name="conv">[174]factors!$C$12</definedName>
    <definedName name="conv_mil_units">[175]Assum!$D$679</definedName>
    <definedName name="conv_mn_units">[115]Assum!$D$1017</definedName>
    <definedName name="conv_usd">[174]factors!$C$13</definedName>
    <definedName name="conv_USD_INR">'[115]Debt Schedule - HNGFL'!$C$213</definedName>
    <definedName name="convert">#N/A</definedName>
    <definedName name="CONVEYANCE_DEL">#REF!</definedName>
    <definedName name="COPM">#REF!</definedName>
    <definedName name="copy" localSheetId="7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localSheetId="10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localSheetId="1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localSheetId="0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localSheetId="6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RONATION_DIRECT_JULY">#REF!</definedName>
    <definedName name="CORPORATE">#REF!</definedName>
    <definedName name="corptax" localSheetId="17">#REF!</definedName>
    <definedName name="corptax">#REF!</definedName>
    <definedName name="COST">#REF!</definedName>
    <definedName name="cost_calcn">#REF!</definedName>
    <definedName name="CoStatus">[114]Masters!$C$7</definedName>
    <definedName name="cot">[131]wwww!$D$64</definedName>
    <definedName name="cota">[175]Assume!$D$6</definedName>
    <definedName name="cotsw">[131]Assume!$D$6</definedName>
    <definedName name="covbookfield">#REF!</definedName>
    <definedName name="cover">#REF!</definedName>
    <definedName name="cover1">#REF!</definedName>
    <definedName name="cover2">#REF!</definedName>
    <definedName name="coverage">[106]List_ratios!#REF!</definedName>
    <definedName name="CPNL">#REF!</definedName>
    <definedName name="Cr" localSheetId="17">#REF!</definedName>
    <definedName name="Cr" localSheetId="7">10^7</definedName>
    <definedName name="Cr" localSheetId="10">10^7</definedName>
    <definedName name="Cr" localSheetId="1">[176]Assum!$B$147</definedName>
    <definedName name="Cr" localSheetId="0">[176]Assum!$B$147</definedName>
    <definedName name="Cr" localSheetId="9">10^7</definedName>
    <definedName name="Cr" localSheetId="6">10^7</definedName>
    <definedName name="Cr">Assum!$B$147</definedName>
    <definedName name="CREATESUMMARYJNLS1">[69]CRITERIA1!$B$35</definedName>
    <definedName name="Creator">[67]ReasonCode!$P$2:$P$8</definedName>
    <definedName name="CREDIT_P_M" localSheetId="17">[83]関係会社貸付金データ!$D$13</definedName>
    <definedName name="CREDIT_P_M">[84]関係会社貸付金データ!$D$13</definedName>
    <definedName name="CREDIT_P_Q" localSheetId="17">[83]関係会社貸付金データ!$D$26</definedName>
    <definedName name="CREDIT_P_Q">[84]関係会社貸付金データ!$D$26</definedName>
    <definedName name="CREDIT_P2_M" localSheetId="17">'[85]末残計画(四半期ベース)'!$F$526</definedName>
    <definedName name="CREDIT_P2_M">'[86]末残計画(四半期ベース)'!$F$526</definedName>
    <definedName name="CREDIT_P2_Q" localSheetId="17">'[85]末残計画(四半期ベース)'!$G$526</definedName>
    <definedName name="CREDIT_P2_Q">'[86]末残計画(四半期ベース)'!$G$526</definedName>
    <definedName name="CREDIT_PX_M" localSheetId="17">[87]関係会社貸付金データ!$D$21</definedName>
    <definedName name="CREDIT_PX_M">[88]関係会社貸付金データ!$D$21</definedName>
    <definedName name="CREDIT_PX_Q" localSheetId="17">[87]関係会社貸付金データ!$D$46</definedName>
    <definedName name="CREDIT_PX_Q">[88]関係会社貸付金データ!$D$46</definedName>
    <definedName name="CREDIT_PX2_M" localSheetId="17">'[85]末残計画(四半期ベース)'!$F$522</definedName>
    <definedName name="CREDIT_PX2_M">'[86]末残計画(四半期ベース)'!$F$522</definedName>
    <definedName name="CREDIT_PX2_Q" localSheetId="17">'[85]末残計画(四半期ベース)'!$G$522</definedName>
    <definedName name="CREDIT_PX2_Q">'[86]末残計画(四半期ベース)'!$G$522</definedName>
    <definedName name="CREDIT_PY_M" localSheetId="17">[87]関係会社貸付金データ!$D$23</definedName>
    <definedName name="CREDIT_PY_M">[88]関係会社貸付金データ!$D$23</definedName>
    <definedName name="CREDIT_PY_Q" localSheetId="17">[87]関係会社貸付金データ!$D$48</definedName>
    <definedName name="CREDIT_PY_Q">[88]関係会社貸付金データ!$D$48</definedName>
    <definedName name="CREDIT_PY2_M" localSheetId="17">'[85]末残計画(四半期ベース)'!$F$524</definedName>
    <definedName name="CREDIT_PY2_M">'[86]末残計画(四半期ベース)'!$F$524</definedName>
    <definedName name="CREDIT_PY2_Q" localSheetId="17">'[85]末残計画(四半期ベース)'!$G$524</definedName>
    <definedName name="CREDIT_PY2_Q">'[86]末残計画(四半期ベース)'!$G$524</definedName>
    <definedName name="CREDIT_R_M" localSheetId="17">[83]関係会社貸付金データ!$D$14</definedName>
    <definedName name="CREDIT_R_M">[84]関係会社貸付金データ!$D$14</definedName>
    <definedName name="CREDIT_R_Q" localSheetId="17">[83]関係会社貸付金データ!$D$27</definedName>
    <definedName name="CREDIT_R_Q">[84]関係会社貸付金データ!$D$27</definedName>
    <definedName name="CREDIT_R2_M" localSheetId="17">'[85]末残計画(四半期ベース)'!$F$527</definedName>
    <definedName name="CREDIT_R2_M">'[86]末残計画(四半期ベース)'!$F$527</definedName>
    <definedName name="CREDIT_R2_Q" localSheetId="17">'[85]末残計画(四半期ベース)'!$G$527</definedName>
    <definedName name="CREDIT_R2_Q">'[86]末残計画(四半期ベース)'!$G$527</definedName>
    <definedName name="CREDIT_RX_M" localSheetId="17">[87]関係会社貸付金データ!$D$22</definedName>
    <definedName name="CREDIT_RX_M">[88]関係会社貸付金データ!$D$22</definedName>
    <definedName name="CREDIT_RX_Q" localSheetId="17">[87]関係会社貸付金データ!$D$47</definedName>
    <definedName name="CREDIT_RX_Q">[88]関係会社貸付金データ!$D$47</definedName>
    <definedName name="CREDIT_RX2_M" localSheetId="17">'[85]末残計画(四半期ベース)'!$F$523</definedName>
    <definedName name="CREDIT_RX2_M">'[86]末残計画(四半期ベース)'!$F$523</definedName>
    <definedName name="CREDIT_RX2_Q" localSheetId="17">'[85]末残計画(四半期ベース)'!$G$523</definedName>
    <definedName name="CREDIT_RX2_Q">'[86]末残計画(四半期ベース)'!$G$523</definedName>
    <definedName name="CREDIT_RY_M" localSheetId="17">[87]関係会社貸付金データ!$D$24</definedName>
    <definedName name="CREDIT_RY_M">[88]関係会社貸付金データ!$D$24</definedName>
    <definedName name="CREDIT_RY_Q" localSheetId="17">[87]関係会社貸付金データ!$D$49</definedName>
    <definedName name="CREDIT_RY_Q">[88]関係会社貸付金データ!$D$49</definedName>
    <definedName name="CREDIT_RY2_M" localSheetId="17">'[85]末残計画(四半期ベース)'!$F$525</definedName>
    <definedName name="CREDIT_RY2_M">'[86]末残計画(四半期ベース)'!$F$525</definedName>
    <definedName name="CREDIT_RY2_Q" localSheetId="17">'[85]末残計画(四半期ベース)'!$G$525</definedName>
    <definedName name="CREDIT_RY2_Q">'[86]末残計画(四半期ベース)'!$G$525</definedName>
    <definedName name="Creditors" localSheetId="17">#REF!</definedName>
    <definedName name="Creditors">#REF!</definedName>
    <definedName name="Creditors_99">#REF!</definedName>
    <definedName name="Creditors_labour_99">#REF!</definedName>
    <definedName name="CRIT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" localSheetId="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xlnm.Criteria" localSheetId="7">#REF!</definedName>
    <definedName name="_xlnm.Criteria" localSheetId="10">#REF!</definedName>
    <definedName name="_xlnm.Criteria" localSheetId="9">#REF!</definedName>
    <definedName name="_xlnm.Criteria" localSheetId="6">#REF!</definedName>
    <definedName name="_xlnm.Criteria">#REF!</definedName>
    <definedName name="Criteria_MI" localSheetId="7">#REF!</definedName>
    <definedName name="Criteria_MI" localSheetId="10">#REF!</definedName>
    <definedName name="Criteria_MI" localSheetId="9">#REF!</definedName>
    <definedName name="Criteria_MI" localSheetId="6">#REF!</definedName>
    <definedName name="Criteria_MI">#REF!</definedName>
    <definedName name="CRITERIACOLUMN1">[69]CRITERIA1!$B$22</definedName>
    <definedName name="CRITICAL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localSheetId="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s" localSheetId="7">#REF!</definedName>
    <definedName name="Crs" localSheetId="10">#REF!</definedName>
    <definedName name="Crs" localSheetId="9">#REF!</definedName>
    <definedName name="Crs" localSheetId="6">#REF!</definedName>
    <definedName name="CRS">#REF!</definedName>
    <definedName name="CRUSHER">#REF!</definedName>
    <definedName name="CRUSHERPRODUCTION">#REF!</definedName>
    <definedName name="CSBU" localSheetId="17">[64]Facility!#REF!</definedName>
    <definedName name="CSBU">[65]Facility!#REF!</definedName>
    <definedName name="Csdfs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localSheetId="1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PL">'[169]lov-cspl'!$A$2:$A$24</definedName>
    <definedName name="cspm">#REF!</definedName>
    <definedName name="cst">#REF!</definedName>
    <definedName name="cst_Batt">#REF!</definedName>
    <definedName name="cst_DG">#REF!</definedName>
    <definedName name="CTL" localSheetId="17">'[138]Cntrl Sheet'!$A$4</definedName>
    <definedName name="CTL">'[139]Cntrl Sheet'!$A$4</definedName>
    <definedName name="CTNL" localSheetId="17">[177]Lrnet_Inftch!#REF!</definedName>
    <definedName name="CTNL">[178]Lrnet_Inftch!#REF!</definedName>
    <definedName name="CTRL" localSheetId="17">'[138]Cntrl Sheet'!$A$2</definedName>
    <definedName name="CTRL">'[139]Cntrl Sheet'!$A$2</definedName>
    <definedName name="CUF_.5">#REF!</definedName>
    <definedName name="CUF_1">#REF!</definedName>
    <definedName name="CUF_1.5">#REF!</definedName>
    <definedName name="CUF_2">#REF!</definedName>
    <definedName name="CUF_2.5">#REF!</definedName>
    <definedName name="CUF_3">#REF!</definedName>
    <definedName name="CUF_P50">#REF!</definedName>
    <definedName name="CUF_P75">#REF!</definedName>
    <definedName name="Cum.Interest">IF('[97]FITZ MORT 94'!XEY1&lt;&gt;"",'[97]FITZ MORT 94'!A1048576+'[97]FITZ MORT 94'!XFB1,"")</definedName>
    <definedName name="Cum_Int">#REF!</definedName>
    <definedName name="CurA">#REF!</definedName>
    <definedName name="curliabc">'[45]NOTES '!#REF!</definedName>
    <definedName name="curliabp">'[45]NOTES '!#REF!</definedName>
    <definedName name="Currency" localSheetId="17">#REF!</definedName>
    <definedName name="Currency" localSheetId="7">'[72]2. Forecast Drivers'!$D$14</definedName>
    <definedName name="Currency" localSheetId="10">'[72]2. Forecast Drivers'!$D$14</definedName>
    <definedName name="Currency" localSheetId="9">'[72]2. Forecast Drivers'!$D$14</definedName>
    <definedName name="Currency" localSheetId="6">'[72]2. Forecast Drivers'!$D$14</definedName>
    <definedName name="Currency">#REF!</definedName>
    <definedName name="CurrentLiab">[150]Financials!$J$111:$R$111</definedName>
    <definedName name="Currentplugcost" localSheetId="17">'[132]Capex-fixed'!#REF!</definedName>
    <definedName name="Currentplugcost">'[132]Capex-fixed'!#REF!</definedName>
    <definedName name="CurrentPortion">[150]Financials!$J$146:$U$146</definedName>
    <definedName name="currmnth">#REF!</definedName>
    <definedName name="CurT">#REF!</definedName>
    <definedName name="CURVE" localSheetId="7" hidden="1">{#N/A,#N/A,FALSE,"COVER1.XLS ";#N/A,#N/A,FALSE,"RACT1.XLS";#N/A,#N/A,FALSE,"RACT2.XLS";#N/A,#N/A,FALSE,"ECCMP";#N/A,#N/A,FALSE,"WELDER.XLS"}</definedName>
    <definedName name="CURVE" localSheetId="10" hidden="1">{#N/A,#N/A,FALSE,"COVER1.XLS ";#N/A,#N/A,FALSE,"RACT1.XLS";#N/A,#N/A,FALSE,"RACT2.XLS";#N/A,#N/A,FALSE,"ECCMP";#N/A,#N/A,FALSE,"WELDER.XLS"}</definedName>
    <definedName name="CURVE" localSheetId="1" hidden="1">{#N/A,#N/A,FALSE,"COVER1.XLS ";#N/A,#N/A,FALSE,"RACT1.XLS";#N/A,#N/A,FALSE,"RACT2.XLS";#N/A,#N/A,FALSE,"ECCMP";#N/A,#N/A,FALSE,"WELDER.XLS"}</definedName>
    <definedName name="CURVE" localSheetId="0" hidden="1">{#N/A,#N/A,FALSE,"COVER1.XLS ";#N/A,#N/A,FALSE,"RACT1.XLS";#N/A,#N/A,FALSE,"RACT2.XLS";#N/A,#N/A,FALSE,"ECCMP";#N/A,#N/A,FALSE,"WELDER.XLS"}</definedName>
    <definedName name="CURVE" localSheetId="6" hidden="1">{#N/A,#N/A,FALSE,"COVER1.XLS ";#N/A,#N/A,FALSE,"RACT1.XLS";#N/A,#N/A,FALSE,"RACT2.XLS";#N/A,#N/A,FALSE,"ECCMP";#N/A,#N/A,FALSE,"WELDER.XLS"}</definedName>
    <definedName name="CURVE" hidden="1">{#N/A,#N/A,FALSE,"COVER1.XLS ";#N/A,#N/A,FALSE,"RACT1.XLS";#N/A,#N/A,FALSE,"RACT2.XLS";#N/A,#N/A,FALSE,"ECCMP";#N/A,#N/A,FALSE,"WELDER.XLS"}</definedName>
    <definedName name="Customer_Address">"Rm 2409, 24/F Winsor House"</definedName>
    <definedName name="Customer_City">"Causeway Bay, Hong KOng"</definedName>
    <definedName name="Customer_Name">"Trend_Micro_HK_Limited"</definedName>
    <definedName name="Customer_State">"Hong KOng"</definedName>
    <definedName name="Customer_ZIP">"sdf"</definedName>
    <definedName name="CV">#REF!</definedName>
    <definedName name="CVY">'[72]2. Forecast Drivers'!$O$338:$AD$338</definedName>
    <definedName name="CVY_Date">'[72]2. Forecast Drivers'!$D$13</definedName>
    <definedName name="CWIP">#REF!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ik_Equity" localSheetId="17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Working_Capital">#REF!</definedName>
    <definedName name="cyla.TotBusLoss">'[46]CYLA BFLA'!$F$4</definedName>
    <definedName name="cyla.TotHPlossCurYr">'[46]CYLA BFLA'!$E$4</definedName>
    <definedName name="cyla.TotOthSrcLossNoRaceHorse">'[46]CYLA BFLA'!$G$4</definedName>
    <definedName name="d" localSheetId="7">#REF!</definedName>
    <definedName name="d" localSheetId="10">#REF!</definedName>
    <definedName name="d" localSheetId="9">#REF!</definedName>
    <definedName name="d" localSheetId="6">#REF!</definedName>
    <definedName name="d">#REF!</definedName>
    <definedName name="D_1">#REF!</definedName>
    <definedName name="D_2">#REF!</definedName>
    <definedName name="D_3">#REF!</definedName>
    <definedName name="D_4">#REF!</definedName>
    <definedName name="D_5">#REF!</definedName>
    <definedName name="D_6">#REF!</definedName>
    <definedName name="D_Gupta">#REF!</definedName>
    <definedName name="D_Khatwani">#REF!</definedName>
    <definedName name="D_Marquis">#REF!</definedName>
    <definedName name="D_RANGE">#REF!</definedName>
    <definedName name="d1_range">#REF!</definedName>
    <definedName name="dadfsdf">#REF!</definedName>
    <definedName name="dafsff">#REF!</definedName>
    <definedName name="Daily_Opex">#REF!</definedName>
    <definedName name="DAOB10.AdditionsGrThan180Days">[46]DPM_DOA!$E$27</definedName>
    <definedName name="DAOB10.AdditionsLessThan180Days">[46]DPM_DOA!$E$30</definedName>
    <definedName name="DAOB10.AddlnDeprDuringYearAdditions">[46]DPM_DOA!$E$36</definedName>
    <definedName name="DAOB10.AddlnDeprOnGT180DayAdditions">[46]DPM_DOA!$E$35</definedName>
    <definedName name="DAOB10.DepreciationAtFullRate">[46]DPM_DOA!$E$33</definedName>
    <definedName name="DAOB10.DepreciationAtHalfRate">[46]DPM_DOA!$E$34</definedName>
    <definedName name="DAOB10.FullRateDeprAmt">[46]DPM_DOA!$E$29</definedName>
    <definedName name="DAOB10.HalfRateDeprAmt">[46]DPM_DOA!$E$32</definedName>
    <definedName name="DAOB10.RATE">[46]DPM_DOA!$E$24</definedName>
    <definedName name="DAOB10.RealizationPeriodDuringYear">[46]DPM_DOA!$E$31</definedName>
    <definedName name="DAOB10.RealizationTotalPeriod">[46]DPM_DOA!$E$28</definedName>
    <definedName name="DAOB10.TotalDepreciation">[46]DPM_DOA!$E$37</definedName>
    <definedName name="DAOB10.WDVFirstDay">[46]DPM_DOA!$E$26</definedName>
    <definedName name="DAOB100.AdditionsGrThan180Days">[46]DPM_DOA!$F$27</definedName>
    <definedName name="DAOB100.AdditionsLessThan180Days">[46]DPM_DOA!$F$30</definedName>
    <definedName name="DAOB100.AddlnDeprDuringYearAdditions">[46]DPM_DOA!$F$36</definedName>
    <definedName name="DAOB100.AddlnDeprOnGT180DayAdditions">[46]DPM_DOA!$F$35</definedName>
    <definedName name="DAOB100.DepreciationAtFullRate">[46]DPM_DOA!$F$33</definedName>
    <definedName name="DAOB100.DepreciationAtHalfRate">[46]DPM_DOA!$F$34</definedName>
    <definedName name="DAOB100.FullRateDeprAmt">[46]DPM_DOA!$F$29</definedName>
    <definedName name="DAOB100.HalfRateDeprAmt">[46]DPM_DOA!$F$32</definedName>
    <definedName name="DAOB100.RATE">[46]DPM_DOA!$F$24</definedName>
    <definedName name="DAOB100.RealizationPeriodDuringYear">[46]DPM_DOA!$F$31</definedName>
    <definedName name="DAOB100.RealizationTotalPeriod">[46]DPM_DOA!$F$28</definedName>
    <definedName name="DAOB100.TotalDepreciation">[46]DPM_DOA!$F$37</definedName>
    <definedName name="DAOB100.WDVFirstDay">[46]DPM_DOA!$F$26</definedName>
    <definedName name="DAOB5.AdditionsGrThan180Days">[46]DPM_DOA!$D$27</definedName>
    <definedName name="DAOB5.AdditionsLessThan180Days">[46]DPM_DOA!$D$30</definedName>
    <definedName name="DAOB5.AddlnDeprDuringYearAdditions">[46]DPM_DOA!$D$36</definedName>
    <definedName name="DAOB5.AddlnDeprOnGT180DayAdditions">[46]DPM_DOA!$D$35</definedName>
    <definedName name="DAOB5.DepreciationAtFullRate">[46]DPM_DOA!$D$33</definedName>
    <definedName name="DAOB5.DepreciationAtHalfRate">[46]DPM_DOA!$D$34</definedName>
    <definedName name="DAOB5.FullRateDeprAmt">[46]DPM_DOA!$D$29</definedName>
    <definedName name="DAOB5.HalfRateDeprAmt">[46]DPM_DOA!$D$32</definedName>
    <definedName name="DAOB5.RATE">[46]DPM_DOA!$D$24</definedName>
    <definedName name="DAOB5.RealizationPeriodDuringYear">[46]DPM_DOA!$D$31</definedName>
    <definedName name="DAOB5.RealizationTotalPeriod">[46]DPM_DOA!$D$28</definedName>
    <definedName name="DAOB5.TotalDepreciation">[46]DPM_DOA!$D$37</definedName>
    <definedName name="DAOB5.WDVFirstDay">[46]DPM_DOA!$D$26</definedName>
    <definedName name="DAOF10.AdditionsGrThan180Days">[46]DPM_DOA!$G$27</definedName>
    <definedName name="DAOF10.AdditionsLessThan180Days">[46]DPM_DOA!$G$30</definedName>
    <definedName name="DAOF10.AddlnDeprDuringYearAdditions">[46]DPM_DOA!$G$36</definedName>
    <definedName name="DAOF10.AddlnDeprOnGT180DayAdditions">[46]DPM_DOA!$G$35</definedName>
    <definedName name="DAOF10.DepreciationAtFullRate">[46]DPM_DOA!$G$33</definedName>
    <definedName name="DAOF10.DepreciationAtHalfRate">[46]DPM_DOA!$G$34</definedName>
    <definedName name="DAOF10.FullRateDeprAmt">[46]DPM_DOA!$G$29</definedName>
    <definedName name="DAOF10.HalfRateDeprAmt">[46]DPM_DOA!$G$32</definedName>
    <definedName name="DAOF10.RATE">[46]DPM_DOA!$G$24</definedName>
    <definedName name="DAOF10.RealizationPeriodDuringYear">[46]DPM_DOA!$G$31</definedName>
    <definedName name="DAOF10.RealizationTotalPeriod">[46]DPM_DOA!$G$28</definedName>
    <definedName name="DAOF10.TotalDepreciation">[46]DPM_DOA!$G$37</definedName>
    <definedName name="DAOF10.WDVFirstDay">[46]DPM_DOA!$G$26</definedName>
    <definedName name="DAOI25.AdditionsGrThan180Days">[46]DPM_DOA!$H$27</definedName>
    <definedName name="DAOI25.AdditionsLessThan180Days">[46]DPM_DOA!$H$30</definedName>
    <definedName name="DAOI25.AddlnDeprDuringYearAdditions">[46]DPM_DOA!$H$36</definedName>
    <definedName name="DAOI25.AddlnDeprOnGT180DayAdditions">[46]DPM_DOA!$H$35</definedName>
    <definedName name="DAOI25.DepreciationAtFullRate">[46]DPM_DOA!$H$33</definedName>
    <definedName name="DAOI25.DepreciationAtHalfRate">[46]DPM_DOA!$H$34</definedName>
    <definedName name="DAOI25.FullRateDeprAmt">[46]DPM_DOA!$H$29</definedName>
    <definedName name="DAOI25.HalfRateDeprAmt">[46]DPM_DOA!$H$32</definedName>
    <definedName name="DAOI25.RATE">[46]DPM_DOA!$H$24</definedName>
    <definedName name="DAOI25.RealizationPeriodDuringYear">[46]DPM_DOA!$H$31</definedName>
    <definedName name="DAOI25.RealizationTotalPeriod">[46]DPM_DOA!$H$28</definedName>
    <definedName name="DAOI25.TotalDepreciation">[46]DPM_DOA!$H$37</definedName>
    <definedName name="DAOI25.WDVFirstDay">[46]DPM_DOA!$H$26</definedName>
    <definedName name="DAOS20.AdditionsGrThan180Days">[46]DPM_DOA!$I$27</definedName>
    <definedName name="DAOS20.AdditionsLessThan180Days">[46]DPM_DOA!$I$30</definedName>
    <definedName name="DAOS20.AddlnDeprDuringYearAdditions">[46]DPM_DOA!$I$36</definedName>
    <definedName name="DAOS20.AddlnDeprOnGT180DayAdditions">[46]DPM_DOA!$I$35</definedName>
    <definedName name="DAOS20.DepreciationAtFullRate">[46]DPM_DOA!$I$33</definedName>
    <definedName name="DAOS20.DepreciationAtHalfRate">[46]DPM_DOA!$I$34</definedName>
    <definedName name="DAOS20.FullRateDeprAmt">[46]DPM_DOA!$I$29</definedName>
    <definedName name="DAOS20.HalfRateDeprAmt">[46]DPM_DOA!$I$32</definedName>
    <definedName name="DAOS20.RATE">[46]DPM_DOA!$I$24</definedName>
    <definedName name="DAOS20.RealizationPeriodDuringYear">[46]DPM_DOA!$I$31</definedName>
    <definedName name="DAOS20.RealizationTotalPeriod">[46]DPM_DOA!$I$28</definedName>
    <definedName name="DAOS20.TotalDepreciation">[46]DPM_DOA!$I$37</definedName>
    <definedName name="DAOS20.WDVFirstDay">[46]DPM_DOA!$I$26</definedName>
    <definedName name="dargad">#REF!,#REF!</definedName>
    <definedName name="dark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rk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rk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rk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rk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rk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t" localSheetId="7">#REF!</definedName>
    <definedName name="dat" localSheetId="10">#REF!</definedName>
    <definedName name="dat" localSheetId="9">#REF!</definedName>
    <definedName name="dat" localSheetId="6">#REF!</definedName>
    <definedName name="DAT">#REF!</definedName>
    <definedName name="dat16.1">#REF!</definedName>
    <definedName name="DAT19a">#REF!</definedName>
    <definedName name="data" localSheetId="17">[179]Input!#REF!</definedName>
    <definedName name="data" localSheetId="7">#REF!</definedName>
    <definedName name="data" localSheetId="10">#REF!</definedName>
    <definedName name="data" localSheetId="9">#REF!</definedName>
    <definedName name="data" localSheetId="6">#REF!</definedName>
    <definedName name="data">[180]Input!#REF!</definedName>
    <definedName name="data_1">#REF!</definedName>
    <definedName name="data_10">#REF!</definedName>
    <definedName name="data_11">#REF!</definedName>
    <definedName name="data_12">#REF!</definedName>
    <definedName name="data_14">#REF!</definedName>
    <definedName name="data_15">#REF!</definedName>
    <definedName name="data_16">#REF!</definedName>
    <definedName name="data_17">#REF!</definedName>
    <definedName name="data_18">#REF!</definedName>
    <definedName name="data_2">#REF!</definedName>
    <definedName name="data_3">#REF!</definedName>
    <definedName name="data_4">#REF!</definedName>
    <definedName name="data_5">#REF!</definedName>
    <definedName name="data_6">#REF!</definedName>
    <definedName name="Data1">#REF!</definedName>
    <definedName name="DATA10">#REF!</definedName>
    <definedName name="DATA11">'[181]ICICI &amp; TMBL interest'!$J$4:$J$28</definedName>
    <definedName name="Data2">#REF!</definedName>
    <definedName name="DATA3">#REF!</definedName>
    <definedName name="DATA4">[182]Subscription!$D$2:$D$171</definedName>
    <definedName name="DATA5">#REF!</definedName>
    <definedName name="DATA6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'[182]4219020-SIE Advert'!$H$2:$H$45</definedName>
    <definedName name="DATA9">[183]Original!#REF!</definedName>
    <definedName name="_xlnm.Database" localSheetId="17">#REF!</definedName>
    <definedName name="_xlnm.Database" localSheetId="7">#REF!</definedName>
    <definedName name="_xlnm.Database" localSheetId="10">#REF!</definedName>
    <definedName name="_xlnm.Database" localSheetId="9">#REF!</definedName>
    <definedName name="_xlnm.Database" localSheetId="6">#REF!</definedName>
    <definedName name="_xlnm.Database">#REF!</definedName>
    <definedName name="Database_MI">#REF!</definedName>
    <definedName name="DataCaprate">'[70]A-General'!#REF!</definedName>
    <definedName name="DataDispo">'[70]A-General'!#REF!</definedName>
    <definedName name="datagrowth">#REF!</definedName>
    <definedName name="DataStabMnth">'[184]A-General'!#REF!</definedName>
    <definedName name="DataTableCap">'[70]A-General'!#REF!</definedName>
    <definedName name="DataTableCap2">'[70]A-General'!#REF!</definedName>
    <definedName name="DataTableCaprate">'[70]A-General'!#REF!</definedName>
    <definedName name="DataTableDispo">'[70]A-General'!#REF!</definedName>
    <definedName name="DataTableStab">'[184]A-General'!#REF!</definedName>
    <definedName name="DataTableStabMnth">'[184]A-General'!#REF!</definedName>
    <definedName name="Date">'[124]BS-P&amp;L'!$F$1</definedName>
    <definedName name="DATE1">'[129]MN T.B.'!#REF!</definedName>
    <definedName name="DATE2">'[129]MN T.B.'!#REF!</definedName>
    <definedName name="DATE3">'[129]MN T.B.'!#REF!</definedName>
    <definedName name="DateCFGs" localSheetId="17">[185]IRR!#REF!</definedName>
    <definedName name="DateCFGs">[186]IRR!#REF!</definedName>
    <definedName name="DateCFJ1" localSheetId="17">[185]IRR!#REF!</definedName>
    <definedName name="DateCFJ1">[186]IRR!#REF!</definedName>
    <definedName name="DateRange">"1998.10.01 To 1998.10.31"</definedName>
    <definedName name="Dates">'[72]2. Forecast Drivers'!$E$336:$AD$336</definedName>
    <definedName name="Days">#REF!</definedName>
    <definedName name="Days_in_Receivables">'[81]Statistics {pbc}'!$A$2:$G$2,'[81]Statistics {pbc}'!$A$8:$G$8</definedName>
    <definedName name="DBNAME1">[69]CRITERIA1!$B$11</definedName>
    <definedName name="dbo_TimeSheetOnProjects">#REF!</definedName>
    <definedName name="DBUSERNAME1">[69]CRITERIA1!$B$9</definedName>
    <definedName name="DC">[46]Calculator!$M$48</definedName>
    <definedName name="Dcap" localSheetId="17">#REF!</definedName>
    <definedName name="Dcap">#REF!</definedName>
    <definedName name="DCF">#REF!</definedName>
    <definedName name="DCGP.TotPlntMach">[46]DEP_DCG!$H$30</definedName>
    <definedName name="ÐCompanyName" hidden="1">#REF!</definedName>
    <definedName name="dcv">'[187]Forecast Drivers'!$E$131:$S$131</definedName>
    <definedName name="dd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d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D" hidden="1">#REF!</definedName>
    <definedName name="dddddd">'[188]ANNX -II'!$B$80:$K$97</definedName>
    <definedName name="ddddddggg" hidden="1">#REF!</definedName>
    <definedName name="DDT.AddLITPlusIntrestPayable">[46]DDT_TDS_TCS!$J$3:$J$8</definedName>
    <definedName name="DDT.TaxAndInterestPaid">[46]DDT_TDS_TCS!$I$13</definedName>
    <definedName name="DDTP.Amt">[46]IT_DDTP!$F$44:$F$49</definedName>
    <definedName name="Deal">#REF!</definedName>
    <definedName name="DEB" localSheetId="17">[64]deb!#REF!</definedName>
    <definedName name="DEB">[65]deb!#REF!</definedName>
    <definedName name="debenture" localSheetId="17">#REF!</definedName>
    <definedName name="debenture">#REF!</definedName>
    <definedName name="Debt">[189]Inputs!$D$68</definedName>
    <definedName name="debt_1">#REF!</definedName>
    <definedName name="debt_2">#REF!</definedName>
    <definedName name="debt_3">#REF!</definedName>
    <definedName name="debt_4">#REF!</definedName>
    <definedName name="debt_5">#REF!</definedName>
    <definedName name="debt_6">#REF!</definedName>
    <definedName name="debt_calc1">'[74]FUNDING REQT_11.2'!$D$49</definedName>
    <definedName name="debt_costs">#REF!</definedName>
    <definedName name="Debt_Exp_to_Sales">'[81]Statistics {pbc}'!$A$2:$G$2,'[81]Statistics {pbc}'!$A$11:$G$11</definedName>
    <definedName name="debt_paste_1">'[74]FUNDING REQT_11.2'!$D$50</definedName>
    <definedName name="Debt_Pct">[190]Assumptions!$B$13</definedName>
    <definedName name="debt_repay">'[164]debt schedule'!#REF!</definedName>
    <definedName name="DebtEquity">[106]List_ratios!#REF!</definedName>
    <definedName name="Debtors" localSheetId="17">#REF!</definedName>
    <definedName name="Debtors">#REF!</definedName>
    <definedName name="debtrepay">#REF!</definedName>
    <definedName name="DebtRpytCopy">#REF!</definedName>
    <definedName name="DebtRpytCopySum">#REF!</definedName>
    <definedName name="DebtRpytOrig">#REF!</definedName>
    <definedName name="DebtRpytOrigSum">#REF!</definedName>
    <definedName name="Debts">'[191]Final Accounts'!#REF!</definedName>
    <definedName name="debtsch">#REF!</definedName>
    <definedName name="Dec_Proj_Cost">#REF!</definedName>
    <definedName name="Dec05_CMBS">#REF!</definedName>
    <definedName name="Dec05CMBS">#REF!</definedName>
    <definedName name="decdebt">#REF!</definedName>
    <definedName name="decretal">#REF!</definedName>
    <definedName name="ded_usincome">[46]Calculator!$Q$7</definedName>
    <definedName name="Deduction_Copy_Sum" localSheetId="17">[185]Tax!#REF!</definedName>
    <definedName name="Deduction_Copy_Sum">[186]Tax!#REF!</definedName>
    <definedName name="Deduction_Orig" localSheetId="17">[185]Tax!#REF!</definedName>
    <definedName name="Deduction_Orig">[186]Tax!#REF!</definedName>
    <definedName name="Deduction_Orig_Sum" localSheetId="17">[185]Tax!#REF!</definedName>
    <definedName name="Deduction_Orig_Sum">[186]Tax!#REF!</definedName>
    <definedName name="deep">'[192]TB APJ'!$B$85</definedName>
    <definedName name="Deepak">#REF!</definedName>
    <definedName name="DefaultScaleAmount" localSheetId="17">#REF!</definedName>
    <definedName name="DefaultScaleAmount">#REF!</definedName>
    <definedName name="Deferred_Maintenance">[142]Summary!#REF!</definedName>
    <definedName name="deff">#REF!</definedName>
    <definedName name="DefTax_Bal">'[72]2. Forecast Drivers'!$E$287:$S$287</definedName>
    <definedName name="DefTax_Delta">'[72]2. Forecast Drivers'!$E$286:$S$286</definedName>
    <definedName name="DefTaxA_Bal">'[72]2. Forecast Drivers'!$E$284:$S$284</definedName>
    <definedName name="DefTaxA_Delta">'[72]2. Forecast Drivers'!$E$283:$S$283</definedName>
    <definedName name="Deg_.25">#REF!</definedName>
    <definedName name="Deg_.5">#REF!</definedName>
    <definedName name="degra_var_mod">[119]Assumptions!$L$38</definedName>
    <definedName name="DELETELOGICTYPE1">[69]CRITERIA1!$B$19</definedName>
    <definedName name="delhi" localSheetId="17">[49]Assumptions!#REF!</definedName>
    <definedName name="delhi">[50]Assumptions!#REF!</definedName>
    <definedName name="dep" localSheetId="17">#REF!</definedName>
    <definedName name="DEP" localSheetId="7">#REF!</definedName>
    <definedName name="DEP" localSheetId="10">#REF!</definedName>
    <definedName name="DEP" localSheetId="9">#REF!</definedName>
    <definedName name="DEP" localSheetId="6">#REF!</definedName>
    <definedName name="dep">#REF!</definedName>
    <definedName name="DEP.TotalDepreciation">[46]DEP_DCG!$H$19</definedName>
    <definedName name="dep_it_act">#REF!</definedName>
    <definedName name="dep_rate">#REF!</definedName>
    <definedName name="Dep_Rates">#REF!</definedName>
    <definedName name="DepCA">[193]Assumptions!#REF!</definedName>
    <definedName name="depcal">#REF!</definedName>
    <definedName name="DepIT">[193]Assumptions!#REF!</definedName>
    <definedName name="Depn">'[72]2. Forecast Drivers'!$E$75:$S$75</definedName>
    <definedName name="DEPN_1TOTAL">#REF!</definedName>
    <definedName name="DEPN_2ALLWYN">#REF!</definedName>
    <definedName name="DEPN_3EXCLALLWYN">#REF!</definedName>
    <definedName name="DEPN_ADD1STHALF">#REF!</definedName>
    <definedName name="DEPN_ADD2NDHALF">#REF!</definedName>
    <definedName name="DEPN_SALE">#REF!</definedName>
    <definedName name="deposit">#REF!</definedName>
    <definedName name="DEPOSITS">#REF!</definedName>
    <definedName name="depot" localSheetId="17">'[76]Cost Breakup Depreciation&amp; Tax'!$C$7</definedName>
    <definedName name="depot">'[77]Cost Breakup Depreciation&amp; Tax'!$C$7</definedName>
    <definedName name="depotpm" localSheetId="17">'[76]Cost Breakup Depreciation&amp; Tax'!$C$15</definedName>
    <definedName name="depotpm">'[77]Cost Breakup Depreciation&amp; Tax'!$C$15</definedName>
    <definedName name="depr">[194]Financials!#REF!</definedName>
    <definedName name="DEPR_PARENT_0304_FINAL" localSheetId="17">#REF!</definedName>
    <definedName name="DEPR_PARENT_0304_FINAL">#REF!</definedName>
    <definedName name="DEPREC">'[195]EMPLOYEE DESOSIT RECEIVED'!$C$338</definedName>
    <definedName name="depreciation">#REF!</definedName>
    <definedName name="DepriciationAprActual">#REF!</definedName>
    <definedName name="DepriciationAugProj">#REF!</definedName>
    <definedName name="DepriciationDecProj">#REF!</definedName>
    <definedName name="DepriciationFebProj">#REF!</definedName>
    <definedName name="DepriciationJanProj">#REF!</definedName>
    <definedName name="DepriciationJulyProj">#REF!</definedName>
    <definedName name="DepriciationJuneProj">#REF!</definedName>
    <definedName name="DepriciationMarProj">#REF!</definedName>
    <definedName name="DepriciationMayActual">#REF!</definedName>
    <definedName name="DepriciationNovProj">#REF!</definedName>
    <definedName name="DepriciationOctProj">#REF!</definedName>
    <definedName name="DepriciationSepProj">#REF!</definedName>
    <definedName name="DEPRN">#REF!</definedName>
    <definedName name="der">#REF!</definedName>
    <definedName name="DER_1">#REF!</definedName>
    <definedName name="DER_2">#REF!</definedName>
    <definedName name="DER_3">#REF!</definedName>
    <definedName name="DER_4">#REF!</definedName>
    <definedName name="DER_5">#REF!</definedName>
    <definedName name="DER_6">#REF!</definedName>
    <definedName name="designengineering" localSheetId="17">'[76]Cost Breakup Depreciation&amp; Tax'!$C$24</definedName>
    <definedName name="designengineering">'[77]Cost Breakup Depreciation&amp; Tax'!$C$24</definedName>
    <definedName name="DETAIL">#REF!</definedName>
    <definedName name="dev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localSheetId="1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localSheetId="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A">[196]WORKINGS!#REF!</definedName>
    <definedName name="DEVA1">[196]WORKINGS!#REF!</definedName>
    <definedName name="DEVA2">[196]WORKINGS!#REF!</definedName>
    <definedName name="dfg" localSheetId="17">'[132]Capex-fixed'!#REF!</definedName>
    <definedName name="dfg">'[132]Capex-fixed'!#REF!</definedName>
    <definedName name="dflt1">'[156]Customize Your Invoice'!$E$22</definedName>
    <definedName name="dflt2">'[156]Customize Your Invoice'!$E$23</definedName>
    <definedName name="dflt3">'[156]Customize Your Invoice'!$D$24</definedName>
    <definedName name="dflt4">'[156]Customize Your Invoice'!$E$26</definedName>
    <definedName name="dflt5">'[156]Customize Your Invoice'!$E$27</definedName>
    <definedName name="dflt6">'[156]Customize Your Invoice'!$D$28</definedName>
    <definedName name="dflt7">'[156]Customize Your Invoice'!$G$27</definedName>
    <definedName name="dgfgfd" localSheetId="7" hidden="1">{#N/A,#N/A,FALSE,"COVER.XLS";#N/A,#N/A,FALSE,"RACT1.XLS";#N/A,#N/A,FALSE,"RACT2.XLS";#N/A,#N/A,FALSE,"ECCMP";#N/A,#N/A,FALSE,"WELDER.XLS"}</definedName>
    <definedName name="dgfgfd" localSheetId="10" hidden="1">{#N/A,#N/A,FALSE,"COVER.XLS";#N/A,#N/A,FALSE,"RACT1.XLS";#N/A,#N/A,FALSE,"RACT2.XLS";#N/A,#N/A,FALSE,"ECCMP";#N/A,#N/A,FALSE,"WELDER.XLS"}</definedName>
    <definedName name="dgfgfd" localSheetId="1" hidden="1">{#N/A,#N/A,FALSE,"COVER.XLS";#N/A,#N/A,FALSE,"RACT1.XLS";#N/A,#N/A,FALSE,"RACT2.XLS";#N/A,#N/A,FALSE,"ECCMP";#N/A,#N/A,FALSE,"WELDER.XLS"}</definedName>
    <definedName name="dgfgfd" localSheetId="0" hidden="1">{#N/A,#N/A,FALSE,"COVER.XLS";#N/A,#N/A,FALSE,"RACT1.XLS";#N/A,#N/A,FALSE,"RACT2.XLS";#N/A,#N/A,FALSE,"ECCMP";#N/A,#N/A,FALSE,"WELDER.XLS"}</definedName>
    <definedName name="dgfgfd" localSheetId="6" hidden="1">{#N/A,#N/A,FALSE,"COVER.XLS";#N/A,#N/A,FALSE,"RACT1.XLS";#N/A,#N/A,FALSE,"RACT2.XLS";#N/A,#N/A,FALSE,"ECCMP";#N/A,#N/A,FALSE,"WELDER.XLS"}</definedName>
    <definedName name="dgfgfd" hidden="1">{#N/A,#N/A,FALSE,"COVER.XLS";#N/A,#N/A,FALSE,"RACT1.XLS";#N/A,#N/A,FALSE,"RACT2.XLS";#N/A,#N/A,FALSE,"ECCMP";#N/A,#N/A,FALSE,"WELDER.XLS"}</definedName>
    <definedName name="dgxgfzdg" localSheetId="1">#REF!,#REF!</definedName>
    <definedName name="dgxgfzdg" localSheetId="0">#REF!,#REF!</definedName>
    <definedName name="dgxgfzdg">#REF!,#REF!</definedName>
    <definedName name="dhakjs" localSheetId="7" hidden="1">{"'August 2000'!$A$1:$J$101"}</definedName>
    <definedName name="dhakjs" localSheetId="10" hidden="1">{"'August 2000'!$A$1:$J$101"}</definedName>
    <definedName name="dhakjs" localSheetId="1" hidden="1">{"'August 2000'!$A$1:$J$101"}</definedName>
    <definedName name="dhakjs" localSheetId="0" hidden="1">{"'August 2000'!$A$1:$J$101"}</definedName>
    <definedName name="dhakjs" localSheetId="6" hidden="1">{"'August 2000'!$A$1:$J$101"}</definedName>
    <definedName name="dhakjs" hidden="1">{"'August 2000'!$A$1:$J$101"}</definedName>
    <definedName name="Di" localSheetId="17">#REF!</definedName>
    <definedName name="Di">#REF!</definedName>
    <definedName name="dicer">#REF!</definedName>
    <definedName name="DIF">#REF!</definedName>
    <definedName name="diff">#REF!</definedName>
    <definedName name="Diff_IDC">'[197]PC &amp; MOF'!$C$67</definedName>
    <definedName name="DIFF_SPV">#REF!</definedName>
    <definedName name="diff1">'[93]IDC macro'!#REF!</definedName>
    <definedName name="Difference" localSheetId="7">'[68]Excess Calc'!#REF!</definedName>
    <definedName name="Difference" localSheetId="10">'[68]Excess Calc'!#REF!</definedName>
    <definedName name="Difference" localSheetId="9">'[68]Excess Calc'!#REF!</definedName>
    <definedName name="Difference" localSheetId="6">'[68]Excess Calc'!#REF!</definedName>
    <definedName name="Difference">#REF!</definedName>
    <definedName name="Disaggregations" localSheetId="7">#REF!</definedName>
    <definedName name="Disaggregations" localSheetId="10">#REF!</definedName>
    <definedName name="Disaggregations" localSheetId="9">#REF!</definedName>
    <definedName name="Disaggregations" localSheetId="6">#REF!</definedName>
    <definedName name="Disaggregations">#REF!</definedName>
    <definedName name="disbI">'[198]43b'!$H$28</definedName>
    <definedName name="disbII">'[198]43b'!$H$33</definedName>
    <definedName name="disc" localSheetId="7">#REF!</definedName>
    <definedName name="disc" localSheetId="10">#REF!</definedName>
    <definedName name="disc" localSheetId="9">#REF!</definedName>
    <definedName name="disc" localSheetId="6">#REF!</definedName>
    <definedName name="disc">'[132]Capex-fixed'!#REF!</definedName>
    <definedName name="disc1">#REF!</definedName>
    <definedName name="disc2">#REF!</definedName>
    <definedName name="disc3">#REF!</definedName>
    <definedName name="Discount" hidden="1">#REF!</definedName>
    <definedName name="Disp_Code">[142]Summary!#REF!</definedName>
    <definedName name="display_area_2" hidden="1">#REF!</definedName>
    <definedName name="DisplaySelectedSheetsMacroButton">#REF!</definedName>
    <definedName name="Disruptive">'[133]Disruptive '!$A$1:$L$68</definedName>
    <definedName name="Div" localSheetId="17">#REF!</definedName>
    <definedName name="Div">#REF!</definedName>
    <definedName name="Div_Bal">'[72]2. Forecast Drivers'!$E$262:$S$262</definedName>
    <definedName name="Div_Cash">'[72]2. Forecast Drivers'!$E$261:$S$261</definedName>
    <definedName name="Div_Com">'[72]2. Forecast Drivers'!$E$241:$S$241</definedName>
    <definedName name="DIVASSET">'[129]MN T.B.'!#REF!</definedName>
    <definedName name="dividends97">#REF!</definedName>
    <definedName name="Divisor">#REF!</definedName>
    <definedName name="DIVLIAB">'[129]MN T.B.'!#REF!</definedName>
    <definedName name="DIVPL">'[129]MN T.B.'!#REF!</definedName>
    <definedName name="DM" localSheetId="7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localSheetId="10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localSheetId="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localSheetId="0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localSheetId="6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E_BeforeCloseCompleted" hidden="1">"True"</definedName>
    <definedName name="DME_DocumentFlags" hidden="1">"1"</definedName>
    <definedName name="DME_DocumentID" hidden="1">"::ODMA\DME-MSE\London-24631"</definedName>
    <definedName name="DME_DocumentOpened" hidden="1">"True"</definedName>
    <definedName name="DME_DocumentTitle" hidden="1">"London-24631 - Standard Model"</definedName>
    <definedName name="DME_LocalFile" hidden="1">"False"</definedName>
    <definedName name="DME_NextWindowNumber" hidden="1">"2"</definedName>
    <definedName name="Documentationcharges">'[132]Capex-fixed'!#REF!</definedName>
    <definedName name="dollar">[199]Cash!#REF!</definedName>
    <definedName name="Dollar_Rate">'[200]Simulator Detail'!$K$1</definedName>
    <definedName name="Dollar_Threshold">#REF!</definedName>
    <definedName name="Donation_Copy" localSheetId="17">'[185]P&amp;L'!#REF!</definedName>
    <definedName name="Donation_Copy">'[186]P&amp;L'!#REF!</definedName>
    <definedName name="Donation_Copy_Sum" localSheetId="17">'[185]P&amp;L'!#REF!</definedName>
    <definedName name="Donation_Copy_Sum">'[186]P&amp;L'!#REF!</definedName>
    <definedName name="dp10prcost">'[132]Capex-fixed'!#REF!</definedName>
    <definedName name="dpc">'[201]dpc cost'!$D$1</definedName>
    <definedName name="DPM100.AdditionsGrThan180Days">[46]DPM_DOA!$J$6</definedName>
    <definedName name="DPM100.AdditionsLessThan180Days">[46]DPM_DOA!$J$9</definedName>
    <definedName name="DPM100.AddlnDeprDuringYearAdditions">[46]DPM_DOA!$J$15</definedName>
    <definedName name="DPM100.AddlnDeprOnGT180DayAdditions">[46]DPM_DOA!$J$14</definedName>
    <definedName name="DPM100.DepreciationAtFullRate">[46]DPM_DOA!$J$12</definedName>
    <definedName name="DPM100.DepreciationAtHalfRate">[46]DPM_DOA!$J$13</definedName>
    <definedName name="DPM100.FullRateDeprAmt">[46]DPM_DOA!$J$8</definedName>
    <definedName name="DPM100.HalfRateDeprAmt">[46]DPM_DOA!$J$11</definedName>
    <definedName name="DPM100.RATE">[46]DPM_DOA!$J$3</definedName>
    <definedName name="DPM100.RealizationPeriodDuringYear">[46]DPM_DOA!$J$10</definedName>
    <definedName name="DPM100.RealizationTotalPeriod">[46]DPM_DOA!$J$7</definedName>
    <definedName name="DPM100.TotalDepreciation">[46]DPM_DOA!$J$16</definedName>
    <definedName name="DPM100.WDVFirstDay">[46]DPM_DOA!$J$5</definedName>
    <definedName name="DPM15.AdditionsGrThan180Days">[46]DPM_DOA!$D$6</definedName>
    <definedName name="DPM15.AdditionsLessThan180Days">[46]DPM_DOA!$D$9</definedName>
    <definedName name="DPM15.AddlnDeprDuringYearAdditions">[46]DPM_DOA!$D$15</definedName>
    <definedName name="DPM15.AddlnDeprOnGT180DayAdditions">[46]DPM_DOA!$D$14</definedName>
    <definedName name="DPM15.DepreciationAtFullRate">[46]DPM_DOA!$D$12</definedName>
    <definedName name="DPM15.DepreciationAtHalfRate">[46]DPM_DOA!$D$13</definedName>
    <definedName name="DPM15.FullRateDeprAmt">[46]DPM_DOA!$D$8</definedName>
    <definedName name="DPM15.HalfRateDeprAmt">[46]DPM_DOA!$D$11</definedName>
    <definedName name="DPM15.RATE">[46]DPM_DOA!$D$3</definedName>
    <definedName name="DPM15.RealizationPeriodDuringYear">[46]DPM_DOA!$D$10</definedName>
    <definedName name="DPM15.RealizationTotalPeriod">[46]DPM_DOA!$D$7</definedName>
    <definedName name="DPM15.TotalDepreciation">[46]DPM_DOA!$D$16</definedName>
    <definedName name="DPM15.WDVFirstDay">[46]DPM_DOA!$D$5</definedName>
    <definedName name="DPM30.AdditionsGrThan180Days">[46]DPM_DOA!$E$6</definedName>
    <definedName name="DPM30.AdditionsLessThan180Days">[46]DPM_DOA!$E$9</definedName>
    <definedName name="DPM30.AddlnDeprDuringYearAdditions">[46]DPM_DOA!$E$15</definedName>
    <definedName name="DPM30.AddlnDeprOnGT180DayAdditions">[46]DPM_DOA!$E$14</definedName>
    <definedName name="DPM30.DepreciationAtFullRate">[46]DPM_DOA!$E$12</definedName>
    <definedName name="DPM30.DepreciationAtHalfRate">[46]DPM_DOA!$E$13</definedName>
    <definedName name="DPM30.FullRateDeprAmt">[46]DPM_DOA!$E$8</definedName>
    <definedName name="DPM30.HalfRateDeprAmt">[46]DPM_DOA!$E$11</definedName>
    <definedName name="DPM30.RATE">[46]DPM_DOA!$E$3</definedName>
    <definedName name="DPM30.RealizationPeriodDuringYear">[46]DPM_DOA!$E$10</definedName>
    <definedName name="DPM30.RealizationTotalPeriod">[46]DPM_DOA!$E$7</definedName>
    <definedName name="DPM30.TotalDepreciation">[46]DPM_DOA!$E$16</definedName>
    <definedName name="DPM30.WDVFirstDay">[46]DPM_DOA!$E$5</definedName>
    <definedName name="DPM40.AdditionsGrThan180Days">[46]DPM_DOA!$F$6</definedName>
    <definedName name="DPM40.AdditionsLessThan180Days">[46]DPM_DOA!$F$9</definedName>
    <definedName name="DPM40.AddlnDeprDuringYearAdditions">[46]DPM_DOA!$F$15</definedName>
    <definedName name="DPM40.AddlnDeprOnGT180DayAdditions">[46]DPM_DOA!$F$14</definedName>
    <definedName name="DPM40.DepreciationAtFullRate">[46]DPM_DOA!$F$12</definedName>
    <definedName name="DPM40.DepreciationAtHalfRate">[46]DPM_DOA!$F$13</definedName>
    <definedName name="DPM40.FullRateDeprAmt">[46]DPM_DOA!$F$8</definedName>
    <definedName name="DPM40.HalfRateDeprAmt">[46]DPM_DOA!$F$11</definedName>
    <definedName name="DPM40.RATE">[46]DPM_DOA!$F$3</definedName>
    <definedName name="DPM40.RealizationPeriodDuringYear">[46]DPM_DOA!$F$10</definedName>
    <definedName name="DPM40.RealizationTotalPeriod">[46]DPM_DOA!$F$7</definedName>
    <definedName name="DPM40.TotalDepreciation">[46]DPM_DOA!$F$16</definedName>
    <definedName name="DPM40.WDVFirstDay">[46]DPM_DOA!$F$5</definedName>
    <definedName name="DPM50.AdditionsGrThan180Days">[46]DPM_DOA!$G$6</definedName>
    <definedName name="DPM50.AdditionsLessThan180Days">[46]DPM_DOA!$G$9</definedName>
    <definedName name="DPM50.AddlnDeprDuringYearAdditions">[46]DPM_DOA!$G$15</definedName>
    <definedName name="DPM50.AddlnDeprOnGT180DayAdditions">[46]DPM_DOA!$G$14</definedName>
    <definedName name="DPM50.DepreciationAtFullRate">[46]DPM_DOA!$G$12</definedName>
    <definedName name="DPM50.DepreciationAtHalfRate">[46]DPM_DOA!$G$13</definedName>
    <definedName name="DPM50.FullRateDeprAmt">[46]DPM_DOA!$G$8</definedName>
    <definedName name="DPM50.HalfRateDeprAmt">[46]DPM_DOA!$G$11</definedName>
    <definedName name="DPM50.RATE">[46]DPM_DOA!$G$3</definedName>
    <definedName name="DPM50.RealizationPeriodDuringYear">[46]DPM_DOA!$G$10</definedName>
    <definedName name="DPM50.RealizationTotalPeriod">[46]DPM_DOA!$G$7</definedName>
    <definedName name="DPM50.TotalDepreciation">[46]DPM_DOA!$G$16</definedName>
    <definedName name="DPM50.WDVFirstDay">[46]DPM_DOA!$G$5</definedName>
    <definedName name="DPM60.AdditionsGrThan180Days">[46]DPM_DOA!$H$6</definedName>
    <definedName name="DPM60.AdditionsLessThan180Days">[46]DPM_DOA!$H$9</definedName>
    <definedName name="DPM60.AddlnDeprDuringYearAdditions">[46]DPM_DOA!$H$15</definedName>
    <definedName name="DPM60.AddlnDeprOnGT180DayAdditions">[46]DPM_DOA!$H$14</definedName>
    <definedName name="DPM60.DepreciationAtFullRate">[46]DPM_DOA!$H$12</definedName>
    <definedName name="DPM60.DepreciationAtHalfRate">[46]DPM_DOA!$H$13</definedName>
    <definedName name="DPM60.FullRateDeprAmt">[46]DPM_DOA!$H$8</definedName>
    <definedName name="DPM60.HalfRateDeprAmt">[46]DPM_DOA!$H$11</definedName>
    <definedName name="DPM60.RATE">[46]DPM_DOA!$H$3</definedName>
    <definedName name="DPM60.RealizationPeriodDuringYear">[46]DPM_DOA!$H$10</definedName>
    <definedName name="DPM60.RealizationTotalPeriod">[46]DPM_DOA!$H$7</definedName>
    <definedName name="DPM60.TotalDepreciation">[46]DPM_DOA!$H$16</definedName>
    <definedName name="DPM60.WDVFirstDay">[46]DPM_DOA!$H$5</definedName>
    <definedName name="DPM80.AdditionsGrThan180Days">[46]DPM_DOA!$I$6</definedName>
    <definedName name="DPM80.AdditionsLessThan180Days">[46]DPM_DOA!$I$9</definedName>
    <definedName name="DPM80.AddlnDeprDuringYearAdditions">[46]DPM_DOA!$I$15</definedName>
    <definedName name="DPM80.AddlnDeprOnGT180DayAdditions">[46]DPM_DOA!$I$14</definedName>
    <definedName name="DPM80.DepreciationAtFullRate">[46]DPM_DOA!$I$12</definedName>
    <definedName name="DPM80.DepreciationAtHalfRate">[46]DPM_DOA!$I$13</definedName>
    <definedName name="DPM80.FullRateDeprAmt">[46]DPM_DOA!$I$8</definedName>
    <definedName name="DPM80.HalfRateDeprAmt">[46]DPM_DOA!$I$11</definedName>
    <definedName name="DPM80.RATE">[46]DPM_DOA!$I$3</definedName>
    <definedName name="DPM80.RealizationPeriodDuringYear">[46]DPM_DOA!$I$10</definedName>
    <definedName name="DPM80.RealizationTotalPeriod">[46]DPM_DOA!$I$7</definedName>
    <definedName name="DPM80.TotalDepreciation">[46]DPM_DOA!$I$16</definedName>
    <definedName name="DPM80.WDVFirstDay">[46]DPM_DOA!$I$5</definedName>
    <definedName name="DR43B..2">'[202]43B'!#REF!</definedName>
    <definedName name="DRAFT" localSheetId="17">#REF!</definedName>
    <definedName name="Draft" localSheetId="7">[93]Introduction!#REF!</definedName>
    <definedName name="Draft" localSheetId="10">[93]Introduction!#REF!</definedName>
    <definedName name="Draft" localSheetId="9">[93]Introduction!#REF!</definedName>
    <definedName name="Draft" localSheetId="6">[93]Introduction!#REF!</definedName>
    <definedName name="DRAFT">#REF!</definedName>
    <definedName name="ds">#REF!</definedName>
    <definedName name="DSCR">#REF!</definedName>
    <definedName name="DSCR_DSRA">#REF!</definedName>
    <definedName name="DSCR_RA">#REF!</definedName>
    <definedName name="dsD" localSheetId="7" hidden="1">{#N/A,#N/A,FALSE,"COVER1.XLS ";#N/A,#N/A,FALSE,"RACT1.XLS";#N/A,#N/A,FALSE,"RACT2.XLS";#N/A,#N/A,FALSE,"ECCMP";#N/A,#N/A,FALSE,"WELDER.XLS"}</definedName>
    <definedName name="dsD" localSheetId="10" hidden="1">{#N/A,#N/A,FALSE,"COVER1.XLS ";#N/A,#N/A,FALSE,"RACT1.XLS";#N/A,#N/A,FALSE,"RACT2.XLS";#N/A,#N/A,FALSE,"ECCMP";#N/A,#N/A,FALSE,"WELDER.XLS"}</definedName>
    <definedName name="dsD" localSheetId="1" hidden="1">{#N/A,#N/A,FALSE,"COVER1.XLS ";#N/A,#N/A,FALSE,"RACT1.XLS";#N/A,#N/A,FALSE,"RACT2.XLS";#N/A,#N/A,FALSE,"ECCMP";#N/A,#N/A,FALSE,"WELDER.XLS"}</definedName>
    <definedName name="dsD" localSheetId="0" hidden="1">{#N/A,#N/A,FALSE,"COVER1.XLS ";#N/A,#N/A,FALSE,"RACT1.XLS";#N/A,#N/A,FALSE,"RACT2.XLS";#N/A,#N/A,FALSE,"ECCMP";#N/A,#N/A,FALSE,"WELDER.XLS"}</definedName>
    <definedName name="dsD" localSheetId="6" hidden="1">{#N/A,#N/A,FALSE,"COVER1.XLS ";#N/A,#N/A,FALSE,"RACT1.XLS";#N/A,#N/A,FALSE,"RACT2.XLS";#N/A,#N/A,FALSE,"ECCMP";#N/A,#N/A,FALSE,"WELDER.XLS"}</definedName>
    <definedName name="dsD" hidden="1">{#N/A,#N/A,FALSE,"COVER1.XLS ";#N/A,#N/A,FALSE,"RACT1.XLS";#N/A,#N/A,FALSE,"RACT2.XLS";#N/A,#N/A,FALSE,"ECCMP";#N/A,#N/A,FALSE,"WELDER.XLS"}</definedName>
    <definedName name="dsfdfADF">#REF!</definedName>
    <definedName name="DSM">'[203]DSM checkbook'!$A$1:$M$68</definedName>
    <definedName name="DSR" localSheetId="17">'[76]Cost Breakup Depreciation&amp; Tax'!$C$40</definedName>
    <definedName name="DSR">'[77]Cost Breakup Depreciation&amp; Tax'!$C$40</definedName>
    <definedName name="DSRA" localSheetId="17">'[76]Debt-Schedule-DSR-Ops Factor'!$C$25</definedName>
    <definedName name="DSRA">'[77]Debt-Schedule-DSR-Ops Factor'!$C$25</definedName>
    <definedName name="DSRA_Copy" localSheetId="17">#REF!</definedName>
    <definedName name="DSRA_Copy">#REF!</definedName>
    <definedName name="DSRA_Copy_Sum">#REF!</definedName>
    <definedName name="DSRA_Copy1">#REF!</definedName>
    <definedName name="DSRA_Copy1_Sum">#REF!</definedName>
    <definedName name="DSRA_Orig">#REF!</definedName>
    <definedName name="DSRA_Orig_Sum">#REF!</definedName>
    <definedName name="DSRA_Orig1">#REF!</definedName>
    <definedName name="DSRA_Orig1_Sum">#REF!</definedName>
    <definedName name="dsrao">'[204]Core Assumptions'!$C$247</definedName>
    <definedName name="dsrap">'[204]Core Assumptions'!$D$246</definedName>
    <definedName name="Dta">'[205]Excise on RM'!#REF!</definedName>
    <definedName name="DTAA_INCOME">[46]SI!$L$1</definedName>
    <definedName name="DTAA_TAX">[46]SI!$M$1</definedName>
    <definedName name="DTKick_R">[142]Rollup!#REF!</definedName>
    <definedName name="dtl">[131]wwww!$F$64</definedName>
    <definedName name="DTLoss_R">[142]Rollup!#REF!</definedName>
    <definedName name="dtpl" localSheetId="17">[138]DTPL!$B$2:$P$308</definedName>
    <definedName name="dtpl">[139]DTPL!$B$2:$P$308</definedName>
    <definedName name="DTRS">#REF!</definedName>
    <definedName name="ductlabourcost" localSheetId="17">'[132]Capex-fixed'!#REF!</definedName>
    <definedName name="ductlabourcost">'[132]Capex-fixed'!#REF!</definedName>
    <definedName name="Dummy" localSheetId="17" hidden="1">{"'Sheet1'!$A$4386:$N$4591"}</definedName>
    <definedName name="Dummy" localSheetId="1" hidden="1">{"'Sheet1'!$A$4386:$N$4591"}</definedName>
    <definedName name="Dummy" localSheetId="0" hidden="1">{"'Sheet1'!$A$4386:$N$4591"}</definedName>
    <definedName name="Dummy" hidden="1">{"'Sheet1'!$A$4386:$N$4591"}</definedName>
    <definedName name="duty">'[132]Capex-fixed'!#REF!</definedName>
    <definedName name="dxzxxx" localSheetId="1">#REF!,#REF!</definedName>
    <definedName name="dxzxxx" localSheetId="0">#REF!,#REF!</definedName>
    <definedName name="dxzxxx">#REF!,#REF!</definedName>
    <definedName name="ÐYesNoDropdown" hidden="1">#REF!</definedName>
    <definedName name="E" localSheetId="17">#REF!</definedName>
    <definedName name="E" localSheetId="7">#N/A</definedName>
    <definedName name="E" localSheetId="10">#N/A</definedName>
    <definedName name="E" localSheetId="9">#N/A</definedName>
    <definedName name="E" localSheetId="6">#N/A</definedName>
    <definedName name="E">#REF!</definedName>
    <definedName name="E_1">#REF!</definedName>
    <definedName name="E_2">#REF!</definedName>
    <definedName name="E_3">#REF!</definedName>
    <definedName name="E_315MVA_Addl_Page1">#REF!</definedName>
    <definedName name="E_315MVA_Addl_Page2">#REF!</definedName>
    <definedName name="E_4">#REF!</definedName>
    <definedName name="E_5">#REF!</definedName>
    <definedName name="E_6">#REF!</definedName>
    <definedName name="e_u">'[206]Factor -local'!$D$55</definedName>
    <definedName name="E00250_">'[59]TB APJ'!$B$67</definedName>
    <definedName name="E00251_">'[59]TB APJ'!$B$68</definedName>
    <definedName name="E00252_">[60]tb!$B$169</definedName>
    <definedName name="E00257_">'[59]TB APJ'!$B$69</definedName>
    <definedName name="E00258_">'[59]TB APJ'!$B$70</definedName>
    <definedName name="E00265_">'[59]TB APJ'!$B$71</definedName>
    <definedName name="E00266_">'[59]TB APJ'!$B$72</definedName>
    <definedName name="E00268_">'[59]TB APJ'!#REF!</definedName>
    <definedName name="E00270_">'[59]TB APJ'!#REF!</definedName>
    <definedName name="E00271_">'[55]TB APJ'!#REF!</definedName>
    <definedName name="E00277_">'[59]TB APJ'!$B$73</definedName>
    <definedName name="E00280_">[207]trialbal!$B$145</definedName>
    <definedName name="E00284_">'[59]TB APJ'!#REF!</definedName>
    <definedName name="E00285_">'[59]TB APJ'!#REF!</definedName>
    <definedName name="E00289_">'[59]TB APJ'!$B$74</definedName>
    <definedName name="E00290_">'[59]TB APJ'!$B$75</definedName>
    <definedName name="E00292_">'[59]TB APJ'!#REF!</definedName>
    <definedName name="E00294_">'[59]TB APJ'!#REF!</definedName>
    <definedName name="E00295_">'[59]TB APJ'!#REF!</definedName>
    <definedName name="E00296_">'[59]TB APJ'!$B$76</definedName>
    <definedName name="E00297_">'[59]TB APJ'!$B$77</definedName>
    <definedName name="E00298_">'[59]TB APJ'!#REF!</definedName>
    <definedName name="E00299_">'[59]TB APJ'!$B$78</definedName>
    <definedName name="E00300_">'[59]TB APJ'!$B$79</definedName>
    <definedName name="E00301_">'[59]TB APJ'!$B$80</definedName>
    <definedName name="E00302_">'[59]TB APJ'!#REF!</definedName>
    <definedName name="E00303_">'[55]TB APJ'!#REF!</definedName>
    <definedName name="E00305_">'[59]TB APJ'!#REF!</definedName>
    <definedName name="E00308_">'[59]TB APJ'!$B$81</definedName>
    <definedName name="E00313_">'[59]TB APJ'!$B$83</definedName>
    <definedName name="E00316_">'[59]TB APJ'!$B$84</definedName>
    <definedName name="E00320_">'[59]TB APJ'!$B$85</definedName>
    <definedName name="E00321_">'[59]TB APJ'!$B$86</definedName>
    <definedName name="E00322_">'[59]TB APJ'!$B$87</definedName>
    <definedName name="E00323_">'[59]TB APJ'!$B$88</definedName>
    <definedName name="E00324_">'[59]TB APJ'!$B$89</definedName>
    <definedName name="E00325_">'[59]TB APJ'!$B$90</definedName>
    <definedName name="E00326_">'[59]TB APJ'!$B$91</definedName>
    <definedName name="E00327_">'[59]TB APJ'!$B$92</definedName>
    <definedName name="E00328_">'[59]TB APJ'!$B$93</definedName>
    <definedName name="E00329_">'[59]TB APJ'!$B$94</definedName>
    <definedName name="E00330_">'[59]TB APJ'!$B$95</definedName>
    <definedName name="E00331_">'[192]TB APJ'!$B$67</definedName>
    <definedName name="E0158_">'[59]TB APJ'!$B$96</definedName>
    <definedName name="E0159_">'[59]TB APJ'!$B$97</definedName>
    <definedName name="E0160_">'[55]TB WORLI'!#REF!</definedName>
    <definedName name="E0161_">'[59]TB APJ'!$B$98</definedName>
    <definedName name="E0162_">'[59]TB APJ'!$B$99</definedName>
    <definedName name="E0164_">'[59]TB APJ'!$B$100</definedName>
    <definedName name="E0165_">'[59]TB APJ'!$B$101</definedName>
    <definedName name="E0168_">'[59]TB APJ'!$B$102</definedName>
    <definedName name="E0169_">'[59]TB APJ'!$B$103</definedName>
    <definedName name="E0170_">'[59]TB APJ'!$B$104</definedName>
    <definedName name="E0171_">'[59]TB APJ'!#REF!</definedName>
    <definedName name="E0172_">'[59]TB APJ'!$B$367</definedName>
    <definedName name="E0173_">'[59]TB APJ'!$B$105</definedName>
    <definedName name="E0174_">'[59]TB APJ'!$B$106</definedName>
    <definedName name="E0175_">'[59]TB APJ'!#REF!</definedName>
    <definedName name="E0177_">'[59]TB APJ'!$B$107</definedName>
    <definedName name="E0178_">'[59]TB APJ'!$B$108</definedName>
    <definedName name="E0179_">'[59]TB APJ'!$B$109</definedName>
    <definedName name="E0180_">'[59]TB APJ'!$B$110</definedName>
    <definedName name="E0181_">'[59]TB APJ'!$B$111</definedName>
    <definedName name="E0183_">'[59]TB APJ'!$B$112</definedName>
    <definedName name="E0184_">'[59]TB APJ'!$B$113</definedName>
    <definedName name="E0186_">'[59]TB APJ'!$B$114</definedName>
    <definedName name="E0187_">'[59]TB APJ'!$B$115</definedName>
    <definedName name="E0188_">'[59]TB APJ'!#REF!</definedName>
    <definedName name="E0189_">'[59]TB APJ'!$B$116</definedName>
    <definedName name="E0190_">'[59]TB APJ'!$B$117</definedName>
    <definedName name="E0196_">'[59]TB APJ'!$B$118</definedName>
    <definedName name="E0197_">'[59]TB APJ'!#REF!</definedName>
    <definedName name="E0201_">'[59]TB APJ'!$B$281</definedName>
    <definedName name="e0201a">[208]TB!$B$185</definedName>
    <definedName name="E0202_">'[59]TB APJ'!$B$369</definedName>
    <definedName name="E0203_">'[59]TB APJ'!$B$119</definedName>
    <definedName name="E0204_">'[59]TB APJ'!$B$120</definedName>
    <definedName name="E0209_">'[59]TB APJ'!$B$121</definedName>
    <definedName name="E0210_">'[59]TB APJ'!$B$122</definedName>
    <definedName name="E0211_">'[59]TB APJ'!$B$123</definedName>
    <definedName name="E0212_">'[59]TB APJ'!$B$124</definedName>
    <definedName name="E0214_">'[59]TB APJ'!$B$125</definedName>
    <definedName name="E0215_">'[59]TB APJ'!$B$244</definedName>
    <definedName name="E0218_">'[59]TB APJ'!$B$126</definedName>
    <definedName name="E0219_">'[59]TB APJ'!$B$127</definedName>
    <definedName name="E0220_">'[59]TB APJ'!$B$128</definedName>
    <definedName name="E0221_">'[59]TB APJ'!$B$129</definedName>
    <definedName name="E0222_">'[59]TB APJ'!$B$130</definedName>
    <definedName name="E0225_">'[59]TB APJ'!$B$131</definedName>
    <definedName name="E0226_">'[59]TB APJ'!$B$132</definedName>
    <definedName name="E0227_">'[59]TB APJ'!$B$133</definedName>
    <definedName name="E0228_">'[59]TB APJ'!$B$134</definedName>
    <definedName name="E0230_">'[59]TB APJ'!$B$135</definedName>
    <definedName name="E0231_">'[59]TB APJ'!$B$136</definedName>
    <definedName name="E0233_">'[59]TB APJ'!$B$137</definedName>
    <definedName name="E0234_">'[59]TB APJ'!$B$138</definedName>
    <definedName name="E0235_">'[59]TB APJ'!$B$139</definedName>
    <definedName name="E0237_">'[59]TB APJ'!#REF!</definedName>
    <definedName name="E0238_">'[59]TB APJ'!$B$140</definedName>
    <definedName name="E0239_">'[59]TB APJ'!$B$141</definedName>
    <definedName name="E0240_">'[59]TB APJ'!$B$245</definedName>
    <definedName name="E0241_">'[59]TB APJ'!$B$142</definedName>
    <definedName name="E0242_">'[59]TB APJ'!$B$143</definedName>
    <definedName name="E0243_">'[59]TB APJ'!$B$144</definedName>
    <definedName name="E0245_">'[59]TB APJ'!$B$145</definedName>
    <definedName name="E0246_">'[59]TB APJ'!$B$250</definedName>
    <definedName name="E0247_">'[59]TB APJ'!$B$146</definedName>
    <definedName name="East_Europe_Average">[106]List_ratios!#REF!</definedName>
    <definedName name="EBIT">[106]List_ratios!#REF!</definedName>
    <definedName name="EBITA_Adj">'[72]3. Results'!$E$142:$AD$142</definedName>
    <definedName name="EBITCAP">[106]List_ratios!#REF!</definedName>
    <definedName name="EBITDA__int_cvrge_x">[106]List_ratios!#REF!</definedName>
    <definedName name="EbitdaLine">[106]List_ratios!#REF!</definedName>
    <definedName name="EBITDAMultipleHigh">[209]Factset!$IU$25</definedName>
    <definedName name="EBITDAMultipleLow">[209]Factset!$IU$26</definedName>
    <definedName name="Ecapturedmarket" localSheetId="7">#REF!</definedName>
    <definedName name="Ecapturedmarket" localSheetId="10">#REF!</definedName>
    <definedName name="Ecapturedmarket" localSheetId="9">#REF!</definedName>
    <definedName name="Ecapturedmarket" localSheetId="6">#REF!</definedName>
    <definedName name="Ecapturedmarket">#REF!</definedName>
    <definedName name="ECB">[71]Input!#REF!</definedName>
    <definedName name="ECB_BASE">[71]Input!#REF!</definedName>
    <definedName name="ECB_REFI">[71]Input!#REF!</definedName>
    <definedName name="Eco_Transport_Base">#REF!</definedName>
    <definedName name="Eco_Transport_SEN">#REF!</definedName>
    <definedName name="ECOEsc_Base">#REF!</definedName>
    <definedName name="ECOEsc_SEN">#REF!</definedName>
    <definedName name="ECOPrice_Base">#REF!</definedName>
    <definedName name="ECOPrice_SEN">#REF!</definedName>
    <definedName name="ED">#REF!</definedName>
    <definedName name="EDA">#REF!</definedName>
    <definedName name="EDAsum">#REF!</definedName>
    <definedName name="EDCDMA">#REF!</definedName>
    <definedName name="edcess_stcgoththan111aincome">[46]Calculator!$R$6</definedName>
    <definedName name="edcess_usincome">[46]Calculator!$Q$6</definedName>
    <definedName name="EDFTTB" localSheetId="7">#REF!</definedName>
    <definedName name="EDFTTB" localSheetId="10">#REF!</definedName>
    <definedName name="EDFTTB" localSheetId="9">#REF!</definedName>
    <definedName name="EDFTTB" localSheetId="6">#REF!</definedName>
    <definedName name="EDFTTB">#REF!</definedName>
    <definedName name="EDHFC" localSheetId="7">#REF!</definedName>
    <definedName name="EDHFC" localSheetId="10">#REF!</definedName>
    <definedName name="EDHFC" localSheetId="9">#REF!</definedName>
    <definedName name="EDHFC" localSheetId="6">#REF!</definedName>
    <definedName name="EDHFC">#REF!</definedName>
    <definedName name="EDIT__END__LEFT__DEL___DOWN">#REF!</definedName>
    <definedName name="EditorialSupervisionPercent">[122]Assumptions!#REF!</definedName>
    <definedName name="edpcas" localSheetId="7">#REF!</definedName>
    <definedName name="edpcas" localSheetId="10">#REF!</definedName>
    <definedName name="edpcas" localSheetId="9">#REF!</definedName>
    <definedName name="edpcas" localSheetId="6">#REF!</definedName>
    <definedName name="edpcas">#REF!</definedName>
    <definedName name="ee" localSheetId="7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" localSheetId="1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" localSheetId="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" localSheetId="6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ee">#REF!</definedName>
    <definedName name="eeeeeeee" localSheetId="7" hidden="1">{#N/A,#N/A,TRUE,"Sheet1"}</definedName>
    <definedName name="eeeeeeee" localSheetId="10" hidden="1">{#N/A,#N/A,TRUE,"Sheet1"}</definedName>
    <definedName name="eeeeeeee" localSheetId="1" hidden="1">{#N/A,#N/A,TRUE,"Sheet1"}</definedName>
    <definedName name="eeeeeeee" localSheetId="0" hidden="1">{#N/A,#N/A,TRUE,"Sheet1"}</definedName>
    <definedName name="eeeeeeee" localSheetId="6" hidden="1">{#N/A,#N/A,TRUE,"Sheet1"}</definedName>
    <definedName name="eeeeeeee" hidden="1">{#N/A,#N/A,TRUE,"Sheet1"}</definedName>
    <definedName name="Eff_LTV" localSheetId="17">'[91]Pool details'!$L$3:$L$9749</definedName>
    <definedName name="Eff_LTV">'[92]Pool details'!$L$3:$L$9749</definedName>
    <definedName name="efgh" localSheetId="17">#REF!</definedName>
    <definedName name="efgh">#REF!</definedName>
    <definedName name="efgrg" localSheetId="7" hidden="1">{"bs",#N/A,FALSE,"BS";"pl",#N/A,FALSE,"PL"}</definedName>
    <definedName name="efgrg" localSheetId="10" hidden="1">{"bs",#N/A,FALSE,"BS";"pl",#N/A,FALSE,"PL"}</definedName>
    <definedName name="efgrg" localSheetId="1" hidden="1">{"bs",#N/A,FALSE,"BS";"pl",#N/A,FALSE,"PL"}</definedName>
    <definedName name="efgrg" localSheetId="0" hidden="1">{"bs",#N/A,FALSE,"BS";"pl",#N/A,FALSE,"PL"}</definedName>
    <definedName name="efgrg" localSheetId="6" hidden="1">{"bs",#N/A,FALSE,"BS";"pl",#N/A,FALSE,"PL"}</definedName>
    <definedName name="efgrg" hidden="1">{"bs",#N/A,FALSE,"BS";"pl",#N/A,FALSE,"PL"}</definedName>
    <definedName name="egtdgtgxdg">#REF!</definedName>
    <definedName name="EHTPA10.DedFromUndertaking">'[46]10A'!$F$7:$F$7</definedName>
    <definedName name="EHTPA10.TotalDedUs10Sub">'[46]10A'!$H$8</definedName>
    <definedName name="EI">#REF!</definedName>
    <definedName name="elasticity">#REF!</definedName>
    <definedName name="elasticity_ild">#REF!</definedName>
    <definedName name="Electricity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localSheetId="1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localSheetId="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K">[133]ELK!$A$1:$K$68</definedName>
    <definedName name="Embsw">#REF!</definedName>
    <definedName name="Embswsum">#REF!</definedName>
    <definedName name="EMD" localSheetId="17">'[91]Pool details'!$AM$3:$AM$4876</definedName>
    <definedName name="EMD">'[92]Pool details'!$AM$3:$AM$4876</definedName>
    <definedName name="emp" localSheetId="17">[76]Staffing!#REF!</definedName>
    <definedName name="emp">[77]Staffing!#REF!</definedName>
    <definedName name="EMP_CODE">[210]INPUT!$C$2:$C$225</definedName>
    <definedName name="EMP_NAME">[210]INPUT!$D$2:$D$225</definedName>
    <definedName name="EMPExp">[71]Assumptions!$E$67</definedName>
    <definedName name="EmpExp_Base">#REF!</definedName>
    <definedName name="EmpExp_SEN">#REF!</definedName>
    <definedName name="EMS">'[72]2. Forecast Drivers'!$D$135</definedName>
    <definedName name="EnclosureIVa.">[211]tb!#REF!</definedName>
    <definedName name="End_Bal">#REF!</definedName>
    <definedName name="End_DF">'[72]2. Forecast Drivers'!$D$12</definedName>
    <definedName name="Ending.Balance">IF('[97]FITZ MORT 94'!XEZ1&lt;&gt;"",'[97]FITZ MORT 94'!XFB1-'[97]FITZ MORT 94'!XFD1,"")</definedName>
    <definedName name="ENDMKT">#REF!</definedName>
    <definedName name="ENDUSER">#REF!</definedName>
    <definedName name="ENERGY">'[212]Data Input'!$B$274:$P$375</definedName>
    <definedName name="ENGEL" hidden="1">#REF!</definedName>
    <definedName name="ENGL">#REF!</definedName>
    <definedName name="ENGLAND">#REF!</definedName>
    <definedName name="ENT" localSheetId="17">#REF!</definedName>
    <definedName name="ENT">#REF!</definedName>
    <definedName name="Entity">#REF!</definedName>
    <definedName name="entry_in_brs_adj_31300">#REF!</definedName>
    <definedName name="EP">'[72]3. Results'!$F$268:$AD$268</definedName>
    <definedName name="EPCG">#REF!</definedName>
    <definedName name="Epenrate" localSheetId="7">#REF!</definedName>
    <definedName name="Epenrate" localSheetId="10">#REF!</definedName>
    <definedName name="Epenrate" localSheetId="9">#REF!</definedName>
    <definedName name="Epenrate" localSheetId="6">#REF!</definedName>
    <definedName name="Epenrate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0" hidden="1">"Mi8WGb7wvvl3MZvnSdtx0OvCbbhCY1/PqqmMwge7ju5EvNr3KxIy8GSHy7fyE27WKk/7o|OTky69evPkhOhP/L/cllCChE3u8u7Oz//Dn7erwEE12d/d|RJMunzzc/xFNujTZvfcjmnRlZ//g//M0|Qb9UR/Nr2HGnrw6fvH0A0JiUu/kDN7eiO3|v9uICTlCnnvykJ7/r3PcN0qQ/z|stf2/RwRPjt|cfv7lq9/nawvhvXv37|/v799eCPf|3y"</definedName>
    <definedName name="EPMWorkbookOptions_11" hidden="1">"2EhiAd1X/y5iuKLH/Edl6zW7UaYLunx2|OX786|dpc9|mD3Z2Dgwe357p7/|/mOqVHyHRvvqQ0wu//|asvv/p/82K6DOlnyQJE6XLy5avT3//sxcuv3vxIIP1mt2o1IJBE27M3X98KkCv26af37r2HL7b//26BFHo4vtujX093dh/8f977/6YIsisEuf8jgvgEeXP6|v/zSukbJQjSTT8iiKdD7n366af/XyfI/3vM1stXXz796uTNB|QQ3jsTf"</definedName>
    <definedName name="EPMWorkbookOptions_12" hidden="1">"v//3YbLUCSUw5c/n9MIAyT5USLhm5TEV25B8ocojJ/|v1sYPaJ8/31WaRXg/ytZ7hujxelXP6KFocXzk/|vk|L/PZrozdkXpz9EFfTg/90qCNQIDd8eDXC8c|//6wz3TRNk/0cE8QiyN97d|xFBDEGe/T57OzsPx5yQ/f86Vf7fo6i/OD1|/dWr0x9m8Hbw/25lbSgiTsHv8|bpj5jtfRoF2MQbPb57vFqVxTRrCY79PPjUNCdo1XJJiNNnT7M2"</definedName>
    <definedName name="EPMWorkbookOptions_13" hidden="1">"44/9D99U3cE/fpWf13kz/3L55SpfHp1nZZM/vht|yO1OyjyrAfTL5evsMjctux9z2|9W9dtJVb0lxmyZjKZ1/4uw/dWMZ801/HIl4/t/AMtf0Z6zeQAA"</definedName>
    <definedName name="EPMWorkbookOptions_15" hidden="1">"v8vM6b|ZfLL1f50qzYhR9yu5Myz2oA/XL5OrvMTcvux9z2u1X9dlJVb4kxWyajad3/Imx/NdNZe3zW/GRWF9mkzL/I6wsHoff5b5w4sF|uhBr/DzxHj7hvfAAA"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"4tb42ngRFC8T7W4R8FmHQQEOL16HmLr|jLL/LFJK|/Wha/aJ0z1O|dHL85/fzLV7/P98ffe3n86vTFm2/v0q/HJ2||On5OY||90AP57SKvs3o6v3aNUmKuR8ui/Oyjtl4T79ztv/W0WORLsO7t33p895sb9dPjN8evX52Eg37z5Zvj57//y1env//ZyZf//x07DffsjTffe/Tr6c7ug53//w752fMvvxvO9bPnL758cfr/4xF/9eLkzdmXL153h"</definedName>
    <definedName name="EPMWorkbookOptions_4" hidden="1">"v3/71GfvXhz|opkNxjz2e///|9Bf3F6/PqrV6eYafrf7/Pm6f9XhrrhG||LbxezWb60HTcbqGUb/WTRFJOiLNrrWw3h6Pjk5MuvXrx5fDf2ZYR0wOgIw318V//YMOabsfpGxmAM|f|nB6F2|f/TYxD7|v/pIcBe/n97AMb8/X96FGrO/j89hlcv35x89YqM8cn/t0Xi9cmXL0//Pz2CN2df/H97AMbR|bkZRNB4o1PiD9alAHqOy|t55To9qcqq"</definedName>
    <definedName name="EPMWorkbookOptions_5" hidden="1">"PuKMw|O7kW82vcvDj70aoYsj7DBmt201ME3v5Uz5MGSklLe6v7N772DXAxCjAb/7ZT3L66Odx3fllyj0ZlVm1y/rapXX7XXEqaVGz7OmfZ2XlI7KZ|I6x0Ybzmy0QRpz0JUgnQzL7s5Dem7jqyvgr|Wx67uRqbjdu5sCFW3xTdJkd2fndnkIBfzzgyYP9n9Ek4Amezv3DvZ|RJMOn/z/QZ88vnsbXeyZhp81M/Z|8bQPxNixnZ19Wmi4vRnb/X|"</definedName>
    <definedName name="EPMWorkbookOptions_6" hidden="1">"3GfvQlQIF/P9KtvtmafL89Pd/uXPwI5r0aPL/efX0s0CT/R/RpEeT3f|v0|Rn34zd1oy9V0Y1YsXu3bt/f39///ZWbO//3VZsw8rvq9PPKWX4/3XW|1kgzOevvvzq5Y/o4tHl5MtXp7//2YuXX735EVk8snz55tunr35EEY8ip8/Pvnj9/3WK/L/Hmr3P2poPQo3Zpw92dw4OHtzemN37f7cxE3I4jtsDx|3s/vxNoXUJwiJIgfj9HxEkJMjP20"</definedName>
    <definedName name="EPMWorkbookOptions_7" hidden="1">"gsSpB7|7sPfkSQkCD/n89f/L/Haj17/uV3v7bNImH99NN7994jj7j//26jBWqE7Pbs|YsvX5z|f53fvkl60KT/f96G/79I/r56cfKGQvvXX18I33tN|v7/y4XQkKTDeT|vBXGAJns7P3/XGodpsvsjmnRo8qP1129SaZ|9eHP66uTLH6LK/vT/3SpbCRIy3dnv//8Hjf3/Hq579fLNyVeviLwnXz/L9P6c9|D/3ZznEYVYjv73/OT/6xz3jZHi7"</definedName>
    <definedName name="EPMWorkbookOptions_8" hidden="1">"MXP24R3jxafP/n//CrR/3s00euTL1|e/hB10MH/u3UQkyO0fa///2D6vi49IvQ4|/z4|P/zAvhN0uPZqx8tvQXNbtVqQB|9Ofvih6mOHv6/Wx2BGiG3UUR8b7zz83YZYYgg/59fRviGCbK79yOCeATZ|xFBeiKz//91gvy/x2h9cXr8|qtXpz/MxP/uzv|7LZchiYRsv8|bp/9f57ZvhhAvT1|dffn07OdtYiOkxk/8f58tvkEldItGATbxRo/v"</definedName>
    <definedName name="EPMWorkbookOptions_9" hidden="1">"Hq9WZTHNWoJjPw8|Nc0JWrVcEuL02dOszczH0U/pc6Haolw2n300b9vVo7t323yxWtfFuKov7n7V5LXDafyumX109Ps/e/nF7//k5cmL7|7u/P7f05dm071ZM5le7uyO28nF|KKsJllZNOOLevXogJak7zbZ6u5kNb37/d//e28|f0L/fvvLV2c/9eWLN8fP6Y/zrGxy4puAVx7743tPJD3ixWhnx37k0Oj0LmQbZJSNsnKblNct039fT0S|jnA"</definedName>
    <definedName name="EPZA10.DedFromUndertaking">'[46]10A'!$F$15</definedName>
    <definedName name="EPZA10.TotalDedUs10Sub">'[46]10A'!$H$16</definedName>
    <definedName name="Equity_Adj">'[72]2. Forecast Drivers'!$E$245:$S$245</definedName>
    <definedName name="Equity_Bal">'[72]2. Forecast Drivers'!$E$246:$S$246</definedName>
    <definedName name="Equity_Bal_BF">'[72]2. Forecast Drivers'!$F$238:$S$238</definedName>
    <definedName name="Equity_Cash">'[72]2. Forecast Drivers'!$E$243:$S$243</definedName>
    <definedName name="Equity_Size">#REF!</definedName>
    <definedName name="equity97">#REF!</definedName>
    <definedName name="equitydata">#REF!</definedName>
    <definedName name="EQUITYIRR">#REF!</definedName>
    <definedName name="equityupfront">#REF!</definedName>
    <definedName name="er">#REF!</definedName>
    <definedName name="Erai_level">[213]Level_qty!$B$8:$C$528</definedName>
    <definedName name="ert">'[132]Capex-fixed'!#REF!</definedName>
    <definedName name="ESC" localSheetId="17">#REF!</definedName>
    <definedName name="ESC">#REF!</definedName>
    <definedName name="Esc_AGExp">[214]Assumptions!$B$4</definedName>
    <definedName name="Esc_Coal">[190]Assumptions!$B$6</definedName>
    <definedName name="Esc_DomGas">[190]Assumptions!$B$8</definedName>
    <definedName name="Esc_EmpExp">[190]Assumptions!$B$3</definedName>
    <definedName name="Esc_LNGas">[190]Assumptions!$B$9</definedName>
    <definedName name="Esc_Oil">[190]Assumptions!$B$7</definedName>
    <definedName name="Esc_OtherVarCharge">[190]Assumptions!$B$10</definedName>
    <definedName name="Esc_RMExp">[214]Assumptions!$B$5</definedName>
    <definedName name="EscAGExp">#REF!</definedName>
    <definedName name="EscCoal">#REF!</definedName>
    <definedName name="EscDomGas">#REF!</definedName>
    <definedName name="EscEmpExp">#REF!</definedName>
    <definedName name="EscLNGas">#REF!</definedName>
    <definedName name="EscOil">#REF!</definedName>
    <definedName name="EscOtherIncome">#REF!</definedName>
    <definedName name="EscOtherVarCharge">#REF!</definedName>
    <definedName name="EscRMExp">#REF!</definedName>
    <definedName name="etc" hidden="1">#REF!</definedName>
    <definedName name="ETRAS" localSheetId="7">#REF!</definedName>
    <definedName name="ETRAS" localSheetId="10">#REF!</definedName>
    <definedName name="ETRAS" localSheetId="9">#REF!</definedName>
    <definedName name="ETRAS" localSheetId="6">#REF!</definedName>
    <definedName name="ETRAS">#REF!</definedName>
    <definedName name="EUHQ">#REF!</definedName>
    <definedName name="EURO">#REF!</definedName>
    <definedName name="Europe_Average">[106]List_ratios!#REF!</definedName>
    <definedName name="EUROPEAN_HQ">#REF!</definedName>
    <definedName name="ev.Calculation" hidden="1">2</definedName>
    <definedName name="ev.Initialized" hidden="1">FALSE</definedName>
    <definedName name="eva">#REF!</definedName>
    <definedName name="EVIS">[133]ECURE!$A$1:$K$68</definedName>
    <definedName name="ewrdwe">'[192]TB APJ'!$B$196</definedName>
    <definedName name="ex" localSheetId="7">#REF!</definedName>
    <definedName name="ex" localSheetId="10">#REF!</definedName>
    <definedName name="ex" localSheetId="9">#REF!</definedName>
    <definedName name="ex" localSheetId="6">#REF!</definedName>
    <definedName name="ex">#N/A</definedName>
    <definedName name="ex_rate">#REF!</definedName>
    <definedName name="EXA" localSheetId="17">#REF!</definedName>
    <definedName name="EXA">#REF!</definedName>
    <definedName name="EXC">#REF!</definedName>
    <definedName name="Excel_BuiltIn_Print_Area_0">#REF!</definedName>
    <definedName name="Excel_BuiltIn_Print_Area_3">[215]EPS!#REF!</definedName>
    <definedName name="Excel_BuiltIn_Print_Area_3_1">#REF!</definedName>
    <definedName name="ExcelData\Tax\Tax3cd.xls">#REF!</definedName>
    <definedName name="exch" localSheetId="17">'[132]Capex-fixed'!#REF!</definedName>
    <definedName name="exch">'[132]Capex-fixed'!#REF!</definedName>
    <definedName name="excise">'[150]Operating Statistics'!#REF!</definedName>
    <definedName name="exfactcost">'[212]HI-TARGE'!#REF!</definedName>
    <definedName name="EXGRATIA" localSheetId="17">#REF!</definedName>
    <definedName name="EXGRATIA">#REF!</definedName>
    <definedName name="EXH">#REF!</definedName>
    <definedName name="EXHXV.1">[216]mancount!#REF!</definedName>
    <definedName name="EXHXVII.2">[216]PRESFMS!#REF!</definedName>
    <definedName name="Exit_Price">[142]Summary!#REF!</definedName>
    <definedName name="exit101">#REF!</definedName>
    <definedName name="EXITYEAR">#REF!</definedName>
    <definedName name="EXP">#REF!</definedName>
    <definedName name="exp_rec_99">#REF!</definedName>
    <definedName name="Expected_balance" localSheetId="7">'[68]Excess Calc'!#REF!</definedName>
    <definedName name="Expected_balance" localSheetId="10">'[68]Excess Calc'!#REF!</definedName>
    <definedName name="Expected_balance" localSheetId="9">'[68]Excess Calc'!#REF!</definedName>
    <definedName name="Expected_balance" localSheetId="6">'[68]Excess Calc'!#REF!</definedName>
    <definedName name="Expected_balance">#REF!</definedName>
    <definedName name="ExpectedGrowthbysector">'[217]10-city points'!#REF!</definedName>
    <definedName name="ExpectedMarketSize">'[217]10-city points'!#REF!</definedName>
    <definedName name="EXPENSES" localSheetId="7">#REF!</definedName>
    <definedName name="EXPENSES" localSheetId="10">#REF!</definedName>
    <definedName name="EXPENSES" localSheetId="9">#REF!</definedName>
    <definedName name="EXPENSES" localSheetId="6">#REF!</definedName>
    <definedName name="Expenses">#REF!</definedName>
    <definedName name="expensesc">'[45]NOTES '!#REF!</definedName>
    <definedName name="expensesp">'[45]NOTES '!#REF!</definedName>
    <definedName name="ExportFile">#N/A</definedName>
    <definedName name="Exreco" localSheetId="17">#REF!</definedName>
    <definedName name="Exreco">#REF!</definedName>
    <definedName name="Extra_Pay">#REF!</definedName>
    <definedName name="ExtraOrdItem">'[72]2. Forecast Drivers'!$E$157:$S$157</definedName>
    <definedName name="extrckcost" localSheetId="17">'[132]Capex-fixed'!#REF!</definedName>
    <definedName name="extrckcost">'[132]Capex-fixed'!#REF!</definedName>
    <definedName name="F" localSheetId="17" hidden="1">'[38]SCH 10'!#REF!</definedName>
    <definedName name="F" localSheetId="7" hidden="1">{#N/A,#N/A,FALSE,"COMP"}</definedName>
    <definedName name="F" localSheetId="10" hidden="1">{#N/A,#N/A,FALSE,"COMP"}</definedName>
    <definedName name="F" localSheetId="9" hidden="1">{#N/A,#N/A,FALSE,"COMP"}</definedName>
    <definedName name="F" localSheetId="6" hidden="1">{#N/A,#N/A,FALSE,"COMP"}</definedName>
    <definedName name="F" hidden="1">'[39]SCH 10'!#REF!</definedName>
    <definedName name="F_C_PC" localSheetId="17">#REF!</definedName>
    <definedName name="F_C_PC">#REF!</definedName>
    <definedName name="F_Patel">#REF!</definedName>
    <definedName name="F1_Server">"Server Name"</definedName>
    <definedName name="F1_Server_1">"HK-CILLIN"</definedName>
    <definedName name="F1_Server_2">""</definedName>
    <definedName name="F1_Server_3">""</definedName>
    <definedName name="F1_Server_4">""</definedName>
    <definedName name="F1_Server_5">""</definedName>
    <definedName name="F1_Service">"Service "</definedName>
    <definedName name="F1_Service_1">"InterScan NT"</definedName>
    <definedName name="F1_Service_2">""</definedName>
    <definedName name="F1_Service_3">""</definedName>
    <definedName name="F1_Service_4">""</definedName>
    <definedName name="F1_Service_5">""</definedName>
    <definedName name="F1_virus_1">"1"</definedName>
    <definedName name="F1_virus_2">""</definedName>
    <definedName name="F1_virus_3">""</definedName>
    <definedName name="F1_virus_4">""</definedName>
    <definedName name="F1_virus_5">""</definedName>
    <definedName name="F3_Machine">"Machine Name"</definedName>
    <definedName name="F3_Machine_1">""</definedName>
    <definedName name="F3_Machine_2">""</definedName>
    <definedName name="F3_Machine_3">""</definedName>
    <definedName name="F3_Machine_4">""</definedName>
    <definedName name="F3_Machine_5">""</definedName>
    <definedName name="F3_Virus_1">""</definedName>
    <definedName name="F3_Virus_2">""</definedName>
    <definedName name="F3_Virus_3">""</definedName>
    <definedName name="F3_Virus_4">""</definedName>
    <definedName name="F3_Virus_5">""</definedName>
    <definedName name="FA" localSheetId="17">'[218]Fixed Assets Top Sheet- Consol'!$E$10</definedName>
    <definedName name="FA" localSheetId="7">#REF!</definedName>
    <definedName name="FA" localSheetId="10">#REF!</definedName>
    <definedName name="FA" localSheetId="9">#REF!</definedName>
    <definedName name="FA" localSheetId="6">#REF!</definedName>
    <definedName name="FA">'[219]Fixed Assets Top Sheet- Consol'!$E$10</definedName>
    <definedName name="FA_A_PeakBal">[46]TR_FA!$G$29:$G$33</definedName>
    <definedName name="FA_B_TotalInv">[46]TR_FA!$G$42:$G$46</definedName>
    <definedName name="FA_C_TotalInv">[46]TR_FA!$E$55:$E$59</definedName>
    <definedName name="FA_D_TotalInv">[46]TR_FA!$E$68:$E$72</definedName>
    <definedName name="FA_E_PeakBalInv">[46]TR_FA!$F$81:$F$85</definedName>
    <definedName name="FA_Hist">'[72]2. Forecast Drivers'!$E$78:$S$78</definedName>
    <definedName name="FA_SCHEDULE" localSheetId="7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localSheetId="10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localSheetId="1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localSheetId="0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localSheetId="6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C" localSheetId="17">[138]Facility!$C$1</definedName>
    <definedName name="FAC">[139]Facility!$C$1</definedName>
    <definedName name="fac_hw">[174]factors!$C$6</definedName>
    <definedName name="fac_loc">[174]factors!$C$8</definedName>
    <definedName name="fac_sw">[174]factors!$C$7</definedName>
    <definedName name="fake">#REF!</definedName>
    <definedName name="Fatty_Acids__Price__Rs___Unit">'[82]EVA Calculations'!#REF!</definedName>
    <definedName name="Fatty_Acids__Volume__Units">'[82]EVA Calculations'!#REF!</definedName>
    <definedName name="Fatty_Alcohols__Price__Rs___Unit">'[82]EVA Calculations'!#REF!</definedName>
    <definedName name="FAX">#REF!</definedName>
    <definedName name="FBClass">#REF!</definedName>
    <definedName name="fbdfhsh">#REF!</definedName>
    <definedName name="FBT.Amt">[46]IT_DDTP!$H$30:$H$35</definedName>
    <definedName name="FBT.FormulaOfS">[46]IT_DDTP!$S$30:$S$35</definedName>
    <definedName name="FBTSection">[220]Lists!$A$61:$A$63</definedName>
    <definedName name="FBValBIF1.ValueOfFBIf1OfSchFBIisNo">[46]FRINGE_BENEFIT_INFO!$J$43</definedName>
    <definedName name="FBValBIF2N.ValueOfFBIf2OfSchFBIisNo">[46]FRINGE_BENEFIT_INFO!$J$45</definedName>
    <definedName name="FBValBIF2Y.ValueOfFBIf2OfSchFBIisYes">[46]FRINGE_BENEFIT_INFO!$J$44</definedName>
    <definedName name="FC" localSheetId="17">'[221]Assumption-II'!$S$5</definedName>
    <definedName name="FC">'[170]Assumption-II'!$S$5</definedName>
    <definedName name="FCF">'[72]3. Results'!$F$218:$AD$218</definedName>
    <definedName name="fco">[222]fco!$B$1:$AF$1</definedName>
    <definedName name="FCode" hidden="1">#REF!</definedName>
    <definedName name="fdafa" localSheetId="7" hidden="1">{#N/A,#N/A,FALSE,"COVER1.XLS ";#N/A,#N/A,FALSE,"RACT1.XLS";#N/A,#N/A,FALSE,"RACT2.XLS";#N/A,#N/A,FALSE,"ECCMP";#N/A,#N/A,FALSE,"WELDER.XLS"}</definedName>
    <definedName name="fdafa" localSheetId="10" hidden="1">{#N/A,#N/A,FALSE,"COVER1.XLS ";#N/A,#N/A,FALSE,"RACT1.XLS";#N/A,#N/A,FALSE,"RACT2.XLS";#N/A,#N/A,FALSE,"ECCMP";#N/A,#N/A,FALSE,"WELDER.XLS"}</definedName>
    <definedName name="fdafa" localSheetId="1" hidden="1">{#N/A,#N/A,FALSE,"COVER1.XLS ";#N/A,#N/A,FALSE,"RACT1.XLS";#N/A,#N/A,FALSE,"RACT2.XLS";#N/A,#N/A,FALSE,"ECCMP";#N/A,#N/A,FALSE,"WELDER.XLS"}</definedName>
    <definedName name="fdafa" localSheetId="0" hidden="1">{#N/A,#N/A,FALSE,"COVER1.XLS ";#N/A,#N/A,FALSE,"RACT1.XLS";#N/A,#N/A,FALSE,"RACT2.XLS";#N/A,#N/A,FALSE,"ECCMP";#N/A,#N/A,FALSE,"WELDER.XLS"}</definedName>
    <definedName name="fdafa" localSheetId="6" hidden="1">{#N/A,#N/A,FALSE,"COVER1.XLS ";#N/A,#N/A,FALSE,"RACT1.XLS";#N/A,#N/A,FALSE,"RACT2.XLS";#N/A,#N/A,FALSE,"ECCMP";#N/A,#N/A,FALSE,"WELDER.XLS"}</definedName>
    <definedName name="fdafa" hidden="1">{#N/A,#N/A,FALSE,"COVER1.XLS ";#N/A,#N/A,FALSE,"RACT1.XLS";#N/A,#N/A,FALSE,"RACT2.XLS";#N/A,#N/A,FALSE,"ECCMP";#N/A,#N/A,FALSE,"WELDER.XLS"}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fd" localSheetId="7" hidden="1">{#N/A,#N/A,FALSE,"COVER.XLS";#N/A,#N/A,FALSE,"RACT1.XLS";#N/A,#N/A,FALSE,"RACT2.XLS";#N/A,#N/A,FALSE,"ECCMP";#N/A,#N/A,FALSE,"WELDER.XLS"}</definedName>
    <definedName name="fdfd" localSheetId="10" hidden="1">{#N/A,#N/A,FALSE,"COVER.XLS";#N/A,#N/A,FALSE,"RACT1.XLS";#N/A,#N/A,FALSE,"RACT2.XLS";#N/A,#N/A,FALSE,"ECCMP";#N/A,#N/A,FALSE,"WELDER.XLS"}</definedName>
    <definedName name="fdfd" localSheetId="1" hidden="1">{#N/A,#N/A,FALSE,"COVER.XLS";#N/A,#N/A,FALSE,"RACT1.XLS";#N/A,#N/A,FALSE,"RACT2.XLS";#N/A,#N/A,FALSE,"ECCMP";#N/A,#N/A,FALSE,"WELDER.XLS"}</definedName>
    <definedName name="fdfd" localSheetId="0" hidden="1">{#N/A,#N/A,FALSE,"COVER.XLS";#N/A,#N/A,FALSE,"RACT1.XLS";#N/A,#N/A,FALSE,"RACT2.XLS";#N/A,#N/A,FALSE,"ECCMP";#N/A,#N/A,FALSE,"WELDER.XLS"}</definedName>
    <definedName name="fdfd" localSheetId="6" hidden="1">{#N/A,#N/A,FALSE,"COVER.XLS";#N/A,#N/A,FALSE,"RACT1.XLS";#N/A,#N/A,FALSE,"RACT2.XLS";#N/A,#N/A,FALSE,"ECCMP";#N/A,#N/A,FALSE,"WELDER.XLS"}</definedName>
    <definedName name="fdfd" hidden="1">{#N/A,#N/A,FALSE,"COVER.XLS";#N/A,#N/A,FALSE,"RACT1.XLS";#N/A,#N/A,FALSE,"RACT2.XLS";#N/A,#N/A,FALSE,"ECCMP";#N/A,#N/A,FALSE,"WELDER.XLS"}</definedName>
    <definedName name="fdfdgdgd">#REF!</definedName>
    <definedName name="fdiccapgain" localSheetId="17">'[223]VIR CG'!#REF!</definedName>
    <definedName name="fdiccapgain">'[223]VIR CG'!#REF!</definedName>
    <definedName name="fdsfdsf">#REF!</definedName>
    <definedName name="fdwfcw" localSheetId="7" hidden="1">{#N/A,#N/A,FALSE,"COVER.XLS";#N/A,#N/A,FALSE,"RACT1.XLS";#N/A,#N/A,FALSE,"RACT2.XLS";#N/A,#N/A,FALSE,"ECCMP";#N/A,#N/A,FALSE,"WELDER.XLS"}</definedName>
    <definedName name="fdwfcw" localSheetId="10" hidden="1">{#N/A,#N/A,FALSE,"COVER.XLS";#N/A,#N/A,FALSE,"RACT1.XLS";#N/A,#N/A,FALSE,"RACT2.XLS";#N/A,#N/A,FALSE,"ECCMP";#N/A,#N/A,FALSE,"WELDER.XLS"}</definedName>
    <definedName name="fdwfcw" localSheetId="1" hidden="1">{#N/A,#N/A,FALSE,"COVER.XLS";#N/A,#N/A,FALSE,"RACT1.XLS";#N/A,#N/A,FALSE,"RACT2.XLS";#N/A,#N/A,FALSE,"ECCMP";#N/A,#N/A,FALSE,"WELDER.XLS"}</definedName>
    <definedName name="fdwfcw" localSheetId="0" hidden="1">{#N/A,#N/A,FALSE,"COVER.XLS";#N/A,#N/A,FALSE,"RACT1.XLS";#N/A,#N/A,FALSE,"RACT2.XLS";#N/A,#N/A,FALSE,"ECCMP";#N/A,#N/A,FALSE,"WELDER.XLS"}</definedName>
    <definedName name="fdwfcw" localSheetId="6" hidden="1">{#N/A,#N/A,FALSE,"COVER.XLS";#N/A,#N/A,FALSE,"RACT1.XLS";#N/A,#N/A,FALSE,"RACT2.XLS";#N/A,#N/A,FALSE,"ECCMP";#N/A,#N/A,FALSE,"WELDER.XLS"}</definedName>
    <definedName name="fdwfcw" hidden="1">{#N/A,#N/A,FALSE,"COVER.XLS";#N/A,#N/A,FALSE,"RACT1.XLS";#N/A,#N/A,FALSE,"RACT2.XLS";#N/A,#N/A,FALSE,"ECCMP";#N/A,#N/A,FALSE,"WELDER.XLS"}</definedName>
    <definedName name="fdxfds">#REF!</definedName>
    <definedName name="feas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as" localSheetId="1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as" localSheetId="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as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as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as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DTAX">'[129]MN T.B.'!$J$26</definedName>
    <definedName name="FEF">#REF!</definedName>
    <definedName name="FERMENTATION_LOSS">#REF!</definedName>
    <definedName name="FF">#REF!</definedName>
    <definedName name="FFA">'[72]2. Forecast Drivers'!$D$136</definedName>
    <definedName name="FFAPPCOLNAME1_1">[69]CRITERIA1!$F$1</definedName>
    <definedName name="FFAPPCOLNAME2_1">[69]CRITERIA1!$F$2</definedName>
    <definedName name="FFAPPCOLNAME3_1">[69]CRITERIA1!$F$3</definedName>
    <definedName name="FFAPPCOLNAME4_1">[69]CRITERIA1!$F$4</definedName>
    <definedName name="FFAPPCOLNAME5_1">[69]CRITERIA1!$F$5</definedName>
    <definedName name="FFAPPCOLNAME6_1">[69]CRITERIA1!$F$6</definedName>
    <definedName name="FFAPPCOLNAME7_1">[69]CRITERIA1!$F$7</definedName>
    <definedName name="FFAPPCOLNAME8_1">[69]CRITERIA1!$F$8</definedName>
    <definedName name="FFF">#REF!</definedName>
    <definedName name="ffff">#REF!</definedName>
    <definedName name="fffff">'[188]ANNX -II'!$B$80:$K$97</definedName>
    <definedName name="ffffffffff">'[188]ANNX -II'!$A$6:$V$37</definedName>
    <definedName name="fffffffffffffff" hidden="1">#REF!</definedName>
    <definedName name="FFFYYJ" hidden="1">#REF!</definedName>
    <definedName name="ffgf" localSheetId="17">'[132]Capex-fixed'!#REF!</definedName>
    <definedName name="ffgf">'[132]Capex-fixed'!#REF!</definedName>
    <definedName name="FFSEGMENT1_1">[69]CRITERIA1!$D$1</definedName>
    <definedName name="FFSEGMENT2_1">[69]CRITERIA1!$D$2</definedName>
    <definedName name="FFSEGMENT3_1">[69]CRITERIA1!$D$3</definedName>
    <definedName name="FFSEGMENT4_1">[69]CRITERIA1!$D$4</definedName>
    <definedName name="FFSEGMENT5_1">[69]CRITERIA1!$D$5</definedName>
    <definedName name="FFSEGMENT6_1">[69]CRITERIA1!$D$6</definedName>
    <definedName name="FFSEGMENT7_1">[69]CRITERIA1!$D$7</definedName>
    <definedName name="FFSEGMENT8_1">[69]CRITERIA1!$D$8</definedName>
    <definedName name="FFSEGSEPARATOR1">[69]CRITERIA1!$B$17</definedName>
    <definedName name="fg">#REF!</definedName>
    <definedName name="fgdgchjgd">#REF!</definedName>
    <definedName name="fgff">'[132]Capex-fixed'!#REF!</definedName>
    <definedName name="Fgoods" localSheetId="17">#REF!</definedName>
    <definedName name="Fgoods">#REF!</definedName>
    <definedName name="fgvdata">#REF!</definedName>
    <definedName name="Fhandling">[71]Assumptions!$D$61</definedName>
    <definedName name="FHandling_Base">#REF!</definedName>
    <definedName name="FHandling_SEN">#REF!</definedName>
    <definedName name="FHDFDFH" hidden="1">#REF!</definedName>
    <definedName name="FIELDNAMECOLUMN1">[69]CRITERIA1!$B$26</definedName>
    <definedName name="FIELDNAMEROW1">[69]CRITERIA1!$B$25</definedName>
    <definedName name="Figure_1_Comment">""</definedName>
    <definedName name="Figure_1_Head">"Virus Entry Point Analysis ( Server )"</definedName>
    <definedName name="Figure_2_Head">"Overall Score"</definedName>
    <definedName name="Figure_3_Comment">""</definedName>
    <definedName name="Figure_3_Head">"Virus Entry Point Analysis ( Client )"</definedName>
    <definedName name="Figure_4_Comment">" 
"</definedName>
    <definedName name="Figure_4_Head">"Daily Virus Count"</definedName>
    <definedName name="Figure_5_Comment">" 
"</definedName>
    <definedName name="Figure_5_Head">"Virus Type Analysis"</definedName>
    <definedName name="Figure_6_Comment">" 
"</definedName>
    <definedName name="Figure_6_Head">"Common Viruses"</definedName>
    <definedName name="Figure_7_Comment">" 
"</definedName>
    <definedName name="Figure_7_Head">"Virus Source Analysis"</definedName>
    <definedName name="Figure_8_Comment">" 
"</definedName>
    <definedName name="Figure_8_Head">"Virus Destination Analysis"</definedName>
    <definedName name="FileServer">"File Server"</definedName>
    <definedName name="FileServer_Grade">"C"</definedName>
    <definedName name="fill" hidden="1">'[224]Sheet3 (2)'!$A$60:$A$76</definedName>
    <definedName name="Fin" localSheetId="17">[177]Lrnet_Inftch!#REF!</definedName>
    <definedName name="FIN" localSheetId="7">#REF!</definedName>
    <definedName name="FIN" localSheetId="10">#REF!</definedName>
    <definedName name="FIN" localSheetId="9">#REF!</definedName>
    <definedName name="FIN" localSheetId="6">#REF!</definedName>
    <definedName name="Fin">[178]Lrnet_Inftch!#REF!</definedName>
    <definedName name="final_true" localSheetId="17">[100]Assumptions!$A$2</definedName>
    <definedName name="final_true">[101]Assumptions!$A$2</definedName>
    <definedName name="FINALPBT">[46]BP!$P$6</definedName>
    <definedName name="FinCharge">[190]Assumptions!$B$25</definedName>
    <definedName name="fine">#REF!</definedName>
    <definedName name="FIRE">#N/A</definedName>
    <definedName name="First_Loss_Macro">[225]Macro1!$B$2</definedName>
    <definedName name="First_payment_due">'[97]FITZ MORT 94'!$C$10</definedName>
    <definedName name="FIRSTDATAROW1">[69]CRITERIA1!$B$27</definedName>
    <definedName name="FirstYear" localSheetId="7">[93]Introduction!#REF!</definedName>
    <definedName name="FirstYear" localSheetId="10">[93]Introduction!#REF!</definedName>
    <definedName name="FirstYear" localSheetId="9">[93]Introduction!#REF!</definedName>
    <definedName name="FirstYear" localSheetId="6">[93]Introduction!#REF!</definedName>
    <definedName name="FIRSTYEAR">'[226]ADAMYA FINAL SHEET'!#REF!</definedName>
    <definedName name="fix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localSheetId="1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edAssets" localSheetId="7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localSheetId="10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localSheetId="1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localSheetId="0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localSheetId="6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LAG7A7B7C">[46]BP!$P$4</definedName>
    <definedName name="FLEASES">'[78]YE-SW2'!$IM$8159</definedName>
    <definedName name="FNDNAM1">[69]CRITERIA1!$B$12</definedName>
    <definedName name="FNDUSERID1">[69]CRITERIA1!$B$15</definedName>
    <definedName name="FOMR3CD..10" localSheetId="17">#REF!</definedName>
    <definedName name="FOMR3CD..10">#REF!</definedName>
    <definedName name="FORECAST" localSheetId="7">#REF!</definedName>
    <definedName name="FORECAST" localSheetId="10">#REF!</definedName>
    <definedName name="FORECAST" localSheetId="9">#REF!</definedName>
    <definedName name="FORECAST" localSheetId="6">#REF!</definedName>
    <definedName name="forecast">#REF!</definedName>
    <definedName name="Foreclosure_Costs">[142]Summary!#REF!</definedName>
    <definedName name="forecourt_staff_urban">#REF!</definedName>
    <definedName name="FOREX">[71]Assumptions!$C$241</definedName>
    <definedName name="Forex_Base">#REF!</definedName>
    <definedName name="Forex_SEN">#REF!</definedName>
    <definedName name="FORM3CD..1">#REF!</definedName>
    <definedName name="FORM3CD..11">#REF!</definedName>
    <definedName name="FORM3CD..2">#REF!</definedName>
    <definedName name="FORM3CD..3">#REF!</definedName>
    <definedName name="FORM3CD..4">#REF!</definedName>
    <definedName name="FORM3CD..5">#REF!</definedName>
    <definedName name="FORM3CD..6">#REF!</definedName>
    <definedName name="FORM3CD..7">#REF!</definedName>
    <definedName name="FORM3CD..8">#REF!</definedName>
    <definedName name="FORM3CD..9">#REF!</definedName>
    <definedName name="FORM4B1" localSheetId="7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localSheetId="10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localSheetId="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localSheetId="0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localSheetId="6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at" localSheetId="7">#REF!</definedName>
    <definedName name="Format" localSheetId="10">#REF!</definedName>
    <definedName name="Format" localSheetId="9">#REF!</definedName>
    <definedName name="Format" localSheetId="6">#REF!</definedName>
    <definedName name="Format">#REF!</definedName>
    <definedName name="Format_1">#REF!</definedName>
    <definedName name="FormatStringTable">[151]ReportsParameters!$A$50:$E$55</definedName>
    <definedName name="FORMIV_">#REF!</definedName>
    <definedName name="FormulaOfQ">[46]IT_DDTP!$T$4:$T$9</definedName>
    <definedName name="FormulaOfQF">[46]IT_DDTP!$T$30:$T$35</definedName>
    <definedName name="FormulaOfSat">[46]IT_DDTP!$U$4:$U$9</definedName>
    <definedName name="FormulaOfSATF">[46]IT_DDTP!$U$30:$U$35</definedName>
    <definedName name="FormulaofSI">[46]SI!$L$12:$L$21</definedName>
    <definedName name="FORMV">#REF!</definedName>
    <definedName name="FOUR">'[227]CAPITAL (2)'!#REF!</definedName>
    <definedName name="fr" hidden="1">#REF!</definedName>
    <definedName name="FRAN">#REF!</definedName>
    <definedName name="FRANCE">#REF!</definedName>
    <definedName name="freaetfa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aetfa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aetfa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aetfa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aetfa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aetfa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IGHT">#REF!</definedName>
    <definedName name="fresh_debt_calc">'[74]FUNDING REQT_11.2'!$E$49</definedName>
    <definedName name="fresh_debt_pasted">'[74]FUNDING REQT_11.2'!$E$50</definedName>
    <definedName name="fresh_rtl_check" localSheetId="17">[100]Assumptions!$A$90</definedName>
    <definedName name="fresh_rtl_check">[228]Assumptions!$A$93</definedName>
    <definedName name="fresh_rtl_copy" localSheetId="17">[100]Assumptions!$C$89</definedName>
    <definedName name="fresh_rtl_copy">[228]Assumptions!$C$92</definedName>
    <definedName name="fresh_rtl_paste" localSheetId="17">[100]Assumptions!$C$90</definedName>
    <definedName name="fresh_rtl_paste">[228]Assumptions!$C$93</definedName>
    <definedName name="FRGHT">[229]TB9899!#REF!</definedName>
    <definedName name="fsa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" localSheetId="1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" localSheetId="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_coal_esc">[230]Assumptions!$D$46</definedName>
    <definedName name="fsd">#REF!</definedName>
    <definedName name="FSI.BusinessIncome">[46]FSI!$F$8:$F$12</definedName>
    <definedName name="FSI.CapGainIncome">[46]FSI!$G$8:$G$12</definedName>
    <definedName name="FSI.IncomeFromHP">[46]FSI!$E$8:$E$12</definedName>
    <definedName name="FSI.OtherSourceIncome">[46]FSI!$H$8:$H$12</definedName>
    <definedName name="FSI.TotalIncome">[46]FSI!$I$8:$I$12</definedName>
    <definedName name="FSI.TotalIncomeGTotal">[46]FSI!$I$13</definedName>
    <definedName name="FSI.TotalIncomeOutIndia">[46]FSI!$I$16</definedName>
    <definedName name="FSI.TotalIncomeOutIndiaDTAAAppli">[46]FSI!$I$17</definedName>
    <definedName name="fspsubscribersperE1" localSheetId="17">#REF!</definedName>
    <definedName name="fspsubscribersperE1">#REF!</definedName>
    <definedName name="fssdzfzsdffzsdf">#REF!</definedName>
    <definedName name="FST">#REF!</definedName>
    <definedName name="FT">#REF!</definedName>
    <definedName name="FTZA10.DedFromUndertaking">'[46]10A'!$F$11:$F$11</definedName>
    <definedName name="FTZA10.TotalDedUs10Sub">'[46]10A'!$H$12</definedName>
    <definedName name="FUEL">[71]Assumptions!$D$59</definedName>
    <definedName name="Fuel_Base">#REF!</definedName>
    <definedName name="Fuel_Exp_CY">#REF!</definedName>
    <definedName name="Fuel_Exp_EY">#REF!</definedName>
    <definedName name="Fuel_Exp_PY">#REF!</definedName>
    <definedName name="FUEL_SEN">#REF!</definedName>
    <definedName name="full">#REF!</definedName>
    <definedName name="Full_Print">#REF!</definedName>
    <definedName name="FULLCOMPANY">#REF!</definedName>
    <definedName name="FUNCTIONALCURRENCY1">[69]CRITERIA1!$B$33</definedName>
    <definedName name="fund">#REF!</definedName>
    <definedName name="Fund_Summary">#REF!</definedName>
    <definedName name="FUNDFLOW">#REF!</definedName>
    <definedName name="FURNITURE___FIXTURE">#REF!</definedName>
    <definedName name="Furnitures">#REF!</definedName>
    <definedName name="Future_Options">'[72]2. Forecast Drivers'!$D$146</definedName>
    <definedName name="fx" localSheetId="17">'[231]Model- As is'!$F$3</definedName>
    <definedName name="Fx" localSheetId="7">[71]Input!$D$38</definedName>
    <definedName name="Fx" localSheetId="10">[71]Input!$D$38</definedName>
    <definedName name="Fx" localSheetId="9">[71]Input!$D$38</definedName>
    <definedName name="Fx" localSheetId="6">[71]Input!$D$38</definedName>
    <definedName name="fx">'[232]Model- As is'!$F$3</definedName>
    <definedName name="Fx_Base">#REF!</definedName>
    <definedName name="Fx_SEN">#REF!</definedName>
    <definedName name="fx_usd" localSheetId="17">[161]Assumptions!$C$37</definedName>
    <definedName name="fx_usd">[162]Assumptions!$C$37</definedName>
    <definedName name="fxsgd" localSheetId="17">[49]Assumptions!#REF!</definedName>
    <definedName name="fxsgd">[50]Assumptions!#REF!</definedName>
    <definedName name="fxus" localSheetId="17">[49]Assumptions!#REF!</definedName>
    <definedName name="fxus">[50]Assumptions!#REF!</definedName>
    <definedName name="FY" localSheetId="17">#REF!</definedName>
    <definedName name="FY" localSheetId="7">'[72]2. Forecast Drivers'!$E$340</definedName>
    <definedName name="FY" localSheetId="10">'[72]2. Forecast Drivers'!$E$340</definedName>
    <definedName name="FY" localSheetId="9">'[72]2. Forecast Drivers'!$E$340</definedName>
    <definedName name="FY" localSheetId="6">'[72]2. Forecast Drivers'!$E$340</definedName>
    <definedName name="FY">#REF!</definedName>
    <definedName name="FYEnd" localSheetId="7">[93]Introduction!#REF!</definedName>
    <definedName name="FYEnd" localSheetId="10">[93]Introduction!#REF!</definedName>
    <definedName name="FYEnd" localSheetId="9">[93]Introduction!#REF!</definedName>
    <definedName name="FYEnd" localSheetId="6">[93]Introduction!#REF!</definedName>
    <definedName name="FYEND">#REF!</definedName>
    <definedName name="FYMonths">[151]ReportsParameters!$B$42</definedName>
    <definedName name="g" localSheetId="7" hidden="1">[233]SUMMARY!$E$64:$H$64</definedName>
    <definedName name="g" localSheetId="10" hidden="1">[233]SUMMARY!$E$64:$H$64</definedName>
    <definedName name="g" localSheetId="9" hidden="1">[233]SUMMARY!$E$64:$H$64</definedName>
    <definedName name="g" localSheetId="6" hidden="1">[233]SUMMARY!$E$64:$H$64</definedName>
    <definedName name="g">#REF!</definedName>
    <definedName name="g_1">[46]Calculator!$Q$9</definedName>
    <definedName name="g_1F">[46]Calculator!$Q$15</definedName>
    <definedName name="g_2">[46]Calculator!$Q$10</definedName>
    <definedName name="g_2F">[46]Calculator!$Q$16</definedName>
    <definedName name="g_3">[46]Calculator!$Q$11</definedName>
    <definedName name="g_3F">[46]Calculator!$Q$17</definedName>
    <definedName name="g_4">[46]Calculator!$Q$12</definedName>
    <definedName name="g_4F">[46]Calculator!$Q$18</definedName>
    <definedName name="g_5">[46]Calculator!$Q$13</definedName>
    <definedName name="g_5F">[46]Calculator!$Q$19</definedName>
    <definedName name="G_Dang">#REF!</definedName>
    <definedName name="gaga">#REF!</definedName>
    <definedName name="gahZh">#REF!</definedName>
    <definedName name="gajkahuah">#REF!</definedName>
    <definedName name="gasgdskhdu">#REF!,#REF!</definedName>
    <definedName name="gbdsg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bdsg" localSheetId="1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bdsg" localSheetId="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bdsg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bdsg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bdsg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DF" localSheetId="7" hidden="1">{#N/A,#N/A,FALSE,"COMP"}</definedName>
    <definedName name="GDF" localSheetId="10" hidden="1">{#N/A,#N/A,FALSE,"COMP"}</definedName>
    <definedName name="GDF" localSheetId="1" hidden="1">{#N/A,#N/A,FALSE,"COMP"}</definedName>
    <definedName name="GDF" localSheetId="0" hidden="1">{#N/A,#N/A,FALSE,"COMP"}</definedName>
    <definedName name="GDF" localSheetId="6" hidden="1">{#N/A,#N/A,FALSE,"COMP"}</definedName>
    <definedName name="GDF" hidden="1">{#N/A,#N/A,FALSE,"COMP"}</definedName>
    <definedName name="GDFA" localSheetId="7" hidden="1">{#N/A,#N/A,FALSE,"COMP"}</definedName>
    <definedName name="GDFA" localSheetId="10" hidden="1">{#N/A,#N/A,FALSE,"COMP"}</definedName>
    <definedName name="GDFA" localSheetId="1" hidden="1">{#N/A,#N/A,FALSE,"COMP"}</definedName>
    <definedName name="GDFA" localSheetId="0" hidden="1">{#N/A,#N/A,FALSE,"COMP"}</definedName>
    <definedName name="GDFA" localSheetId="6" hidden="1">{#N/A,#N/A,FALSE,"COMP"}</definedName>
    <definedName name="GDFA" hidden="1">{#N/A,#N/A,FALSE,"COMP"}</definedName>
    <definedName name="gdgfg" localSheetId="1">#REF!,#REF!</definedName>
    <definedName name="gdgfg" localSheetId="0">#REF!,#REF!</definedName>
    <definedName name="gdgfg">#REF!,#REF!</definedName>
    <definedName name="GDTubecost">'[132]Capex-fixed'!#REF!</definedName>
    <definedName name="genandadmin" localSheetId="17">#REF!</definedName>
    <definedName name="genandadmin">#REF!</definedName>
    <definedName name="General_Inputs_Target">'[234]A-General'!#REF!</definedName>
    <definedName name="GERM">#REF!</definedName>
    <definedName name="GERMANY">#REF!</definedName>
    <definedName name="gf">#REF!</definedName>
    <definedName name="gfff">'[235]Factors-overall'!#REF!</definedName>
    <definedName name="gfg">#REF!</definedName>
    <definedName name="gfjh" localSheetId="17">'[132]Capex-fixed'!#REF!</definedName>
    <definedName name="gfjh">'[132]Capex-fixed'!#REF!</definedName>
    <definedName name="gg" localSheetId="7" hidden="1">{#N/A,#N/A,FALSE,"COVER1.XLS ";#N/A,#N/A,FALSE,"RACT1.XLS";#N/A,#N/A,FALSE,"RACT2.XLS";#N/A,#N/A,FALSE,"ECCMP";#N/A,#N/A,FALSE,"WELDER.XLS"}</definedName>
    <definedName name="gg" localSheetId="10" hidden="1">{#N/A,#N/A,FALSE,"COVER1.XLS ";#N/A,#N/A,FALSE,"RACT1.XLS";#N/A,#N/A,FALSE,"RACT2.XLS";#N/A,#N/A,FALSE,"ECCMP";#N/A,#N/A,FALSE,"WELDER.XLS"}</definedName>
    <definedName name="gg" localSheetId="1" hidden="1">{#N/A,#N/A,FALSE,"COVER1.XLS ";#N/A,#N/A,FALSE,"RACT1.XLS";#N/A,#N/A,FALSE,"RACT2.XLS";#N/A,#N/A,FALSE,"ECCMP";#N/A,#N/A,FALSE,"WELDER.XLS"}</definedName>
    <definedName name="gg" localSheetId="0" hidden="1">{#N/A,#N/A,FALSE,"COVER1.XLS ";#N/A,#N/A,FALSE,"RACT1.XLS";#N/A,#N/A,FALSE,"RACT2.XLS";#N/A,#N/A,FALSE,"ECCMP";#N/A,#N/A,FALSE,"WELDER.XLS"}</definedName>
    <definedName name="gg" localSheetId="6" hidden="1">{#N/A,#N/A,FALSE,"COVER1.XLS ";#N/A,#N/A,FALSE,"RACT1.XLS";#N/A,#N/A,FALSE,"RACT2.XLS";#N/A,#N/A,FALSE,"ECCMP";#N/A,#N/A,FALSE,"WELDER.XLS"}</definedName>
    <definedName name="gg" hidden="1">{#N/A,#N/A,FALSE,"COVER1.XLS ";#N/A,#N/A,FALSE,"RACT1.XLS";#N/A,#N/A,FALSE,"RACT2.XLS";#N/A,#N/A,FALSE,"ECCMP";#N/A,#N/A,FALSE,"WELDER.XLS"}</definedName>
    <definedName name="GG6_" localSheetId="17">#REF!</definedName>
    <definedName name="GG6_">#REF!</definedName>
    <definedName name="ggfcgf" localSheetId="17">'[132]Capex-fixed'!#REF!</definedName>
    <definedName name="ggfcgf">'[132]Capex-fixed'!#REF!</definedName>
    <definedName name="GGG" localSheetId="17">CMA!GGG</definedName>
    <definedName name="GGG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" localSheetId="1">Historical!GGG</definedName>
    <definedName name="GGG" localSheetId="0">Projected!GGG</definedName>
    <definedName name="GGG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">GGG</definedName>
    <definedName name="ggggg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localSheetId="1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g">'[188]ANNX -II'!$X$20:$AG$41</definedName>
    <definedName name="gh" hidden="1">#REF!</definedName>
    <definedName name="ghghgh" localSheetId="17">'[132]Capex-fixed'!#REF!</definedName>
    <definedName name="ghghgh">'[132]Capex-fixed'!#REF!</definedName>
    <definedName name="ghh" hidden="1">#REF!</definedName>
    <definedName name="ghhfh">#REF!</definedName>
    <definedName name="GHHHHHH">#REF!</definedName>
    <definedName name="ghjjkh">'[132]Capex-fixed'!#REF!</definedName>
    <definedName name="Giftlogo" localSheetId="17">#REF!</definedName>
    <definedName name="Giftlogo">#REF!</definedName>
    <definedName name="Giftnonlogo1">#REF!</definedName>
    <definedName name="Giftnonlogo2">#REF!</definedName>
    <definedName name="GINPUT">[130]Financials!#REF!</definedName>
    <definedName name="GIpipecost">'[132]Capex-fixed'!#REF!</definedName>
    <definedName name="GIpipelength">'[132]Capex-fixed'!#REF!</definedName>
    <definedName name="GITA_DANG">#REF!</definedName>
    <definedName name="Glycerine__Price__Rs___Unit">'[82]EVA Calculations'!#REF!</definedName>
    <definedName name="Glycerine__Volume__Units">'[82]EVA Calculations'!#REF!</definedName>
    <definedName name="goatrial">#REF!</definedName>
    <definedName name="GoCallbackImpact" localSheetId="5">[130]!GoCallbackImpact</definedName>
    <definedName name="GoCallbackImpact" localSheetId="0">[130]!GoCallbackImpact</definedName>
    <definedName name="GoCallbackImpact">[130]!GoCallbackImpact</definedName>
    <definedName name="GoDCFValuation" localSheetId="5">[130]!GoDCFValuation</definedName>
    <definedName name="GoDCFValuation" localSheetId="0">[130]!GoDCFValuation</definedName>
    <definedName name="GoDCFValuation">[130]!GoDCFValuation</definedName>
    <definedName name="GoFixedTelAcqCosts" localSheetId="5">[130]!GoFixedTelAcqCosts</definedName>
    <definedName name="GoFixedTelAcqCosts" localSheetId="0">[130]!GoFixedTelAcqCosts</definedName>
    <definedName name="GoFixedTelAcqCosts">[130]!GoFixedTelAcqCosts</definedName>
    <definedName name="GoFixedTelBusMarket" localSheetId="5">[130]!GoFixedTelBusMarket</definedName>
    <definedName name="GoFixedTelBusMarket" localSheetId="0">[130]!GoFixedTelBusMarket</definedName>
    <definedName name="GoFixedTelBusMarket">[130]!GoFixedTelBusMarket</definedName>
    <definedName name="GoFixedTelHanMarket" localSheetId="5">[130]!GoFixedTelHanMarket</definedName>
    <definedName name="GoFixedTelHanMarket" localSheetId="0">[130]!GoFixedTelHanMarket</definedName>
    <definedName name="GoFixedTelHanMarket">[130]!GoFixedTelHanMarket</definedName>
    <definedName name="GoFixedTelHanRev" localSheetId="5">[130]!GoFixedTelHanRev</definedName>
    <definedName name="GoFixedTelHanRev" localSheetId="0">[130]!GoFixedTelHanRev</definedName>
    <definedName name="GoFixedTelHanRev">[130]!GoFixedTelHanRev</definedName>
    <definedName name="GoFixedTelMarketAss" localSheetId="5">[130]!GoFixedTelMarketAss</definedName>
    <definedName name="GoFixedTelMarketAss" localSheetId="0">[130]!GoFixedTelMarketAss</definedName>
    <definedName name="GoFixedTelMarketAss">[130]!GoFixedTelMarketAss</definedName>
    <definedName name="GoFixedTelPrices" localSheetId="5">[130]!GoFixedTelPrices</definedName>
    <definedName name="GoFixedTelPrices" localSheetId="0">[130]!GoFixedTelPrices</definedName>
    <definedName name="GoFixedTelPrices">[130]!GoFixedTelPrices</definedName>
    <definedName name="GoFixedTelResMarket" localSheetId="5">[130]!GoFixedTelResMarket</definedName>
    <definedName name="GoFixedTelResMarket" localSheetId="0">[130]!GoFixedTelResMarket</definedName>
    <definedName name="GoFixedTelResMarket">[130]!GoFixedTelResMarket</definedName>
    <definedName name="GoHanADCRev" localSheetId="5">[130]!GoHanADCRev</definedName>
    <definedName name="GoHanADCRev" localSheetId="0">[130]!GoHanADCRev</definedName>
    <definedName name="GoHanADCRev">[130]!GoHanADCRev</definedName>
    <definedName name="GoHanComputerRev" localSheetId="5">[130]!GoHanComputerRev</definedName>
    <definedName name="GoHanComputerRev" localSheetId="0">[130]!GoHanComputerRev</definedName>
    <definedName name="GoHanComputerRev">[130]!GoHanComputerRev</definedName>
    <definedName name="GoHanDataRev" localSheetId="5">[130]!GoHanDataRev</definedName>
    <definedName name="GoHanDataRev" localSheetId="0">[130]!GoHanDataRev</definedName>
    <definedName name="GoHanDataRev">[130]!GoHanDataRev</definedName>
    <definedName name="GoHanFinancials" localSheetId="5">[130]!GoHanFinancials</definedName>
    <definedName name="GoHanFinancials" localSheetId="0">[130]!GoHanFinancials</definedName>
    <definedName name="GoHanFinancials">[130]!GoHanFinancials</definedName>
    <definedName name="GoHanIMSRev" localSheetId="5">[130]!GoHanIMSRev</definedName>
    <definedName name="GoHanIMSRev" localSheetId="0">[130]!GoHanIMSRev</definedName>
    <definedName name="GoHanIMSRev">[130]!GoHanIMSRev</definedName>
    <definedName name="GoHanINSRev" localSheetId="5">[130]!GoHanINSRev</definedName>
    <definedName name="GoHanINSRev" localSheetId="0">[130]!GoHanINSRev</definedName>
    <definedName name="GoHanINSRev">[130]!GoHanINSRev</definedName>
    <definedName name="GoHanInternetRev" localSheetId="5">[130]!GoHanInternetRev</definedName>
    <definedName name="GoHanInternetRev" localSheetId="0">[130]!GoHanInternetRev</definedName>
    <definedName name="GoHanInternetRev">[130]!GoHanInternetRev</definedName>
    <definedName name="GoHanLLRev" localSheetId="5">[130]!GoHanLLRev</definedName>
    <definedName name="GoHanLLRev" localSheetId="0">[130]!GoHanLLRev</definedName>
    <definedName name="GoHanLLRev">[130]!GoHanLLRev</definedName>
    <definedName name="GoHanPagingRev" localSheetId="5">[130]!GoHanPagingRev</definedName>
    <definedName name="GoHanPagingRev" localSheetId="0">[130]!GoHanPagingRev</definedName>
    <definedName name="GoHanPagingRev">[130]!GoHanPagingRev</definedName>
    <definedName name="GoHanSettlementRev" localSheetId="5">[130]!GoHanSettlementRev</definedName>
    <definedName name="GoHanSettlementRev" localSheetId="0">[130]!GoHanSettlementRev</definedName>
    <definedName name="GoHanSettlementRev">[130]!GoHanSettlementRev</definedName>
    <definedName name="GoHanTotalRev" localSheetId="5">[130]!GoHanTotalRev</definedName>
    <definedName name="GoHanTotalRev" localSheetId="0">[130]!GoHanTotalRev</definedName>
    <definedName name="GoHanTotalRev">[130]!GoHanTotalRev</definedName>
    <definedName name="GoHanVASRev" localSheetId="5">[130]!GoHanVASRev</definedName>
    <definedName name="GoHanVASRev" localSheetId="0">[130]!GoHanVASRev</definedName>
    <definedName name="GoHanVASRev">[130]!GoHanVASRev</definedName>
    <definedName name="GoIntercoHanCosts" localSheetId="5">[130]!GoIntercoHanCosts</definedName>
    <definedName name="GoIntercoHanCosts" localSheetId="0">[130]!GoIntercoHanCosts</definedName>
    <definedName name="GoIntercoHanCosts">[130]!GoIntercoHanCosts</definedName>
    <definedName name="GoIntercoHanRev" localSheetId="5">[130]!GoIntercoHanRev</definedName>
    <definedName name="GoIntercoHanRev" localSheetId="0">[130]!GoIntercoHanRev</definedName>
    <definedName name="GoIntercoHanRev">[130]!GoIntercoHanRev</definedName>
    <definedName name="GoIntercoHanVolume" localSheetId="5">[130]!GoIntercoHanVolume</definedName>
    <definedName name="GoIntercoHanVolume" localSheetId="0">[130]!GoIntercoHanVolume</definedName>
    <definedName name="GoIntercoHanVolume">[130]!GoIntercoHanVolume</definedName>
    <definedName name="GoMobileOne" localSheetId="5">[130]!GoMobileOne</definedName>
    <definedName name="GoMobileOne" localSheetId="0">[130]!GoMobileOne</definedName>
    <definedName name="GoMobileOne">[130]!GoMobileOne</definedName>
    <definedName name="GoMobTelBusMarket" localSheetId="5">[130]!GoMobTelBusMarket</definedName>
    <definedName name="GoMobTelBusMarket" localSheetId="0">[130]!GoMobTelBusMarket</definedName>
    <definedName name="GoMobTelBusMarket">[130]!GoMobTelBusMarket</definedName>
    <definedName name="GoMobTelHanMarket" localSheetId="5">[130]!GoMobTelHanMarket</definedName>
    <definedName name="GoMobTelHanMarket" localSheetId="0">[130]!GoMobTelHanMarket</definedName>
    <definedName name="GoMobTelHanMarket">[130]!GoMobTelHanMarket</definedName>
    <definedName name="GoMobTelHanMarketShare" localSheetId="5">[130]!GoMobTelHanMarketShare</definedName>
    <definedName name="GoMobTelHanMarketShare" localSheetId="0">[130]!GoMobTelHanMarketShare</definedName>
    <definedName name="GoMobTelHanMarketShare">[130]!GoMobTelHanMarketShare</definedName>
    <definedName name="GoMobTelHanPriceAss" localSheetId="5">[130]!GoMobTelHanPriceAss</definedName>
    <definedName name="GoMobTelHanPriceAss" localSheetId="0">[130]!GoMobTelHanPriceAss</definedName>
    <definedName name="GoMobTelHanPriceAss">[130]!GoMobTelHanPriceAss</definedName>
    <definedName name="GoMobTelHanRev" localSheetId="5">[130]!GoMobTelHanRev</definedName>
    <definedName name="GoMobTelHanRev" localSheetId="0">[130]!GoMobTelHanRev</definedName>
    <definedName name="GoMobTelHanRev">[130]!GoMobTelHanRev</definedName>
    <definedName name="GoMobTelMarketAss" localSheetId="5">[130]!GoMobTelMarketAss</definedName>
    <definedName name="GoMobTelMarketAss" localSheetId="0">[130]!GoMobTelMarketAss</definedName>
    <definedName name="GoMobTelMarketAss">[130]!GoMobTelMarketAss</definedName>
    <definedName name="GoMobTelPrices" localSheetId="5">[130]!GoMobTelPrices</definedName>
    <definedName name="GoMobTelPrices" localSheetId="0">[130]!GoMobTelPrices</definedName>
    <definedName name="GoMobTelPrices">[130]!GoMobTelPrices</definedName>
    <definedName name="GoMobTelResMarket" localSheetId="5">[130]!GoMobTelResMarket</definedName>
    <definedName name="GoMobTelResMarket" localSheetId="0">[130]!GoMobTelResMarket</definedName>
    <definedName name="GoMobTelResMarket">[130]!GoMobTelResMarket</definedName>
    <definedName name="GOODWILL" localSheetId="17">#REF!</definedName>
    <definedName name="GOODWILL">#REF!</definedName>
    <definedName name="GOODWILL為替" localSheetId="17">[236]AFFI内訳!#REF!</definedName>
    <definedName name="GOODWILL為替">[237]AFFI内訳!#REF!</definedName>
    <definedName name="gopi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opi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opi" localSheetId="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opi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opi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opi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oScenarios" localSheetId="5">[130]!GoScenarios</definedName>
    <definedName name="GoScenarios" localSheetId="0">[130]!GoScenarios</definedName>
    <definedName name="GoScenarios">[130]!GoScenarios</definedName>
    <definedName name="GoTelMarketShareAss" localSheetId="5">[130]!GoTelMarketShareAss</definedName>
    <definedName name="GoTelMarketShareAss" localSheetId="0">[130]!GoTelMarketShareAss</definedName>
    <definedName name="GoTelMarketShareAss">[130]!GoTelMarketShareAss</definedName>
    <definedName name="GoTotalCosts" localSheetId="5">[130]!GoTotalCosts</definedName>
    <definedName name="GoTotalCosts" localSheetId="0">[130]!GoTotalCosts</definedName>
    <definedName name="GoTotalCosts">[130]!GoTotalCosts</definedName>
    <definedName name="gouke" localSheetId="17">#REF!</definedName>
    <definedName name="gouke">#REF!</definedName>
    <definedName name="GPCatchup">[75]Assumptions!$C$54</definedName>
    <definedName name="gr" localSheetId="7" hidden="1">{#N/A,#N/A,FALSE,"COVER.XLS";#N/A,#N/A,FALSE,"RACT1.XLS";#N/A,#N/A,FALSE,"RACT2.XLS";#N/A,#N/A,FALSE,"ECCMP";#N/A,#N/A,FALSE,"WELDER.XLS"}</definedName>
    <definedName name="gr" localSheetId="10" hidden="1">{#N/A,#N/A,FALSE,"COVER.XLS";#N/A,#N/A,FALSE,"RACT1.XLS";#N/A,#N/A,FALSE,"RACT2.XLS";#N/A,#N/A,FALSE,"ECCMP";#N/A,#N/A,FALSE,"WELDER.XLS"}</definedName>
    <definedName name="gr" localSheetId="1" hidden="1">{#N/A,#N/A,FALSE,"COVER.XLS";#N/A,#N/A,FALSE,"RACT1.XLS";#N/A,#N/A,FALSE,"RACT2.XLS";#N/A,#N/A,FALSE,"ECCMP";#N/A,#N/A,FALSE,"WELDER.XLS"}</definedName>
    <definedName name="gr" localSheetId="0" hidden="1">{#N/A,#N/A,FALSE,"COVER.XLS";#N/A,#N/A,FALSE,"RACT1.XLS";#N/A,#N/A,FALSE,"RACT2.XLS";#N/A,#N/A,FALSE,"ECCMP";#N/A,#N/A,FALSE,"WELDER.XLS"}</definedName>
    <definedName name="gr" localSheetId="6" hidden="1">{#N/A,#N/A,FALSE,"COVER.XLS";#N/A,#N/A,FALSE,"RACT1.XLS";#N/A,#N/A,FALSE,"RACT2.XLS";#N/A,#N/A,FALSE,"ECCMP";#N/A,#N/A,FALSE,"WELDER.XLS"}</definedName>
    <definedName name="gr" hidden="1">{#N/A,#N/A,FALSE,"COVER.XLS";#N/A,#N/A,FALSE,"RACT1.XLS";#N/A,#N/A,FALSE,"RACT2.XLS";#N/A,#N/A,FALSE,"ECCMP";#N/A,#N/A,FALSE,"WELDER.XLS"}</definedName>
    <definedName name="Grade">"C"</definedName>
    <definedName name="Grade_Level">"Grade "</definedName>
    <definedName name="Grand_Total">#REF!</definedName>
    <definedName name="GROBAL_RENTAL">#REF!</definedName>
    <definedName name="gross_block_99">#REF!</definedName>
    <definedName name="Gross_Margin___Rs_M">#REF!</definedName>
    <definedName name="gross_sales">#REF!</definedName>
    <definedName name="gross_sales_98">#REF!</definedName>
    <definedName name="gross_sales_99">#REF!</definedName>
    <definedName name="GrossFA">[106]List_ratios!#REF!</definedName>
    <definedName name="GROSSPFT">#REF!</definedName>
    <definedName name="Group">#REF!</definedName>
    <definedName name="Group4" localSheetId="0">[31]!Group4</definedName>
    <definedName name="Group4">[31]!Group4</definedName>
    <definedName name="GroupData">#REF!</definedName>
    <definedName name="Grouped">'[238]trial (2)'!$B$173:$C$228</definedName>
    <definedName name="groupings">#REF!</definedName>
    <definedName name="Growth">#REF!</definedName>
    <definedName name="GRPDATA" localSheetId="17">[239]consol!$A$1:$G$386</definedName>
    <definedName name="GRPDATA">[240]consol!$A$1:$G$386</definedName>
    <definedName name="gsfds" localSheetId="7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localSheetId="10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localSheetId="1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localSheetId="0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localSheetId="6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gs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gs" localSheetId="1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gs" localSheetId="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gs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gs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gs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hjgshgs">#REF!</definedName>
    <definedName name="gt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" localSheetId="1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" localSheetId="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AX1">[46]Calculator!$AK$48</definedName>
    <definedName name="GTAX3">[46]Calculator!$AK$50</definedName>
    <definedName name="GTAX4">[46]Calculator!$AK$51</definedName>
    <definedName name="GTAX5">[46]Calculator!$AK$52</definedName>
    <definedName name="GTLS">[46]Calculator!$D$26</definedName>
    <definedName name="Guangzhou" localSheetId="7">{"Client Name or Project Name"}</definedName>
    <definedName name="Guangzhou" localSheetId="10">{"Client Name or Project Name"}</definedName>
    <definedName name="Guangzhou" localSheetId="1">{"Client Name or Project Name"}</definedName>
    <definedName name="Guangzhou" localSheetId="0">{"Client Name or Project Name"}</definedName>
    <definedName name="Guangzhou" localSheetId="6">{"Client Name or Project Name"}</definedName>
    <definedName name="Guangzhou">{"Client Name or Project Name"}</definedName>
    <definedName name="gurudhan" hidden="1">#REF!</definedName>
    <definedName name="GW_Amort">'[72]2. Forecast Drivers'!$E$83:$S$83</definedName>
    <definedName name="GW_Bal">'[72]2. Forecast Drivers'!$E$84:$S$84</definedName>
    <definedName name="GW_Cash">'[72]2. Forecast Drivers'!$E$82:$S$82</definedName>
    <definedName name="GW_Cum">'[72]3. Results'!$E$181:$S$181</definedName>
    <definedName name="GW_Init">'[72]2. Forecast Drivers'!$D$85</definedName>
    <definedName name="GW_Writeoff">'[72]2. Forecast Drivers'!$E$244:$S$244</definedName>
    <definedName name="GWTable">'[134]GW-Bud'!$A$11:$Y$133</definedName>
    <definedName name="GWYUID1">[69]CRITERIA1!$B$13</definedName>
    <definedName name="gydgdg">#REF!,#REF!</definedName>
    <definedName name="Gyoshu1" localSheetId="17">[241]業種小分類!$A$1:$O$142</definedName>
    <definedName name="Gyoshu1">[242]業種小分類!$A$1:$O$142</definedName>
    <definedName name="Gyoshu2" localSheetId="17">[241]業種大分類!$A$1:$O$16</definedName>
    <definedName name="Gyoshu2">[242]業種大分類!$A$1:$O$16</definedName>
    <definedName name="gytuy">#REF!</definedName>
    <definedName name="h" localSheetId="17">#REF!</definedName>
    <definedName name="h" localSheetId="7" hidden="1">[233]SUMMARY!$E$64:$H$64</definedName>
    <definedName name="h" localSheetId="10" hidden="1">[233]SUMMARY!$E$64:$H$64</definedName>
    <definedName name="h" localSheetId="9" hidden="1">[233]SUMMARY!$E$64:$H$64</definedName>
    <definedName name="h" localSheetId="6" hidden="1">[233]SUMMARY!$E$64:$H$64</definedName>
    <definedName name="h">#REF!</definedName>
    <definedName name="h_1">[46]Calculator!$R$9</definedName>
    <definedName name="h_1F">[46]Calculator!$R$15</definedName>
    <definedName name="h_2">[46]Calculator!$R$10</definedName>
    <definedName name="h_2F">[46]Calculator!$R$16</definedName>
    <definedName name="h_3">[46]Calculator!$R$11</definedName>
    <definedName name="h_3F">[46]Calculator!$R$17</definedName>
    <definedName name="h_4">[46]Calculator!$R$12</definedName>
    <definedName name="h_4F">[46]Calculator!$R$18</definedName>
    <definedName name="h_5">[46]Calculator!$R$13</definedName>
    <definedName name="h_5F">[46]Calculator!$R$19</definedName>
    <definedName name="hahshuis">#REF!</definedName>
    <definedName name="hai">'[243]Dept-Grade-22-02-02(FINAL)'!$G$10:$AS$645</definedName>
    <definedName name="Haifu_Execute" localSheetId="5">[244]!Haifu_Execute</definedName>
    <definedName name="Haifu_Execute" localSheetId="0">[244]!Haifu_Execute</definedName>
    <definedName name="Haifu_Execute">[244]!Haifu_Execute</definedName>
    <definedName name="Haifu_Execute2" localSheetId="17">CMA!Haifu_Execute2</definedName>
    <definedName name="Haifu_Execute2" localSheetId="1">Historical!Haifu_Execute2</definedName>
    <definedName name="Haifu_Execute2" localSheetId="0">Projected!Haifu_Execute2</definedName>
    <definedName name="Haifu_Execute2">Haifu_Execute2</definedName>
    <definedName name="Haifu_NumberEdit" localSheetId="5">[244]!Haifu_NumberEdit</definedName>
    <definedName name="Haifu_NumberEdit" localSheetId="0">[244]!Haifu_NumberEdit</definedName>
    <definedName name="Haifu_NumberEdit">[244]!Haifu_NumberEdit</definedName>
    <definedName name="Haifu_NumberEdit2" localSheetId="17">CMA!Haifu_NumberEdit2</definedName>
    <definedName name="Haifu_NumberEdit2" localSheetId="1">Historical!Haifu_NumberEdit2</definedName>
    <definedName name="Haifu_NumberEdit2" localSheetId="0">Projected!Haifu_NumberEdit2</definedName>
    <definedName name="Haifu_NumberEdit2">Haifu_NumberEdit2</definedName>
    <definedName name="halol">[245]HALOL!$A$10:$D$182</definedName>
    <definedName name="hap" localSheetId="7" hidden="1">{#N/A,#N/A,FALSE,"COVER1.XLS ";#N/A,#N/A,FALSE,"RACT1.XLS";#N/A,#N/A,FALSE,"RACT2.XLS";#N/A,#N/A,FALSE,"ECCMP";#N/A,#N/A,FALSE,"WELDER.XLS"}</definedName>
    <definedName name="hap" localSheetId="10" hidden="1">{#N/A,#N/A,FALSE,"COVER1.XLS ";#N/A,#N/A,FALSE,"RACT1.XLS";#N/A,#N/A,FALSE,"RACT2.XLS";#N/A,#N/A,FALSE,"ECCMP";#N/A,#N/A,FALSE,"WELDER.XLS"}</definedName>
    <definedName name="hap" localSheetId="1" hidden="1">{#N/A,#N/A,FALSE,"COVER1.XLS ";#N/A,#N/A,FALSE,"RACT1.XLS";#N/A,#N/A,FALSE,"RACT2.XLS";#N/A,#N/A,FALSE,"ECCMP";#N/A,#N/A,FALSE,"WELDER.XLS"}</definedName>
    <definedName name="hap" localSheetId="0" hidden="1">{#N/A,#N/A,FALSE,"COVER1.XLS ";#N/A,#N/A,FALSE,"RACT1.XLS";#N/A,#N/A,FALSE,"RACT2.XLS";#N/A,#N/A,FALSE,"ECCMP";#N/A,#N/A,FALSE,"WELDER.XLS"}</definedName>
    <definedName name="hap" localSheetId="6" hidden="1">{#N/A,#N/A,FALSE,"COVER1.XLS ";#N/A,#N/A,FALSE,"RACT1.XLS";#N/A,#N/A,FALSE,"RACT2.XLS";#N/A,#N/A,FALSE,"ECCMP";#N/A,#N/A,FALSE,"WELDER.XLS"}</definedName>
    <definedName name="hap" hidden="1">{#N/A,#N/A,FALSE,"COVER1.XLS ";#N/A,#N/A,FALSE,"RACT1.XLS";#N/A,#N/A,FALSE,"RACT2.XLS";#N/A,#N/A,FALSE,"ECCMP";#N/A,#N/A,FALSE,"WELDER.XLS"}</definedName>
    <definedName name="hardsurfacecutcost" localSheetId="17">'[132]Capex-fixed'!#REF!</definedName>
    <definedName name="hardsurfacecutcost">'[132]Capex-fixed'!#REF!</definedName>
    <definedName name="HArea">#REF!</definedName>
    <definedName name="hasnain">#REF!</definedName>
    <definedName name="HCost">#REF!</definedName>
    <definedName name="HDFC">'[20]HDFC-278'!$E$25</definedName>
    <definedName name="hdhdjh">#REF!</definedName>
    <definedName name="HDP">[133]HDP!$A$1:$M$68</definedName>
    <definedName name="HDPE40mmcost">'[132]Capex-fixed'!#REF!</definedName>
    <definedName name="head">#REF!</definedName>
    <definedName name="Header" localSheetId="17">#REF!</definedName>
    <definedName name="Header" localSheetId="7">#REF!</definedName>
    <definedName name="Header" localSheetId="10">#REF!</definedName>
    <definedName name="Header" localSheetId="9">#REF!</definedName>
    <definedName name="Header" localSheetId="6">#REF!</definedName>
    <definedName name="Header">#REF!</definedName>
    <definedName name="Header_Row">ROW(#REF!)</definedName>
    <definedName name="Header1" hidden="1">IF(COUNTA(#REF!)=0,0,INDEX(#REF!,MATCH(ROW(#REF!),#REF!,TRUE)))+1</definedName>
    <definedName name="Header2" hidden="1">#REF!-1 &amp; "." &amp; MAX(1,COUNTA(INDEX(#REF!,MATCH(#REF!-1,#REF!,FALSE)):#REF!))</definedName>
    <definedName name="Header3Find" hidden="1">MID(#REF!,1,FIND(".",#REF!,1))&amp;MID(#REF!,FIND(".",#REF!,1)+1,LEN(#REF!))-1</definedName>
    <definedName name="heading">[45]INFO!$B$2</definedName>
    <definedName name="HeadOfficeTable">'[134]Head Office-Bud'!$A$11:$Y$133</definedName>
    <definedName name="headquarters">#REF!</definedName>
    <definedName name="HEATING_LOSS_CONF.BISC.">#REF!</definedName>
    <definedName name="hgbh" localSheetId="7" hidden="1">{#N/A,#N/A,FALSE,"COVER1.XLS ";#N/A,#N/A,FALSE,"RACT1.XLS";#N/A,#N/A,FALSE,"RACT2.XLS";#N/A,#N/A,FALSE,"ECCMP";#N/A,#N/A,FALSE,"WELDER.XLS"}</definedName>
    <definedName name="hgbh" localSheetId="10" hidden="1">{#N/A,#N/A,FALSE,"COVER1.XLS ";#N/A,#N/A,FALSE,"RACT1.XLS";#N/A,#N/A,FALSE,"RACT2.XLS";#N/A,#N/A,FALSE,"ECCMP";#N/A,#N/A,FALSE,"WELDER.XLS"}</definedName>
    <definedName name="hgbh" localSheetId="1" hidden="1">{#N/A,#N/A,FALSE,"COVER1.XLS ";#N/A,#N/A,FALSE,"RACT1.XLS";#N/A,#N/A,FALSE,"RACT2.XLS";#N/A,#N/A,FALSE,"ECCMP";#N/A,#N/A,FALSE,"WELDER.XLS"}</definedName>
    <definedName name="hgbh" localSheetId="0" hidden="1">{#N/A,#N/A,FALSE,"COVER1.XLS ";#N/A,#N/A,FALSE,"RACT1.XLS";#N/A,#N/A,FALSE,"RACT2.XLS";#N/A,#N/A,FALSE,"ECCMP";#N/A,#N/A,FALSE,"WELDER.XLS"}</definedName>
    <definedName name="hgbh" localSheetId="6" hidden="1">{#N/A,#N/A,FALSE,"COVER1.XLS ";#N/A,#N/A,FALSE,"RACT1.XLS";#N/A,#N/A,FALSE,"RACT2.XLS";#N/A,#N/A,FALSE,"ECCMP";#N/A,#N/A,FALSE,"WELDER.XLS"}</definedName>
    <definedName name="hgbh" hidden="1">{#N/A,#N/A,FALSE,"COVER1.XLS ";#N/A,#N/A,FALSE,"RACT1.XLS";#N/A,#N/A,FALSE,"RACT2.XLS";#N/A,#N/A,FALSE,"ECCMP";#N/A,#N/A,FALSE,"WELDER.XLS"}</definedName>
    <definedName name="hgtfhdh">'[246]04REL'!#REF!</definedName>
    <definedName name="hh" localSheetId="7" hidden="1">{#N/A,#N/A,TRUE,"Sheet1"}</definedName>
    <definedName name="hh" localSheetId="10" hidden="1">{#N/A,#N/A,TRUE,"Sheet1"}</definedName>
    <definedName name="hh" localSheetId="1" hidden="1">{#N/A,#N/A,TRUE,"Sheet1"}</definedName>
    <definedName name="hh" localSheetId="0" hidden="1">{#N/A,#N/A,TRUE,"Sheet1"}</definedName>
    <definedName name="hh" localSheetId="6" hidden="1">{#N/A,#N/A,TRUE,"Sheet1"}</definedName>
    <definedName name="hh" hidden="1">{#N/A,#N/A,TRUE,"Sheet1"}</definedName>
    <definedName name="hhh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" localSheetId="10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" localSheetId="1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" localSheetId="0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uh">#REF!</definedName>
    <definedName name="hHzhzh">#REF!</definedName>
    <definedName name="HiddenRows" hidden="1">#REF!</definedName>
    <definedName name="hifac">'[206]Factor- cables'!$B$29</definedName>
    <definedName name="High">'[72]2. Forecast Drivers'!$D$18</definedName>
    <definedName name="HIRE_1">#REF!</definedName>
    <definedName name="HIRE_2">#REF!</definedName>
    <definedName name="HIRE_3">#REF!</definedName>
    <definedName name="HIRE_4">#REF!</definedName>
    <definedName name="HIRE_MAIN">#REF!</definedName>
    <definedName name="HistForc">#REF!</definedName>
    <definedName name="hjkbu" localSheetId="17">'[132]Capex-fixed'!#REF!</definedName>
    <definedName name="hjkbu">'[132]Capex-fixed'!#REF!</definedName>
    <definedName name="hkbhi">'[132]Capex-fixed'!#REF!</definedName>
    <definedName name="hmpl_paste">[74]Sensitivity!$C$33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G">#REF!</definedName>
    <definedName name="ho" hidden="1">[29]SUMMARY!$E$64:$H$64</definedName>
    <definedName name="HOLL">#REF!</definedName>
    <definedName name="HOLLAND">#REF!</definedName>
    <definedName name="HOTEL_ASSETS">'[129]MN T.B.'!$A$66:$H$112</definedName>
    <definedName name="HOTEL_ERN">'[129]MN T.B.'!$A$13:$H$65</definedName>
    <definedName name="HOTEL_LIAB">'[129]MN T.B.'!$A$115:$H$157</definedName>
    <definedName name="HOTEL1">'[129]MN T.B.'!$A$5:$H$156</definedName>
    <definedName name="HP.AddrDetail1">#REF!</definedName>
    <definedName name="HP.AddrDetail2">#REF!</definedName>
    <definedName name="HP.AddrDetail3">#REF!</definedName>
    <definedName name="HP.AddrDetail4">#REF!</definedName>
    <definedName name="HP.AddrDetail5">#REF!</definedName>
    <definedName name="HP.AddrDetail6">#REF!</definedName>
    <definedName name="HP.AddrDetail7">#REF!</definedName>
    <definedName name="HP.AddrDetail8">#REF!</definedName>
    <definedName name="HP.AddrDetail9">#REF!</definedName>
    <definedName name="HP.AnnualLetableValue1">#REF!</definedName>
    <definedName name="HP.AnnualLetableValue2">#REF!</definedName>
    <definedName name="HP.AnnualLetableValue3">#REF!</definedName>
    <definedName name="HP.AnnualLetableValue4">#REF!</definedName>
    <definedName name="HP.AnnualLetableValue5">#REF!</definedName>
    <definedName name="HP.AnnualLetableValue6">#REF!</definedName>
    <definedName name="HP.AnnualLetableValue7">#REF!</definedName>
    <definedName name="HP.AnnualLetableValue8">#REF!</definedName>
    <definedName name="HP.AnnualLetableValue9">#REF!</definedName>
    <definedName name="HP.BalanceALV1">#REF!</definedName>
    <definedName name="HP.BalanceALV2">#REF!</definedName>
    <definedName name="HP.BalanceALV3">#REF!</definedName>
    <definedName name="HP.BalanceALV4">#REF!</definedName>
    <definedName name="HP.BalanceALV5">#REF!</definedName>
    <definedName name="HP.BalanceALV6">#REF!</definedName>
    <definedName name="HP.BalanceALV7">#REF!</definedName>
    <definedName name="HP.BalanceALV8">#REF!</definedName>
    <definedName name="HP.BalanceALV9">#REF!</definedName>
    <definedName name="hp.BFUnabsorbedDeprSetoff1">'[46]CYLA BFLA'!$F$20</definedName>
    <definedName name="HP.CityOrTownOrDistrict1">#REF!</definedName>
    <definedName name="HP.CityOrTownOrDistrict2">#REF!</definedName>
    <definedName name="HP.CityOrTownOrDistrict3">#REF!</definedName>
    <definedName name="HP.CityOrTownOrDistrict4">#REF!</definedName>
    <definedName name="HP.CityOrTownOrDistrict5">#REF!</definedName>
    <definedName name="HP.CityOrTownOrDistrict6">#REF!</definedName>
    <definedName name="HP.CityOrTownOrDistrict7">#REF!</definedName>
    <definedName name="HP.CityOrTownOrDistrict8">#REF!</definedName>
    <definedName name="HP.CityOrTownOrDistrict9">#REF!</definedName>
    <definedName name="HP.Co.NameA1">#REF!</definedName>
    <definedName name="HP.Co.NameA2">#REF!</definedName>
    <definedName name="HP.Co.NameA3">#REF!</definedName>
    <definedName name="HP.Co.NameA4">#REF!</definedName>
    <definedName name="HP.Co.NameA5">#REF!</definedName>
    <definedName name="HP.Co.NameA6">#REF!</definedName>
    <definedName name="HP.Co.NameA7">#REF!</definedName>
    <definedName name="HP.Co.NameA8">#REF!</definedName>
    <definedName name="HP.Co.NameA9">#REF!</definedName>
    <definedName name="HP.Co.NameB1">#REF!</definedName>
    <definedName name="HP.Co.NameB2">#REF!</definedName>
    <definedName name="HP.Co.NameB3">#REF!</definedName>
    <definedName name="HP.Co.NameB4">#REF!</definedName>
    <definedName name="HP.Co.NameB5">#REF!</definedName>
    <definedName name="HP.Co.NameB6">#REF!</definedName>
    <definedName name="HP.Co.NameB7">#REF!</definedName>
    <definedName name="HP.Co.NameB8">#REF!</definedName>
    <definedName name="HP.Co.NameB9">#REF!</definedName>
    <definedName name="HP.Co.NameC1">#REF!</definedName>
    <definedName name="HP.Co.NameC2">#REF!</definedName>
    <definedName name="HP.Co.NameC3">#REF!</definedName>
    <definedName name="HP.Co.NameC4">#REF!</definedName>
    <definedName name="HP.Co.NameC5">#REF!</definedName>
    <definedName name="HP.Co.NameC6">#REF!</definedName>
    <definedName name="HP.Co.NameC7">#REF!</definedName>
    <definedName name="HP.Co.NameC8">#REF!</definedName>
    <definedName name="HP.Co.NameC9">#REF!</definedName>
    <definedName name="HP.Co.NameD1">#REF!</definedName>
    <definedName name="HP.Co.NameD2">#REF!</definedName>
    <definedName name="HP.Co.NameD3">#REF!</definedName>
    <definedName name="HP.Co.NameD4">#REF!</definedName>
    <definedName name="HP.Co.NameD5">#REF!</definedName>
    <definedName name="HP.Co.NameD6">#REF!</definedName>
    <definedName name="HP.Co.NameD7">#REF!</definedName>
    <definedName name="HP.Co.NameD8">#REF!</definedName>
    <definedName name="HP.Co.NameD9">#REF!</definedName>
    <definedName name="HP.Co.NameE1">#REF!</definedName>
    <definedName name="HP.Co.NameE2">#REF!</definedName>
    <definedName name="HP.Co.NameE3">#REF!</definedName>
    <definedName name="HP.Co.NameE4">#REF!</definedName>
    <definedName name="HP.Co.NameE5">#REF!</definedName>
    <definedName name="HP.Co.NameE6">#REF!</definedName>
    <definedName name="HP.Co.NameE7">#REF!</definedName>
    <definedName name="HP.Co.NameE8">#REF!</definedName>
    <definedName name="HP.Co.NameE9">#REF!</definedName>
    <definedName name="HP.Co.PanA1">#REF!</definedName>
    <definedName name="HP.Co.PanA2">#REF!</definedName>
    <definedName name="HP.Co.PanA3">#REF!</definedName>
    <definedName name="HP.Co.PanA4">#REF!</definedName>
    <definedName name="HP.Co.PanA5">#REF!</definedName>
    <definedName name="HP.Co.PanA6">#REF!</definedName>
    <definedName name="HP.Co.PanA7">#REF!</definedName>
    <definedName name="HP.Co.PanA8">#REF!</definedName>
    <definedName name="HP.Co.PanA9">#REF!</definedName>
    <definedName name="HP.Co.PanB1">#REF!</definedName>
    <definedName name="HP.Co.PanB2">#REF!</definedName>
    <definedName name="HP.Co.PanB3">#REF!</definedName>
    <definedName name="HP.Co.PanB4">#REF!</definedName>
    <definedName name="HP.Co.PanB5">#REF!</definedName>
    <definedName name="HP.Co.PanB6">#REF!</definedName>
    <definedName name="HP.Co.PanB7">#REF!</definedName>
    <definedName name="HP.Co.PanB8">#REF!</definedName>
    <definedName name="HP.Co.PanB9">#REF!</definedName>
    <definedName name="HP.Co.PanC1">#REF!</definedName>
    <definedName name="HP.Co.PanC2">#REF!</definedName>
    <definedName name="HP.Co.PanC3">#REF!</definedName>
    <definedName name="HP.Co.PanC4">#REF!</definedName>
    <definedName name="HP.Co.PanC5">#REF!</definedName>
    <definedName name="HP.Co.PanC6">#REF!</definedName>
    <definedName name="HP.Co.PanC7">#REF!</definedName>
    <definedName name="HP.Co.PanC8">#REF!</definedName>
    <definedName name="HP.Co.PanC9">#REF!</definedName>
    <definedName name="HP.Co.PanD1">#REF!</definedName>
    <definedName name="HP.Co.PanD2">#REF!</definedName>
    <definedName name="HP.Co.PanD3">#REF!</definedName>
    <definedName name="HP.Co.PanD4">#REF!</definedName>
    <definedName name="HP.Co.PanD5">#REF!</definedName>
    <definedName name="HP.Co.PanD6">#REF!</definedName>
    <definedName name="HP.Co.PanD7">#REF!</definedName>
    <definedName name="HP.Co.PanD8">#REF!</definedName>
    <definedName name="HP.Co.PanD9">#REF!</definedName>
    <definedName name="HP.Co.PanE1">#REF!</definedName>
    <definedName name="HP.Co.PanE2">#REF!</definedName>
    <definedName name="HP.Co.PanE3">#REF!</definedName>
    <definedName name="HP.Co.PanE4">#REF!</definedName>
    <definedName name="HP.Co.PanE5">#REF!</definedName>
    <definedName name="HP.Co.PanE6">#REF!</definedName>
    <definedName name="HP.Co.PanE7">#REF!</definedName>
    <definedName name="HP.Co.PanE8">#REF!</definedName>
    <definedName name="HP.Co.PanE9">#REF!</definedName>
    <definedName name="HP.Co.ShareA1">#REF!</definedName>
    <definedName name="HP.Co.ShareA2">#REF!</definedName>
    <definedName name="HP.Co.ShareA3">#REF!</definedName>
    <definedName name="HP.Co.ShareA4">#REF!</definedName>
    <definedName name="HP.Co.ShareA5">#REF!</definedName>
    <definedName name="HP.Co.ShareA6">#REF!</definedName>
    <definedName name="HP.Co.ShareA7">#REF!</definedName>
    <definedName name="HP.Co.ShareA8">#REF!</definedName>
    <definedName name="HP.Co.ShareA9">#REF!</definedName>
    <definedName name="HP.Co.ShareB1">#REF!</definedName>
    <definedName name="HP.Co.ShareB2">#REF!</definedName>
    <definedName name="HP.Co.ShareB3">#REF!</definedName>
    <definedName name="HP.Co.ShareB4">#REF!</definedName>
    <definedName name="HP.Co.ShareB5">#REF!</definedName>
    <definedName name="HP.Co.ShareB6">#REF!</definedName>
    <definedName name="HP.Co.ShareB7">#REF!</definedName>
    <definedName name="HP.Co.ShareB8">#REF!</definedName>
    <definedName name="HP.Co.ShareB9">#REF!</definedName>
    <definedName name="HP.Co.ShareC1">#REF!</definedName>
    <definedName name="HP.Co.ShareC2">#REF!</definedName>
    <definedName name="HP.Co.ShareC3">#REF!</definedName>
    <definedName name="HP.Co.ShareC4">#REF!</definedName>
    <definedName name="HP.Co.ShareC5">#REF!</definedName>
    <definedName name="HP.Co.ShareC6">#REF!</definedName>
    <definedName name="HP.Co.ShareC7">#REF!</definedName>
    <definedName name="HP.Co.ShareC8">#REF!</definedName>
    <definedName name="HP.Co.ShareC9">#REF!</definedName>
    <definedName name="HP.Co.ShareD1">#REF!</definedName>
    <definedName name="HP.Co.ShareD2">#REF!</definedName>
    <definedName name="HP.Co.ShareD3">#REF!</definedName>
    <definedName name="HP.Co.ShareD4">#REF!</definedName>
    <definedName name="HP.Co.ShareD5">#REF!</definedName>
    <definedName name="HP.Co.ShareD6">#REF!</definedName>
    <definedName name="HP.Co.ShareD7">#REF!</definedName>
    <definedName name="HP.Co.ShareD8">#REF!</definedName>
    <definedName name="HP.Co.ShareD9">#REF!</definedName>
    <definedName name="HP.Co.ShareE1">#REF!</definedName>
    <definedName name="HP.Co.ShareE2">#REF!</definedName>
    <definedName name="HP.Co.ShareE3">#REF!</definedName>
    <definedName name="HP.Co.ShareE4">#REF!</definedName>
    <definedName name="HP.Co.ShareE5">#REF!</definedName>
    <definedName name="HP.Co.ShareE6">#REF!</definedName>
    <definedName name="HP.Co.ShareE7">#REF!</definedName>
    <definedName name="HP.Co.ShareE8">#REF!</definedName>
    <definedName name="HP.Co.ShareE9">#REF!</definedName>
    <definedName name="HP.CoOwnedYN1">#REF!</definedName>
    <definedName name="HP.CoOwnedYN2">#REF!</definedName>
    <definedName name="HP.CoOwnedYN3">#REF!</definedName>
    <definedName name="HP.CoOwnedYN4">#REF!</definedName>
    <definedName name="HP.CoOwnedYN5">#REF!</definedName>
    <definedName name="HP.CoOwnedYN6">#REF!</definedName>
    <definedName name="HP.CoOwnedYN7">#REF!</definedName>
    <definedName name="HP.CoOwnedYN8">#REF!</definedName>
    <definedName name="HP.CoOwnedYN9">#REF!</definedName>
    <definedName name="HP.ifLetOut1">#REF!</definedName>
    <definedName name="HP.ifLetOut2">#REF!</definedName>
    <definedName name="HP.ifLetOut3">#REF!</definedName>
    <definedName name="HP.ifLetOut4">#REF!</definedName>
    <definedName name="HP.ifLetOut5">#REF!</definedName>
    <definedName name="HP.ifLetOut6">#REF!</definedName>
    <definedName name="HP.ifLetOut7">#REF!</definedName>
    <definedName name="HP.ifLetOut8">#REF!</definedName>
    <definedName name="HP.ifLetOut9">#REF!</definedName>
    <definedName name="hp.IncOfCurYrAfterSetOff2">'[46]CYLA BFLA'!$H$6</definedName>
    <definedName name="hp.IncOfCurYrUnderThatHead2">'[46]CYLA BFLA'!$D$6</definedName>
    <definedName name="HP.IncomeOfHP1">#REF!</definedName>
    <definedName name="HP.IncomeOfHP2">#REF!</definedName>
    <definedName name="HP.IncomeOfHP3">#REF!</definedName>
    <definedName name="HP.IncomeOfHP4">#REF!</definedName>
    <definedName name="HP.IncomeOfHP5">#REF!</definedName>
    <definedName name="HP.IncomeOfHP6">#REF!</definedName>
    <definedName name="HP.IncomeOfHP7">#REF!</definedName>
    <definedName name="HP.IncomeOfHP8">#REF!</definedName>
    <definedName name="HP.IncomeOfHP9">#REF!</definedName>
    <definedName name="HP.IntOnBorwCap1">#REF!</definedName>
    <definedName name="HP.IntOnBorwCap2">#REF!</definedName>
    <definedName name="HP.IntOnBorwCap3">#REF!</definedName>
    <definedName name="HP.IntOnBorwCap4">#REF!</definedName>
    <definedName name="HP.IntOnBorwCap5">#REF!</definedName>
    <definedName name="HP.IntOnBorwCap6">#REF!</definedName>
    <definedName name="HP.IntOnBorwCap7">#REF!</definedName>
    <definedName name="HP.IntOnBorwCap8">#REF!</definedName>
    <definedName name="HP.IntOnBorwCap9">#REF!</definedName>
    <definedName name="HP.LocalTaxes1">#REF!</definedName>
    <definedName name="HP.LocalTaxes2">#REF!</definedName>
    <definedName name="HP.LocalTaxes3">#REF!</definedName>
    <definedName name="HP.LocalTaxes4">#REF!</definedName>
    <definedName name="HP.LocalTaxes5">#REF!</definedName>
    <definedName name="HP.LocalTaxes6">#REF!</definedName>
    <definedName name="HP.LocalTaxes7">#REF!</definedName>
    <definedName name="HP.LocalTaxes8">#REF!</definedName>
    <definedName name="HP.LocalTaxes9">#REF!</definedName>
    <definedName name="HP.NameofTenant1">#REF!</definedName>
    <definedName name="HP.NameofTenant2">#REF!</definedName>
    <definedName name="HP.NameofTenant3">#REF!</definedName>
    <definedName name="HP.NameofTenant4">#REF!</definedName>
    <definedName name="HP.NameofTenant5">#REF!</definedName>
    <definedName name="HP.NameofTenant6">#REF!</definedName>
    <definedName name="HP.NameofTenant7">#REF!</definedName>
    <definedName name="HP.NameofTenant8">#REF!</definedName>
    <definedName name="HP.NameofTenant9">#REF!</definedName>
    <definedName name="HP.PANofTenant1">#REF!</definedName>
    <definedName name="HP.PANofTenant2">#REF!</definedName>
    <definedName name="HP.PANofTenant3">#REF!</definedName>
    <definedName name="HP.PANofTenant4">#REF!</definedName>
    <definedName name="HP.PANofTenant5">#REF!</definedName>
    <definedName name="HP.PANofTenant6">#REF!</definedName>
    <definedName name="HP.PANofTenant7">#REF!</definedName>
    <definedName name="HP.PANofTenant8">#REF!</definedName>
    <definedName name="HP.PANofTenant9">#REF!</definedName>
    <definedName name="HP.PinCode1">#REF!</definedName>
    <definedName name="HP.PinCode2">#REF!</definedName>
    <definedName name="HP.PinCode3">#REF!</definedName>
    <definedName name="HP.PinCode4">#REF!</definedName>
    <definedName name="HP.PinCode5">#REF!</definedName>
    <definedName name="HP.PinCode6">#REF!</definedName>
    <definedName name="HP.PinCode7">#REF!</definedName>
    <definedName name="HP.PinCode8">#REF!</definedName>
    <definedName name="HP.PinCode9">#REF!</definedName>
    <definedName name="HP.RentArearsSec25BAfter30pcDeduct">#REF!</definedName>
    <definedName name="HP.RentNotRealized1">#REF!</definedName>
    <definedName name="HP.RentNotRealized2">#REF!</definedName>
    <definedName name="HP.RentNotRealized3">#REF!</definedName>
    <definedName name="HP.RentNotRealized4">#REF!</definedName>
    <definedName name="HP.RentNotRealized5">#REF!</definedName>
    <definedName name="HP.RentNotRealized6">#REF!</definedName>
    <definedName name="HP.RentNotRealized7">#REF!</definedName>
    <definedName name="HP.RentNotRealized8">#REF!</definedName>
    <definedName name="HP.RentNotRealized9">#REF!</definedName>
    <definedName name="HP.RentOfEarlierYrSec25AandAA">#REF!</definedName>
    <definedName name="HP.SharePercent1">#REF!</definedName>
    <definedName name="HP.SharePercent2">#REF!</definedName>
    <definedName name="HP.SharePercent3">#REF!</definedName>
    <definedName name="HP.SharePercent4">#REF!</definedName>
    <definedName name="HP.SharePercent5">#REF!</definedName>
    <definedName name="HP.SharePercent6">#REF!</definedName>
    <definedName name="HP.SharePercent7">#REF!</definedName>
    <definedName name="HP.SharePercent8">#REF!</definedName>
    <definedName name="HP.SharePercent9">#REF!</definedName>
    <definedName name="HP.StateCode1">#REF!</definedName>
    <definedName name="HP.StateCode2">#REF!</definedName>
    <definedName name="HP.StateCode3">#REF!</definedName>
    <definedName name="HP.StateCode4">#REF!</definedName>
    <definedName name="HP.StateCode5">#REF!</definedName>
    <definedName name="HP.StateCode6">#REF!</definedName>
    <definedName name="HP.StateCode7">#REF!</definedName>
    <definedName name="HP.StateCode8">#REF!</definedName>
    <definedName name="HP.StateCode9">#REF!</definedName>
    <definedName name="HP.ThirtyPercentOfBalance1">#REF!</definedName>
    <definedName name="HP.ThirtyPercentOfBalance2">#REF!</definedName>
    <definedName name="HP.ThirtyPercentOfBalance3">#REF!</definedName>
    <definedName name="HP.ThirtyPercentOfBalance4">#REF!</definedName>
    <definedName name="HP.ThirtyPercentOfBalance5">#REF!</definedName>
    <definedName name="HP.ThirtyPercentOfBalance6">#REF!</definedName>
    <definedName name="HP.ThirtyPercentOfBalance7">#REF!</definedName>
    <definedName name="HP.ThirtyPercentOfBalance8">#REF!</definedName>
    <definedName name="HP.ThirtyPercentOfBalance9">#REF!</definedName>
    <definedName name="HP.TotalDeduct1">#REF!</definedName>
    <definedName name="HP.TotalDeduct2">#REF!</definedName>
    <definedName name="HP.TotalDeduct3">#REF!</definedName>
    <definedName name="HP.TotalDeduct4">#REF!</definedName>
    <definedName name="HP.TotalDeduct5">#REF!</definedName>
    <definedName name="HP.TotalDeduct6">#REF!</definedName>
    <definedName name="HP.TotalDeduct7">#REF!</definedName>
    <definedName name="HP.TotalDeduct8">#REF!</definedName>
    <definedName name="HP.TotalDeduct9">#REF!</definedName>
    <definedName name="HP.TotalIncomeChargeableUnHP">#REF!</definedName>
    <definedName name="HP.TotalUnrealizedAndTax1">#REF!</definedName>
    <definedName name="HP.TotalUnrealizedAndTax2">#REF!</definedName>
    <definedName name="HP.TotalUnrealizedAndTax3">#REF!</definedName>
    <definedName name="HP.TotalUnrealizedAndTax4">#REF!</definedName>
    <definedName name="HP.TotalUnrealizedAndTax5">#REF!</definedName>
    <definedName name="HP.TotalUnrealizedAndTax6">#REF!</definedName>
    <definedName name="HP.TotalUnrealizedAndTax7">#REF!</definedName>
    <definedName name="HP.TotalUnrealizedAndTax8">#REF!</definedName>
    <definedName name="HP.TotalUnrealizedAndTax9">#REF!</definedName>
    <definedName name="HP1_" localSheetId="17">#REF!</definedName>
    <definedName name="HP1_">#REF!</definedName>
    <definedName name="HPexp">#REF!</definedName>
    <definedName name="hpincome.bf">'[46]CYLA BFLA'!$AF$11</definedName>
    <definedName name="hpincome.bp">'[46]CYLA BFLA'!$AB$11</definedName>
    <definedName name="hpincome.hp">'[46]CYLA BFLA'!$X$11</definedName>
    <definedName name="hpincome.ih">'[46]CYLA BFLA'!$Q$11</definedName>
    <definedName name="hpincome.os">'[46]CYLA BFLA'!$T$11</definedName>
    <definedName name="hpincome.rem">'[46]CYLA BFLA'!$AO$15</definedName>
    <definedName name="hploss.aftbfl">'[46]CYLA BFLA'!$AH$11</definedName>
    <definedName name="hploss.bf">'[46]CYLA BFLA'!$AE$11</definedName>
    <definedName name="hploss.bfadj">'[46]CYLA BFLA'!$AG$11</definedName>
    <definedName name="hploss.bp">'[46]CYLA BFLA'!$AD$11</definedName>
    <definedName name="hploss.hp">'[46]CYLA BFLA'!$Z$11</definedName>
    <definedName name="hploss.ih">'[46]CYLA BFLA'!$R$11</definedName>
    <definedName name="hploss.os">'[46]CYLA BFLA'!$V$11</definedName>
    <definedName name="hploss.unabs">'[46]CYLA BFLA'!$AN$15</definedName>
    <definedName name="hploss1.unabs">'[46]CYLA BFLA'!$F$53</definedName>
    <definedName name="HPNL">#REF!</definedName>
    <definedName name="hprptfrm.size">#REF!</definedName>
    <definedName name="hprptfrm1">#REF!</definedName>
    <definedName name="hprptfrm2">#REF!</definedName>
    <definedName name="hprptfrm3">#REF!</definedName>
    <definedName name="hprptfrm4">#REF!</definedName>
    <definedName name="hprptfrm5">#REF!</definedName>
    <definedName name="hprptfrm6">#REF!</definedName>
    <definedName name="hprptfrm7">#REF!</definedName>
    <definedName name="hprptfrm8">#REF!</definedName>
    <definedName name="hprptfrm9">#REF!</definedName>
    <definedName name="HQOTHER">[133]HQ!$A$1:$K$68</definedName>
    <definedName name="HR" localSheetId="0">[31]!HR</definedName>
    <definedName name="HR">[31]!HR</definedName>
    <definedName name="HSArea">'[104]Ver 1'!#REF!</definedName>
    <definedName name="hshhxuhxu">#REF!</definedName>
    <definedName name="ht" localSheetId="7" hidden="1">{"'August 2000'!$A$1:$J$101"}</definedName>
    <definedName name="ht" localSheetId="10" hidden="1">{"'August 2000'!$A$1:$J$101"}</definedName>
    <definedName name="ht" localSheetId="1" hidden="1">{"'August 2000'!$A$1:$J$101"}</definedName>
    <definedName name="ht" localSheetId="0" hidden="1">{"'August 2000'!$A$1:$J$101"}</definedName>
    <definedName name="ht" localSheetId="6" hidden="1">{"'August 2000'!$A$1:$J$101"}</definedName>
    <definedName name="ht" hidden="1">{"'August 2000'!$A$1:$J$101"}</definedName>
    <definedName name="HTML_CodePage" hidden="1">1252</definedName>
    <definedName name="HTML_Control" localSheetId="17" hidden="1">{"'Sheet1'!$A$4386:$N$4591"}</definedName>
    <definedName name="HTML_Control" localSheetId="7" hidden="1">{"'rcpl ref.no.'!$A$1:$D$10","'rcpl ref.no.'!$A$1:$D$10"}</definedName>
    <definedName name="HTML_Control" localSheetId="10" hidden="1">{"'rcpl ref.no.'!$A$1:$D$10","'rcpl ref.no.'!$A$1:$D$10"}</definedName>
    <definedName name="HTML_Control" localSheetId="1" hidden="1">{"'Sheet1'!$A$4386:$N$4591"}</definedName>
    <definedName name="HTML_Control" localSheetId="0" hidden="1">{"'Sheet1'!$A$4386:$N$4591"}</definedName>
    <definedName name="HTML_Control" localSheetId="9" hidden="1">{"'rcpl ref.no.'!$A$1:$D$10","'rcpl ref.no.'!$A$1:$D$10"}</definedName>
    <definedName name="HTML_Control" localSheetId="6" hidden="1">{"'rcpl ref.no.'!$A$1:$D$10","'rcpl ref.no.'!$A$1:$D$10"}</definedName>
    <definedName name="HTML_Control" hidden="1">{"'Sheet1'!$A$4386:$N$4591"}</definedName>
    <definedName name="HTML_Control_1" localSheetId="7" hidden="1">{"'August 2000'!$A$1:$J$101"}</definedName>
    <definedName name="HTML_Control_1" localSheetId="10" hidden="1">{"'August 2000'!$A$1:$J$101"}</definedName>
    <definedName name="HTML_Control_1" localSheetId="1" hidden="1">{"'August 2000'!$A$1:$J$101"}</definedName>
    <definedName name="HTML_Control_1" localSheetId="0" hidden="1">{"'August 2000'!$A$1:$J$101"}</definedName>
    <definedName name="HTML_Control_1" localSheetId="6" hidden="1">{"'August 2000'!$A$1:$J$101"}</definedName>
    <definedName name="HTML_Control_1" hidden="1">{"'August 2000'!$A$1:$J$101"}</definedName>
    <definedName name="HTML_CONTROL_15" localSheetId="7" hidden="1">{"'August 2000'!$A$1:$J$101"}</definedName>
    <definedName name="HTML_CONTROL_15" localSheetId="10" hidden="1">{"'August 2000'!$A$1:$J$101"}</definedName>
    <definedName name="HTML_CONTROL_15" localSheetId="1" hidden="1">{"'August 2000'!$A$1:$J$101"}</definedName>
    <definedName name="HTML_CONTROL_15" localSheetId="0" hidden="1">{"'August 2000'!$A$1:$J$101"}</definedName>
    <definedName name="HTML_CONTROL_15" localSheetId="6" hidden="1">{"'August 2000'!$A$1:$J$101"}</definedName>
    <definedName name="HTML_CONTROL_15" hidden="1">{"'August 2000'!$A$1:$J$101"}</definedName>
    <definedName name="HTML_CONTROL_16" localSheetId="7" hidden="1">{"'August 2000'!$A$1:$J$101"}</definedName>
    <definedName name="HTML_CONTROL_16" localSheetId="10" hidden="1">{"'August 2000'!$A$1:$J$101"}</definedName>
    <definedName name="HTML_CONTROL_16" localSheetId="1" hidden="1">{"'August 2000'!$A$1:$J$101"}</definedName>
    <definedName name="HTML_CONTROL_16" localSheetId="0" hidden="1">{"'August 2000'!$A$1:$J$101"}</definedName>
    <definedName name="HTML_CONTROL_16" localSheetId="6" hidden="1">{"'August 2000'!$A$1:$J$101"}</definedName>
    <definedName name="HTML_CONTROL_16" hidden="1">{"'August 2000'!$A$1:$J$101"}</definedName>
    <definedName name="HTML_CONTROL_19" localSheetId="7" hidden="1">{"'August 2000'!$A$1:$J$101"}</definedName>
    <definedName name="HTML_CONTROL_19" localSheetId="10" hidden="1">{"'August 2000'!$A$1:$J$101"}</definedName>
    <definedName name="HTML_CONTROL_19" localSheetId="1" hidden="1">{"'August 2000'!$A$1:$J$101"}</definedName>
    <definedName name="HTML_CONTROL_19" localSheetId="0" hidden="1">{"'August 2000'!$A$1:$J$101"}</definedName>
    <definedName name="HTML_CONTROL_19" localSheetId="6" hidden="1">{"'August 2000'!$A$1:$J$101"}</definedName>
    <definedName name="HTML_CONTROL_19" hidden="1">{"'August 2000'!$A$1:$J$101"}</definedName>
    <definedName name="HTML_Control_2" localSheetId="7" hidden="1">{"'August 2000'!$A$1:$J$101"}</definedName>
    <definedName name="HTML_Control_2" localSheetId="10" hidden="1">{"'August 2000'!$A$1:$J$101"}</definedName>
    <definedName name="HTML_Control_2" localSheetId="1" hidden="1">{"'August 2000'!$A$1:$J$101"}</definedName>
    <definedName name="HTML_Control_2" localSheetId="0" hidden="1">{"'August 2000'!$A$1:$J$101"}</definedName>
    <definedName name="HTML_Control_2" localSheetId="6" hidden="1">{"'August 2000'!$A$1:$J$101"}</definedName>
    <definedName name="HTML_Control_2" hidden="1">{"'August 2000'!$A$1:$J$101"}</definedName>
    <definedName name="HTML_control_3" localSheetId="7" hidden="1">{"'August 2000'!$A$1:$J$101"}</definedName>
    <definedName name="HTML_control_3" localSheetId="10" hidden="1">{"'August 2000'!$A$1:$J$101"}</definedName>
    <definedName name="HTML_control_3" localSheetId="1" hidden="1">{"'August 2000'!$A$1:$J$101"}</definedName>
    <definedName name="HTML_control_3" localSheetId="0" hidden="1">{"'August 2000'!$A$1:$J$101"}</definedName>
    <definedName name="HTML_control_3" localSheetId="6" hidden="1">{"'August 2000'!$A$1:$J$101"}</definedName>
    <definedName name="HTML_control_3" hidden="1">{"'August 2000'!$A$1:$J$101"}</definedName>
    <definedName name="HTML_control1" localSheetId="7" hidden="1">{"'August 2000'!$A$1:$J$101"}</definedName>
    <definedName name="HTML_control1" localSheetId="10" hidden="1">{"'August 2000'!$A$1:$J$101"}</definedName>
    <definedName name="HTML_control1" localSheetId="1" hidden="1">{"'August 2000'!$A$1:$J$101"}</definedName>
    <definedName name="HTML_control1" localSheetId="0" hidden="1">{"'August 2000'!$A$1:$J$101"}</definedName>
    <definedName name="HTML_control1" localSheetId="6" hidden="1">{"'August 2000'!$A$1:$J$101"}</definedName>
    <definedName name="HTML_control1" hidden="1">{"'August 2000'!$A$1:$J$101"}</definedName>
    <definedName name="HTML_control1_1" localSheetId="7" hidden="1">{"'August 2000'!$A$1:$J$101"}</definedName>
    <definedName name="HTML_control1_1" localSheetId="10" hidden="1">{"'August 2000'!$A$1:$J$101"}</definedName>
    <definedName name="HTML_control1_1" localSheetId="1" hidden="1">{"'August 2000'!$A$1:$J$101"}</definedName>
    <definedName name="HTML_control1_1" localSheetId="0" hidden="1">{"'August 2000'!$A$1:$J$101"}</definedName>
    <definedName name="HTML_control1_1" localSheetId="6" hidden="1">{"'August 2000'!$A$1:$J$101"}</definedName>
    <definedName name="HTML_control1_1" hidden="1">{"'August 2000'!$A$1:$J$101"}</definedName>
    <definedName name="HTML_control1_2" localSheetId="7" hidden="1">{"'August 2000'!$A$1:$J$101"}</definedName>
    <definedName name="HTML_control1_2" localSheetId="10" hidden="1">{"'August 2000'!$A$1:$J$101"}</definedName>
    <definedName name="HTML_control1_2" localSheetId="1" hidden="1">{"'August 2000'!$A$1:$J$101"}</definedName>
    <definedName name="HTML_control1_2" localSheetId="0" hidden="1">{"'August 2000'!$A$1:$J$101"}</definedName>
    <definedName name="HTML_control1_2" localSheetId="6" hidden="1">{"'August 2000'!$A$1:$J$101"}</definedName>
    <definedName name="HTML_control1_2" hidden="1">{"'August 2000'!$A$1:$J$101"}</definedName>
    <definedName name="HTML_Description" hidden="1">""</definedName>
    <definedName name="HTML_Email" hidden="1">""</definedName>
    <definedName name="HTML_Header" localSheetId="7" hidden="1">"rcpl ref.no."</definedName>
    <definedName name="HTML_Header" localSheetId="10" hidden="1">"rcpl ref.no."</definedName>
    <definedName name="HTML_Header" localSheetId="9" hidden="1">"rcpl ref.no."</definedName>
    <definedName name="HTML_Header" localSheetId="6" hidden="1">"rcpl ref.no."</definedName>
    <definedName name="HTML_Header" hidden="1">"Sheet1"</definedName>
    <definedName name="HTML_LastUpdate" localSheetId="7" hidden="1">"12/6/2001"</definedName>
    <definedName name="HTML_LastUpdate" localSheetId="10" hidden="1">"12/6/2001"</definedName>
    <definedName name="HTML_LastUpdate" localSheetId="9" hidden="1">"12/6/2001"</definedName>
    <definedName name="HTML_LastUpdate" localSheetId="6" hidden="1">"12/6/2001"</definedName>
    <definedName name="HTML_LastUpdate" hidden="1">"7/1/03"</definedName>
    <definedName name="HTML_LineAfter" hidden="1">FALSE</definedName>
    <definedName name="HTML_LineBefore" hidden="1">FALSE</definedName>
    <definedName name="HTML_Name" localSheetId="7" hidden="1">"RIL"</definedName>
    <definedName name="HTML_Name" localSheetId="10" hidden="1">"RIL"</definedName>
    <definedName name="HTML_Name" localSheetId="9" hidden="1">"RIL"</definedName>
    <definedName name="HTML_Name" localSheetId="6" hidden="1">"RIL"</definedName>
    <definedName name="HTML_Name" hidden="1">"m.p.raval"</definedName>
    <definedName name="HTML_OBDlg2" hidden="1">TRUE</definedName>
    <definedName name="HTML_OBDlg4" hidden="1">TRUE</definedName>
    <definedName name="HTML_OS" hidden="1">0</definedName>
    <definedName name="HTML_PathFile" localSheetId="7" hidden="1">"C:\My Documents\MyHTML.htm"</definedName>
    <definedName name="HTML_PathFile" localSheetId="10" hidden="1">"C:\My Documents\MyHTML.htm"</definedName>
    <definedName name="HTML_PathFile" localSheetId="9" hidden="1">"C:\My Documents\MyHTML.htm"</definedName>
    <definedName name="HTML_PathFile" localSheetId="6" hidden="1">"C:\My Documents\MyHTML.htm"</definedName>
    <definedName name="HTML_PathFile" hidden="1">"A:\MyHTML.htm"</definedName>
    <definedName name="HTML_PathFileMac" hidden="1">"Macintosh HD:HomePageStuff:New_Home_Page:datafile:ctryprem.html"</definedName>
    <definedName name="HTML_Title" localSheetId="7" hidden="1">"REF NO"</definedName>
    <definedName name="HTML_Title" localSheetId="10" hidden="1">"REF NO"</definedName>
    <definedName name="HTML_Title" localSheetId="9" hidden="1">"REF NO"</definedName>
    <definedName name="HTML_Title" localSheetId="6" hidden="1">"REF NO"</definedName>
    <definedName name="HTML_Title" hidden="1">"SGSDaily Progress Report Piyaj toDharoi Pipeline"</definedName>
    <definedName name="hu" hidden="1">#REF!</definedName>
    <definedName name="huy" localSheetId="7" hidden="1">{"'Sheet1'!$L$16"}</definedName>
    <definedName name="huy" localSheetId="10" hidden="1">{"'Sheet1'!$L$16"}</definedName>
    <definedName name="huy" localSheetId="1" hidden="1">{"'Sheet1'!$L$16"}</definedName>
    <definedName name="huy" localSheetId="0" hidden="1">{"'Sheet1'!$L$16"}</definedName>
    <definedName name="huy" localSheetId="6" hidden="1">{"'Sheet1'!$L$16"}</definedName>
    <definedName name="huy" hidden="1">{"'Sheet1'!$L$16"}</definedName>
    <definedName name="hvdc.avlblty">'[103]PPT Inputs'!$C$27</definedName>
    <definedName name="hw_sh">[174]factors!$C$3</definedName>
    <definedName name="hwfac">[247]FACTORS!$B$5</definedName>
    <definedName name="HWSheet">1</definedName>
    <definedName name="i" localSheetId="17">#REF!</definedName>
    <definedName name="I" localSheetId="7">#REF!</definedName>
    <definedName name="I" localSheetId="10">#REF!</definedName>
    <definedName name="I" localSheetId="9">#REF!</definedName>
    <definedName name="I" localSheetId="6">#REF!</definedName>
    <definedName name="i">#REF!</definedName>
    <definedName name="I00292_">'[59]TB APJ'!#REF!</definedName>
    <definedName name="I00294_">'[59]TB APJ'!$B$372</definedName>
    <definedName name="I00295_">'[59]TB APJ'!$B$373</definedName>
    <definedName name="I00296_">'[59]TB APJ'!$B$374</definedName>
    <definedName name="I00297_">'[59]TB APJ'!$B$375</definedName>
    <definedName name="I00298_">'[59]TB APJ'!#REF!</definedName>
    <definedName name="I00299_">'[59]TB APJ'!#REF!</definedName>
    <definedName name="I00300_">'[59]TB APJ'!#REF!</definedName>
    <definedName name="I00301_">'[59]TB APJ'!$B$147</definedName>
    <definedName name="I00302_">'[59]TB APJ'!$B$148</definedName>
    <definedName name="I00313_">'[59]TB APJ'!#REF!</definedName>
    <definedName name="I00316_">'[59]TB APJ'!#REF!</definedName>
    <definedName name="I00318_">'[59]TB APJ'!$B$149</definedName>
    <definedName name="I00319_">'[59]TB APJ'!$B$376</definedName>
    <definedName name="I00320_">'[59]TB APJ'!#REF!</definedName>
    <definedName name="I00321_">'[59]TB APJ'!$B$150</definedName>
    <definedName name="I00322_">'[59]TB APJ'!$B$378</definedName>
    <definedName name="I00324_">'[59]TB APJ'!$B$379</definedName>
    <definedName name="I00326_">'[59]TB APJ'!#REF!</definedName>
    <definedName name="I00327_">'[59]TB APJ'!$B$151</definedName>
    <definedName name="I00328_">'[59]TB APJ'!$B$152</definedName>
    <definedName name="I00329_">'[59]TB APJ'!#REF!</definedName>
    <definedName name="I00330_">'[59]TB APJ'!$B$240</definedName>
    <definedName name="I00331_">'[59]TB APJ'!#REF!</definedName>
    <definedName name="I00332_">'[59]TB APJ'!#REF!</definedName>
    <definedName name="I00333_">'[59]TB APJ'!$B$153</definedName>
    <definedName name="I00334_">'[59]TB APJ'!#REF!</definedName>
    <definedName name="I00335_">'[59]TB APJ'!#REF!</definedName>
    <definedName name="I00336_">'[59]TB APJ'!$B$154</definedName>
    <definedName name="I00337_">'[59]TB APJ'!#REF!</definedName>
    <definedName name="I00338_">'[59]TB APJ'!$B$234</definedName>
    <definedName name="I00340_">'[59]TB APJ'!#REF!</definedName>
    <definedName name="I00341_">'[59]TB APJ'!#REF!</definedName>
    <definedName name="I00342_">'[59]TB APJ'!#REF!</definedName>
    <definedName name="I00343_">'[59]TB APJ'!$B$236</definedName>
    <definedName name="I00344_">'[59]TB APJ'!$B$237</definedName>
    <definedName name="I00345_">'[59]TB APJ'!$B$155</definedName>
    <definedName name="I00348_">'[59]TB APJ'!$B$156</definedName>
    <definedName name="I00349_">'[59]TB APJ'!$B$157</definedName>
    <definedName name="I00350_">'[59]TB APJ'!$B$158</definedName>
    <definedName name="I00351_">'[59]TB APJ'!$B$159</definedName>
    <definedName name="I00363_">'[59]TB APJ'!$B$160</definedName>
    <definedName name="I00364_">'[59]TB APJ'!$B$161</definedName>
    <definedName name="I00365_">'[55]TB APJ'!$B$109</definedName>
    <definedName name="I0250_">'[59]TB APJ'!$B$162</definedName>
    <definedName name="I0251_">'[59]TB APJ'!$B$163</definedName>
    <definedName name="I0254_">'[59]TB APJ'!$B$164</definedName>
    <definedName name="I0260_">'[59]TB APJ'!$B$165</definedName>
    <definedName name="I0261_">'[59]TB APJ'!$B$383</definedName>
    <definedName name="I0263_">'[59]TB APJ'!$B$166</definedName>
    <definedName name="I0264_">'[59]TB APJ'!$B$238</definedName>
    <definedName name="I0265_">'[59]TB APJ'!$B$167</definedName>
    <definedName name="I0267_">'[59]TB APJ'!$B$168</definedName>
    <definedName name="I0268_">'[59]TB APJ'!#REF!</definedName>
    <definedName name="I0269_">'[59]TB APJ'!$B$385</definedName>
    <definedName name="I0270_">'[59]TB APJ'!$B$169</definedName>
    <definedName name="I0274_">'[59]TB APJ'!#REF!</definedName>
    <definedName name="I0275_">'[59]TB APJ'!$B$170</definedName>
    <definedName name="I0276_">'[59]TB APJ'!$B$171</definedName>
    <definedName name="I0277_">'[59]TB APJ'!$B$386</definedName>
    <definedName name="I0281_">'[59]TB APJ'!$B$387</definedName>
    <definedName name="I0282_">'[59]TB APJ'!$B$172</definedName>
    <definedName name="I0283_">'[59]TB APJ'!$B$389</definedName>
    <definedName name="I0286_">'[59]TB APJ'!$B$173</definedName>
    <definedName name="I0287_">'[59]TB APJ'!$B$174</definedName>
    <definedName name="I0288_">'[59]TB APJ'!#REF!</definedName>
    <definedName name="I0289_">'[59]TB APJ'!$B$175</definedName>
    <definedName name="I0291_">'[59]TB APJ'!$B$176</definedName>
    <definedName name="IA80.TotSchedule80_IA">'[46]80_'!$I$8</definedName>
    <definedName name="IAfixed" localSheetId="17">'[132]Capex-fixed'!#REF!</definedName>
    <definedName name="IAfixed">'[132]Capex-fixed'!#REF!</definedName>
    <definedName name="iarea1">[248]Input!$B$10:$V$21,[248]Input!$B$28:$V$28,[248]Input!$B$32:$V$43,[248]Input!$B$57:$V$57,[248]Input!$B$66:$B$67,[248]Input!$B$75:$B$76,[248]Input!$C$66:$V$66,[248]Input!$B$69:$V$71,[248]Input!$C$75:$V$75,[248]Input!$B$78:$V$80,[248]Input!$B$111:$V$111,[248]Input!$C$113:$V$118,[248]Input!$B$113:$B$117,[248]Input!$B$44:$V$51,[248]Input!$B$84:$B$85,[248]Input!$C$84:$V$84,[248]Input!$C$87:$V$89,[248]Input!$B$93:$B$94,[248]Input!$C$93:$V$93</definedName>
    <definedName name="iarea2">[248]Input!$B$159:$D$159,[248]Input!$B$162:$D$162,[248]Input!$E$159:$K$159,[248]Input!$E$162:$K$162</definedName>
    <definedName name="iarea3">[248]Input!$C$96:$V$98,[248]Input!$B$102:$B$103,[248]Input!$C$102:$V$102,[248]Input!$C$105:$V$107,[248]Input!$B$123:$B$124,[248]Input!$C$123:$V$123,[248]Input!$B$132:$V$135,[248]Input!$B$139:$V$142</definedName>
    <definedName name="IB80.TotSchedule80_IB">'[46]80_'!$I$24</definedName>
    <definedName name="IC80.TotDeductInNorthEast">'[46]80_'!$I$38</definedName>
    <definedName name="IC80.TotSchedule80_IC">'[46]80_'!$I$39</definedName>
    <definedName name="icd">#REF!</definedName>
    <definedName name="icdrec">'[195]EMPLOYEE DESOSIT RECEIVED'!$C$343</definedName>
    <definedName name="ICEUR">#REF!</definedName>
    <definedName name="ICEURUSD">#REF!</definedName>
    <definedName name="icic">#REF!</definedName>
    <definedName name="idc">'[249]Debt Scheduling'!$E$49:$Q$49</definedName>
    <definedName name="IDC_34期A" localSheetId="17">#REF!</definedName>
    <definedName name="IDC_34期A">#REF!</definedName>
    <definedName name="IDC_34期B">#REF!</definedName>
    <definedName name="IDC_35期A">#REF!</definedName>
    <definedName name="IDC_35期B">#REF!</definedName>
    <definedName name="IDC_36期A">#REF!</definedName>
    <definedName name="IDC_36期B">#REF!</definedName>
    <definedName name="idc_copy">[74]LCE!$E$114:$BY$114</definedName>
    <definedName name="idc_copy_3">#REF!</definedName>
    <definedName name="IDC_Cost_Summary">#REF!</definedName>
    <definedName name="idc_diff">#REF!</definedName>
    <definedName name="IDC_DIFF_1">'[119]Capex Scheduling'!#REF!</definedName>
    <definedName name="idc_p">'[249]Debt Scheduling'!$E$50:$Q$50</definedName>
    <definedName name="idc_paste" localSheetId="7">#REF!</definedName>
    <definedName name="idc_paste" localSheetId="10">#REF!</definedName>
    <definedName name="idc_paste" localSheetId="9">#REF!</definedName>
    <definedName name="idc_paste" localSheetId="6">#REF!</definedName>
    <definedName name="idc_paste">[74]LCE!$E$117:$BY$117</definedName>
    <definedName name="idc_paste_3">#REF!</definedName>
    <definedName name="IdcDiff">'[119]Capex Scheduling'!#REF!</definedName>
    <definedName name="IDCDifference">'[119]Capex Scheduling'!#REF!</definedName>
    <definedName name="idcPaste1">'[119]Capex Scheduling'!$F$35:$W$35</definedName>
    <definedName name="idcupfrontcheck" localSheetId="17">'[100]Phasing+ Int'!$A$210</definedName>
    <definedName name="idcupfrontcheck">'[101]Phasing+ Int'!$A$156</definedName>
    <definedName name="IDFC" localSheetId="17">#REF!</definedName>
    <definedName name="IDFC">#REF!</definedName>
    <definedName name="idu_bs">'[235]Factors-overall'!$B$23</definedName>
    <definedName name="idu_ts">'[235]Factors-overall'!$B$24</definedName>
    <definedName name="IHC">#REF!</definedName>
    <definedName name="II">#REF!</definedName>
    <definedName name="IK">#REF!</definedName>
    <definedName name="il">#REF!</definedName>
    <definedName name="IL___FS">#REF!</definedName>
    <definedName name="ILT">#REF!</definedName>
    <definedName name="ImageCleanupCost">[122]Assumptions!#REF!</definedName>
    <definedName name="IMMPRO">#REF!</definedName>
    <definedName name="IMPORTDFF1">[69]CRITERIA1!$B$36</definedName>
    <definedName name="ImportFile">#N/A</definedName>
    <definedName name="imprim1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" localSheetId="10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" localSheetId="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" localSheetId="0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mprim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nc_BE_Cap_R">[142]Rollup!#REF!</definedName>
    <definedName name="Inc_BE_Occ_R">[142]Rollup!#REF!</definedName>
    <definedName name="inc_Cwip_move">#REF!</definedName>
    <definedName name="Inc_Proj_Cost">#REF!</definedName>
    <definedName name="INCOME">#REF!</definedName>
    <definedName name="income97">#REF!</definedName>
    <definedName name="increase">[148]data!$A$2:$A$101</definedName>
    <definedName name="increase_in_ospmaintenance" localSheetId="17">#REF!</definedName>
    <definedName name="increase_in_ospmaintenance">#REF!</definedName>
    <definedName name="INCREASED" localSheetId="17">[130]Financials!#REF!</definedName>
    <definedName name="INCREASED">[130]Financials!#REF!</definedName>
    <definedName name="increaseinhousesalary" localSheetId="17">#REF!</definedName>
    <definedName name="increaseinhousesalary">#REF!</definedName>
    <definedName name="increaseoutsourcedsalary">#REF!</definedName>
    <definedName name="index">#REF!</definedName>
    <definedName name="Index_tab7">#REF!</definedName>
    <definedName name="Index_tab8">#REF!</definedName>
    <definedName name="Index_tab9">#REF!</definedName>
    <definedName name="India">[106]List_ratios!#REF!</definedName>
    <definedName name="INDIA_PLASTIC_in_KUSD">#REF!</definedName>
    <definedName name="INDIAN_RAYON_AND_INDUSTRIES_LIMITED">"ANNX1"</definedName>
    <definedName name="INETOTHER">[130]Financials!#REF!</definedName>
    <definedName name="INETPPE">[130]Financials!#REF!</definedName>
    <definedName name="inflind" localSheetId="17">#REF!</definedName>
    <definedName name="inflind">#REF!</definedName>
    <definedName name="inflUS">#REF!</definedName>
    <definedName name="infra">#REF!</definedName>
    <definedName name="inhousemanpowerph1a">#REF!</definedName>
    <definedName name="inhousemanpowerph1b">#REF!</definedName>
    <definedName name="inhousemanpowerph2">#REF!</definedName>
    <definedName name="INI_CurMth">[250]Sheet1!$B$4</definedName>
    <definedName name="Ini_CurUnit">[250]Sheet1!$A$10</definedName>
    <definedName name="INPUT">#REF!</definedName>
    <definedName name="INPUT_AREA">#REF!</definedName>
    <definedName name="InputPO">#REF!</definedName>
    <definedName name="INR">#REF!</definedName>
    <definedName name="INS">#REF!</definedName>
    <definedName name="installationcost">'[132]Capex-fixed'!#REF!</definedName>
    <definedName name="INSTI">[251]Jun07!#REF!</definedName>
    <definedName name="Insulation_Volume">'[252]LTC-Insulation_Volume'!#REF!</definedName>
    <definedName name="Insurance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localSheetId="1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localSheetId="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T" localSheetId="17">[138]Interest!$B$8</definedName>
    <definedName name="Int" localSheetId="7">#REF!</definedName>
    <definedName name="Int" localSheetId="10">#REF!</definedName>
    <definedName name="Int" localSheetId="9">#REF!</definedName>
    <definedName name="Int" localSheetId="6">#REF!</definedName>
    <definedName name="INT">[139]Interest!$B$8</definedName>
    <definedName name="int_99">#REF!</definedName>
    <definedName name="Int_Diff">[253]CF!$D$43</definedName>
    <definedName name="Int_DSRA_Diff">[253]CF!$D$46</definedName>
    <definedName name="Int_Exp">'[72]2. Forecast Drivers'!$E$219:$S$219</definedName>
    <definedName name="Int_Inc">'[72]2. Forecast Drivers'!$E$214:$S$214</definedName>
    <definedName name="Int_on_cash_calc">[253]CF!$I$37:$AG$37</definedName>
    <definedName name="Int_on_cash_paste">'[253]P&amp;L'!$J$11:$AH$11</definedName>
    <definedName name="Int_on_DSRA_paste">'[253]P&amp;L'!$J$12:$AH$12</definedName>
    <definedName name="int_rate" localSheetId="17">[100]Sensitivity!$E$10</definedName>
    <definedName name="int_rate">[101]Sensitivity!$E$10</definedName>
    <definedName name="Intang_Amort">'[72]2. Forecast Drivers'!$E$90:$S$90</definedName>
    <definedName name="Intang_Bal">'[72]2. Forecast Drivers'!$E$91:$S$91</definedName>
    <definedName name="Intang_Cash">'[72]2. Forecast Drivers'!$E$89:$S$89</definedName>
    <definedName name="Intang_Init">'[72]2. Forecast Drivers'!$D$92</definedName>
    <definedName name="INTCAP" localSheetId="17">#REF!</definedName>
    <definedName name="INTCAP">#REF!</definedName>
    <definedName name="integrated_cluste__link_MCN">#REF!</definedName>
    <definedName name="inter_bldng">#REF!</definedName>
    <definedName name="interco_bal_break_up">#REF!</definedName>
    <definedName name="Interest" localSheetId="7">IF('[97]FITZ MORT 94'!XFB1&lt;&gt;"",'[97]FITZ MORT 94'!XFD1*'Depreciation Schedule'!Periodic_rate,"")</definedName>
    <definedName name="Interest" localSheetId="10">IF('[97]FITZ MORT 94'!XFB1&lt;&gt;"",'[97]FITZ MORT 94'!XFD1*EV!Periodic_rate,"")</definedName>
    <definedName name="Interest" localSheetId="1">IF('[97]FITZ MORT 94'!XFB1&lt;&gt;"",'[97]FITZ MORT 94'!XFD1*Historical!Periodic_rate,"")</definedName>
    <definedName name="Interest" localSheetId="0">IF('[97]FITZ MORT 94'!XFB1&lt;&gt;"",'[97]FITZ MORT 94'!XFD1*Projected!Periodic_rate,"")</definedName>
    <definedName name="Interest" localSheetId="6">IF('[97]FITZ MORT 94'!XFB1&lt;&gt;"",'[97]FITZ MORT 94'!XFD1*'Working Capital RK'!Periodic_rate,"")</definedName>
    <definedName name="Interest">IF('[97]FITZ MORT 94'!XFB1&lt;&gt;"",'[97]FITZ MORT 94'!XFD1*[0]!Periodic_rate,"")</definedName>
    <definedName name="interest_234_a_b_c">#REF!</definedName>
    <definedName name="Interest_on_Term_Loan___Subordinate_Loan">#REF!</definedName>
    <definedName name="Interest_Rate" localSheetId="7">#REF!</definedName>
    <definedName name="Interest_Rate" localSheetId="10">#REF!</definedName>
    <definedName name="Interest_Rate" localSheetId="9">#REF!</definedName>
    <definedName name="Interest_Rate" localSheetId="6">#REF!</definedName>
    <definedName name="Interest_rate">#REF!</definedName>
    <definedName name="INTEREST1">[53]FINAL!$I$31:$N$45</definedName>
    <definedName name="InterestCaln">#REF!</definedName>
    <definedName name="InterestExpense">[150]Financials!$J$15:$R$15</definedName>
    <definedName name="InterestIncome">[150]Financials!$J$16:$R$16</definedName>
    <definedName name="InterestOnTermLoanBorrowingJuly">#REF!</definedName>
    <definedName name="InternetProtection">"Internet Protection"</definedName>
    <definedName name="InternetProtection_Grade">"C"</definedName>
    <definedName name="InterRegionShipCost">[122]Assumptions!#REF!</definedName>
    <definedName name="InterRegionShipPercent">[122]Assumptions!#REF!</definedName>
    <definedName name="intracirclegrowth">#REF!</definedName>
    <definedName name="IntraCityShipCost">[122]Assumptions!#REF!</definedName>
    <definedName name="IntraCityShipPercent">[122]Assumptions!#REF!</definedName>
    <definedName name="IntraRegionShipCost">[122]Assumptions!#REF!</definedName>
    <definedName name="IntraRegionShipPercent">[122]Assumptions!#REF!</definedName>
    <definedName name="IntRate_100">#REF!</definedName>
    <definedName name="IntRate_11">[190]Assumptions!$B$11</definedName>
    <definedName name="IntRate_12">[190]Assumptions!$B$12</definedName>
    <definedName name="IntRate_25">#REF!</definedName>
    <definedName name="IntRate_50">#REF!</definedName>
    <definedName name="IntRate_75">#REF!</definedName>
    <definedName name="IntRate_WC">[118]Assumptions!$B$16</definedName>
    <definedName name="IntRate_WC10">[190]Assumptions!$B$16</definedName>
    <definedName name="IntRate_WC11">[190]Assumptions!$B$17</definedName>
    <definedName name="IntRate_WC12">[190]Assumptions!$B$18</definedName>
    <definedName name="IntRate12">#REF!</definedName>
    <definedName name="IntRate13">#REF!</definedName>
    <definedName name="intratetl">#REF!</definedName>
    <definedName name="intratewc">#REF!</definedName>
    <definedName name="IntRateWC11">#REF!</definedName>
    <definedName name="IntRateWC12">#REF!</definedName>
    <definedName name="IntRateWC13">#REF!</definedName>
    <definedName name="intsch">#REF!</definedName>
    <definedName name="Intt_Charge_cY">#REF!,#REF!</definedName>
    <definedName name="Intt_Charge_cy_1">'[254]A 3.7'!$H$35,'[254]A 3.7'!$H$44</definedName>
    <definedName name="Intt_Charge_eY">#REF!,#REF!</definedName>
    <definedName name="Intt_Charge_ey_1">'[254]A 3.7'!$I$35,'[254]A 3.7'!$I$44</definedName>
    <definedName name="Intt_Charge_PY">#REF!,#REF!</definedName>
    <definedName name="Intt_Charge_py_1">'[254]A 3.7'!$G$35,'[254]A 3.7'!$G$44</definedName>
    <definedName name="INTT_MTH.">#REF!</definedName>
    <definedName name="Inv">'[72]2. Forecast Drivers'!$E$45:$S$45</definedName>
    <definedName name="Inv_Bal">'[72]2. Forecast Drivers'!$E$123:$S$123</definedName>
    <definedName name="Inv_Cap">'[72]3. Results'!$E$182:$AD$182</definedName>
    <definedName name="Inv_Cap_P2">'[72]2. Forecast Drivers'!$T$310:$AD$310</definedName>
    <definedName name="Inv_CapP_P2">'[72]2. Forecast Drivers'!$O$307:$AD$307</definedName>
    <definedName name="Inv_Cash">'[72]2. Forecast Drivers'!$E$122:$S$122</definedName>
    <definedName name="Invest" localSheetId="7">#REF!</definedName>
    <definedName name="Invest" localSheetId="10">#REF!</definedName>
    <definedName name="Invest" localSheetId="9">#REF!</definedName>
    <definedName name="Invest" localSheetId="6">#REF!</definedName>
    <definedName name="invest">#REF!</definedName>
    <definedName name="Investment">#REF!</definedName>
    <definedName name="investmentsc">'[45]NOTES '!$F$45</definedName>
    <definedName name="investmentsp">'[45]NOTES '!$H$45</definedName>
    <definedName name="Investor_Summary">#REF!</definedName>
    <definedName name="InvoiceCategory">[67]ReasonCode!$S$2:$S$7</definedName>
    <definedName name="IOB">'[20]IOB-891'!$F$127</definedName>
    <definedName name="iop">'[132]Capex-fixed'!#REF!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"interior specialists"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localSheetId="7" hidden="1">"06/26/2017 07:40:42"</definedName>
    <definedName name="IQ_NAMES_REVISION_DATE_" localSheetId="10" hidden="1">"06/26/2017 07:40:42"</definedName>
    <definedName name="IQ_NAMES_REVISION_DATE_" localSheetId="9" hidden="1">"06/26/2017 07:40:42"</definedName>
    <definedName name="IQ_NAMES_REVISION_DATE_" localSheetId="6" hidden="1">"06/26/2017 07:40:42"</definedName>
    <definedName name="IQ_NAMES_REVISION_DATE_" hidden="1">41791.5021180556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39191.5891666667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1</definedName>
    <definedName name="IQB_BOOKMARK_LOCATION_0" hidden="1">#REF!</definedName>
    <definedName name="IQRAA10" hidden="1">"$AA$11"</definedName>
    <definedName name="IQRAA11" hidden="1">"$AA$12"</definedName>
    <definedName name="IQRAB11" hidden="1">"$AB$12"</definedName>
    <definedName name="IQRAC10" hidden="1">"$AC$11"</definedName>
    <definedName name="IQRAC11" hidden="1">"$AC$12"</definedName>
    <definedName name="IQRAD11" hidden="1">"$AD$12"</definedName>
    <definedName name="IQRAE10" hidden="1">"$AE$11"</definedName>
    <definedName name="IQRAE11" hidden="1">"$AE$12"</definedName>
    <definedName name="IQRAF11" hidden="1">"$AF$12"</definedName>
    <definedName name="IQRAF1709" hidden="1">"$AF$1710"</definedName>
    <definedName name="IQRAF23" hidden="1">"$AF$24"</definedName>
    <definedName name="IQRAF864" hidden="1">"$AF$865"</definedName>
    <definedName name="IQRAG10" hidden="1">"$AG$11"</definedName>
    <definedName name="IQRAI10" hidden="1">"$AI$11"</definedName>
    <definedName name="IQRAK10" hidden="1">"$AK$11"</definedName>
    <definedName name="IQRAM10" hidden="1">"$AM$11"</definedName>
    <definedName name="IQRAO10" hidden="1">"$AO$11"</definedName>
    <definedName name="IQRAQ10" hidden="1">"$AQ$11"</definedName>
    <definedName name="IQRAS10" hidden="1">"$AS$11"</definedName>
    <definedName name="IQRAU10" hidden="1">"$AU$11"</definedName>
    <definedName name="IQRAU1709" hidden="1">"$AU$1710"</definedName>
    <definedName name="IQRAU23" hidden="1">"$AU$24"</definedName>
    <definedName name="IQRAU864" hidden="1">"$AU$865"</definedName>
    <definedName name="IQRAW10" hidden="1">"$AW$11"</definedName>
    <definedName name="IQRAY10" hidden="1">"$AY$11"</definedName>
    <definedName name="IQRAZ865" hidden="1">"$AZ$866:$AZ$1624"</definedName>
    <definedName name="IQRB1709" hidden="1">"$B$1710"</definedName>
    <definedName name="IQRB23" hidden="1">"$B$24"</definedName>
    <definedName name="IQRB24" hidden="1">"$B$25:$B$780"</definedName>
    <definedName name="IQRB864" hidden="1">"$B$865"</definedName>
    <definedName name="IQRBA10" hidden="1">"$BA$11"</definedName>
    <definedName name="IQRBetaAC13" hidden="1">#REF!</definedName>
    <definedName name="IQRBetaAC14" hidden="1">#REF!</definedName>
    <definedName name="IQRBetaAL14" hidden="1">#REF!</definedName>
    <definedName name="IQRBetaAU13" hidden="1">#REF!</definedName>
    <definedName name="IQRBetaAU14" hidden="1">#REF!</definedName>
    <definedName name="IQRBetaB13" hidden="1">#REF!</definedName>
    <definedName name="IQRBetaB14" hidden="1">#REF!</definedName>
    <definedName name="IQRBetaBD13" hidden="1">#REF!</definedName>
    <definedName name="IQRBetaBD14" hidden="1">#REF!</definedName>
    <definedName name="IQRBetaBM13" hidden="1">#REF!</definedName>
    <definedName name="IQRBetaBM14" hidden="1">#REF!</definedName>
    <definedName name="IQRBetaBV13" hidden="1">#REF!</definedName>
    <definedName name="IQRBetaBV14" hidden="1">#REF!</definedName>
    <definedName name="IQRBetaCE13" hidden="1">#REF!</definedName>
    <definedName name="IQRBetaCE14" hidden="1">#REF!</definedName>
    <definedName name="IQRBetaCN13" hidden="1">#REF!</definedName>
    <definedName name="IQRBetaCN14" hidden="1">#REF!</definedName>
    <definedName name="IQRBetaCW13" hidden="1">#REF!</definedName>
    <definedName name="IQRBetaCW14" hidden="1">#REF!</definedName>
    <definedName name="IQRBetaDF13" hidden="1">#REF!</definedName>
    <definedName name="IQRBetaDF14" hidden="1">#REF!</definedName>
    <definedName name="IQRBetaDO13" hidden="1">#REF!</definedName>
    <definedName name="IQRBetaDO14" hidden="1">#REF!</definedName>
    <definedName name="IQRBetaDX13" hidden="1">#REF!</definedName>
    <definedName name="IQRBetaDX14" hidden="1">#REF!</definedName>
    <definedName name="IQRBetaEG13" hidden="1">#REF!</definedName>
    <definedName name="IQRBetaEG14" hidden="1">#REF!</definedName>
    <definedName name="IQRBetaEP13" hidden="1">#REF!</definedName>
    <definedName name="IQRBetaEP14" hidden="1">#REF!</definedName>
    <definedName name="IQRBetaEY13" hidden="1">#REF!</definedName>
    <definedName name="IQRBetaEY14" hidden="1">#REF!</definedName>
    <definedName name="IQRBetaFH13" hidden="1">#REF!</definedName>
    <definedName name="IQRBetaFH14" hidden="1">#REF!</definedName>
    <definedName name="IQRBetaFQ13" hidden="1">#REF!</definedName>
    <definedName name="IQRBetaFQ14" hidden="1">#REF!</definedName>
    <definedName name="IQRBetaK13" hidden="1">#REF!</definedName>
    <definedName name="IQRBetaK14" hidden="1">#REF!</definedName>
    <definedName name="IQRBetaT13" hidden="1">#REF!</definedName>
    <definedName name="IQRBetaT14" hidden="1">#REF!</definedName>
    <definedName name="IQRBJ1709" hidden="1">"$BJ$1710"</definedName>
    <definedName name="IQRBJ23" hidden="1">"$BJ$24"</definedName>
    <definedName name="IQRBJ864" hidden="1">"$BJ$865"</definedName>
    <definedName name="IQRBY1709" hidden="1">"$BY$1710"</definedName>
    <definedName name="IQRBY23" hidden="1">"$BY$24"</definedName>
    <definedName name="IQRBY864" hidden="1">"$BY$865"</definedName>
    <definedName name="IQRC23" hidden="1">"$C$24:$C$778"</definedName>
    <definedName name="IQRC24" hidden="1">"$C$25:$C$779"</definedName>
    <definedName name="IQRCapStruA5" hidden="1">#REF!</definedName>
    <definedName name="IQRCapStruA6" hidden="1">#REF!</definedName>
    <definedName name="IQRCapStruA7" hidden="1">#REF!</definedName>
    <definedName name="IQRCapStruA8" hidden="1">#REF!</definedName>
    <definedName name="IQRCapStruAG5" hidden="1">#REF!</definedName>
    <definedName name="IQRCapStruAG6" hidden="1">#REF!</definedName>
    <definedName name="IQRCapStruAG7" hidden="1">#REF!</definedName>
    <definedName name="IQRCapStruAG8" hidden="1">#REF!</definedName>
    <definedName name="IQRCapStruAO5" hidden="1">#REF!</definedName>
    <definedName name="IQRCapStruAO6" hidden="1">#REF!</definedName>
    <definedName name="IQRCapStruAO7" hidden="1">#REF!</definedName>
    <definedName name="IQRCapStruAO8" hidden="1">#REF!</definedName>
    <definedName name="IQRCapStruAW5" hidden="1">#REF!</definedName>
    <definedName name="IQRCapStruAW6" hidden="1">#REF!</definedName>
    <definedName name="IQRCapStruAW7" hidden="1">#REF!</definedName>
    <definedName name="IQRCapStruAW8" hidden="1">#REF!</definedName>
    <definedName name="IQRCapStruBE5" hidden="1">#REF!</definedName>
    <definedName name="IQRCapStruBE6" hidden="1">#REF!</definedName>
    <definedName name="IQRCapStruBE7" hidden="1">#REF!</definedName>
    <definedName name="IQRCapStruBE8" hidden="1">#REF!</definedName>
    <definedName name="IQRCapStruBM5" hidden="1">#REF!</definedName>
    <definedName name="IQRCapStruBM6" hidden="1">#REF!</definedName>
    <definedName name="IQRCapStruBM7" hidden="1">#REF!</definedName>
    <definedName name="IQRCapStruBM8" hidden="1">#REF!</definedName>
    <definedName name="IQRCapStruBU5" hidden="1">#REF!</definedName>
    <definedName name="IQRCapStruBU6" hidden="1">#REF!</definedName>
    <definedName name="IQRCapStruBU7" hidden="1">#REF!</definedName>
    <definedName name="IQRCapStruBU8" hidden="1">#REF!</definedName>
    <definedName name="IQRCapStruCC5" hidden="1">#REF!</definedName>
    <definedName name="IQRCapStruCC6" hidden="1">#REF!</definedName>
    <definedName name="IQRCapStruCC7" hidden="1">#REF!</definedName>
    <definedName name="IQRCapStruCC8" hidden="1">#REF!</definedName>
    <definedName name="IQRCapStruCK5" hidden="1">#REF!</definedName>
    <definedName name="IQRCapStruCK6" hidden="1">#REF!</definedName>
    <definedName name="IQRCapStruCK7" hidden="1">#REF!</definedName>
    <definedName name="IQRCapStruCK8" hidden="1">#REF!</definedName>
    <definedName name="IQRCapStruCS5" hidden="1">#REF!</definedName>
    <definedName name="IQRCapStruCS6" hidden="1">#REF!</definedName>
    <definedName name="IQRCapStruCS7" hidden="1">#REF!</definedName>
    <definedName name="IQRCapStruCS8" hidden="1">#REF!</definedName>
    <definedName name="IQRCapStruDA5" hidden="1">#REF!</definedName>
    <definedName name="IQRCapStruDA6" hidden="1">#REF!</definedName>
    <definedName name="IQRCapStruDA7" hidden="1">#REF!</definedName>
    <definedName name="IQRCapStruDA8" hidden="1">#REF!</definedName>
    <definedName name="IQRCapStruDI5" hidden="1">#REF!</definedName>
    <definedName name="IQRCapStruDI6" hidden="1">#REF!</definedName>
    <definedName name="IQRCapStruDI7" hidden="1">#REF!</definedName>
    <definedName name="IQRCapStruDI8" hidden="1">#REF!</definedName>
    <definedName name="IQRCapStruDQ5" hidden="1">#REF!</definedName>
    <definedName name="IQRCapStruDQ6" hidden="1">#REF!</definedName>
    <definedName name="IQRCapStruDQ7" hidden="1">#REF!</definedName>
    <definedName name="IQRCapStruDQ8" hidden="1">#REF!</definedName>
    <definedName name="IQRCapStruDY5" hidden="1">#REF!</definedName>
    <definedName name="IQRCapStruDY6" hidden="1">#REF!</definedName>
    <definedName name="IQRCapStruDY7" hidden="1">#REF!</definedName>
    <definedName name="IQRCapStruDY8" hidden="1">#REF!</definedName>
    <definedName name="IQRCapStruEG5" hidden="1">#REF!</definedName>
    <definedName name="IQRCapStruEG6" hidden="1">#REF!</definedName>
    <definedName name="IQRCapStruEG7" hidden="1">#REF!</definedName>
    <definedName name="IQRCapStruEG8" hidden="1">#REF!</definedName>
    <definedName name="IQRCapStruEO5" hidden="1">#REF!</definedName>
    <definedName name="IQRCapStruEO6" hidden="1">#REF!</definedName>
    <definedName name="IQRCapStruEO7" hidden="1">#REF!</definedName>
    <definedName name="IQRCapStruEO8" hidden="1">#REF!</definedName>
    <definedName name="IQRCapStruEW5" hidden="1">#REF!</definedName>
    <definedName name="IQRCapStruEW6" hidden="1">#REF!</definedName>
    <definedName name="IQRCapStruEW7" hidden="1">#REF!</definedName>
    <definedName name="IQRCapStruEW8" hidden="1">#REF!</definedName>
    <definedName name="IQRCapStruI5" hidden="1">#REF!</definedName>
    <definedName name="IQRCapStruI6" hidden="1">#REF!</definedName>
    <definedName name="IQRCapStruI7" hidden="1">#REF!</definedName>
    <definedName name="IQRCapStruI8" hidden="1">#REF!</definedName>
    <definedName name="IQRCapStruQ5" hidden="1">#REF!</definedName>
    <definedName name="IQRCapStruQ6" hidden="1">#REF!</definedName>
    <definedName name="IQRCapStruQ7" hidden="1">#REF!</definedName>
    <definedName name="IQRCapStruQ8" hidden="1">#REF!</definedName>
    <definedName name="IQRCapStruY5" hidden="1">#REF!</definedName>
    <definedName name="IQRCapStruY6" hidden="1">#REF!</definedName>
    <definedName name="IQRCapStruY7" hidden="1">#REF!</definedName>
    <definedName name="IQRCapStruY8" hidden="1">#REF!</definedName>
    <definedName name="IQRCN1709" hidden="1">"$CN$1710"</definedName>
    <definedName name="IQRCN23" hidden="1">"$CN$24"</definedName>
    <definedName name="IQRCN864" hidden="1">"$CN$865"</definedName>
    <definedName name="IQRCompsPLAAN67" hidden="1">#REF!</definedName>
    <definedName name="IQRD10" hidden="1">"$D$11"</definedName>
    <definedName name="IQRD23" hidden="1">"$D$24:$D$778"</definedName>
    <definedName name="IQRD24" hidden="1">"$D$25:$D$779"</definedName>
    <definedName name="IQRDC1709" hidden="1">"$DC$1710"</definedName>
    <definedName name="IQRDC23" hidden="1">"$DC$24"</definedName>
    <definedName name="IQRDC864" hidden="1">"$DC$865"</definedName>
    <definedName name="IQRDR23" hidden="1">"$DR$24"</definedName>
    <definedName name="IQRDR864" hidden="1">"$DR$865"</definedName>
    <definedName name="IQRE23" hidden="1">"$E$24:$E$778"</definedName>
    <definedName name="IQRE24" hidden="1">"$E$25:$E$779"</definedName>
    <definedName name="IQREG23" hidden="1">"$EG$24"</definedName>
    <definedName name="IQREG864" hidden="1">"$EG$865"</definedName>
    <definedName name="IQREV23" hidden="1">"$EV$24"</definedName>
    <definedName name="IQREV864" hidden="1">"$EV$865"</definedName>
    <definedName name="IQRExchangerateAC9" hidden="1">#REF!</definedName>
    <definedName name="IQRExchangerateAF9" hidden="1">#REF!</definedName>
    <definedName name="IQRExchangerateAI9" hidden="1">#REF!</definedName>
    <definedName name="IQRExchangerateAL9" hidden="1">#REF!</definedName>
    <definedName name="IQRExchangerateAO9" hidden="1">#REF!</definedName>
    <definedName name="IQRExchangerateAR9" hidden="1">#REF!</definedName>
    <definedName name="IQRExchangerateAU9" hidden="1">#REF!</definedName>
    <definedName name="IQRExchangerateAX9" hidden="1">#REF!</definedName>
    <definedName name="IQRExchangerateB8" hidden="1">#REF!</definedName>
    <definedName name="IQRExchangerateB9" hidden="1">#REF!</definedName>
    <definedName name="IQRExchangerateBA9" hidden="1">#REF!</definedName>
    <definedName name="IQRExchangerateBD9" hidden="1">#REF!</definedName>
    <definedName name="IQRExchangerateBG9" hidden="1">#REF!</definedName>
    <definedName name="IQRExchangerateE9" hidden="1">#REF!</definedName>
    <definedName name="IQRExchangerateH9" hidden="1">#REF!</definedName>
    <definedName name="IQRExchangerateK9" hidden="1">#REF!</definedName>
    <definedName name="IQRExchangerateN9" hidden="1">#REF!</definedName>
    <definedName name="IQRExchangerateQ9" hidden="1">#REF!</definedName>
    <definedName name="IQRExchangerateT9" hidden="1">#REF!</definedName>
    <definedName name="IQRExchangerateW9" hidden="1">#REF!</definedName>
    <definedName name="IQRExchangerateZ9" hidden="1">#REF!</definedName>
    <definedName name="IQRF23" hidden="1">"$F$24:$F$778"</definedName>
    <definedName name="IQRF24" hidden="1">"$F$25:$F$779"</definedName>
    <definedName name="IQRFK23" hidden="1">"$FK$24"</definedName>
    <definedName name="IQRFK864" hidden="1">"$FK$865"</definedName>
    <definedName name="IQRFZ23" hidden="1">"$FZ$24"</definedName>
    <definedName name="IQRFZ864" hidden="1">"$FZ$865"</definedName>
    <definedName name="IQRG23" hidden="1">"$G$24:$G$778"</definedName>
    <definedName name="IQRG24" hidden="1">"$G$25:$G$779"</definedName>
    <definedName name="IQRGO23" hidden="1">"$GO$24"</definedName>
    <definedName name="IQRGO864" hidden="1">"$GO$865"</definedName>
    <definedName name="IQRGS6AF1365" hidden="1">#REF!</definedName>
    <definedName name="IQRGS6AF1366" hidden="1">#REF!</definedName>
    <definedName name="IQRGS6AF1709" hidden="1">#REF!</definedName>
    <definedName name="IQRGS6AF1710" hidden="1">#REF!</definedName>
    <definedName name="IQRGS6AF2210" hidden="1">#REF!</definedName>
    <definedName name="IQRGS6AF23" hidden="1">#REF!</definedName>
    <definedName name="IQRGS6AF24" hidden="1">#REF!</definedName>
    <definedName name="IQRGS6AF25" hidden="1">#REF!</definedName>
    <definedName name="IQRGS6AF2710" hidden="1">#REF!</definedName>
    <definedName name="IQRGS6AF2711" hidden="1">#REF!</definedName>
    <definedName name="IQRGS6AF2712" hidden="1">#REF!</definedName>
    <definedName name="IQRGS6AF864" hidden="1">#REF!</definedName>
    <definedName name="IQRGS6AF865" hidden="1">#REF!</definedName>
    <definedName name="IQRGS6AH1366" hidden="1">#REF!</definedName>
    <definedName name="IQRGS6AH24" hidden="1">#REF!</definedName>
    <definedName name="IQRGS6AH2712" hidden="1">#REF!</definedName>
    <definedName name="IQRGS6AU1365" hidden="1">#REF!</definedName>
    <definedName name="IQRGS6AU1366" hidden="1">#REF!</definedName>
    <definedName name="IQRGS6AU1709" hidden="1">#REF!</definedName>
    <definedName name="IQRGS6AU1710" hidden="1">#REF!</definedName>
    <definedName name="IQRGS6AU2210" hidden="1">#REF!</definedName>
    <definedName name="IQRGS6AU23" hidden="1">#REF!</definedName>
    <definedName name="IQRGS6AU24" hidden="1">#REF!</definedName>
    <definedName name="IQRGS6AU25" hidden="1">#REF!</definedName>
    <definedName name="IQRGS6AU2710" hidden="1">#REF!</definedName>
    <definedName name="IQRGS6AU2711" hidden="1">#REF!</definedName>
    <definedName name="IQRGS6AU2712" hidden="1">#REF!</definedName>
    <definedName name="IQRGS6AU864" hidden="1">#REF!</definedName>
    <definedName name="IQRGS6AU865" hidden="1">#REF!</definedName>
    <definedName name="IQRGS6AX1366" hidden="1">#REF!</definedName>
    <definedName name="IQRGS6AX24" hidden="1">#REF!</definedName>
    <definedName name="IQRGS6AX2712" hidden="1">#REF!</definedName>
    <definedName name="IQRGS6B1365" hidden="1">#REF!</definedName>
    <definedName name="IQRGS6B1366" hidden="1">#REF!</definedName>
    <definedName name="IQRGS6B1709" hidden="1">#REF!</definedName>
    <definedName name="IQRGS6B1710" hidden="1">#REF!</definedName>
    <definedName name="IQRGS6B2210" hidden="1">#REF!</definedName>
    <definedName name="IQRGS6B23" hidden="1">#REF!</definedName>
    <definedName name="IQRGS6B24" hidden="1">#REF!</definedName>
    <definedName name="IQRGS6B25" hidden="1">#REF!</definedName>
    <definedName name="IQRGS6B2710" hidden="1">#REF!</definedName>
    <definedName name="IQRGS6B2711" hidden="1">#REF!</definedName>
    <definedName name="IQRGS6B2712" hidden="1">#REF!</definedName>
    <definedName name="IQRGS6B864" hidden="1">#REF!</definedName>
    <definedName name="IQRGS6B865" hidden="1">#REF!</definedName>
    <definedName name="IQRGS6BetasheetAC24" hidden="1">#REF!</definedName>
    <definedName name="IQRGS6BetasheetAD24" hidden="1">#REF!</definedName>
    <definedName name="IQRGS6BetasheetAF1366" hidden="1">#REF!</definedName>
    <definedName name="IQRGS6BetasheetAF24" hidden="1">#REF!</definedName>
    <definedName name="IQRGS6BetasheetAF2712" hidden="1">#REF!</definedName>
    <definedName name="IQRGS6BetasheetAL24" hidden="1">#REF!</definedName>
    <definedName name="IQRGS6BetasheetAN24" hidden="1">#REF!</definedName>
    <definedName name="IQRGS6BetasheetAP1366" hidden="1">#REF!</definedName>
    <definedName name="IQRGS6BetasheetAP24" hidden="1">#REF!</definedName>
    <definedName name="IQRGS6BetasheetAU24" hidden="1">#REF!</definedName>
    <definedName name="IQRGS6BetasheetAX24" hidden="1">#REF!</definedName>
    <definedName name="IQRGS6BetasheetAZ1366" hidden="1">#REF!</definedName>
    <definedName name="IQRGS6BetasheetAZ24" hidden="1">#REF!</definedName>
    <definedName name="IQRGS6BetasheetB1366" hidden="1">#REF!</definedName>
    <definedName name="IQRGS6BetasheetB24" hidden="1">#REF!</definedName>
    <definedName name="IQRGS6BetasheetB2712" hidden="1">#REF!</definedName>
    <definedName name="IQRGS6BetasheetBD24" hidden="1">#REF!</definedName>
    <definedName name="IQRGS6BetasheetBH24" hidden="1">#REF!</definedName>
    <definedName name="IQRGS6BetasheetBJ1366" hidden="1">#REF!</definedName>
    <definedName name="IQRGS6BetasheetBJ24" hidden="1">#REF!</definedName>
    <definedName name="IQRGS6BetasheetBM24" hidden="1">#REF!</definedName>
    <definedName name="IQRGS6BetasheetBR24" hidden="1">#REF!</definedName>
    <definedName name="IQRGS6BetasheetBT1366" hidden="1">#REF!</definedName>
    <definedName name="IQRGS6BetasheetBT24" hidden="1">#REF!</definedName>
    <definedName name="IQRGS6BetasheetBV24" hidden="1">#REF!</definedName>
    <definedName name="IQRGS6BetasheetCB24" hidden="1">#REF!</definedName>
    <definedName name="IQRGS6BetasheetCD24" hidden="1">#REF!</definedName>
    <definedName name="IQRGS6BetasheetCE24" hidden="1">#REF!</definedName>
    <definedName name="IQRGS6BetasheetCL24" hidden="1">#REF!</definedName>
    <definedName name="IQRGS6BetasheetCN24" hidden="1">#REF!</definedName>
    <definedName name="IQRGS6BetasheetCV24" hidden="1">#REF!</definedName>
    <definedName name="IQRGS6BetasheetCW24" hidden="1">#REF!</definedName>
    <definedName name="IQRGS6BetasheetCX24" hidden="1">#REF!</definedName>
    <definedName name="IQRGS6BetasheetDF24" hidden="1">#REF!</definedName>
    <definedName name="IQRGS6BetasheetDH24" hidden="1">#REF!</definedName>
    <definedName name="IQRGS6BetasheetDO24" hidden="1">#REF!</definedName>
    <definedName name="IQRGS6BetasheetDP24" hidden="1">#REF!</definedName>
    <definedName name="IQRGS6BetasheetDR24" hidden="1">#REF!</definedName>
    <definedName name="IQRGS6BetasheetDX24" hidden="1">#REF!</definedName>
    <definedName name="IQRGS6BetasheetDZ24" hidden="1">#REF!</definedName>
    <definedName name="IQRGS6BetasheetEB24" hidden="1">#REF!</definedName>
    <definedName name="IQRGS6BetasheetEG24" hidden="1">#REF!</definedName>
    <definedName name="IQRGS6BetasheetEJ24" hidden="1">#REF!</definedName>
    <definedName name="IQRGS6BetasheetEL24" hidden="1">#REF!</definedName>
    <definedName name="IQRGS6BetasheetEP24" hidden="1">#REF!</definedName>
    <definedName name="IQRGS6BetasheetET24" hidden="1">#REF!</definedName>
    <definedName name="IQRGS6BetasheetEV24" hidden="1">#REF!</definedName>
    <definedName name="IQRGS6BetasheetEY24" hidden="1">#REF!</definedName>
    <definedName name="IQRGS6BetasheetFD24" hidden="1">#REF!</definedName>
    <definedName name="IQRGS6BetasheetFF24" hidden="1">#REF!</definedName>
    <definedName name="IQRGS6BetasheetFH24" hidden="1">#REF!</definedName>
    <definedName name="IQRGS6BetasheetFN24" hidden="1">#REF!</definedName>
    <definedName name="IQRGS6BetasheetFP24" hidden="1">#REF!</definedName>
    <definedName name="IQRGS6BetasheetFQ24" hidden="1">#REF!</definedName>
    <definedName name="IQRGS6BetasheetFX24" hidden="1">#REF!</definedName>
    <definedName name="IQRGS6BetasheetFZ24" hidden="1">#REF!</definedName>
    <definedName name="IQRGS6BetasheetGH24" hidden="1">#REF!</definedName>
    <definedName name="IQRGS6BetasheetGJ24" hidden="1">#REF!</definedName>
    <definedName name="IQRGS6BetasheetK24" hidden="1">#REF!</definedName>
    <definedName name="IQRGS6BetasheetL1366" hidden="1">#REF!</definedName>
    <definedName name="IQRGS6BetasheetL24" hidden="1">#REF!</definedName>
    <definedName name="IQRGS6BetasheetL2712" hidden="1">#REF!</definedName>
    <definedName name="IQRGS6BetasheetT24" hidden="1">#REF!</definedName>
    <definedName name="IQRGS6BetasheetV1366" hidden="1">#REF!</definedName>
    <definedName name="IQRGS6BetasheetV24" hidden="1">#REF!</definedName>
    <definedName name="IQRGS6BetasheetV2712" hidden="1">#REF!</definedName>
    <definedName name="IQRGS6Betashet1AH1366" hidden="1">#REF!</definedName>
    <definedName name="IQRGS6Betashet1AH2712" hidden="1">#REF!</definedName>
    <definedName name="IQRGS6Betashet1AX1366" hidden="1">#REF!</definedName>
    <definedName name="IQRGS6Betashet1AX2712" hidden="1">#REF!</definedName>
    <definedName name="IQRGS6Betashet1B1366" hidden="1">#REF!</definedName>
    <definedName name="IQRGS6Betashet1B2712" hidden="1">#REF!</definedName>
    <definedName name="IQRGS6Betashet1BN1366" hidden="1">#REF!</definedName>
    <definedName name="IQRGS6Betashet1CD1366" hidden="1">#REF!</definedName>
    <definedName name="IQRGS6Betashet1CT1366" hidden="1">#REF!</definedName>
    <definedName name="IQRGS6Betashet1DJ1366" hidden="1">#REF!</definedName>
    <definedName name="IQRGS6Betashet1R1366" hidden="1">#REF!</definedName>
    <definedName name="IQRGS6Betashet1R2712" hidden="1">#REF!</definedName>
    <definedName name="IQRGS6BetashetA1366" hidden="1">#REF!</definedName>
    <definedName name="IQRGS6BetashetAF1366" hidden="1">#REF!</definedName>
    <definedName name="IQRGS6BetashetAF24" hidden="1">#REF!</definedName>
    <definedName name="IQRGS6BetashetAF2712" hidden="1">#REF!</definedName>
    <definedName name="IQRGS6BetashetAH1366" hidden="1">#REF!</definedName>
    <definedName name="IQRGS6BetashetAH24" hidden="1">#REF!</definedName>
    <definedName name="IQRGS6BetashetAH2712" hidden="1">#REF!</definedName>
    <definedName name="IQRGS6BetashetAP1366" hidden="1">#REF!</definedName>
    <definedName name="IQRGS6BetashetAP24" hidden="1">#REF!</definedName>
    <definedName name="IQRGS6BetashetAX1366" hidden="1">#REF!</definedName>
    <definedName name="IQRGS6BetashetAX24" hidden="1">#REF!</definedName>
    <definedName name="IQRGS6BetashetAX2712" hidden="1">#REF!</definedName>
    <definedName name="IQRGS6BetashetAZ1366" hidden="1">#REF!</definedName>
    <definedName name="IQRGS6BetashetAZ24" hidden="1">#REF!</definedName>
    <definedName name="IQRGS6BetashetB1366" hidden="1">#REF!</definedName>
    <definedName name="IQRGS6BetashetB24" hidden="1">#REF!</definedName>
    <definedName name="IQRGS6BetashetB2712" hidden="1">#REF!</definedName>
    <definedName name="IQRGS6BetashetBJ1366" hidden="1">#REF!</definedName>
    <definedName name="IQRGS6BetashetBJ24" hidden="1">#REF!</definedName>
    <definedName name="IQRGS6BetashetBN1366" hidden="1">#REF!</definedName>
    <definedName name="IQRGS6BetashetBN24" hidden="1">#REF!</definedName>
    <definedName name="IQRGS6BetashetBT1366" hidden="1">#REF!</definedName>
    <definedName name="IQRGS6BetashetBT24" hidden="1">#REF!</definedName>
    <definedName name="IQRGS6BetashetCD1366" hidden="1">#REF!</definedName>
    <definedName name="IQRGS6BetashetCD24" hidden="1">#REF!</definedName>
    <definedName name="IQRGS6BetashetCT1366" hidden="1">#REF!</definedName>
    <definedName name="IQRGS6BetashetCT24" hidden="1">#REF!</definedName>
    <definedName name="IQRGS6BetashetDJ1366" hidden="1">#REF!</definedName>
    <definedName name="IQRGS6BetashetDJ24" hidden="1">#REF!</definedName>
    <definedName name="IQRGS6BetashetL1366" hidden="1">#REF!</definedName>
    <definedName name="IQRGS6BetashetL24" hidden="1">#REF!</definedName>
    <definedName name="IQRGS6BetashetL2712" hidden="1">#REF!</definedName>
    <definedName name="IQRGS6BetashetR1366" hidden="1">#REF!</definedName>
    <definedName name="IQRGS6BetashetR24" hidden="1">#REF!</definedName>
    <definedName name="IQRGS6BetashetR2712" hidden="1">#REF!</definedName>
    <definedName name="IQRGS6BetashetV1366" hidden="1">#REF!</definedName>
    <definedName name="IQRGS6BetashetV24" hidden="1">#REF!</definedName>
    <definedName name="IQRGS6BetashetV2712" hidden="1">#REF!</definedName>
    <definedName name="IQRGS6BJ1365" hidden="1">#REF!</definedName>
    <definedName name="IQRGS6BJ1366" hidden="1">#REF!</definedName>
    <definedName name="IQRGS6BJ1709" hidden="1">#REF!</definedName>
    <definedName name="IQRGS6BJ1710" hidden="1">#REF!</definedName>
    <definedName name="IQRGS6BJ2210" hidden="1">#REF!</definedName>
    <definedName name="IQRGS6BJ23" hidden="1">#REF!</definedName>
    <definedName name="IQRGS6BJ24" hidden="1">#REF!</definedName>
    <definedName name="IQRGS6BJ25" hidden="1">#REF!</definedName>
    <definedName name="IQRGS6BJ2710" hidden="1">#REF!</definedName>
    <definedName name="IQRGS6BJ2711" hidden="1">#REF!</definedName>
    <definedName name="IQRGS6BJ2712" hidden="1">#REF!</definedName>
    <definedName name="IQRGS6BJ864" hidden="1">#REF!</definedName>
    <definedName name="IQRGS6BJ865" hidden="1">#REF!</definedName>
    <definedName name="IQRGS6BN1366" hidden="1">#REF!</definedName>
    <definedName name="IQRGS6BN24" hidden="1">#REF!</definedName>
    <definedName name="IQRGS6BY1365" hidden="1">#REF!</definedName>
    <definedName name="IQRGS6BY1366" hidden="1">#REF!</definedName>
    <definedName name="IQRGS6BY1709" hidden="1">#REF!</definedName>
    <definedName name="IQRGS6BY1710" hidden="1">#REF!</definedName>
    <definedName name="IQRGS6BY2210" hidden="1">#REF!</definedName>
    <definedName name="IQRGS6BY23" hidden="1">#REF!</definedName>
    <definedName name="IQRGS6BY24" hidden="1">#REF!</definedName>
    <definedName name="IQRGS6BY25" hidden="1">#REF!</definedName>
    <definedName name="IQRGS6BY2710" hidden="1">#REF!</definedName>
    <definedName name="IQRGS6BY2711" hidden="1">#REF!</definedName>
    <definedName name="IQRGS6BY2712" hidden="1">#REF!</definedName>
    <definedName name="IQRGS6BY864" hidden="1">#REF!</definedName>
    <definedName name="IQRGS6BY865" hidden="1">#REF!</definedName>
    <definedName name="IQRGS6CD1366" hidden="1">#REF!</definedName>
    <definedName name="IQRGS6CD24" hidden="1">#REF!</definedName>
    <definedName name="IQRGS6CN1365" hidden="1">#REF!</definedName>
    <definedName name="IQRGS6CN1366" hidden="1">#REF!</definedName>
    <definedName name="IQRGS6CN1709" hidden="1">#REF!</definedName>
    <definedName name="IQRGS6CN1710" hidden="1">#REF!</definedName>
    <definedName name="IQRGS6CN2210" hidden="1">#REF!</definedName>
    <definedName name="IQRGS6CN23" hidden="1">#REF!</definedName>
    <definedName name="IQRGS6CN24" hidden="1">#REF!</definedName>
    <definedName name="IQRGS6CN25" hidden="1">#REF!</definedName>
    <definedName name="IQRGS6CN2710" hidden="1">#REF!</definedName>
    <definedName name="IQRGS6CN2711" hidden="1">#REF!</definedName>
    <definedName name="IQRGS6CN2712" hidden="1">#REF!</definedName>
    <definedName name="IQRGS6CN864" hidden="1">#REF!</definedName>
    <definedName name="IQRGS6CN865" hidden="1">#REF!</definedName>
    <definedName name="IQRGS6CT1366" hidden="1">#REF!</definedName>
    <definedName name="IQRGS6CT24" hidden="1">#REF!</definedName>
    <definedName name="IQRGS6DC1365" hidden="1">#REF!</definedName>
    <definedName name="IQRGS6DC1366" hidden="1">#REF!</definedName>
    <definedName name="IQRGS6DC1709" hidden="1">#REF!</definedName>
    <definedName name="IQRGS6DC1710" hidden="1">#REF!</definedName>
    <definedName name="IQRGS6DC2210" hidden="1">#REF!</definedName>
    <definedName name="IQRGS6DC23" hidden="1">#REF!</definedName>
    <definedName name="IQRGS6DC24" hidden="1">#REF!</definedName>
    <definedName name="IQRGS6DC25" hidden="1">#REF!</definedName>
    <definedName name="IQRGS6DC2710" hidden="1">#REF!</definedName>
    <definedName name="IQRGS6DC2711" hidden="1">#REF!</definedName>
    <definedName name="IQRGS6DC2712" hidden="1">#REF!</definedName>
    <definedName name="IQRGS6DC864" hidden="1">#REF!</definedName>
    <definedName name="IQRGS6DC865" hidden="1">#REF!</definedName>
    <definedName name="IQRGS6DJ1366" hidden="1">#REF!</definedName>
    <definedName name="IQRGS6DJ24" hidden="1">#REF!</definedName>
    <definedName name="IQRGS6DR1365" hidden="1">#REF!</definedName>
    <definedName name="IQRGS6DR1366" hidden="1">#REF!</definedName>
    <definedName name="IQRGS6DR23" hidden="1">#REF!</definedName>
    <definedName name="IQRGS6DR24" hidden="1">#REF!</definedName>
    <definedName name="IQRGS6DR25" hidden="1">#REF!</definedName>
    <definedName name="IQRGS6DR864" hidden="1">#REF!</definedName>
    <definedName name="IQRGS6DR865" hidden="1">#REF!</definedName>
    <definedName name="IQRGS6EG1365" hidden="1">#REF!</definedName>
    <definedName name="IQRGS6EG1366" hidden="1">#REF!</definedName>
    <definedName name="IQRGS6EG23" hidden="1">#REF!</definedName>
    <definedName name="IQRGS6EG24" hidden="1">#REF!</definedName>
    <definedName name="IQRGS6EG25" hidden="1">#REF!</definedName>
    <definedName name="IQRGS6EG864" hidden="1">#REF!</definedName>
    <definedName name="IQRGS6EG865" hidden="1">#REF!</definedName>
    <definedName name="IQRGS6EV1365" hidden="1">#REF!</definedName>
    <definedName name="IQRGS6EV1366" hidden="1">#REF!</definedName>
    <definedName name="IQRGS6EV23" hidden="1">#REF!</definedName>
    <definedName name="IQRGS6EV24" hidden="1">#REF!</definedName>
    <definedName name="IQRGS6EV25" hidden="1">#REF!</definedName>
    <definedName name="IQRGS6EV864" hidden="1">#REF!</definedName>
    <definedName name="IQRGS6EV865" hidden="1">#REF!</definedName>
    <definedName name="IQRGS6FK1365" hidden="1">#REF!</definedName>
    <definedName name="IQRGS6FK1366" hidden="1">#REF!</definedName>
    <definedName name="IQRGS6FK23" hidden="1">#REF!</definedName>
    <definedName name="IQRGS6FK24" hidden="1">#REF!</definedName>
    <definedName name="IQRGS6FK25" hidden="1">#REF!</definedName>
    <definedName name="IQRGS6FK864" hidden="1">#REF!</definedName>
    <definedName name="IQRGS6FK865" hidden="1">#REF!</definedName>
    <definedName name="IQRGS6FZ1365" hidden="1">#REF!</definedName>
    <definedName name="IQRGS6FZ1366" hidden="1">#REF!</definedName>
    <definedName name="IQRGS6FZ23" hidden="1">#REF!</definedName>
    <definedName name="IQRGS6FZ24" hidden="1">#REF!</definedName>
    <definedName name="IQRGS6FZ25" hidden="1">#REF!</definedName>
    <definedName name="IQRGS6FZ864" hidden="1">#REF!</definedName>
    <definedName name="IQRGS6FZ865" hidden="1">#REF!</definedName>
    <definedName name="IQRGS6GO1365" hidden="1">#REF!</definedName>
    <definedName name="IQRGS6GO1366" hidden="1">#REF!</definedName>
    <definedName name="IQRGS6GO23" hidden="1">#REF!</definedName>
    <definedName name="IQRGS6GO24" hidden="1">#REF!</definedName>
    <definedName name="IQRGS6GO25" hidden="1">#REF!</definedName>
    <definedName name="IQRGS6GO864" hidden="1">#REF!</definedName>
    <definedName name="IQRGS6GO865" hidden="1">#REF!</definedName>
    <definedName name="IQRGS6HD1365" hidden="1">#REF!</definedName>
    <definedName name="IQRGS6HD1366" hidden="1">#REF!</definedName>
    <definedName name="IQRGS6HD23" hidden="1">#REF!</definedName>
    <definedName name="IQRGS6HD24" hidden="1">#REF!</definedName>
    <definedName name="IQRGS6HD25" hidden="1">#REF!</definedName>
    <definedName name="IQRGS6HD864" hidden="1">#REF!</definedName>
    <definedName name="IQRGS6HD865" hidden="1">#REF!</definedName>
    <definedName name="IQRGS6HS1365" hidden="1">#REF!</definedName>
    <definedName name="IQRGS6HS1366" hidden="1">#REF!</definedName>
    <definedName name="IQRGS6HS23" hidden="1">#REF!</definedName>
    <definedName name="IQRGS6HS24" hidden="1">#REF!</definedName>
    <definedName name="IQRGS6HS25" hidden="1">#REF!</definedName>
    <definedName name="IQRGS6HS864" hidden="1">#REF!</definedName>
    <definedName name="IQRGS6HS865" hidden="1">#REF!</definedName>
    <definedName name="IQRGS6MktCapAC22" hidden="1">#REF!</definedName>
    <definedName name="IQRGS6MktCapAD15" hidden="1">#REF!</definedName>
    <definedName name="IQRGS6MktCapAE15" hidden="1">#REF!</definedName>
    <definedName name="IQRGS6MktCapAF15" hidden="1">#REF!</definedName>
    <definedName name="IQRGS6MktCapAG15" hidden="1">#REF!</definedName>
    <definedName name="IQRGS6MktCapAH15" hidden="1">#REF!</definedName>
    <definedName name="IQRGS6MktCapAK15" hidden="1">#REF!</definedName>
    <definedName name="IQRGS6MktCapAL15" hidden="1">#REF!</definedName>
    <definedName name="IQRGS6MktCapAL22" hidden="1">#REF!</definedName>
    <definedName name="IQRGS6MktCapAM15" hidden="1">#REF!</definedName>
    <definedName name="IQRGS6MktCapAN15" hidden="1">#REF!</definedName>
    <definedName name="IQRGS6MktCapAO15" hidden="1">#REF!</definedName>
    <definedName name="IQRGS6MktCapAP15" hidden="1">#REF!</definedName>
    <definedName name="IQRGS6MktCapAR15" hidden="1">#REF!</definedName>
    <definedName name="IQRGS6MktCapAS15" hidden="1">#REF!</definedName>
    <definedName name="IQRGS6MktCapAT15" hidden="1">#REF!</definedName>
    <definedName name="IQRGS6MktCapAU15" hidden="1">#REF!</definedName>
    <definedName name="IQRGS6MktCapAU22" hidden="1">#REF!</definedName>
    <definedName name="IQRGS6MktCapAV15" hidden="1">#REF!</definedName>
    <definedName name="IQRGS6MktCapAW15" hidden="1">#REF!</definedName>
    <definedName name="IQRGS6MktCapAX15" hidden="1">#REF!</definedName>
    <definedName name="IQRGS6MktCapAY15" hidden="1">#REF!</definedName>
    <definedName name="IQRGS6MktCapAZ15" hidden="1">#REF!</definedName>
    <definedName name="IQRGS6MktCapB15" hidden="1">#REF!</definedName>
    <definedName name="IQRGS6MktCapB22" hidden="1">#REF!</definedName>
    <definedName name="IQRGS6MktCapBA15" hidden="1">#REF!</definedName>
    <definedName name="IQRGS6MktCapBB15" hidden="1">#REF!</definedName>
    <definedName name="IQRGS6MktCapBC15" hidden="1">#REF!</definedName>
    <definedName name="IQRGS6MktCapBD15" hidden="1">#REF!</definedName>
    <definedName name="IQRGS6MktCapBD22" hidden="1">#REF!</definedName>
    <definedName name="IQRGS6MktCapBE15" hidden="1">#REF!</definedName>
    <definedName name="IQRGS6MktCapBF15" hidden="1">#REF!</definedName>
    <definedName name="IQRGS6MktCapBG15" hidden="1">#REF!</definedName>
    <definedName name="IQRGS6MktCapBH15" hidden="1">#REF!</definedName>
    <definedName name="IQRGS6MktCapBI15" hidden="1">#REF!</definedName>
    <definedName name="IQRGS6MktCapBJ15" hidden="1">#REF!</definedName>
    <definedName name="IQRGS6MktCapBK15" hidden="1">#REF!</definedName>
    <definedName name="IQRGS6MktCapBL15" hidden="1">#REF!</definedName>
    <definedName name="IQRGS6MktCapBM15" hidden="1">#REF!</definedName>
    <definedName name="IQRGS6MktCapBM22" hidden="1">#REF!</definedName>
    <definedName name="IQRGS6MktCapBN15" hidden="1">#REF!</definedName>
    <definedName name="IQRGS6MktCapBO15" hidden="1">#REF!</definedName>
    <definedName name="IQRGS6MktCapBP15" hidden="1">#REF!</definedName>
    <definedName name="IQRGS6MktCapBQ15" hidden="1">#REF!</definedName>
    <definedName name="IQRGS6MktCapBR15" hidden="1">#REF!</definedName>
    <definedName name="IQRGS6MktCapBS15" hidden="1">#REF!</definedName>
    <definedName name="IQRGS6MktCapBT15" hidden="1">#REF!</definedName>
    <definedName name="IQRGS6MktCapBU15" hidden="1">#REF!</definedName>
    <definedName name="IQRGS6MktCapBV15" hidden="1">#REF!</definedName>
    <definedName name="IQRGS6MktCapBV22" hidden="1">#REF!</definedName>
    <definedName name="IQRGS6MktCapBW15" hidden="1">#REF!</definedName>
    <definedName name="IQRGS6MktCapBX15" hidden="1">#REF!</definedName>
    <definedName name="IQRGS6MktCapBY15" hidden="1">#REF!</definedName>
    <definedName name="IQRGS6MktCapBZ15" hidden="1">#REF!</definedName>
    <definedName name="IQRGS6MktCapCA15" hidden="1">#REF!</definedName>
    <definedName name="IQRGS6MktCapCB15" hidden="1">#REF!</definedName>
    <definedName name="IQRGS6MktCapCC15" hidden="1">#REF!</definedName>
    <definedName name="IQRGS6MktCapCD15" hidden="1">#REF!</definedName>
    <definedName name="IQRGS6MktCapCE15" hidden="1">#REF!</definedName>
    <definedName name="IQRGS6MktCapCE22" hidden="1">#REF!</definedName>
    <definedName name="IQRGS6MktCapCF15" hidden="1">#REF!</definedName>
    <definedName name="IQRGS6MktCapCG15" hidden="1">#REF!</definedName>
    <definedName name="IQRGS6MktCapCH15" hidden="1">#REF!</definedName>
    <definedName name="IQRGS6MktCapCI15" hidden="1">#REF!</definedName>
    <definedName name="IQRGS6MktCapCJ15" hidden="1">#REF!</definedName>
    <definedName name="IQRGS6MktCapCK15" hidden="1">#REF!</definedName>
    <definedName name="IQRGS6MktCapCL15" hidden="1">#REF!</definedName>
    <definedName name="IQRGS6MktCapCM15" hidden="1">#REF!</definedName>
    <definedName name="IQRGS6MktCapCN15" hidden="1">#REF!</definedName>
    <definedName name="IQRGS6MktCapCN22" hidden="1">#REF!</definedName>
    <definedName name="IQRGS6MktCapCO15" hidden="1">#REF!</definedName>
    <definedName name="IQRGS6MktCapCP15" hidden="1">#REF!</definedName>
    <definedName name="IQRGS6MktCapCQ15" hidden="1">#REF!</definedName>
    <definedName name="IQRGS6MktCapCR15" hidden="1">#REF!</definedName>
    <definedName name="IQRGS6MktCapCS15" hidden="1">#REF!</definedName>
    <definedName name="IQRGS6MktCapCT15" hidden="1">#REF!</definedName>
    <definedName name="IQRGS6MktCapCU15" hidden="1">#REF!</definedName>
    <definedName name="IQRGS6MktCapCV15" hidden="1">#REF!</definedName>
    <definedName name="IQRGS6MktCapCW15" hidden="1">#REF!</definedName>
    <definedName name="IQRGS6MktCapCW22" hidden="1">#REF!</definedName>
    <definedName name="IQRGS6MktCapCX15" hidden="1">#REF!</definedName>
    <definedName name="IQRGS6MktCapCY15" hidden="1">#REF!</definedName>
    <definedName name="IQRGS6MktCapCZ15" hidden="1">#REF!</definedName>
    <definedName name="IQRGS6MktCapDA15" hidden="1">#REF!</definedName>
    <definedName name="IQRGS6MktCapDB15" hidden="1">#REF!</definedName>
    <definedName name="IQRGS6MktCapDC15" hidden="1">#REF!</definedName>
    <definedName name="IQRGS6MktCapDD15" hidden="1">#REF!</definedName>
    <definedName name="IQRGS6MktCapDE15" hidden="1">#REF!</definedName>
    <definedName name="IQRGS6MktCapDF15" hidden="1">#REF!</definedName>
    <definedName name="IQRGS6MktCapDF22" hidden="1">#REF!</definedName>
    <definedName name="IQRGS6MktCapDG15" hidden="1">#REF!</definedName>
    <definedName name="IQRGS6MktCapDH15" hidden="1">#REF!</definedName>
    <definedName name="IQRGS6MktCapDI15" hidden="1">#REF!</definedName>
    <definedName name="IQRGS6MktCapDJ15" hidden="1">#REF!</definedName>
    <definedName name="IQRGS6MktCapDK15" hidden="1">#REF!</definedName>
    <definedName name="IQRGS6MktCapDL15" hidden="1">#REF!</definedName>
    <definedName name="IQRGS6MktCapDM15" hidden="1">#REF!</definedName>
    <definedName name="IQRGS6MktCapDN15" hidden="1">#REF!</definedName>
    <definedName name="IQRGS6MktCapDO15" hidden="1">#REF!</definedName>
    <definedName name="IQRGS6MktCapDO22" hidden="1">#REF!</definedName>
    <definedName name="IQRGS6MktCapDP15" hidden="1">#REF!</definedName>
    <definedName name="IQRGS6MktCapDQ15" hidden="1">#REF!</definedName>
    <definedName name="IQRGS6MktCapDR15" hidden="1">#REF!</definedName>
    <definedName name="IQRGS6MktCapDS15" hidden="1">#REF!</definedName>
    <definedName name="IQRGS6MktCapDT15" hidden="1">#REF!</definedName>
    <definedName name="IQRGS6MktCapDU15" hidden="1">#REF!</definedName>
    <definedName name="IQRGS6MktCapDV15" hidden="1">#REF!</definedName>
    <definedName name="IQRGS6MktCapDW15" hidden="1">#REF!</definedName>
    <definedName name="IQRGS6MktCapDX15" hidden="1">#REF!</definedName>
    <definedName name="IQRGS6MktCapDX22" hidden="1">#REF!</definedName>
    <definedName name="IQRGS6MktCapDY15" hidden="1">#REF!</definedName>
    <definedName name="IQRGS6MktCapDZ15" hidden="1">#REF!</definedName>
    <definedName name="IQRGS6MktCapEA15" hidden="1">#REF!</definedName>
    <definedName name="IQRGS6MktCapEB15" hidden="1">#REF!</definedName>
    <definedName name="IQRGS6MktCapEC15" hidden="1">#REF!</definedName>
    <definedName name="IQRGS6MktCapED15" hidden="1">#REF!</definedName>
    <definedName name="IQRGS6MktCapEE15" hidden="1">#REF!</definedName>
    <definedName name="IQRGS6MktCapEF15" hidden="1">#REF!</definedName>
    <definedName name="IQRGS6MktCapEG15" hidden="1">#REF!</definedName>
    <definedName name="IQRGS6MktCapEG22" hidden="1">#REF!</definedName>
    <definedName name="IQRGS6MktCapEH15" hidden="1">#REF!</definedName>
    <definedName name="IQRGS6MktCapEI15" hidden="1">#REF!</definedName>
    <definedName name="IQRGS6MktCapEJ15" hidden="1">#REF!</definedName>
    <definedName name="IQRGS6MktCapEK15" hidden="1">#REF!</definedName>
    <definedName name="IQRGS6MktCapEL15" hidden="1">#REF!</definedName>
    <definedName name="IQRGS6MktCapEM15" hidden="1">#REF!</definedName>
    <definedName name="IQRGS6MktCapEN15" hidden="1">#REF!</definedName>
    <definedName name="IQRGS6MktCapEO15" hidden="1">#REF!</definedName>
    <definedName name="IQRGS6MktCapEP15" hidden="1">#REF!</definedName>
    <definedName name="IQRGS6MktCapEP22" hidden="1">#REF!</definedName>
    <definedName name="IQRGS6MktCapEQ15" hidden="1">#REF!</definedName>
    <definedName name="IQRGS6MktCapER15" hidden="1">#REF!</definedName>
    <definedName name="IQRGS6MktCapES15" hidden="1">#REF!</definedName>
    <definedName name="IQRGS6MktCapET15" hidden="1">#REF!</definedName>
    <definedName name="IQRGS6MktCapEU15" hidden="1">#REF!</definedName>
    <definedName name="IQRGS6MktCapEV15" hidden="1">#REF!</definedName>
    <definedName name="IQRGS6MktCapEW15" hidden="1">#REF!</definedName>
    <definedName name="IQRGS6MktCapEX15" hidden="1">#REF!</definedName>
    <definedName name="IQRGS6MktCapEY22" hidden="1">#REF!</definedName>
    <definedName name="IQRGS6MktCapFH22" hidden="1">#REF!</definedName>
    <definedName name="IQRGS6MktCapFQ22" hidden="1">#REF!</definedName>
    <definedName name="IQRGS6MktCapI15" hidden="1">#REF!</definedName>
    <definedName name="IQRGS6MktCapJ15" hidden="1">#REF!</definedName>
    <definedName name="IQRGS6MktCapK22" hidden="1">#REF!</definedName>
    <definedName name="IQRGS6MktCapP15" hidden="1">#REF!</definedName>
    <definedName name="IQRGS6MktCapQ15" hidden="1">#REF!</definedName>
    <definedName name="IQRGS6MktCapR15" hidden="1">#REF!</definedName>
    <definedName name="IQRGS6MktCapT22" hidden="1">#REF!</definedName>
    <definedName name="IQRGS6MktCapW15" hidden="1">#REF!</definedName>
    <definedName name="IQRGS6MktCapX15" hidden="1">#REF!</definedName>
    <definedName name="IQRGS6MktCapY15" hidden="1">#REF!</definedName>
    <definedName name="IQRGS6MktCapZ15" hidden="1">#REF!</definedName>
    <definedName name="IQRGS6Q1365" hidden="1">#REF!</definedName>
    <definedName name="IQRGS6Q1366" hidden="1">#REF!</definedName>
    <definedName name="IQRGS6Q1709" hidden="1">#REF!</definedName>
    <definedName name="IQRGS6Q1710" hidden="1">#REF!</definedName>
    <definedName name="IQRGS6Q2210" hidden="1">#REF!</definedName>
    <definedName name="IQRGS6Q23" hidden="1">#REF!</definedName>
    <definedName name="IQRGS6Q24" hidden="1">#REF!</definedName>
    <definedName name="IQRGS6Q25" hidden="1">#REF!</definedName>
    <definedName name="IQRGS6Q2710" hidden="1">#REF!</definedName>
    <definedName name="IQRGS6Q2711" hidden="1">#REF!</definedName>
    <definedName name="IQRGS6Q2712" hidden="1">#REF!</definedName>
    <definedName name="IQRGS6Q864" hidden="1">#REF!</definedName>
    <definedName name="IQRGS6Q865" hidden="1">#REF!</definedName>
    <definedName name="IQRGS6R1366" hidden="1">#REF!</definedName>
    <definedName name="IQRGS6R2712" hidden="1">#REF!</definedName>
    <definedName name="IQRH10" hidden="1">"$H$11:$H$24"</definedName>
    <definedName name="IQRH11" hidden="1">"$H$12:$H$21"</definedName>
    <definedName name="IQRHD23" hidden="1">"$HD$24"</definedName>
    <definedName name="IQRHD864" hidden="1">"$HD$865"</definedName>
    <definedName name="IQRHS23" hidden="1">"$HS$24"</definedName>
    <definedName name="IQRHS864" hidden="1">"$HS$865"</definedName>
    <definedName name="IQRM10" hidden="1">"$M$11:$M$24"</definedName>
    <definedName name="IQRM11" hidden="1">"$M$12:$M$25"</definedName>
    <definedName name="IQRMktCapAH14" hidden="1">#REF!</definedName>
    <definedName name="IQRMktCapAH15" hidden="1">#REF!</definedName>
    <definedName name="IQRMktCapAH16" hidden="1">#REF!</definedName>
    <definedName name="IQRMktCapAP14" hidden="1">#REF!</definedName>
    <definedName name="IQRMktCapAP15" hidden="1">#REF!</definedName>
    <definedName name="IQRMktCapAP16" hidden="1">#REF!</definedName>
    <definedName name="IQRMktCapAX14" hidden="1">#REF!</definedName>
    <definedName name="IQRMktCapAX15" hidden="1">#REF!</definedName>
    <definedName name="IQRMktCapAX16" hidden="1">#REF!</definedName>
    <definedName name="IQRMktCapB14" hidden="1">#REF!</definedName>
    <definedName name="IQRMktCapB15" hidden="1">#REF!</definedName>
    <definedName name="IQRMktCapB16" hidden="1">#REF!</definedName>
    <definedName name="IQRMktCapBF14" hidden="1">#REF!</definedName>
    <definedName name="IQRMktCapBF15" hidden="1">#REF!</definedName>
    <definedName name="IQRMktCapBF16" hidden="1">#REF!</definedName>
    <definedName name="IQRMktCapBN14" hidden="1">#REF!</definedName>
    <definedName name="IQRMktCapBN15" hidden="1">#REF!</definedName>
    <definedName name="IQRMktCapBN16" hidden="1">#REF!</definedName>
    <definedName name="IQRMktCapBV14" hidden="1">#REF!</definedName>
    <definedName name="IQRMktCapBV15" hidden="1">#REF!</definedName>
    <definedName name="IQRMktCapBV16" hidden="1">#REF!</definedName>
    <definedName name="IQRMktCapCD14" hidden="1">#REF!</definedName>
    <definedName name="IQRMktCapCD15" hidden="1">#REF!</definedName>
    <definedName name="IQRMktCapCD16" hidden="1">#REF!</definedName>
    <definedName name="IQRMktCapCL14" hidden="1">#REF!</definedName>
    <definedName name="IQRMktCapCL15" hidden="1">#REF!</definedName>
    <definedName name="IQRMktCapCL16" hidden="1">#REF!</definedName>
    <definedName name="IQRMktCapCT14" hidden="1">#REF!</definedName>
    <definedName name="IQRMktCapCT15" hidden="1">#REF!</definedName>
    <definedName name="IQRMktCapCT16" hidden="1">#REF!</definedName>
    <definedName name="IQRMktCapDB14" hidden="1">#REF!</definedName>
    <definedName name="IQRMktCapDB15" hidden="1">#REF!</definedName>
    <definedName name="IQRMktCapDB16" hidden="1">#REF!</definedName>
    <definedName name="IQRMktCapDJ14" hidden="1">#REF!</definedName>
    <definedName name="IQRMktCapDJ15" hidden="1">#REF!</definedName>
    <definedName name="IQRMktCapDJ16" hidden="1">#REF!</definedName>
    <definedName name="IQRMktCapDR14" hidden="1">#REF!</definedName>
    <definedName name="IQRMktCapDR15" hidden="1">#REF!</definedName>
    <definedName name="IQRMktCapDR16" hidden="1">#REF!</definedName>
    <definedName name="IQRMktCapDZ14" hidden="1">#REF!</definedName>
    <definedName name="IQRMktCapDZ15" hidden="1">#REF!</definedName>
    <definedName name="IQRMktCapDZ16" hidden="1">#REF!</definedName>
    <definedName name="IQRMktCapEH14" hidden="1">#REF!</definedName>
    <definedName name="IQRMktCapEH15" hidden="1">#REF!</definedName>
    <definedName name="IQRMktCapEH16" hidden="1">#REF!</definedName>
    <definedName name="IQRMktCapEP14" hidden="1">#REF!</definedName>
    <definedName name="IQRMktCapEP15" hidden="1">#REF!</definedName>
    <definedName name="IQRMktCapEP16" hidden="1">#REF!</definedName>
    <definedName name="IQRMktCapEX14" hidden="1">#REF!</definedName>
    <definedName name="IQRMktCapEX15" hidden="1">#REF!</definedName>
    <definedName name="IQRMktCapEX16" hidden="1">#REF!</definedName>
    <definedName name="IQRMktCapJ14" hidden="1">#REF!</definedName>
    <definedName name="IQRMktCapJ15" hidden="1">#REF!</definedName>
    <definedName name="IQRMktCapJ16" hidden="1">#REF!</definedName>
    <definedName name="IQRMktCapR14" hidden="1">#REF!</definedName>
    <definedName name="IQRMktCapR15" hidden="1">#REF!</definedName>
    <definedName name="IQRMktCapR16" hidden="1">#REF!</definedName>
    <definedName name="IQRMktCapZ14" hidden="1">#REF!</definedName>
    <definedName name="IQRMktCapZ15" hidden="1">#REF!</definedName>
    <definedName name="IQRMktCapZ16" hidden="1">#REF!</definedName>
    <definedName name="IQRN11" hidden="1">"$N$12:$N$16"</definedName>
    <definedName name="IQRO10" hidden="1">"$O$11:$O$24"</definedName>
    <definedName name="IQRO11" hidden="1">"$O$12"</definedName>
    <definedName name="IQRP11" hidden="1">"$P$12"</definedName>
    <definedName name="IQRPrefShareAA6" hidden="1">#REF!</definedName>
    <definedName name="IQRPrefShareAC6" hidden="1">#REF!</definedName>
    <definedName name="IQRPrefShareAE6" hidden="1">#REF!</definedName>
    <definedName name="IQRPrefShareAG6" hidden="1">#REF!</definedName>
    <definedName name="IQRPrefShareAI6" hidden="1">#REF!</definedName>
    <definedName name="IQRPrefShareAK6" hidden="1">#REF!</definedName>
    <definedName name="IQRPrefShareAM6" hidden="1">#REF!</definedName>
    <definedName name="IQRPrefShareAO6" hidden="1">#REF!</definedName>
    <definedName name="IQRPrefShareAQ6" hidden="1">#REF!</definedName>
    <definedName name="IQRPrefShareAS6" hidden="1">#REF!</definedName>
    <definedName name="IQRPrefShareAU6" hidden="1">#REF!</definedName>
    <definedName name="IQRPrefShareAW6" hidden="1">#REF!</definedName>
    <definedName name="IQRPrefShareAY6" hidden="1">#REF!</definedName>
    <definedName name="IQRPrefShareB6" hidden="1">#REF!</definedName>
    <definedName name="IQRPrefShareBA6" hidden="1">#REF!</definedName>
    <definedName name="IQRPrefShareBC6" hidden="1">#REF!</definedName>
    <definedName name="IQRPrefShareQ5" hidden="1">#REF!</definedName>
    <definedName name="IQRPrefShareQ6" hidden="1">#REF!</definedName>
    <definedName name="IQRPrefShareS6" hidden="1">#REF!</definedName>
    <definedName name="IQRPrefShareU6" hidden="1">#REF!</definedName>
    <definedName name="IQRPrefShareW6" hidden="1">#REF!</definedName>
    <definedName name="IQRPrefShareY6" hidden="1">#REF!</definedName>
    <definedName name="IQRQ10" hidden="1">"$Q$11:$Q$15"</definedName>
    <definedName name="IQRQ11" hidden="1">"$Q$12"</definedName>
    <definedName name="IQRQ1709" hidden="1">"$Q$1710"</definedName>
    <definedName name="IQRQ23" hidden="1">"$Q$24"</definedName>
    <definedName name="IQRQ864" hidden="1">"$Q$865"</definedName>
    <definedName name="IQRR11" hidden="1">"$R$12"</definedName>
    <definedName name="IQRS10" hidden="1">"$S$11"</definedName>
    <definedName name="IQRS11" hidden="1">"$S$12"</definedName>
    <definedName name="IQRSheet1A6" hidden="1">#REF!</definedName>
    <definedName name="IQRSheet1A7" hidden="1">#REF!</definedName>
    <definedName name="IQRSheet1A8" hidden="1">#REF!</definedName>
    <definedName name="IQRSheet1A9" hidden="1">#REF!</definedName>
    <definedName name="IQRSheet1AG8" hidden="1">#REF!</definedName>
    <definedName name="IQRSheet1AO8" hidden="1">#REF!</definedName>
    <definedName name="IQRSheet1AW8" hidden="1">#REF!</definedName>
    <definedName name="IQRSheet1B6" hidden="1">#REF!</definedName>
    <definedName name="IQRSheet1B7" hidden="1">#REF!</definedName>
    <definedName name="IQRSheet1B8" hidden="1">#REF!</definedName>
    <definedName name="IQRSheet1BE8" hidden="1">#REF!</definedName>
    <definedName name="IQRSheet1BM8" hidden="1">#REF!</definedName>
    <definedName name="IQRSheet1BU8" hidden="1">#REF!</definedName>
    <definedName name="IQRSheet1CB8" hidden="1">#REF!</definedName>
    <definedName name="IQRSheet1CC8" hidden="1">#REF!</definedName>
    <definedName name="IQRSheet1CJ8" hidden="1">#REF!</definedName>
    <definedName name="IQRSheet1CK8" hidden="1">#REF!</definedName>
    <definedName name="IQRSheet1CR8" hidden="1">#REF!</definedName>
    <definedName name="IQRSheet1CS8" hidden="1">#REF!</definedName>
    <definedName name="IQRSheet1CZ8" hidden="1">#REF!</definedName>
    <definedName name="IQRSheet1DA8" hidden="1">#REF!</definedName>
    <definedName name="IQRSheet1DH8" hidden="1">#REF!</definedName>
    <definedName name="IQRSheet1DI8" hidden="1">#REF!</definedName>
    <definedName name="IQRSheet1DP8" hidden="1">#REF!</definedName>
    <definedName name="IQRSheet1DQ8" hidden="1">#REF!</definedName>
    <definedName name="IQRSheet1DX8" hidden="1">#REF!</definedName>
    <definedName name="IQRSheet1DY8" hidden="1">#REF!</definedName>
    <definedName name="IQRSheet1EF8" hidden="1">#REF!</definedName>
    <definedName name="IQRSheet1EG8" hidden="1">#REF!</definedName>
    <definedName name="IQRSheet1EN8" hidden="1">#REF!</definedName>
    <definedName name="IQRSheet1EO8" hidden="1">#REF!</definedName>
    <definedName name="IQRSheet1EV8" hidden="1">#REF!</definedName>
    <definedName name="IQRSheet1EW8" hidden="1">#REF!</definedName>
    <definedName name="IQRSheet1I8" hidden="1">#REF!</definedName>
    <definedName name="IQRSheet1Q8" hidden="1">#REF!</definedName>
    <definedName name="IQRSheet1Y8" hidden="1">#REF!</definedName>
    <definedName name="IQRT11" hidden="1">"$T$12"</definedName>
    <definedName name="IQRTradingVolA6" hidden="1">#REF!</definedName>
    <definedName name="IQRTradingVolA7" hidden="1">#REF!</definedName>
    <definedName name="IQRTradingVolA8" hidden="1">#REF!</definedName>
    <definedName name="IQRTradingVolAA10" hidden="1">#REF!</definedName>
    <definedName name="IQRTradingVolAA6" hidden="1">#REF!</definedName>
    <definedName name="IQRTradingVolAA7" hidden="1">#REF!</definedName>
    <definedName name="IQRTradingVolAA8" hidden="1">#REF!</definedName>
    <definedName name="IQRTradingVolAA9" hidden="1">#REF!</definedName>
    <definedName name="IQRTradingVolAB11" hidden="1">#REF!</definedName>
    <definedName name="IQRTradingVolAB6" hidden="1">#REF!</definedName>
    <definedName name="IQRTradingVolAB7" hidden="1">#REF!</definedName>
    <definedName name="IQRTradingVolAB8" hidden="1">#REF!</definedName>
    <definedName name="IQRTradingVolAB9" hidden="1">#REF!</definedName>
    <definedName name="IQRTradingVolAC10" hidden="1">#REF!</definedName>
    <definedName name="IQRTradingVolAC6" hidden="1">#REF!</definedName>
    <definedName name="IQRTradingVolAC7" hidden="1">#REF!</definedName>
    <definedName name="IQRTradingVolAC8" hidden="1">#REF!</definedName>
    <definedName name="IQRTradingVolAC9" hidden="1">#REF!</definedName>
    <definedName name="IQRTradingVolAD11" hidden="1">#REF!</definedName>
    <definedName name="IQRTradingVolAD6" hidden="1">#REF!</definedName>
    <definedName name="IQRTradingVolAD7" hidden="1">#REF!</definedName>
    <definedName name="IQRTradingVolAD8" hidden="1">#REF!</definedName>
    <definedName name="IQRTradingVolAD9" hidden="1">#REF!</definedName>
    <definedName name="IQRTradingVolAE10" hidden="1">#REF!</definedName>
    <definedName name="IQRTradingVolAE6" hidden="1">#REF!</definedName>
    <definedName name="IQRTradingVolAE7" hidden="1">#REF!</definedName>
    <definedName name="IQRTradingVolAE8" hidden="1">#REF!</definedName>
    <definedName name="IQRTradingVolAE9" hidden="1">#REF!</definedName>
    <definedName name="IQRTradingVolAF11" hidden="1">#REF!</definedName>
    <definedName name="IQRTradingVolAF6" hidden="1">#REF!</definedName>
    <definedName name="IQRTradingVolAF7" hidden="1">#REF!</definedName>
    <definedName name="IQRTradingVolAF8" hidden="1">#REF!</definedName>
    <definedName name="IQRTradingVolAF9" hidden="1">#REF!</definedName>
    <definedName name="IQRTradingVolAG10" hidden="1">#REF!</definedName>
    <definedName name="IQRTradingVolAG6" hidden="1">#REF!</definedName>
    <definedName name="IQRTradingVolAG7" hidden="1">#REF!</definedName>
    <definedName name="IQRTradingVolAG8" hidden="1">#REF!</definedName>
    <definedName name="IQRTradingVolAG9" hidden="1">#REF!</definedName>
    <definedName name="IQRTradingVolAH11" hidden="1">#REF!</definedName>
    <definedName name="IQRTradingVolAH6" hidden="1">#REF!</definedName>
    <definedName name="IQRTradingVolAH7" hidden="1">#REF!</definedName>
    <definedName name="IQRTradingVolAH8" hidden="1">#REF!</definedName>
    <definedName name="IQRTradingVolAH9" hidden="1">#REF!</definedName>
    <definedName name="IQRTradingVolAI10" hidden="1">#REF!</definedName>
    <definedName name="IQRTradingVolAI6" hidden="1">#REF!</definedName>
    <definedName name="IQRTradingVolAI7" hidden="1">#REF!</definedName>
    <definedName name="IQRTradingVolAI8" hidden="1">#REF!</definedName>
    <definedName name="IQRTradingVolAI9" hidden="1">#REF!</definedName>
    <definedName name="IQRTradingVolAJ11" hidden="1">#REF!</definedName>
    <definedName name="IQRTradingVolAJ6" hidden="1">#REF!</definedName>
    <definedName name="IQRTradingVolAJ7" hidden="1">#REF!</definedName>
    <definedName name="IQRTradingVolAJ8" hidden="1">#REF!</definedName>
    <definedName name="IQRTradingVolAJ9" hidden="1">#REF!</definedName>
    <definedName name="IQRTradingVolAK10" hidden="1">#REF!</definedName>
    <definedName name="IQRTradingVolAK6" hidden="1">#REF!</definedName>
    <definedName name="IQRTradingVolAK7" hidden="1">#REF!</definedName>
    <definedName name="IQRTradingVolAK8" hidden="1">#REF!</definedName>
    <definedName name="IQRTradingVolAK9" hidden="1">#REF!</definedName>
    <definedName name="IQRTradingVolAL11" hidden="1">#REF!</definedName>
    <definedName name="IQRTradingVolAL6" hidden="1">#REF!</definedName>
    <definedName name="IQRTradingVolAL7" hidden="1">#REF!</definedName>
    <definedName name="IQRTradingVolAL8" hidden="1">#REF!</definedName>
    <definedName name="IQRTradingVolAL9" hidden="1">#REF!</definedName>
    <definedName name="IQRTradingVolAM10" hidden="1">#REF!</definedName>
    <definedName name="IQRTradingVolAM6" hidden="1">#REF!</definedName>
    <definedName name="IQRTradingVolAM7" hidden="1">#REF!</definedName>
    <definedName name="IQRTradingVolAM8" hidden="1">#REF!</definedName>
    <definedName name="IQRTradingVolAM9" hidden="1">#REF!</definedName>
    <definedName name="IQRTradingVolAN11" hidden="1">#REF!</definedName>
    <definedName name="IQRTradingVolAN6" hidden="1">#REF!</definedName>
    <definedName name="IQRTradingVolAN7" hidden="1">#REF!</definedName>
    <definedName name="IQRTradingVolAN8" hidden="1">#REF!</definedName>
    <definedName name="IQRTradingVolAN9" hidden="1">#REF!</definedName>
    <definedName name="IQRTradingVolAO10" hidden="1">#REF!</definedName>
    <definedName name="IQRTradingVolAO8" hidden="1">#REF!</definedName>
    <definedName name="IQRTradingVolAO9" hidden="1">#REF!</definedName>
    <definedName name="IQRTradingVolAR8" hidden="1">#REF!</definedName>
    <definedName name="IQRTradingVolAR9" hidden="1">#REF!</definedName>
    <definedName name="IQRTradingVolAU8" hidden="1">#REF!</definedName>
    <definedName name="IQRTradingVolAU9" hidden="1">#REF!</definedName>
    <definedName name="IQRTradingVolAX8" hidden="1">#REF!</definedName>
    <definedName name="IQRTradingVolAX9" hidden="1">#REF!</definedName>
    <definedName name="IQRTradingVolB10" hidden="1">#REF!</definedName>
    <definedName name="IQRTradingVolB11" hidden="1">#REF!</definedName>
    <definedName name="IQRTradingVolB6" hidden="1">#REF!</definedName>
    <definedName name="IQRTradingVolB7" hidden="1">#REF!</definedName>
    <definedName name="IQRTradingVolB8" hidden="1">#REF!</definedName>
    <definedName name="IQRTradingVolB9" hidden="1">#REF!</definedName>
    <definedName name="IQRTradingVolBA8" hidden="1">#REF!</definedName>
    <definedName name="IQRTradingVolBA9" hidden="1">#REF!</definedName>
    <definedName name="IQRTradingVolBD8" hidden="1">#REF!</definedName>
    <definedName name="IQRTradingVolBD9" hidden="1">#REF!</definedName>
    <definedName name="IQRTradingVolBG8" hidden="1">#REF!</definedName>
    <definedName name="IQRTradingVolBG9" hidden="1">#REF!</definedName>
    <definedName name="IQRTradingVolC6" hidden="1">#REF!</definedName>
    <definedName name="IQRTradingVolC7" hidden="1">#REF!</definedName>
    <definedName name="IQRTradingVolC8" hidden="1">#REF!</definedName>
    <definedName name="IQRTradingVolD11" hidden="1">#REF!</definedName>
    <definedName name="IQRTradingVolD6" hidden="1">#REF!</definedName>
    <definedName name="IQRTradingVolD7" hidden="1">#REF!</definedName>
    <definedName name="IQRTradingVolD8" hidden="1">#REF!</definedName>
    <definedName name="IQRTradingVolD9" hidden="1">#REF!</definedName>
    <definedName name="IQRTradingVolE10" hidden="1">#REF!</definedName>
    <definedName name="IQRTradingVolE6" hidden="1">#REF!</definedName>
    <definedName name="IQRTradingVolE7" hidden="1">#REF!</definedName>
    <definedName name="IQRTradingVolE8" hidden="1">#REF!</definedName>
    <definedName name="IQRTradingVolE9" hidden="1">#REF!</definedName>
    <definedName name="IQRTradingVolF11" hidden="1">#REF!</definedName>
    <definedName name="IQRTradingVolF6" hidden="1">#REF!</definedName>
    <definedName name="IQRTradingVolF7" hidden="1">#REF!</definedName>
    <definedName name="IQRTradingVolF8" hidden="1">#REF!</definedName>
    <definedName name="IQRTradingVolF9" hidden="1">#REF!</definedName>
    <definedName name="IQRTradingVolG10" hidden="1">#REF!</definedName>
    <definedName name="IQRTradingVolG6" hidden="1">#REF!</definedName>
    <definedName name="IQRTradingVolG7" hidden="1">#REF!</definedName>
    <definedName name="IQRTradingVolG8" hidden="1">#REF!</definedName>
    <definedName name="IQRTradingVolG9" hidden="1">#REF!</definedName>
    <definedName name="IQRTradingVolH11" hidden="1">#REF!</definedName>
    <definedName name="IQRTradingVolH6" hidden="1">#REF!</definedName>
    <definedName name="IQRTradingVolH7" hidden="1">#REF!</definedName>
    <definedName name="IQRTradingVolH8" hidden="1">#REF!</definedName>
    <definedName name="IQRTradingVolH9" hidden="1">#REF!</definedName>
    <definedName name="IQRTradingVolI10" hidden="1">#REF!</definedName>
    <definedName name="IQRTradingVolI6" hidden="1">#REF!</definedName>
    <definedName name="IQRTradingVolI7" hidden="1">#REF!</definedName>
    <definedName name="IQRTradingVolI8" hidden="1">#REF!</definedName>
    <definedName name="IQRTradingVolI9" hidden="1">#REF!</definedName>
    <definedName name="IQRTradingVolJ11" hidden="1">#REF!</definedName>
    <definedName name="IQRTradingVolJ6" hidden="1">#REF!</definedName>
    <definedName name="IQRTradingVolJ7" hidden="1">#REF!</definedName>
    <definedName name="IQRTradingVolJ8" hidden="1">#REF!</definedName>
    <definedName name="IQRTradingVolJ9" hidden="1">#REF!</definedName>
    <definedName name="IQRTradingVolK10" hidden="1">#REF!</definedName>
    <definedName name="IQRTradingVolK6" hidden="1">#REF!</definedName>
    <definedName name="IQRTradingVolK7" hidden="1">#REF!</definedName>
    <definedName name="IQRTradingVolK8" hidden="1">#REF!</definedName>
    <definedName name="IQRTradingVolK9" hidden="1">#REF!</definedName>
    <definedName name="IQRTradingVolL11" hidden="1">#REF!</definedName>
    <definedName name="IQRTradingVolL6" hidden="1">#REF!</definedName>
    <definedName name="IQRTradingVolL7" hidden="1">#REF!</definedName>
    <definedName name="IQRTradingVolL8" hidden="1">#REF!</definedName>
    <definedName name="IQRTradingVolL9" hidden="1">#REF!</definedName>
    <definedName name="IQRTradingVolM10" hidden="1">#REF!</definedName>
    <definedName name="IQRTradingVolM6" hidden="1">#REF!</definedName>
    <definedName name="IQRTradingVolM7" hidden="1">#REF!</definedName>
    <definedName name="IQRTradingVolM8" hidden="1">#REF!</definedName>
    <definedName name="IQRTradingVolM9" hidden="1">#REF!</definedName>
    <definedName name="IQRTradingVolN11" hidden="1">#REF!</definedName>
    <definedName name="IQRTradingVolN6" hidden="1">#REF!</definedName>
    <definedName name="IQRTradingVolN7" hidden="1">#REF!</definedName>
    <definedName name="IQRTradingVolN8" hidden="1">#REF!</definedName>
    <definedName name="IQRTradingVolN9" hidden="1">#REF!</definedName>
    <definedName name="IQRTradingVolO10" hidden="1">#REF!</definedName>
    <definedName name="IQRTradingVolO6" hidden="1">#REF!</definedName>
    <definedName name="IQRTradingVolO7" hidden="1">#REF!</definedName>
    <definedName name="IQRTradingVolO8" hidden="1">#REF!</definedName>
    <definedName name="IQRTradingVolO9" hidden="1">#REF!</definedName>
    <definedName name="IQRTradingVolP11" hidden="1">#REF!</definedName>
    <definedName name="IQRTradingVolP6" hidden="1">#REF!</definedName>
    <definedName name="IQRTradingVolP7" hidden="1">#REF!</definedName>
    <definedName name="IQRTradingVolP8" hidden="1">#REF!</definedName>
    <definedName name="IQRTradingVolP9" hidden="1">#REF!</definedName>
    <definedName name="IQRTradingVolQ10" hidden="1">#REF!</definedName>
    <definedName name="IQRTradingVolQ6" hidden="1">#REF!</definedName>
    <definedName name="IQRTradingVolQ7" hidden="1">#REF!</definedName>
    <definedName name="IQRTradingVolQ8" hidden="1">#REF!</definedName>
    <definedName name="IQRTradingVolQ9" hidden="1">#REF!</definedName>
    <definedName name="IQRTradingVolR11" hidden="1">#REF!</definedName>
    <definedName name="IQRTradingVolR6" hidden="1">#REF!</definedName>
    <definedName name="IQRTradingVolR7" hidden="1">#REF!</definedName>
    <definedName name="IQRTradingVolR8" hidden="1">#REF!</definedName>
    <definedName name="IQRTradingVolR9" hidden="1">#REF!</definedName>
    <definedName name="IQRTradingVolS10" hidden="1">#REF!</definedName>
    <definedName name="IQRTradingVolS6" hidden="1">#REF!</definedName>
    <definedName name="IQRTradingVolS7" hidden="1">#REF!</definedName>
    <definedName name="IQRTradingVolS8" hidden="1">#REF!</definedName>
    <definedName name="IQRTradingVolS9" hidden="1">#REF!</definedName>
    <definedName name="IQRTradingVolT11" hidden="1">#REF!</definedName>
    <definedName name="IQRTradingVolT6" hidden="1">#REF!</definedName>
    <definedName name="IQRTradingVolT7" hidden="1">#REF!</definedName>
    <definedName name="IQRTradingVolT8" hidden="1">#REF!</definedName>
    <definedName name="IQRTradingVolT9" hidden="1">#REF!</definedName>
    <definedName name="IQRTradingVolU10" hidden="1">#REF!</definedName>
    <definedName name="IQRTradingVolU6" hidden="1">#REF!</definedName>
    <definedName name="IQRTradingVolU7" hidden="1">#REF!</definedName>
    <definedName name="IQRTradingVolU8" hidden="1">#REF!</definedName>
    <definedName name="IQRTradingVolU9" hidden="1">#REF!</definedName>
    <definedName name="IQRTradingVolV11" hidden="1">#REF!</definedName>
    <definedName name="IQRTradingVolV6" hidden="1">#REF!</definedName>
    <definedName name="IQRTradingVolV7" hidden="1">#REF!</definedName>
    <definedName name="IQRTradingVolV8" hidden="1">#REF!</definedName>
    <definedName name="IQRTradingVolV9" hidden="1">#REF!</definedName>
    <definedName name="IQRTradingVolW10" hidden="1">#REF!</definedName>
    <definedName name="IQRTradingVolW6" hidden="1">#REF!</definedName>
    <definedName name="IQRTradingVolW7" hidden="1">#REF!</definedName>
    <definedName name="IQRTradingVolW8" hidden="1">#REF!</definedName>
    <definedName name="IQRTradingVolW9" hidden="1">#REF!</definedName>
    <definedName name="IQRTradingVolX11" hidden="1">#REF!</definedName>
    <definedName name="IQRTradingVolX6" hidden="1">#REF!</definedName>
    <definedName name="IQRTradingVolX7" hidden="1">#REF!</definedName>
    <definedName name="IQRTradingVolX8" hidden="1">#REF!</definedName>
    <definedName name="IQRTradingVolX9" hidden="1">#REF!</definedName>
    <definedName name="IQRTradingVolY10" hidden="1">#REF!</definedName>
    <definedName name="IQRTradingVolY6" hidden="1">#REF!</definedName>
    <definedName name="IQRTradingVolY7" hidden="1">#REF!</definedName>
    <definedName name="IQRTradingVolY8" hidden="1">#REF!</definedName>
    <definedName name="IQRTradingVolY9" hidden="1">#REF!</definedName>
    <definedName name="IQRTradingVolZ11" hidden="1">#REF!</definedName>
    <definedName name="IQRTradingVolZ6" hidden="1">#REF!</definedName>
    <definedName name="IQRTradingVolZ7" hidden="1">#REF!</definedName>
    <definedName name="IQRTradingVolZ8" hidden="1">#REF!</definedName>
    <definedName name="IQRTradingVolZ9" hidden="1">#REF!</definedName>
    <definedName name="IQRU10" hidden="1">"$U$11"</definedName>
    <definedName name="IQRU11" hidden="1">"$U$12"</definedName>
    <definedName name="IQRV11" hidden="1">"$V$12"</definedName>
    <definedName name="IQRW10" hidden="1">"$W$11"</definedName>
    <definedName name="IQRW11" hidden="1">"$W$12"</definedName>
    <definedName name="IQRX11" hidden="1">"$X$12"</definedName>
    <definedName name="IQRY10" hidden="1">"$Y$11"</definedName>
    <definedName name="IQRY11" hidden="1">"$Y$12"</definedName>
    <definedName name="IQRZ11" hidden="1">"$Z$12"</definedName>
    <definedName name="IRR">#REF!</definedName>
    <definedName name="irr_switch">#REF!</definedName>
    <definedName name="ISblnHideRow" localSheetId="7">IF(SUM(ABS(IF(ISERROR(ISHistForc),0,IF(ISTEXT(ISHistForc),0,ISHistForc))))&gt;0.00001,1,TRUE)</definedName>
    <definedName name="ISblnHideRow" localSheetId="10">IF(SUM(ABS(IF(ISERROR(ISHistForc),0,IF(ISTEXT(ISHistForc),0,ISHistForc))))&gt;0.00001,1,TRUE)</definedName>
    <definedName name="ISblnHideRow" localSheetId="1">IF(SUM(ABS(IF(ISERROR(ISHistForc),0,IF(ISTEXT(ISHistForc),0,ISHistForc))))&gt;0.00001,1,TRUE)</definedName>
    <definedName name="ISblnHideRow" localSheetId="0">IF(SUM(ABS(IF(ISERROR([0]!ISHistForc),0,IF(ISTEXT([0]!ISHistForc),0,[0]!ISHistForc))))&gt;0.00001,1,TRUE)</definedName>
    <definedName name="ISblnHideRow" localSheetId="6">IF(SUM(ABS(IF(ISERROR(ISHistForc),0,IF(ISTEXT(ISHistForc),0,ISHistForc))))&gt;0.00001,1,TRUE)</definedName>
    <definedName name="ISblnHideRow">IF(SUM(ABS(IF(ISERROR(ISHistForc),0,IF(ISTEXT(ISHistForc),0,ISHistForc))))&gt;0.00001,1,TRUE)</definedName>
    <definedName name="ISBU" localSheetId="17">[138]Facility!$C$277</definedName>
    <definedName name="ISBU">[139]Facility!$C$277</definedName>
    <definedName name="IsCircular">#REF!</definedName>
    <definedName name="IsColHidden" hidden="1">FALSE</definedName>
    <definedName name="ISHistForc">#REF!</definedName>
    <definedName name="IsLTMColHidden" hidden="1">FALSE</definedName>
    <definedName name="ISP_Maintenance">[128]assumptions!$D$37</definedName>
    <definedName name="IT">#REF!</definedName>
    <definedName name="IT.Amt">[46]IT_DDTP!$F$4:$F$9</definedName>
    <definedName name="IT.FormulaOFS">[46]IT_DDTP!$S$4:$S$9</definedName>
    <definedName name="ITAL">#REF!</definedName>
    <definedName name="Italia">[106]List_ratios!#REF!</definedName>
    <definedName name="ITALY">#REF!</definedName>
    <definedName name="itdep">[255]fa!$A$1:$L$59</definedName>
    <definedName name="ITEM_C">#REF!</definedName>
    <definedName name="ITEM_V">#REF!</definedName>
    <definedName name="item210" localSheetId="17">#REF!</definedName>
    <definedName name="item210">#REF!</definedName>
    <definedName name="item221">#REF!</definedName>
    <definedName name="Item223">#REF!</definedName>
    <definedName name="item224">#REF!</definedName>
    <definedName name="Item226">#REF!</definedName>
    <definedName name="item252">#REF!</definedName>
    <definedName name="ITSection">[256]Lists!$A$56:$A$58</definedName>
    <definedName name="J" localSheetId="7">#N/A</definedName>
    <definedName name="J" localSheetId="10">#N/A</definedName>
    <definedName name="J" localSheetId="9">#N/A</definedName>
    <definedName name="J" localSheetId="6">#N/A</definedName>
    <definedName name="j">#REF!</definedName>
    <definedName name="J_Fernandes">#REF!</definedName>
    <definedName name="JAPA">#REF!</definedName>
    <definedName name="JAPAN">#REF!</definedName>
    <definedName name="JDCL_MISC">#REF!</definedName>
    <definedName name="jgjgj" localSheetId="7" hidden="1">{#N/A,#N/A,FALSE,"COVER.XLS";#N/A,#N/A,FALSE,"RACT1.XLS";#N/A,#N/A,FALSE,"RACT2.XLS";#N/A,#N/A,FALSE,"ECCMP";#N/A,#N/A,FALSE,"WELDER.XLS"}</definedName>
    <definedName name="jgjgj" localSheetId="10" hidden="1">{#N/A,#N/A,FALSE,"COVER.XLS";#N/A,#N/A,FALSE,"RACT1.XLS";#N/A,#N/A,FALSE,"RACT2.XLS";#N/A,#N/A,FALSE,"ECCMP";#N/A,#N/A,FALSE,"WELDER.XLS"}</definedName>
    <definedName name="jgjgj" localSheetId="1" hidden="1">{#N/A,#N/A,FALSE,"COVER.XLS";#N/A,#N/A,FALSE,"RACT1.XLS";#N/A,#N/A,FALSE,"RACT2.XLS";#N/A,#N/A,FALSE,"ECCMP";#N/A,#N/A,FALSE,"WELDER.XLS"}</definedName>
    <definedName name="jgjgj" localSheetId="0" hidden="1">{#N/A,#N/A,FALSE,"COVER.XLS";#N/A,#N/A,FALSE,"RACT1.XLS";#N/A,#N/A,FALSE,"RACT2.XLS";#N/A,#N/A,FALSE,"ECCMP";#N/A,#N/A,FALSE,"WELDER.XLS"}</definedName>
    <definedName name="jgjgj" localSheetId="6" hidden="1">{#N/A,#N/A,FALSE,"COVER.XLS";#N/A,#N/A,FALSE,"RACT1.XLS";#N/A,#N/A,FALSE,"RACT2.XLS";#N/A,#N/A,FALSE,"ECCMP";#N/A,#N/A,FALSE,"WELDER.XLS"}</definedName>
    <definedName name="jgjgj" hidden="1">{#N/A,#N/A,FALSE,"COVER.XLS";#N/A,#N/A,FALSE,"RACT1.XLS";#N/A,#N/A,FALSE,"RACT2.XLS";#N/A,#N/A,FALSE,"ECCMP";#N/A,#N/A,FALSE,"WELDER.XLS"}</definedName>
    <definedName name="jh">'[132]Capex-fixed'!#REF!</definedName>
    <definedName name="jjj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localSheetId="1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j">#REF!</definedName>
    <definedName name="jjkh">'[132]Capex-fixed'!#REF!</definedName>
    <definedName name="jjkjklj" localSheetId="1">#REF!,#REF!</definedName>
    <definedName name="jjkjklj" localSheetId="0">#REF!,#REF!</definedName>
    <definedName name="jjkjklj">#REF!,#REF!</definedName>
    <definedName name="jjskjsklj">#REF!</definedName>
    <definedName name="jkbk">'[132]Capex-fixed'!#REF!</definedName>
    <definedName name="jkbkhb">'[132]Capex-fixed'!#REF!</definedName>
    <definedName name="jkkb">'[132]Capex-fixed'!#REF!</definedName>
    <definedName name="jkl" hidden="1">#REF!</definedName>
    <definedName name="JOYLYN_FERNANDE">#REF!</definedName>
    <definedName name="JRHOLMES">#REF!</definedName>
    <definedName name="jsdkf3">#REF!</definedName>
    <definedName name="jsjssij">#REF!</definedName>
    <definedName name="Jully">#REF!</definedName>
    <definedName name="junctionboxcost">'[132]Capex-fixed'!#REF!</definedName>
    <definedName name="june15_Ajustmenst" hidden="1">#REF!</definedName>
    <definedName name="JV_ADJ_31399">#REF!</definedName>
    <definedName name="jvbjgv">'[132]Capex-fixed'!#REF!</definedName>
    <definedName name="jvjvg">'[132]Capex-fixed'!#REF!</definedName>
    <definedName name="JY" localSheetId="17" hidden="1">{#N/A,#N/A,FALSE,"Part ABC"}</definedName>
    <definedName name="JY" localSheetId="1" hidden="1">{#N/A,#N/A,FALSE,"Part ABC"}</definedName>
    <definedName name="JY" localSheetId="0" hidden="1">{#N/A,#N/A,FALSE,"Part ABC"}</definedName>
    <definedName name="JY" hidden="1">{#N/A,#N/A,FALSE,"Part ABC"}</definedName>
    <definedName name="K" localSheetId="17">#REF!</definedName>
    <definedName name="k" localSheetId="7">#REF!</definedName>
    <definedName name="k" localSheetId="10">#REF!</definedName>
    <definedName name="k" localSheetId="9">#REF!</definedName>
    <definedName name="k" localSheetId="6">#REF!</definedName>
    <definedName name="K">#REF!</definedName>
    <definedName name="K2000_">#N/A</definedName>
    <definedName name="KA">#REF!</definedName>
    <definedName name="KAREN_ALI">#REF!</definedName>
    <definedName name="KAREN_JANE">#REF!</definedName>
    <definedName name="KDLC">#REF!</definedName>
    <definedName name="kec" hidden="1">[257]SUMMARY!$E$64:$H$64</definedName>
    <definedName name="KEIKAKU">#REF!</definedName>
    <definedName name="Kettex">#REF!</definedName>
    <definedName name="kettex98">#REF!</definedName>
    <definedName name="KeyRatios">#REF!</definedName>
    <definedName name="khhj">'[132]Capex-fixed'!#REF!</definedName>
    <definedName name="Kick_R">[142]Rollup!$E$6:$E$26</definedName>
    <definedName name="kishor">#REF!</definedName>
    <definedName name="kjvjg">'[132]Capex-fixed'!#REF!</definedName>
    <definedName name="KK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JJ">#REF!</definedName>
    <definedName name="KKK">#REF!</definedName>
    <definedName name="kls">'[70]A-General'!#REF!</definedName>
    <definedName name="koa" hidden="1">[258]Lead!$F$34</definedName>
    <definedName name="koko" hidden="1">[258]Lead!$F$28</definedName>
    <definedName name="KOREA_PLASTIC_in_KUSD">#REF!</definedName>
    <definedName name="KOREA_RENTAL" localSheetId="17">#REF!</definedName>
    <definedName name="KOREA_RENTAL">#REF!</definedName>
    <definedName name="Korea_Telecom">[106]List_ratios!#REF!</definedName>
    <definedName name="KORIX" localSheetId="17">[259]海外WORK!#REF!</definedName>
    <definedName name="KORIX">[260]海外WORK!#REF!</definedName>
    <definedName name="ks" localSheetId="7" hidden="1">{#N/A,#N/A,FALSE,"COVER.XLS";#N/A,#N/A,FALSE,"RACT1.XLS";#N/A,#N/A,FALSE,"RACT2.XLS";#N/A,#N/A,FALSE,"ECCMP";#N/A,#N/A,FALSE,"WELDER.XLS"}</definedName>
    <definedName name="ks" localSheetId="10" hidden="1">{#N/A,#N/A,FALSE,"COVER.XLS";#N/A,#N/A,FALSE,"RACT1.XLS";#N/A,#N/A,FALSE,"RACT2.XLS";#N/A,#N/A,FALSE,"ECCMP";#N/A,#N/A,FALSE,"WELDER.XLS"}</definedName>
    <definedName name="ks" localSheetId="1" hidden="1">{#N/A,#N/A,FALSE,"COVER.XLS";#N/A,#N/A,FALSE,"RACT1.XLS";#N/A,#N/A,FALSE,"RACT2.XLS";#N/A,#N/A,FALSE,"ECCMP";#N/A,#N/A,FALSE,"WELDER.XLS"}</definedName>
    <definedName name="ks" localSheetId="0" hidden="1">{#N/A,#N/A,FALSE,"COVER.XLS";#N/A,#N/A,FALSE,"RACT1.XLS";#N/A,#N/A,FALSE,"RACT2.XLS";#N/A,#N/A,FALSE,"ECCMP";#N/A,#N/A,FALSE,"WELDER.XLS"}</definedName>
    <definedName name="ks" localSheetId="6" hidden="1">{#N/A,#N/A,FALSE,"COVER.XLS";#N/A,#N/A,FALSE,"RACT1.XLS";#N/A,#N/A,FALSE,"RACT2.XLS";#N/A,#N/A,FALSE,"ECCMP";#N/A,#N/A,FALSE,"WELDER.XLS"}</definedName>
    <definedName name="ks" hidden="1">{#N/A,#N/A,FALSE,"COVER.XLS";#N/A,#N/A,FALSE,"RACT1.XLS";#N/A,#N/A,FALSE,"RACT2.XLS";#N/A,#N/A,FALSE,"ECCMP";#N/A,#N/A,FALSE,"WELDER.XLS"}</definedName>
    <definedName name="kskk" localSheetId="7" hidden="1">{#N/A,#N/A,FALSE,"COVER.XLS";#N/A,#N/A,FALSE,"RACT1.XLS";#N/A,#N/A,FALSE,"RACT2.XLS";#N/A,#N/A,FALSE,"ECCMP";#N/A,#N/A,FALSE,"WELDER.XLS"}</definedName>
    <definedName name="kskk" localSheetId="10" hidden="1">{#N/A,#N/A,FALSE,"COVER.XLS";#N/A,#N/A,FALSE,"RACT1.XLS";#N/A,#N/A,FALSE,"RACT2.XLS";#N/A,#N/A,FALSE,"ECCMP";#N/A,#N/A,FALSE,"WELDER.XLS"}</definedName>
    <definedName name="kskk" localSheetId="1" hidden="1">{#N/A,#N/A,FALSE,"COVER.XLS";#N/A,#N/A,FALSE,"RACT1.XLS";#N/A,#N/A,FALSE,"RACT2.XLS";#N/A,#N/A,FALSE,"ECCMP";#N/A,#N/A,FALSE,"WELDER.XLS"}</definedName>
    <definedName name="kskk" localSheetId="0" hidden="1">{#N/A,#N/A,FALSE,"COVER.XLS";#N/A,#N/A,FALSE,"RACT1.XLS";#N/A,#N/A,FALSE,"RACT2.XLS";#N/A,#N/A,FALSE,"ECCMP";#N/A,#N/A,FALSE,"WELDER.XLS"}</definedName>
    <definedName name="kskk" localSheetId="6" hidden="1">{#N/A,#N/A,FALSE,"COVER.XLS";#N/A,#N/A,FALSE,"RACT1.XLS";#N/A,#N/A,FALSE,"RACT2.XLS";#N/A,#N/A,FALSE,"ECCMP";#N/A,#N/A,FALSE,"WELDER.XLS"}</definedName>
    <definedName name="kskk" hidden="1">{#N/A,#N/A,FALSE,"COVER.XLS";#N/A,#N/A,FALSE,"RACT1.XLS";#N/A,#N/A,FALSE,"RACT2.XLS";#N/A,#N/A,FALSE,"ECCMP";#N/A,#N/A,FALSE,"WELDER.XLS"}</definedName>
    <definedName name="ksokskosk">#REF!</definedName>
    <definedName name="KUALA_SYNERGY" localSheetId="17">[236]海外WORK!#REF!</definedName>
    <definedName name="KUALA_SYNERGY">[237]海外WORK!#REF!</definedName>
    <definedName name="KUULSD" localSheetId="7" hidden="1">{#N/A,#N/A,FALSE,"COMP"}</definedName>
    <definedName name="KUULSD" localSheetId="10" hidden="1">{#N/A,#N/A,FALSE,"COMP"}</definedName>
    <definedName name="KUULSD" localSheetId="1" hidden="1">{#N/A,#N/A,FALSE,"COMP"}</definedName>
    <definedName name="KUULSD" localSheetId="0" hidden="1">{#N/A,#N/A,FALSE,"COMP"}</definedName>
    <definedName name="KUULSD" localSheetId="6" hidden="1">{#N/A,#N/A,FALSE,"COMP"}</definedName>
    <definedName name="KUULSD" hidden="1">{#N/A,#N/A,FALSE,"COMP"}</definedName>
    <definedName name="kv" localSheetId="7" hidden="1">{#N/A,#N/A,FALSE,"COVER1.XLS ";#N/A,#N/A,FALSE,"RACT1.XLS";#N/A,#N/A,FALSE,"RACT2.XLS";#N/A,#N/A,FALSE,"ECCMP";#N/A,#N/A,FALSE,"WELDER.XLS"}</definedName>
    <definedName name="kv" localSheetId="10" hidden="1">{#N/A,#N/A,FALSE,"COVER1.XLS ";#N/A,#N/A,FALSE,"RACT1.XLS";#N/A,#N/A,FALSE,"RACT2.XLS";#N/A,#N/A,FALSE,"ECCMP";#N/A,#N/A,FALSE,"WELDER.XLS"}</definedName>
    <definedName name="kv" localSheetId="1" hidden="1">{#N/A,#N/A,FALSE,"COVER1.XLS ";#N/A,#N/A,FALSE,"RACT1.XLS";#N/A,#N/A,FALSE,"RACT2.XLS";#N/A,#N/A,FALSE,"ECCMP";#N/A,#N/A,FALSE,"WELDER.XLS"}</definedName>
    <definedName name="kv" localSheetId="0" hidden="1">{#N/A,#N/A,FALSE,"COVER1.XLS ";#N/A,#N/A,FALSE,"RACT1.XLS";#N/A,#N/A,FALSE,"RACT2.XLS";#N/A,#N/A,FALSE,"ECCMP";#N/A,#N/A,FALSE,"WELDER.XLS"}</definedName>
    <definedName name="kv" localSheetId="6" hidden="1">{#N/A,#N/A,FALSE,"COVER1.XLS ";#N/A,#N/A,FALSE,"RACT1.XLS";#N/A,#N/A,FALSE,"RACT2.XLS";#N/A,#N/A,FALSE,"ECCMP";#N/A,#N/A,FALSE,"WELDER.XLS"}</definedName>
    <definedName name="kv" hidden="1">{#N/A,#N/A,FALSE,"COVER1.XLS ";#N/A,#N/A,FALSE,"RACT1.XLS";#N/A,#N/A,FALSE,"RACT2.XLS";#N/A,#N/A,FALSE,"ECCMP";#N/A,#N/A,FALSE,"WELDER.XLS"}</definedName>
    <definedName name="kv.avlblty">'[103]PPT Inputs'!$C$28</definedName>
    <definedName name="kvs" localSheetId="7" hidden="1">{#N/A,#N/A,FALSE,"COVER1.XLS ";#N/A,#N/A,FALSE,"RACT1.XLS";#N/A,#N/A,FALSE,"RACT2.XLS";#N/A,#N/A,FALSE,"ECCMP";#N/A,#N/A,FALSE,"WELDER.XLS"}</definedName>
    <definedName name="kvs" localSheetId="10" hidden="1">{#N/A,#N/A,FALSE,"COVER1.XLS ";#N/A,#N/A,FALSE,"RACT1.XLS";#N/A,#N/A,FALSE,"RACT2.XLS";#N/A,#N/A,FALSE,"ECCMP";#N/A,#N/A,FALSE,"WELDER.XLS"}</definedName>
    <definedName name="kvs" localSheetId="1" hidden="1">{#N/A,#N/A,FALSE,"COVER1.XLS ";#N/A,#N/A,FALSE,"RACT1.XLS";#N/A,#N/A,FALSE,"RACT2.XLS";#N/A,#N/A,FALSE,"ECCMP";#N/A,#N/A,FALSE,"WELDER.XLS"}</definedName>
    <definedName name="kvs" localSheetId="0" hidden="1">{#N/A,#N/A,FALSE,"COVER1.XLS ";#N/A,#N/A,FALSE,"RACT1.XLS";#N/A,#N/A,FALSE,"RACT2.XLS";#N/A,#N/A,FALSE,"ECCMP";#N/A,#N/A,FALSE,"WELDER.XLS"}</definedName>
    <definedName name="kvs" localSheetId="6" hidden="1">{#N/A,#N/A,FALSE,"COVER1.XLS ";#N/A,#N/A,FALSE,"RACT1.XLS";#N/A,#N/A,FALSE,"RACT2.XLS";#N/A,#N/A,FALSE,"ECCMP";#N/A,#N/A,FALSE,"WELDER.XLS"}</definedName>
    <definedName name="kvs" hidden="1">{#N/A,#N/A,FALSE,"COVER1.XLS ";#N/A,#N/A,FALSE,"RACT1.XLS";#N/A,#N/A,FALSE,"RACT2.XLS";#N/A,#N/A,FALSE,"ECCMP";#N/A,#N/A,FALSE,"WELDER.XLS"}</definedName>
    <definedName name="kvv" localSheetId="7" hidden="1">{#N/A,#N/A,FALSE,"COVER.XLS";#N/A,#N/A,FALSE,"RACT1.XLS";#N/A,#N/A,FALSE,"RACT2.XLS";#N/A,#N/A,FALSE,"ECCMP";#N/A,#N/A,FALSE,"WELDER.XLS"}</definedName>
    <definedName name="kvv" localSheetId="10" hidden="1">{#N/A,#N/A,FALSE,"COVER.XLS";#N/A,#N/A,FALSE,"RACT1.XLS";#N/A,#N/A,FALSE,"RACT2.XLS";#N/A,#N/A,FALSE,"ECCMP";#N/A,#N/A,FALSE,"WELDER.XLS"}</definedName>
    <definedName name="kvv" localSheetId="1" hidden="1">{#N/A,#N/A,FALSE,"COVER.XLS";#N/A,#N/A,FALSE,"RACT1.XLS";#N/A,#N/A,FALSE,"RACT2.XLS";#N/A,#N/A,FALSE,"ECCMP";#N/A,#N/A,FALSE,"WELDER.XLS"}</definedName>
    <definedName name="kvv" localSheetId="0" hidden="1">{#N/A,#N/A,FALSE,"COVER.XLS";#N/A,#N/A,FALSE,"RACT1.XLS";#N/A,#N/A,FALSE,"RACT2.XLS";#N/A,#N/A,FALSE,"ECCMP";#N/A,#N/A,FALSE,"WELDER.XLS"}</definedName>
    <definedName name="kvv" localSheetId="6" hidden="1">{#N/A,#N/A,FALSE,"COVER.XLS";#N/A,#N/A,FALSE,"RACT1.XLS";#N/A,#N/A,FALSE,"RACT2.XLS";#N/A,#N/A,FALSE,"ECCMP";#N/A,#N/A,FALSE,"WELDER.XLS"}</definedName>
    <definedName name="kvv" hidden="1">{#N/A,#N/A,FALSE,"COVER.XLS";#N/A,#N/A,FALSE,"RACT1.XLS";#N/A,#N/A,FALSE,"RACT2.XLS";#N/A,#N/A,FALSE,"ECCMP";#N/A,#N/A,FALSE,"WELDER.XLS"}</definedName>
    <definedName name="l" localSheetId="17">#REF!</definedName>
    <definedName name="l" localSheetId="7">#REF!</definedName>
    <definedName name="l" localSheetId="10">#REF!</definedName>
    <definedName name="l" localSheetId="9">#REF!</definedName>
    <definedName name="l" localSheetId="6">#REF!</definedName>
    <definedName name="l">#REF!</definedName>
    <definedName name="L_A">#REF!</definedName>
    <definedName name="L_Adjust" localSheetId="7">[261]Links!$H$1:$H$65536</definedName>
    <definedName name="L_Adjust" localSheetId="10">[261]Links!$H$1:$H$65536</definedName>
    <definedName name="L_Adjust" localSheetId="9">[261]Links!$H$1:$H$65536</definedName>
    <definedName name="L_Adjust" localSheetId="6">[261]Links!$H$1:$H$65536</definedName>
    <definedName name="L_Adjust">[262]Links!$H$1:$H$65536</definedName>
    <definedName name="L_AJE_Tot" localSheetId="7">[261]Links!$G$1:$G$65536</definedName>
    <definedName name="L_AJE_Tot" localSheetId="10">[261]Links!$G$1:$G$65536</definedName>
    <definedName name="L_AJE_Tot" localSheetId="9">[261]Links!$G$1:$G$65536</definedName>
    <definedName name="L_AJE_Tot" localSheetId="6">[261]Links!$G$1:$G$65536</definedName>
    <definedName name="L_AJE_Tot">[262]Links!$G$1:$G$65536</definedName>
    <definedName name="L_CY_Beg" localSheetId="7">[261]Links!$F$1:$F$65536</definedName>
    <definedName name="L_CY_Beg" localSheetId="10">[261]Links!$F$1:$F$65536</definedName>
    <definedName name="L_CY_Beg" localSheetId="9">[261]Links!$F$1:$F$65536</definedName>
    <definedName name="L_CY_Beg" localSheetId="6">[261]Links!$F$1:$F$65536</definedName>
    <definedName name="L_CY_Beg">[262]Links!$F$1:$F$65536</definedName>
    <definedName name="L_CY_End" localSheetId="7">[261]Links!$J$1:$J$65536</definedName>
    <definedName name="L_CY_End" localSheetId="10">[261]Links!$J$1:$J$65536</definedName>
    <definedName name="L_CY_End" localSheetId="9">[261]Links!$J$1:$J$65536</definedName>
    <definedName name="L_CY_End" localSheetId="6">[261]Links!$J$1:$J$65536</definedName>
    <definedName name="L_CY_End">[262]Links!$J$1:$J$65536</definedName>
    <definedName name="L_PY_End" localSheetId="7">[261]Links!$K$1:$K$65536</definedName>
    <definedName name="L_PY_End" localSheetId="10">[261]Links!$K$1:$K$65536</definedName>
    <definedName name="L_PY_End" localSheetId="9">[261]Links!$K$1:$K$65536</definedName>
    <definedName name="L_PY_End" localSheetId="6">[261]Links!$K$1:$K$65536</definedName>
    <definedName name="L_PY_End">[262]Links!$K$1:$K$65536</definedName>
    <definedName name="L_RJE_Tot" localSheetId="7">[261]Links!$I$1:$I$65536</definedName>
    <definedName name="L_RJE_Tot" localSheetId="10">[261]Links!$I$1:$I$65536</definedName>
    <definedName name="L_RJE_Tot" localSheetId="9">[261]Links!$I$1:$I$65536</definedName>
    <definedName name="L_RJE_Tot" localSheetId="6">[261]Links!$I$1:$I$65536</definedName>
    <definedName name="L_RJE_Tot">[262]Links!$I$1:$I$65536</definedName>
    <definedName name="L00380_">'[59]TB APJ'!$B$177</definedName>
    <definedName name="L00385_">'[59]TB APJ'!$B$178</definedName>
    <definedName name="L00386_">'[59]TB APJ'!$B$179</definedName>
    <definedName name="L00398_">'[59]TB APJ'!$B$390</definedName>
    <definedName name="L00406_">'[59]TB APJ'!$B$317</definedName>
    <definedName name="L00409_">'[59]TB APJ'!$B$180</definedName>
    <definedName name="L00410_">'[59]TB APJ'!#REF!</definedName>
    <definedName name="L00416_">'[59]TB APJ'!#REF!</definedName>
    <definedName name="L00417_">'[59]TB APJ'!#REF!</definedName>
    <definedName name="L00418_">'[59]TB APJ'!#REF!</definedName>
    <definedName name="L00420_">'[59]TB APJ'!$B$181</definedName>
    <definedName name="L00625_">'[59]TB APJ'!#REF!</definedName>
    <definedName name="L00626_">'[59]TB APJ'!#REF!</definedName>
    <definedName name="L00627_">'[59]TB APJ'!#REF!</definedName>
    <definedName name="L00628_">'[59]TB APJ'!#REF!</definedName>
    <definedName name="L00644_">'[59]TB APJ'!#REF!</definedName>
    <definedName name="L00646_">'[59]TB APJ'!#REF!</definedName>
    <definedName name="L00647_">'[59]TB APJ'!#REF!</definedName>
    <definedName name="L00649_">'[59]TB APJ'!$B$182</definedName>
    <definedName name="L00655_">'[59]TB APJ'!$B$392</definedName>
    <definedName name="L00656_">'[59]TB APJ'!#REF!</definedName>
    <definedName name="L00657_">'[59]TB APJ'!#REF!</definedName>
    <definedName name="L00659_">'[59]TB APJ'!#REF!</definedName>
    <definedName name="L00660_">'[59]TB APJ'!#REF!</definedName>
    <definedName name="L00665_">'[59]TB APJ'!#REF!</definedName>
    <definedName name="L00666_">'[59]TB APJ'!$B$183</definedName>
    <definedName name="L00667_">'[59]TB APJ'!$B$184</definedName>
    <definedName name="L00668_">'[55]TB APJ'!#REF!</definedName>
    <definedName name="L00669_">'[59]TB APJ'!$B$185</definedName>
    <definedName name="L00670_">'[59]TB APJ'!#REF!</definedName>
    <definedName name="L00671_">'[59]TB APJ'!#REF!</definedName>
    <definedName name="L00672_">'[59]TB APJ'!#REF!</definedName>
    <definedName name="L00673_">'[59]TB APJ'!#REF!</definedName>
    <definedName name="L00675_">'[59]TB APJ'!#REF!</definedName>
    <definedName name="L00677_">'[55]TB APJ'!#REF!</definedName>
    <definedName name="L00678_">'[59]TB APJ'!#REF!</definedName>
    <definedName name="L00681_">'[55]TB APJ'!#REF!</definedName>
    <definedName name="L00683_">'[59]TB APJ'!$B$188</definedName>
    <definedName name="L00684_">'[59]TB APJ'!$B$394</definedName>
    <definedName name="L00685_">'[59]TB APJ'!#REF!</definedName>
    <definedName name="L00686_">'[59]TB APJ'!#REF!</definedName>
    <definedName name="L00687_">'[59]TB APJ'!#REF!</definedName>
    <definedName name="L00690_">'[55]TB APJ'!#REF!</definedName>
    <definedName name="L00693_">'[59]TB APJ'!$B$275</definedName>
    <definedName name="L00697_">'[59]TB APJ'!$B$189</definedName>
    <definedName name="L00699_">'[59]TB APJ'!#REF!</definedName>
    <definedName name="L00703_">'[59]TB APJ'!#REF!</definedName>
    <definedName name="L00704_">'[59]TB APJ'!#REF!</definedName>
    <definedName name="L00705_">'[55]TB APJ'!#REF!</definedName>
    <definedName name="L00706_">'[59]TB APJ'!$B$192</definedName>
    <definedName name="L00707_">'[55]TB APJ'!$B$125</definedName>
    <definedName name="L00708_">'[59]TB APJ'!$B$194</definedName>
    <definedName name="L00714_">'[59]TB APJ'!$B$195</definedName>
    <definedName name="L00718_">'[59]TB APJ'!$B$247</definedName>
    <definedName name="L00719_">'[59]TB APJ'!$B$199</definedName>
    <definedName name="L00725_">'[59]TB APJ'!$B$304</definedName>
    <definedName name="L00728_">'[59]TB APJ'!$B$401</definedName>
    <definedName name="L00730_">'[59]TB APJ'!$B$402</definedName>
    <definedName name="L00731_">'[59]TB APJ'!$B$403</definedName>
    <definedName name="L00733_">'[59]TB APJ'!$B$200</definedName>
    <definedName name="L00735_">'[59]TB APJ'!$B$201</definedName>
    <definedName name="L00736_">'[59]TB APJ'!$B$202</definedName>
    <definedName name="L00737_">'[55]TB APJ'!$B$131</definedName>
    <definedName name="L0294_">'[59]TB APJ'!#REF!</definedName>
    <definedName name="L0295_">'[59]TB APJ'!$B$204</definedName>
    <definedName name="L0296_">'[59]TB APJ'!$B$205</definedName>
    <definedName name="L0298_">'[59]TB APJ'!$B$248</definedName>
    <definedName name="L0299_">'[59]TB APJ'!$B$207</definedName>
    <definedName name="L0300_">'[59]TB APJ'!$B$208</definedName>
    <definedName name="L0302_">'[59]TB APJ'!$B$320</definedName>
    <definedName name="L0303_">'[59]TB APJ'!$B$404</definedName>
    <definedName name="L0304_">'[59]TB APJ'!$B$209</definedName>
    <definedName name="L0305_">'[59]TB APJ'!#REF!</definedName>
    <definedName name="L0307_">'[59]TB APJ'!$B$210</definedName>
    <definedName name="L0308_">'[59]TB APJ'!#REF!</definedName>
    <definedName name="L0309_">'[59]TB APJ'!$B$211</definedName>
    <definedName name="L0310_">'[59]TB APJ'!$B$321</definedName>
    <definedName name="L0311_">'[59]TB APJ'!#REF!</definedName>
    <definedName name="L0316_">'[59]TB APJ'!$B$212</definedName>
    <definedName name="L0317_">'[59]TB APJ'!$B$213</definedName>
    <definedName name="L0318_">'[59]TB APJ'!#REF!</definedName>
    <definedName name="L0319_">'[59]TB APJ'!$B$214</definedName>
    <definedName name="L0322_">'[59]TB APJ'!$B$408</definedName>
    <definedName name="L0323_">'[59]TB APJ'!$B$215</definedName>
    <definedName name="L0326_">'[59]TB APJ'!$B$216</definedName>
    <definedName name="L0328_">'[59]TB APJ'!$B$217</definedName>
    <definedName name="L0330_">'[59]TB APJ'!#REF!</definedName>
    <definedName name="L0333_">'[59]TB APJ'!$B$218</definedName>
    <definedName name="L0337_">'[59]TB APJ'!$B$219</definedName>
    <definedName name="L0341_">'[59]TB APJ'!$B$220</definedName>
    <definedName name="L0342_">'[59]TB APJ'!$B$221</definedName>
    <definedName name="L0343_">'[59]TB APJ'!$B$222</definedName>
    <definedName name="L0344_">'[59]TB APJ'!#REF!</definedName>
    <definedName name="L0346_">'[59]TB APJ'!$B$414</definedName>
    <definedName name="L0347_">'[59]TB APJ'!$B$238</definedName>
    <definedName name="L0348_">'[55]TB APJ'!#REF!</definedName>
    <definedName name="L0349_">'[59]TB APJ'!$B$223</definedName>
    <definedName name="L0350_">'[59]TB APJ'!$B$415</definedName>
    <definedName name="L0351_">'[55]TB APJ'!#REF!</definedName>
    <definedName name="L0355_">'[59]TB APJ'!$B$225</definedName>
    <definedName name="L0356_">'[55]TB APJ'!#REF!</definedName>
    <definedName name="LA" localSheetId="17">#REF!</definedName>
    <definedName name="LA">#REF!</definedName>
    <definedName name="LABELTEXTCOLUMN1">[69]CRITERIA1!$B$24</definedName>
    <definedName name="LABELTEXTROW1">[69]CRITERIA1!$B$23</definedName>
    <definedName name="Labour">#REF!</definedName>
    <definedName name="Labour_99">#REF!</definedName>
    <definedName name="LAC" localSheetId="17">'[263]Assumptions- Sugar'!$E$86</definedName>
    <definedName name="LAC" localSheetId="7">#REF!</definedName>
    <definedName name="LAC" localSheetId="10">#REF!</definedName>
    <definedName name="LAC" localSheetId="9">#REF!</definedName>
    <definedName name="LAC" localSheetId="6">#REF!</definedName>
    <definedName name="LAC">'[264]Assumptions- Sugar'!$E$86</definedName>
    <definedName name="Lacs">#REF!</definedName>
    <definedName name="LACS_E">#REF!</definedName>
    <definedName name="lads" localSheetId="17">#REF!</definedName>
    <definedName name="lads">#REF!</definedName>
    <definedName name="lakh">#REF!</definedName>
    <definedName name="Lakhs">10^5</definedName>
    <definedName name="Lamba_per_year_Routemiles">#REF!</definedName>
    <definedName name="lambda">#REF!</definedName>
    <definedName name="land">#REF!</definedName>
    <definedName name="Land_details">#REF!</definedName>
    <definedName name="landlease" localSheetId="17">'[76]Cost Breakup Depreciation&amp; Tax'!$C$28</definedName>
    <definedName name="landlease">'[77]Cost Breakup Depreciation&amp; Tax'!$C$28</definedName>
    <definedName name="Language" localSheetId="17">#REF!</definedName>
    <definedName name="Language">#REF!</definedName>
    <definedName name="Last_Row">#N/A</definedName>
    <definedName name="Last_Year">#REF!</definedName>
    <definedName name="Last_Year_Bsheet">#REF!</definedName>
    <definedName name="Last_Year_Profit_Loss">#REF!</definedName>
    <definedName name="LATHA">#REF!</definedName>
    <definedName name="launchexpense">#REF!</definedName>
    <definedName name="LD">[67]ReasonCode!$L$2:$L$6</definedName>
    <definedName name="LDFHDFHJ">#REF!</definedName>
    <definedName name="Lease">#REF!</definedName>
    <definedName name="Leasehold">#REF!</definedName>
    <definedName name="Legal_Orig" localSheetId="17">[185]Dividends!#REF!</definedName>
    <definedName name="Legal_Orig">[186]Dividends!#REF!</definedName>
    <definedName name="Legal_Orig_Sum" localSheetId="17">[185]Dividends!#REF!</definedName>
    <definedName name="Legal_Orig_Sum">[186]Dividends!#REF!</definedName>
    <definedName name="Legal_reserve" localSheetId="17">#REF!</definedName>
    <definedName name="Legal_reserve">#REF!</definedName>
    <definedName name="Legal_reserve_copy">#REF!</definedName>
    <definedName name="lemu6">'[132]Capex-fixed'!#REF!</definedName>
    <definedName name="lesa8">'[132]Capex-fixed'!#REF!</definedName>
    <definedName name="lesmodel" localSheetId="17">#REF!</definedName>
    <definedName name="lesmodel">#REF!</definedName>
    <definedName name="lf">#REF!</definedName>
    <definedName name="LIABIL">'[129]MN T.B.'!#REF!</definedName>
    <definedName name="lift" localSheetId="17">'[76]Cost Breakup Depreciation&amp; Tax'!$C$12</definedName>
    <definedName name="lift">'[77]Cost Breakup Depreciation&amp; Tax'!$C$12</definedName>
    <definedName name="limcount" hidden="1">1</definedName>
    <definedName name="line_2" localSheetId="17">[265]PC!$D$31</definedName>
    <definedName name="line_2">[266]PC!$D$31</definedName>
    <definedName name="linesprovidedperbldg" localSheetId="17">'[132]Capex-fixed'!#REF!</definedName>
    <definedName name="linesprovidedperbldg">'[132]Capex-fixed'!#REF!</definedName>
    <definedName name="LinesYee">[106]List_ratios!#REF!</definedName>
    <definedName name="list" localSheetId="17">#REF!</definedName>
    <definedName name="list" localSheetId="7">[267]RR!$B$134:$R$153</definedName>
    <definedName name="list" localSheetId="10">[267]RR!$B$134:$R$153</definedName>
    <definedName name="list" localSheetId="9">[267]RR!$B$134:$R$153</definedName>
    <definedName name="list" localSheetId="6">[267]RR!$B$134:$R$153</definedName>
    <definedName name="list">#REF!</definedName>
    <definedName name="List_of_Material">#REF!</definedName>
    <definedName name="ListOffset" hidden="1">1</definedName>
    <definedName name="ListOfSuperCriticalEquipment">#REF!</definedName>
    <definedName name="ListSheetsMacroButton">#REF!</definedName>
    <definedName name="lk" localSheetId="17">'[132]Capex-fixed'!#REF!</definedName>
    <definedName name="lk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" localSheetId="1">[176]Assum!$B$148</definedName>
    <definedName name="lk" localSheetId="0">[176]Assum!$B$148</definedName>
    <definedName name="lk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">Assum!$B$148</definedName>
    <definedName name="lkjuh">#REF!</definedName>
    <definedName name="ll">#REF!</definedName>
    <definedName name="llJkljl">#REF!</definedName>
    <definedName name="lll" localSheetId="17">'[132]Capex-fixed'!#REF!</definedName>
    <definedName name="lll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">'[132]Capex-fixed'!#REF!</definedName>
    <definedName name="lmn" localSheetId="17">[74]LCE!#REF!</definedName>
    <definedName name="lmn">[74]LCE!#REF!</definedName>
    <definedName name="lnjklbk">'[132]Capex-fixed'!#REF!</definedName>
    <definedName name="Loan_Amount">#REF!</definedName>
    <definedName name="loan_cntr">'[268]Capital Cost'!$A$111:$IV$111</definedName>
    <definedName name="Loan_CoalSPV">#REF!</definedName>
    <definedName name="Loan_Start">#REF!</definedName>
    <definedName name="loan_table1">#REF!</definedName>
    <definedName name="loan_table2">#REF!</definedName>
    <definedName name="loan_table3">#REF!</definedName>
    <definedName name="loan_table4">#REF!</definedName>
    <definedName name="loan_table5">#REF!</definedName>
    <definedName name="loan_table6">#REF!</definedName>
    <definedName name="Loan_Years">#REF!</definedName>
    <definedName name="loanpaid">'[195]DEPOSITS &amp; ADVANCES PAID'!$E$54</definedName>
    <definedName name="loanpayc">'[45]NOTES '!#REF!</definedName>
    <definedName name="loanpayp">'[45]NOTES '!#REF!</definedName>
    <definedName name="loanrecc">'[45]NOTES '!#REF!</definedName>
    <definedName name="loanrecp">'[45]NOTES '!#REF!</definedName>
    <definedName name="loans" localSheetId="7">'[191]Final Accounts'!#REF!</definedName>
    <definedName name="loans" localSheetId="10">'[191]Final Accounts'!#REF!</definedName>
    <definedName name="loans" localSheetId="9">'[191]Final Accounts'!#REF!</definedName>
    <definedName name="loans" localSheetId="6">'[191]Final Accounts'!#REF!</definedName>
    <definedName name="LOANS">'[78]YE-SW2'!$IM$8159</definedName>
    <definedName name="loc">'[235]Factors-overall'!#REF!</definedName>
    <definedName name="loca">[247]FACTORS!$B$14</definedName>
    <definedName name="local">#REF!</definedName>
    <definedName name="Local___SSC">'[269]BS Rec Control Sheet'!#REF!</definedName>
    <definedName name="LocalSalesTax">[122]Assumptions!#REF!</definedName>
    <definedName name="LOCATION">#REF!</definedName>
    <definedName name="LOLC" localSheetId="17">#REF!</definedName>
    <definedName name="LOLC">#REF!</definedName>
    <definedName name="lomif" localSheetId="17">'[132]Capex-fixed'!#REF!</definedName>
    <definedName name="lomif">'[132]Capex-fixed'!#REF!</definedName>
    <definedName name="lomifcable" localSheetId="17">'[132]Capex-fixed'!#REF!</definedName>
    <definedName name="lomifcable">'[132]Capex-fixed'!#REF!</definedName>
    <definedName name="lomifcard">'[132]Capex-fixed'!#REF!</definedName>
    <definedName name="lomifcble">'[132]Capex-fixed'!#REF!</definedName>
    <definedName name="LONG">'[78]YE-SW2'!$IM$8159</definedName>
    <definedName name="LongTermDebt">[150]Financials!$J$145:$U$145</definedName>
    <definedName name="look">#REF!</definedName>
    <definedName name="LOP">#REF!</definedName>
    <definedName name="LOP_Bal">'[72]2. Forecast Drivers'!$E$179:$S$179</definedName>
    <definedName name="LOP_Cash">'[72]2. Forecast Drivers'!$F$180:$S$180</definedName>
    <definedName name="LOP_Int">'[72]2. Forecast Drivers'!$F$176:$S$176</definedName>
    <definedName name="loss">[48]BS!#REF!</definedName>
    <definedName name="Loss_Year">[142]Rollup!#REF!</definedName>
    <definedName name="LossType_R">[142]Rollup!#REF!</definedName>
    <definedName name="Lost_CF">[142]Summary!#REF!</definedName>
    <definedName name="lottery.ecq1">[46]Calculator!$AD$13</definedName>
    <definedName name="lottery.ecq2">[46]Calculator!$AE$13</definedName>
    <definedName name="lottery.ecq3">[46]Calculator!$AF$13</definedName>
    <definedName name="lottery.ecq4">[46]Calculator!$AG$13</definedName>
    <definedName name="lottery.ecq5">[46]Calculator!$AH$13</definedName>
    <definedName name="lottery.scq1">[46]Calculator!$Y$13</definedName>
    <definedName name="lottery.scq2">[46]Calculator!$Z$13</definedName>
    <definedName name="lottery.scq3">[46]Calculator!$AA$13</definedName>
    <definedName name="lottery.scq4">[46]Calculator!$AB$13</definedName>
    <definedName name="lottery.scq5">[46]Calculator!$AC$13</definedName>
    <definedName name="lotteryec.usratio">[46]Calculator!$X$13</definedName>
    <definedName name="lotteryincome">[46]Calculator!$R$3</definedName>
    <definedName name="lotteryincome.usratio">[46]Calculator!$V$13</definedName>
    <definedName name="lotterysur.usratio">[46]Calculator!$W$13</definedName>
    <definedName name="Low">'[72]2. Forecast Drivers'!$D$19</definedName>
    <definedName name="Low_Sub1" localSheetId="17">'[226]ADAMYA FINAL SHEET'!#REF!</definedName>
    <definedName name="Low_Sub1">'[226]ADAMYA FINAL SHEET'!#REF!</definedName>
    <definedName name="Lowk">[133]LowK!$A$1:$K$68</definedName>
    <definedName name="LP">#REF!</definedName>
    <definedName name="lr" localSheetId="17">#REF!</definedName>
    <definedName name="lr">#REF!</definedName>
    <definedName name="ls">#REF!</definedName>
    <definedName name="lsdjlk">[37]BKCSTOCKVAL!#REF!</definedName>
    <definedName name="lta">#REF!</definedName>
    <definedName name="ltcg.BFlossPrevYrUndSameHeadSetoff4">'[46]CYLA BFLA'!$E$25</definedName>
    <definedName name="ltcg.BFUnabsorbedDeprSetoff4">'[46]CYLA BFLA'!$F$25</definedName>
    <definedName name="ltcg.IncOfCurYrAfterSetOff2">'[46]CYLA BFLA'!$H$11</definedName>
    <definedName name="ltcg.IncOfCurYrUnderThatHead2">'[46]CYLA BFLA'!$D$11</definedName>
    <definedName name="ltcgloss.aftbfl">'[46]CYLA BFLA'!$AH$18</definedName>
    <definedName name="ltcgloss.bf">'[46]CYLA BFLA'!$AE$18</definedName>
    <definedName name="ltcgloss.bfftnp">'[46]CYLA BFLA'!$E$43</definedName>
    <definedName name="ltcgloss.bfftp">'[46]CYLA BFLA'!$E$46</definedName>
    <definedName name="ltcgloss1.unabs">'[46]CYLA BFLA'!$F$59</definedName>
    <definedName name="ltcgnonproviso.ecq1">[46]Calculator!$AD$10</definedName>
    <definedName name="ltcgnonproviso.ecq2">[46]Calculator!$AE$10</definedName>
    <definedName name="ltcgnonproviso.ecq3">[46]Calculator!$AF$10</definedName>
    <definedName name="ltcgnonproviso.ecq4">[46]Calculator!$AG$10</definedName>
    <definedName name="ltcgnonproviso.ecq5">[46]Calculator!$AH$10</definedName>
    <definedName name="ltcgnonproviso.savings">[46]Calculator!$AI$10</definedName>
    <definedName name="ltcgnonproviso.scq1">[46]Calculator!$Y$10</definedName>
    <definedName name="ltcgnonproviso.scq2">[46]Calculator!$Z$10</definedName>
    <definedName name="ltcgnonproviso.scq3">[46]Calculator!$AA$10</definedName>
    <definedName name="ltcgnonproviso.scq4">[46]Calculator!$AB$10</definedName>
    <definedName name="ltcgnonproviso.scq5">[46]Calculator!$AC$10</definedName>
    <definedName name="ltcgnonprovisoec.usratio">[46]Calculator!$X$10</definedName>
    <definedName name="ltcgnonprovisoincome">'[46]CYLA BFLA'!$O$19</definedName>
    <definedName name="ltcgnonprovisoincome.bf">'[46]CYLA BFLA'!$AF$19</definedName>
    <definedName name="ltcgnonprovisoincome.bp">'[46]CYLA BFLA'!$AB$19</definedName>
    <definedName name="ltcgnonprovisoincome.hp">'[46]CYLA BFLA'!$X$19</definedName>
    <definedName name="ltcgnonprovisoincome.ih">'[46]CYLA BFLA'!$Q$19</definedName>
    <definedName name="ltcgnonprovisoincome.ltcladj">'[46]CYLA BFLA'!$E$42</definedName>
    <definedName name="ltcgnonprovisoincome.os">'[46]CYLA BFLA'!$T$19</definedName>
    <definedName name="ltcgnonprovisoincome.rem">'[46]CYLA BFLA'!$AO$17</definedName>
    <definedName name="ltcgnonprovisoincome.stcl">'[46]CYLA BFLA'!$F$44</definedName>
    <definedName name="ltcgnonprovisoincome.usratio">[46]Calculator!$V$10</definedName>
    <definedName name="ltcgnonprovisoloss">'[46]CYLA BFLA'!$P$19</definedName>
    <definedName name="ltcgnonprovisoloss.bfadj">'[46]CYLA BFLA'!$AG$19</definedName>
    <definedName name="ltcgnonprovisoloss.bp">'[46]CYLA BFLA'!$AD$19</definedName>
    <definedName name="ltcgnonprovisoloss.hp">'[46]CYLA BFLA'!$Z$19</definedName>
    <definedName name="ltcgnonprovisoloss.ih">'[46]CYLA BFLA'!$R$19</definedName>
    <definedName name="ltcgnonprovisoloss.os">'[46]CYLA BFLA'!$V$19</definedName>
    <definedName name="ltcgnonprovisoloss.stcladj">'[46]CYLA BFLA'!$F$43</definedName>
    <definedName name="ltcgnonprovisoloss.unabs">'[46]CYLA BFLA'!$AN$17</definedName>
    <definedName name="ltcgnonprovisosur.usratio">[46]Calculator!$W$10</definedName>
    <definedName name="ltcgproviso.ecq1">[46]Calculator!$AD$12</definedName>
    <definedName name="ltcgproviso.ecq2">[46]Calculator!$AE$12</definedName>
    <definedName name="ltcgproviso.ecq3">[46]Calculator!$AF$12</definedName>
    <definedName name="ltcgproviso.ecq4">[46]Calculator!$AG$12</definedName>
    <definedName name="ltcgproviso.ecq5">[46]Calculator!$AH$12</definedName>
    <definedName name="ltcgproviso.savings">[46]Calculator!$AI$12</definedName>
    <definedName name="ltcgproviso.scq1">[46]Calculator!$Y$12</definedName>
    <definedName name="ltcgproviso.scq2">[46]Calculator!$Z$12</definedName>
    <definedName name="ltcgproviso.scq3">[46]Calculator!$AA$12</definedName>
    <definedName name="ltcgproviso.scq4">[46]Calculator!$AB$12</definedName>
    <definedName name="ltcgproviso.scq5">[46]Calculator!$AC$12</definedName>
    <definedName name="ltcgprovisoec.usratio">[46]Calculator!$X$12</definedName>
    <definedName name="ltcgprovisoincome">'[46]CYLA BFLA'!$O$18</definedName>
    <definedName name="ltcgprovisoincome.bf">'[46]CYLA BFLA'!$AF$18</definedName>
    <definedName name="ltcgprovisoincome.bp">'[46]CYLA BFLA'!$AB$18</definedName>
    <definedName name="ltcgprovisoincome.hp">'[46]CYLA BFLA'!$X$18</definedName>
    <definedName name="ltcgprovisoincome.ih">'[46]CYLA BFLA'!$Q$18</definedName>
    <definedName name="ltcgprovisoincome.ltcladj">'[46]CYLA BFLA'!$E$45</definedName>
    <definedName name="ltcgprovisoincome.os">'[46]CYLA BFLA'!$T$18</definedName>
    <definedName name="ltcgprovisoincome.rem">'[46]CYLA BFLA'!$AO$18</definedName>
    <definedName name="ltcgprovisoincome.stcl">'[46]CYLA BFLA'!$F$49</definedName>
    <definedName name="ltcgprovisoincome.usratio">[46]Calculator!$V$12</definedName>
    <definedName name="ltcgprovisoloss">'[46]CYLA BFLA'!$P$18</definedName>
    <definedName name="ltcgprovisoloss.bfadj">'[46]CYLA BFLA'!$AG$18</definedName>
    <definedName name="ltcgprovisoloss.bp">'[46]CYLA BFLA'!$AD$18</definedName>
    <definedName name="ltcgprovisoloss.hp">'[46]CYLA BFLA'!$Z$18</definedName>
    <definedName name="ltcgprovisoloss.ih">'[46]CYLA BFLA'!$R$18</definedName>
    <definedName name="ltcgprovisoloss.os">'[46]CYLA BFLA'!$V$18</definedName>
    <definedName name="ltcgprovisoloss.stcladj">'[46]CYLA BFLA'!$F$47</definedName>
    <definedName name="ltcgprovisoloss.unabs">'[46]CYLA BFLA'!$AN$18</definedName>
    <definedName name="ltcgprovisosur.usratio">[46]Calculator!$W$12</definedName>
    <definedName name="ltcla1">'[46]CYLA BFLA'!$E$41</definedName>
    <definedName name="ltcla2">'[46]CYLA BFLA'!$E$44</definedName>
    <definedName name="LTD_Bal">'[72]2. Forecast Drivers'!$E$205:$S$205</definedName>
    <definedName name="LTD_Cash">'[72]2. Forecast Drivers'!$E$211:$S$211</definedName>
    <definedName name="LTR_M_NEW">#REF!</definedName>
    <definedName name="LTR_MOR">#REF!</definedName>
    <definedName name="LTV" localSheetId="17">'[91]Pool details'!$K$3:$K$4876</definedName>
    <definedName name="LTV">'[92]Pool details'!$K$3:$K$4876</definedName>
    <definedName name="lvkfeqvlkqe">#REF!</definedName>
    <definedName name="m" localSheetId="17">#REF!</definedName>
    <definedName name="M" localSheetId="7">#REF!</definedName>
    <definedName name="M" localSheetId="10">#REF!</definedName>
    <definedName name="M" localSheetId="9">#REF!</definedName>
    <definedName name="M" localSheetId="6">#REF!</definedName>
    <definedName name="m">#REF!</definedName>
    <definedName name="M_04" localSheetId="17">'[270]m3&amp;4'!#REF!</definedName>
    <definedName name="M_04">'[270]m3&amp;4'!#REF!</definedName>
    <definedName name="M_Agarwal">#REF!</definedName>
    <definedName name="M_Arora">#REF!</definedName>
    <definedName name="M_CapitalAvg">[151]ReportsParameters!$B$32</definedName>
    <definedName name="M_CoName">[151]ReportsParameters!$B$29</definedName>
    <definedName name="M_Denomination">[151]ReportsParameters!$B$38</definedName>
    <definedName name="M_FinanseerTitle">[151]ReportsParameters!$B$33</definedName>
    <definedName name="M_Lf">[151]ReportsParameters!$C$19</definedName>
    <definedName name="M_Nayar">#REF!</definedName>
    <definedName name="M_Pf">[151]ReportsParameters!$C$20</definedName>
    <definedName name="M_PrintFrom">[151]ReportsParameters!$B$11</definedName>
    <definedName name="M_PrintTo">[151]ReportsParameters!$B$12</definedName>
    <definedName name="M_Pt">[151]ReportsParameters!$C$21</definedName>
    <definedName name="M_Sharan">#REF!</definedName>
    <definedName name="M_SSAdjustments">[151]ReportsParameters!$B$26</definedName>
    <definedName name="m105.">#REF!</definedName>
    <definedName name="MA_BTS_SUMMARY">#REF!</definedName>
    <definedName name="MA_Plng_Resp">#REF!</definedName>
    <definedName name="madhavi" localSheetId="7" hidden="1">{"plansummary",#N/A,FALSE,"PlanSummary";"sales",#N/A,FALSE,"Sales Rec";"productivity",#N/A,FALSE,"Productivity Rec";"capitalspending",#N/A,FALSE,"Capital Spending"}</definedName>
    <definedName name="madhavi" localSheetId="10" hidden="1">{"plansummary",#N/A,FALSE,"PlanSummary";"sales",#N/A,FALSE,"Sales Rec";"productivity",#N/A,FALSE,"Productivity Rec";"capitalspending",#N/A,FALSE,"Capital Spending"}</definedName>
    <definedName name="madhavi" localSheetId="1" hidden="1">{"plansummary",#N/A,FALSE,"PlanSummary";"sales",#N/A,FALSE,"Sales Rec";"productivity",#N/A,FALSE,"Productivity Rec";"capitalspending",#N/A,FALSE,"Capital Spending"}</definedName>
    <definedName name="madhavi" localSheetId="0" hidden="1">{"plansummary",#N/A,FALSE,"PlanSummary";"sales",#N/A,FALSE,"Sales Rec";"productivity",#N/A,FALSE,"Productivity Rec";"capitalspending",#N/A,FALSE,"Capital Spending"}</definedName>
    <definedName name="madhavi" localSheetId="6" hidden="1">{"plansummary",#N/A,FALSE,"PlanSummary";"sales",#N/A,FALSE,"Sales Rec";"productivity",#N/A,FALSE,"Productivity Rec";"capitalspending",#N/A,FALSE,"Capital Spending"}</definedName>
    <definedName name="madhavi" hidden="1">{"plansummary",#N/A,FALSE,"PlanSummary";"sales",#N/A,FALSE,"Sales Rec";"productivity",#N/A,FALSE,"Productivity Rec";"capitalspending",#N/A,FALSE,"Capital Spending"}</definedName>
    <definedName name="Magix_Sales___JFM_2001">#REF!</definedName>
    <definedName name="mahape">[37]MAHSTOCKVAL!#REF!</definedName>
    <definedName name="MailSystem">"Mail System"</definedName>
    <definedName name="MailSystem_Grade">"C"</definedName>
    <definedName name="main">#REF!</definedName>
    <definedName name="MAIN_E">#REF!</definedName>
    <definedName name="MAIN_TB31399">#REF!</definedName>
    <definedName name="MAINCOMP">#REF!</definedName>
    <definedName name="mainrkcost" localSheetId="17">'[132]Capex-fixed'!#REF!</definedName>
    <definedName name="mainrkcost">'[132]Capex-fixed'!#REF!</definedName>
    <definedName name="Major_Maint" localSheetId="17">#REF!</definedName>
    <definedName name="Major_Maint">#REF!</definedName>
    <definedName name="mal">#REF!</definedName>
    <definedName name="management_revenue">#REF!</definedName>
    <definedName name="MAR">#REF!</definedName>
    <definedName name="march06" localSheetId="17" hidden="1">{#N/A,#N/A,FALSE,"Aging Summary";#N/A,#N/A,FALSE,"Ratio Analysis";#N/A,#N/A,FALSE,"Test 120 Day Accts";#N/A,#N/A,FALSE,"Tickmarks"}</definedName>
    <definedName name="march06" localSheetId="1" hidden="1">{#N/A,#N/A,FALSE,"Aging Summary";#N/A,#N/A,FALSE,"Ratio Analysis";#N/A,#N/A,FALSE,"Test 120 Day Accts";#N/A,#N/A,FALSE,"Tickmarks"}</definedName>
    <definedName name="march06" localSheetId="0" hidden="1">{#N/A,#N/A,FALSE,"Aging Summary";#N/A,#N/A,FALSE,"Ratio Analysis";#N/A,#N/A,FALSE,"Test 120 Day Accts";#N/A,#N/A,FALSE,"Tickmarks"}</definedName>
    <definedName name="march06" hidden="1">{#N/A,#N/A,FALSE,"Aging Summary";#N/A,#N/A,FALSE,"Ratio Analysis";#N/A,#N/A,FALSE,"Test 120 Day Accts";#N/A,#N/A,FALSE,"Tickmarks"}</definedName>
    <definedName name="march06topsheet" localSheetId="17" hidden="1">{#N/A,#N/A,FALSE,"Aging Summary";#N/A,#N/A,FALSE,"Ratio Analysis";#N/A,#N/A,FALSE,"Test 120 Day Accts";#N/A,#N/A,FALSE,"Tickmarks"}</definedName>
    <definedName name="march06topsheet" localSheetId="1" hidden="1">{#N/A,#N/A,FALSE,"Aging Summary";#N/A,#N/A,FALSE,"Ratio Analysis";#N/A,#N/A,FALSE,"Test 120 Day Accts";#N/A,#N/A,FALSE,"Tickmarks"}</definedName>
    <definedName name="march06topsheet" localSheetId="0" hidden="1">{#N/A,#N/A,FALSE,"Aging Summary";#N/A,#N/A,FALSE,"Ratio Analysis";#N/A,#N/A,FALSE,"Test 120 Day Accts";#N/A,#N/A,FALSE,"Tickmarks"}</definedName>
    <definedName name="march06topsheet" hidden="1">{#N/A,#N/A,FALSE,"Aging Summary";#N/A,#N/A,FALSE,"Ratio Analysis";#N/A,#N/A,FALSE,"Test 120 Day Accts";#N/A,#N/A,FALSE,"Tickmarks"}</definedName>
    <definedName name="March2008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localSheetId="1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date">#REF!</definedName>
    <definedName name="Margin" localSheetId="17">#REF!</definedName>
    <definedName name="Margin">#REF!</definedName>
    <definedName name="margin_c" localSheetId="17">'[100]Working Capital'!$C$206</definedName>
    <definedName name="margin_c">'[101]Working Capital'!$C$206</definedName>
    <definedName name="margin_chk" localSheetId="17">'[100]Working Capital'!$A$210</definedName>
    <definedName name="margin_chk">'[101]Working Capital'!$A$210</definedName>
    <definedName name="margin_p" localSheetId="17">[100]Assumptions!$C$74</definedName>
    <definedName name="margin_p">[101]Assumptions!$C$60</definedName>
    <definedName name="MARINE">#N/A</definedName>
    <definedName name="MARIYA_RAPOSE">#REF!</definedName>
    <definedName name="MaruHold">'[103]Core Assumptions'!$C$358</definedName>
    <definedName name="MaruOGI">'[103]Core Assumptions'!$G$358</definedName>
    <definedName name="master_ref">[253]Input!$J$8</definedName>
    <definedName name="MASTERBTS">#REF!</definedName>
    <definedName name="masterdata">#REF!</definedName>
    <definedName name="mat" localSheetId="17">#REF!</definedName>
    <definedName name="MAT" localSheetId="7">#REF!</definedName>
    <definedName name="MAT" localSheetId="10">#REF!</definedName>
    <definedName name="MAT" localSheetId="9">#REF!</definedName>
    <definedName name="MAT" localSheetId="6">#REF!</definedName>
    <definedName name="mat">#REF!</definedName>
    <definedName name="Mat_BE_Cap_R">[142]Rollup!#REF!</definedName>
    <definedName name="Mat_BE_Occ_R">[142]Rollup!#REF!</definedName>
    <definedName name="mat_rate" localSheetId="17">'[271]Exch, Tax, and otherassump'!$B$17</definedName>
    <definedName name="mat_rate">'[272]Exch, Tax, and otherassump'!$B$17</definedName>
    <definedName name="MATAV__Hungary">[106]List_ratios!#REF!</definedName>
    <definedName name="MATC.AmtTaxCredUs115JAA">[46]EI_MAT!$H$53</definedName>
    <definedName name="MATC.TaxOthProvCurrAssYr">[46]EI_MAT!$H$41</definedName>
    <definedName name="MATC.TaxUs115JBCurrAssYr">[46]EI_MAT!$H$40</definedName>
    <definedName name="matcomp">#REF!</definedName>
    <definedName name="Materiality" localSheetId="17">#REF!</definedName>
    <definedName name="Materiality">#REF!</definedName>
    <definedName name="matnotes">#REF!</definedName>
    <definedName name="MAX">#REF!</definedName>
    <definedName name="Maximum_DER">'[189]SBI - PFSBU - P90'!$A$52</definedName>
    <definedName name="MDEVISES" localSheetId="1">#REF!,#REF!,#REF!</definedName>
    <definedName name="MDEVISES" localSheetId="0">#REF!,#REF!,#REF!</definedName>
    <definedName name="MDEVISES">#REF!,#REF!,#REF!</definedName>
    <definedName name="mdno">'[103]Core Assumptions'!$D$218</definedName>
    <definedName name="MDSCR" localSheetId="17">'[74]DEBT SCHEDULE'!#REF!</definedName>
    <definedName name="MDSCR">'[74]DEBT SCHEDULE'!#REF!</definedName>
    <definedName name="me">"Button 5"</definedName>
    <definedName name="MEENA_JAGTIANI">#REF!</definedName>
    <definedName name="Melawan_Transport_Base">#REF!</definedName>
    <definedName name="Melawan_Transport_SEN">#REF!</definedName>
    <definedName name="MelawanEsc_Base">#REF!</definedName>
    <definedName name="MelawanEsc_SEN">#REF!</definedName>
    <definedName name="Melawanprice_Base">#REF!</definedName>
    <definedName name="MelawanPrice_SEN">#REF!</definedName>
    <definedName name="merchantbanking" localSheetId="17">'[76]Cost Breakup Depreciation&amp; Tax'!$C$36</definedName>
    <definedName name="merchantbanking">'[77]Cost Breakup Depreciation&amp; Tax'!$C$36</definedName>
    <definedName name="MERCOps">'[103]Core Assumptions'!$H$161:$AS$171</definedName>
    <definedName name="MERCType">'[103]Core Assumptions'!$C$163:$E$171</definedName>
    <definedName name="MethodAcc">[114]Masters!$C$46</definedName>
    <definedName name="Methods">#REF!</definedName>
    <definedName name="mezz_costs">#REF!</definedName>
    <definedName name="MF">[75]Assumptions!$C$26</definedName>
    <definedName name="MFRF">#REF!,#REF!,#REF!,#REF!,#REF!</definedName>
    <definedName name="MGRREM">#REF!</definedName>
    <definedName name="MHELP" localSheetId="17">[130]Financials!#REF!</definedName>
    <definedName name="MHELP">[130]Financials!#REF!</definedName>
    <definedName name="mil" localSheetId="17">#REF!</definedName>
    <definedName name="mil">#REF!</definedName>
    <definedName name="mile">[273]oresreqsum!#REF!</definedName>
    <definedName name="Million">#REF!</definedName>
    <definedName name="millions">1000000</definedName>
    <definedName name="MIN">#REF!</definedName>
    <definedName name="Min_Bal">'[72]2. Forecast Drivers'!$E$186:$S$186</definedName>
    <definedName name="Min_Cash">'[72]2. Forecast Drivers'!$E$185:$S$185</definedName>
    <definedName name="Min_Prof">'[72]2. Forecast Drivers'!$E$184:$S$184</definedName>
    <definedName name="Min_SPV">#REF!</definedName>
    <definedName name="MINASSET">'[129]MN T.B.'!#REF!</definedName>
    <definedName name="mindscr">#REF!</definedName>
    <definedName name="Minimum_DSCR">[119]Assumptions!$I$32</definedName>
    <definedName name="Minimum_FACR">'[189]SBI - PFSBU - P90'!$A$47</definedName>
    <definedName name="Minimum_ICR">'[189]SBI - PFSBU - P90'!$A$46</definedName>
    <definedName name="MINLIAB">'[129]MN T.B.'!#REF!</definedName>
    <definedName name="MINPL">'[129]MN T.B.'!#REF!</definedName>
    <definedName name="minq1">[46]Calculator!$O$9</definedName>
    <definedName name="minq2">[46]Calculator!$O$10</definedName>
    <definedName name="mis">#REF!</definedName>
    <definedName name="MISC" localSheetId="7">#REF!</definedName>
    <definedName name="MISC" localSheetId="10">#REF!</definedName>
    <definedName name="MISC" localSheetId="9">#REF!</definedName>
    <definedName name="MISC" localSheetId="6">#REF!</definedName>
    <definedName name="misc">#REF!</definedName>
    <definedName name="MIX_ECO">[71]Assumptions!$D$92</definedName>
    <definedName name="Mix_Eco_Base">#REF!</definedName>
    <definedName name="Mix_Eco_Sen">#REF!</definedName>
    <definedName name="MIX_MEL">[71]Assumptions!$C$92</definedName>
    <definedName name="Mix_Melawan_Base">#REF!</definedName>
    <definedName name="Mix_Melawan_SEN">#REF!</definedName>
    <definedName name="MIY">'[72]2. Forecast Drivers'!$D$329</definedName>
    <definedName name="MK11USD">#REF!</definedName>
    <definedName name="mkl">'[132]Capex-fixed'!#REF!</definedName>
    <definedName name="MKT_2">#REF!</definedName>
    <definedName name="MKT10LC">#REF!</definedName>
    <definedName name="Mkt10Local">#REF!</definedName>
    <definedName name="Mkt10USD">#REF!</definedName>
    <definedName name="MKT11LC">#REF!</definedName>
    <definedName name="Mkt11Local">#REF!</definedName>
    <definedName name="Mkt11USD">#REF!</definedName>
    <definedName name="MKT1LC">#REF!</definedName>
    <definedName name="Mkt1Local">#REF!</definedName>
    <definedName name="Mkt1USD">#REF!</definedName>
    <definedName name="MKT2LC">#REF!</definedName>
    <definedName name="Mkt2Local">#REF!</definedName>
    <definedName name="Mkt2USD">#REF!</definedName>
    <definedName name="MKT3LC">#REF!</definedName>
    <definedName name="Mkt3Local">#REF!</definedName>
    <definedName name="Mkt3USD">#REF!</definedName>
    <definedName name="MKT4LC">#REF!</definedName>
    <definedName name="Mkt4Local">#REF!</definedName>
    <definedName name="Mkt4USD">#REF!</definedName>
    <definedName name="MKT5LC">#REF!</definedName>
    <definedName name="Mkt5Local">#REF!</definedName>
    <definedName name="Mkt5USD">#REF!</definedName>
    <definedName name="MKT6LC">#REF!</definedName>
    <definedName name="Mkt6Local">#REF!</definedName>
    <definedName name="Mkt6USD">#REF!</definedName>
    <definedName name="MKT7LC">#REF!</definedName>
    <definedName name="Mkt7Local">#REF!</definedName>
    <definedName name="Mkt7USD">#REF!</definedName>
    <definedName name="MKT8LC">#REF!</definedName>
    <definedName name="Mkt8Local">#REF!</definedName>
    <definedName name="Mkt8USD">#REF!</definedName>
    <definedName name="MKT9LC">#REF!</definedName>
    <definedName name="Mkt9Local">#REF!</definedName>
    <definedName name="Mkt9USD">#REF!</definedName>
    <definedName name="MKTBLE">'[78]YE-SW2'!$IM$8159</definedName>
    <definedName name="mktcoveredph1a" localSheetId="17">#REF!</definedName>
    <definedName name="mktcoveredph1a">#REF!</definedName>
    <definedName name="mktcoveredph1b">#REF!</definedName>
    <definedName name="mktcoveredph2">#REF!</definedName>
    <definedName name="mktvalue97">#REF!</definedName>
    <definedName name="mm" localSheetId="7" hidden="1">{#N/A,#N/A,TRUE,"Sheet1"}</definedName>
    <definedName name="mm" localSheetId="10" hidden="1">{#N/A,#N/A,TRUE,"Sheet1"}</definedName>
    <definedName name="mm" localSheetId="9" hidden="1">{#N/A,#N/A,TRUE,"Sheet1"}</definedName>
    <definedName name="mm" localSheetId="6" hidden="1">{#N/A,#N/A,TRUE,"Sheet1"}</definedName>
    <definedName name="MM">[274]Sheet1!$H$2:$H$11588</definedName>
    <definedName name="mm_paste" localSheetId="17">[74]LCE!#REF!</definedName>
    <definedName name="mm_paste">[74]LCE!#REF!</definedName>
    <definedName name="mmac">'[103]Core Assumptions'!$E$220</definedName>
    <definedName name="mmm" localSheetId="17">'[132]Capex-fixed'!#REF!</definedName>
    <definedName name="mmm" localSheetId="7" hidden="1">{#N/A,#N/A,FALSE,"COVER.XLS";#N/A,#N/A,FALSE,"RACT1.XLS";#N/A,#N/A,FALSE,"RACT2.XLS";#N/A,#N/A,FALSE,"ECCMP";#N/A,#N/A,FALSE,"WELDER.XLS"}</definedName>
    <definedName name="mmm" localSheetId="10" hidden="1">{#N/A,#N/A,FALSE,"COVER.XLS";#N/A,#N/A,FALSE,"RACT1.XLS";#N/A,#N/A,FALSE,"RACT2.XLS";#N/A,#N/A,FALSE,"ECCMP";#N/A,#N/A,FALSE,"WELDER.XLS"}</definedName>
    <definedName name="mmm" localSheetId="9" hidden="1">{#N/A,#N/A,FALSE,"COVER.XLS";#N/A,#N/A,FALSE,"RACT1.XLS";#N/A,#N/A,FALSE,"RACT2.XLS";#N/A,#N/A,FALSE,"ECCMP";#N/A,#N/A,FALSE,"WELDER.XLS"}</definedName>
    <definedName name="mmm" localSheetId="6" hidden="1">{#N/A,#N/A,FALSE,"COVER.XLS";#N/A,#N/A,FALSE,"RACT1.XLS";#N/A,#N/A,FALSE,"RACT2.XLS";#N/A,#N/A,FALSE,"ECCMP";#N/A,#N/A,FALSE,"WELDER.XLS"}</definedName>
    <definedName name="mmm">'[132]Capex-fixed'!#REF!</definedName>
    <definedName name="mmno">'[103]Core Assumptions'!$C$218</definedName>
    <definedName name="MMRA_Copy" localSheetId="17">#REF!</definedName>
    <definedName name="MMRA_Copy">#REF!</definedName>
    <definedName name="MMRA_Copy_Sum">#REF!</definedName>
    <definedName name="MMRA_Copy1">#REF!</definedName>
    <definedName name="MMRA_Copy1_Sum">#REF!</definedName>
    <definedName name="MMRA_Orig">#REF!</definedName>
    <definedName name="MMRA_Orig_Sum">#REF!</definedName>
    <definedName name="MMRA_Orig1">#REF!</definedName>
    <definedName name="MMRA_Orig1_Sum">#REF!</definedName>
    <definedName name="Mn" localSheetId="17">#REF!</definedName>
    <definedName name="Mn" localSheetId="7">#REF!</definedName>
    <definedName name="Mn" localSheetId="10">#REF!</definedName>
    <definedName name="mn" localSheetId="1">[176]Assum!$B$149</definedName>
    <definedName name="mn" localSheetId="0">[176]Assum!$B$149</definedName>
    <definedName name="Mn" localSheetId="9">#REF!</definedName>
    <definedName name="Mn" localSheetId="6">#REF!</definedName>
    <definedName name="mn">Assum!$B$149</definedName>
    <definedName name="mncrconv">#REF!</definedName>
    <definedName name="Module">[133]Module!$A$1:$N$68</definedName>
    <definedName name="Module1.On_Click" localSheetId="5">[275]!Module1.On_Click</definedName>
    <definedName name="Module1.On_Click" localSheetId="0">[275]!Module1.On_Click</definedName>
    <definedName name="Module1.On_Click">[275]!Module1.On_Click</definedName>
    <definedName name="Monetary_Precision" localSheetId="17">#REF!</definedName>
    <definedName name="Monetary_Precision" localSheetId="7">#REF!</definedName>
    <definedName name="Monetary_Precision" localSheetId="10">#REF!</definedName>
    <definedName name="Monetary_Precision" localSheetId="9">#REF!</definedName>
    <definedName name="Monetary_Precision" localSheetId="6">#REF!</definedName>
    <definedName name="Monetary_Precision">#REF!</definedName>
    <definedName name="MONTH">'[276]SUMMARY SHEET'!$B$4</definedName>
    <definedName name="Month_of_Default">[142]Summary!#REF!</definedName>
    <definedName name="Month_of_Foreclosure">[142]Summary!#REF!</definedName>
    <definedName name="Month1_Ending_Bal">#REF!</definedName>
    <definedName name="MONTHDAY">'[276]SUMMARY SHEET'!$B$3</definedName>
    <definedName name="MONTHLY_MG">#REF!</definedName>
    <definedName name="Monthnum">[277]Input!$D$7</definedName>
    <definedName name="Motar_Car">#REF!</definedName>
    <definedName name="MOTORCAR">#REF!</definedName>
    <definedName name="mould">#REF!</definedName>
    <definedName name="MP_Singh">#REF!</definedName>
    <definedName name="mpl">'[278]Master Price List'!$A$8:$M$87</definedName>
    <definedName name="mpwr">#REF!</definedName>
    <definedName name="MrgMon_pasted" localSheetId="17">[279]MrgMon!$D$18</definedName>
    <definedName name="MrgMon_pasted">[280]MrgMon!$D$18</definedName>
    <definedName name="mrk">#REF!</definedName>
    <definedName name="MSREF_Equity">'[281]Portfolio Summary'!$I$33</definedName>
    <definedName name="MSTable">'[134]MS-Bud'!$A$11:$Y$133</definedName>
    <definedName name="MStVal">[114]Masters!$C$47</definedName>
    <definedName name="msy5onwards" localSheetId="17">#REF!</definedName>
    <definedName name="msy5onwards">#REF!</definedName>
    <definedName name="mtax">'[103]Core Assumptions'!$D$51</definedName>
    <definedName name="mu">#REF!</definedName>
    <definedName name="MultiBucketOrig_R">[142]Rollup!#REF!</definedName>
    <definedName name="MUNISH_PAL">#REF!</definedName>
    <definedName name="MV_Debt">'[72]2. Forecast Drivers'!$D$138</definedName>
    <definedName name="MV_LTOp">'[72]2. Forecast Drivers'!$D$144</definedName>
    <definedName name="MV_Min">'[72]2. Forecast Drivers'!$D$142</definedName>
    <definedName name="MV_OpLease">'[72]2. Forecast Drivers'!$D$139</definedName>
    <definedName name="MV_Prefs">'[72]2. Forecast Drivers'!$D$141</definedName>
    <definedName name="MV_Restr">'[72]2. Forecast Drivers'!$D$143</definedName>
    <definedName name="MV_RetRel">'[72]2. Forecast Drivers'!$D$140</definedName>
    <definedName name="mva">#REF!</definedName>
    <definedName name="MYAF">'[72]2. Forecast Drivers'!$D$341</definedName>
    <definedName name="myDialog">"dial"</definedName>
    <definedName name="n" localSheetId="7" hidden="1">[6]sheet6!#REF!</definedName>
    <definedName name="n" localSheetId="10" hidden="1">[6]sheet6!#REF!</definedName>
    <definedName name="n" localSheetId="9" hidden="1">[6]sheet6!#REF!</definedName>
    <definedName name="n" localSheetId="6" hidden="1">[6]sheet6!#REF!</definedName>
    <definedName name="n">#REF!</definedName>
    <definedName name="N_Rodrigues">#REF!</definedName>
    <definedName name="N_Tandon">#REF!</definedName>
    <definedName name="NA_Average">[106]List_ratios!#REF!</definedName>
    <definedName name="Name">'[72]2. Forecast Drivers'!$D$8</definedName>
    <definedName name="naresh" hidden="1">'[282]269T(final)'!#REF!</definedName>
    <definedName name="NatureBusiness">[114]Masters!$C$45</definedName>
    <definedName name="navneet" localSheetId="7" hidden="1">{"'Sheet3'!$A$1:$B$30"}</definedName>
    <definedName name="navneet" localSheetId="10" hidden="1">{"'Sheet3'!$A$1:$B$30"}</definedName>
    <definedName name="navneet" localSheetId="1" hidden="1">{"'Sheet3'!$A$1:$B$30"}</definedName>
    <definedName name="navneet" localSheetId="0" hidden="1">{"'Sheet3'!$A$1:$B$30"}</definedName>
    <definedName name="navneet" localSheetId="6" hidden="1">{"'Sheet3'!$A$1:$B$30"}</definedName>
    <definedName name="navneet" hidden="1">{"'Sheet3'!$A$1:$B$30"}</definedName>
    <definedName name="NBFC">#REF!</definedName>
    <definedName name="NBS2A">#N/A</definedName>
    <definedName name="NBS2B">#N/A</definedName>
    <definedName name="NBSA1A">#N/A</definedName>
    <definedName name="NBSA1B">#N/A</definedName>
    <definedName name="NBSL1A">#N/A</definedName>
    <definedName name="NBSL1B">#N/A</definedName>
    <definedName name="NDC">[46]Calculator!$M$47</definedName>
    <definedName name="Net_Inv_P2">'[72]2. Forecast Drivers'!$T$311:$AD$311</definedName>
    <definedName name="NetCFDepJ1" localSheetId="17">[185]IRR!#REF!</definedName>
    <definedName name="NetCFDepJ1">[186]IRR!#REF!</definedName>
    <definedName name="NetCFWODepGs" localSheetId="17">[185]IRR!#REF!</definedName>
    <definedName name="NetCFWODepGs">[186]IRR!#REF!</definedName>
    <definedName name="NetCFWODepJ1" localSheetId="17">[185]IRR!#REF!</definedName>
    <definedName name="NetCFWODepJ1">[186]IRR!#REF!</definedName>
    <definedName name="NetDebt">#N/A</definedName>
    <definedName name="NetInterest" localSheetId="7">InterestIncome-InterestExpense</definedName>
    <definedName name="NetInterest" localSheetId="10">InterestIncome-InterestExpense</definedName>
    <definedName name="NetInterest" localSheetId="1">InterestIncome-InterestExpense</definedName>
    <definedName name="NetInterest" localSheetId="0">[0]!InterestIncome-[0]!InterestExpense</definedName>
    <definedName name="NetInterest" localSheetId="6">InterestIncome-InterestExpense</definedName>
    <definedName name="NetInterest">InterestIncome-InterestExpense</definedName>
    <definedName name="NetRevenue" localSheetId="1">'[150]Operating Statistics'!#REF!</definedName>
    <definedName name="NetRevenue" localSheetId="0">'[150]Operating Statistics'!#REF!</definedName>
    <definedName name="NetRevenue">'[150]Operating Statistics'!#REF!</definedName>
    <definedName name="NEUC" localSheetId="1">#REF!</definedName>
    <definedName name="NEUC" localSheetId="0">#REF!</definedName>
    <definedName name="NEUC">#REF!</definedName>
    <definedName name="NEUCHATEL" localSheetId="1">#REF!</definedName>
    <definedName name="NEUCHATEL" localSheetId="0">#REF!</definedName>
    <definedName name="NEUCHATEL">#REF!</definedName>
    <definedName name="NEW" localSheetId="17" hidden="1">#REF!</definedName>
    <definedName name="new" localSheetId="7">[283]Acc_10.5!#REF!</definedName>
    <definedName name="new" localSheetId="10">[283]Acc_10.5!#REF!</definedName>
    <definedName name="NEW" localSheetId="1" hidden="1">#REF!</definedName>
    <definedName name="NEW" localSheetId="0" hidden="1">#REF!</definedName>
    <definedName name="new" localSheetId="9">[283]Acc_10.5!#REF!</definedName>
    <definedName name="new" localSheetId="6">[283]Acc_10.5!#REF!</definedName>
    <definedName name="NEW" hidden="1">#REF!</definedName>
    <definedName name="NEW_COLUMN_3" hidden="1">'[284]FA Schedule Dec 07'!$M$1:$M$65536</definedName>
    <definedName name="NEW_TABLE">#REF!</definedName>
    <definedName name="New_Zealand">[106]List_ratios!#REF!</definedName>
    <definedName name="newack2">#REF!</definedName>
    <definedName name="newB" localSheetId="17">#REF!</definedName>
    <definedName name="newB">#REF!</definedName>
    <definedName name="NEWBASIC">[243]Sheet1!$A$25:$G$31</definedName>
    <definedName name="NEWLINE">'[103]Core Assumptions'!$C$251</definedName>
    <definedName name="newmar99" localSheetId="17">'[17]dhs-XTL'!#REF!</definedName>
    <definedName name="newmar99">'[17]dhs-XTL'!#REF!</definedName>
    <definedName name="newmr">[46]Calculator!$P$5</definedName>
    <definedName name="newpast" localSheetId="17">#REF!</definedName>
    <definedName name="newpast">#REF!</definedName>
    <definedName name="NextFile">[225]Macro1!$B$4</definedName>
    <definedName name="NextFile8">[225]Macro1!$AI$4</definedName>
    <definedName name="Nil" localSheetId="7" hidden="1">{#N/A,#N/A,FALSE,"Aging Summary";#N/A,#N/A,FALSE,"Ratio Analysis";#N/A,#N/A,FALSE,"Test 120 Day Accts";#N/A,#N/A,FALSE,"Tickmarks"}</definedName>
    <definedName name="Nil" localSheetId="10" hidden="1">{#N/A,#N/A,FALSE,"Aging Summary";#N/A,#N/A,FALSE,"Ratio Analysis";#N/A,#N/A,FALSE,"Test 120 Day Accts";#N/A,#N/A,FALSE,"Tickmarks"}</definedName>
    <definedName name="Nil" localSheetId="1" hidden="1">{#N/A,#N/A,FALSE,"Aging Summary";#N/A,#N/A,FALSE,"Ratio Analysis";#N/A,#N/A,FALSE,"Test 120 Day Accts";#N/A,#N/A,FALSE,"Tickmarks"}</definedName>
    <definedName name="Nil" localSheetId="0" hidden="1">{#N/A,#N/A,FALSE,"Aging Summary";#N/A,#N/A,FALSE,"Ratio Analysis";#N/A,#N/A,FALSE,"Test 120 Day Accts";#N/A,#N/A,FALSE,"Tickmarks"}</definedName>
    <definedName name="Nil" localSheetId="6" hidden="1">{#N/A,#N/A,FALSE,"Aging Summary";#N/A,#N/A,FALSE,"Ratio Analysis";#N/A,#N/A,FALSE,"Test 120 Day Accts";#N/A,#N/A,FALSE,"Tickmarks"}</definedName>
    <definedName name="Nil" hidden="1">{#N/A,#N/A,FALSE,"Aging Summary";#N/A,#N/A,FALSE,"Ratio Analysis";#N/A,#N/A,FALSE,"Test 120 Day Accts";#N/A,#N/A,FALSE,"Tickmarks"}</definedName>
    <definedName name="NIT">#N/A</definedName>
    <definedName name="Nitin" hidden="1">'[285]Sheet3 (2)'!$A$60:$A$76</definedName>
    <definedName name="NKEL" localSheetId="17">[177]Lrnet_Inftch!#REF!</definedName>
    <definedName name="NKEL">[178]Lrnet_Inftch!#REF!</definedName>
    <definedName name="nldvoicegrowthyr1" localSheetId="17">#REF!</definedName>
    <definedName name="nldvoicegrowthyr1">#REF!</definedName>
    <definedName name="nldvoicegrowthyr2">#REF!</definedName>
    <definedName name="nldvoicegrowthyr3">#REF!</definedName>
    <definedName name="nldvoicegrowthyr4">#REF!</definedName>
    <definedName name="nldvoicegrowthyr5onwards">#REF!</definedName>
    <definedName name="nn" localSheetId="17" hidden="1">{#N/A,#N/A,FALSE,"Part ABC"}</definedName>
    <definedName name="nn" localSheetId="1" hidden="1">{#N/A,#N/A,FALSE,"Part ABC"}</definedName>
    <definedName name="nn" localSheetId="0" hidden="1">{#N/A,#N/A,FALSE,"Part ABC"}</definedName>
    <definedName name="nn" hidden="1">{#N/A,#N/A,FALSE,"Part ABC"}</definedName>
    <definedName name="nnkklj">#REF!</definedName>
    <definedName name="nnn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 localSheetId="1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>'[132]Capex-fixed'!#REF!</definedName>
    <definedName name="nnnnnnn">#REF!</definedName>
    <definedName name="NO_G">#REF!</definedName>
    <definedName name="No_of_technical_training_hours_required">[120]Assumptions!#REF!</definedName>
    <definedName name="NOA_Bal">'[72]2. Forecast Drivers'!$E$107:$S$107</definedName>
    <definedName name="NOA_Cash">'[72]2. Forecast Drivers'!$E$106:$S$106</definedName>
    <definedName name="NOI">'[72]2. Forecast Drivers'!$E$153:$S$153</definedName>
    <definedName name="noj">'[132]Capex-fixed'!#REF!</definedName>
    <definedName name="nonop">[131]Capital!$Q$82:$Q$88</definedName>
    <definedName name="NOOFFFSEGMENTS1">[69]CRITERIA1!$B$18</definedName>
    <definedName name="NoOfItemChanges">'[121]Category Breakup'!$AE$12</definedName>
    <definedName name="NoOfItems">'[121]Category Breakup'!$AB$12</definedName>
    <definedName name="NOPAT">#REF!</definedName>
    <definedName name="nopat97">#REF!</definedName>
    <definedName name="nopatadj">#REF!</definedName>
    <definedName name="nopatcapital97">#REF!</definedName>
    <definedName name="NOPATLink">[151]Nopat_by_Years_Valuation!$B$8</definedName>
    <definedName name="nopatsales97">#REF!</definedName>
    <definedName name="NOPLAT">'[72]3. Results'!$E$145:$AD$145</definedName>
    <definedName name="NOPLAT_P2">'[72]2. Forecast Drivers'!$T$300:$AD$300</definedName>
    <definedName name="NORM">#REF!</definedName>
    <definedName name="normalcapex" localSheetId="17">#REF!</definedName>
    <definedName name="normalcapex">#REF!</definedName>
    <definedName name="norms">#REF!</definedName>
    <definedName name="Nos">#REF!</definedName>
    <definedName name="NOTE_1">#REF!</definedName>
    <definedName name="Note_10_12">#REF!</definedName>
    <definedName name="note_2">#REF!</definedName>
    <definedName name="NOTE_3">#REF!</definedName>
    <definedName name="NOTE_4">#REF!</definedName>
    <definedName name="Note_7_9">#REF!</definedName>
    <definedName name="Note_Cap_Crit">#REF!</definedName>
    <definedName name="Note_inc_Exp">#REF!</definedName>
    <definedName name="Note_to_Auditors">#REF!</definedName>
    <definedName name="NOTES">#REF!</definedName>
    <definedName name="Notes_1_6">#REF!</definedName>
    <definedName name="NOTES_MAINCOMP">#REF!</definedName>
    <definedName name="NOTES_ON_ACCT">[211]tb!#REF!</definedName>
    <definedName name="NOTES1">#REF!</definedName>
    <definedName name="NOTES2">#REF!</definedName>
    <definedName name="npa">#REF!</definedName>
    <definedName name="NPV">#REF!</definedName>
    <definedName name="NPV_Rate">#REF!</definedName>
    <definedName name="NPVeq">#REF!</definedName>
    <definedName name="NPVtot">#REF!</definedName>
    <definedName name="NSC">#REF!</definedName>
    <definedName name="ntax">'[103]Core Assumptions'!$E$51</definedName>
    <definedName name="NTD" localSheetId="17">[138]Facility!$C$277</definedName>
    <definedName name="NTD">[139]Facility!$C$277</definedName>
    <definedName name="Num_Pmt_Per_Year">#REF!</definedName>
    <definedName name="NUMBER">#REF!</definedName>
    <definedName name="Number_of_Payments" localSheetId="7">MATCH(0.01,End_Bal,-1)+1</definedName>
    <definedName name="Number_of_Payments" localSheetId="10">MATCH(0.01,End_Bal,-1)+1</definedName>
    <definedName name="Number_of_Payments" localSheetId="1">MATCH(0.01,End_Bal,-1)+1</definedName>
    <definedName name="Number_of_Payments" localSheetId="0">MATCH(0.01,[0]!End_Bal,-1)+1</definedName>
    <definedName name="Number_of_Payments" localSheetId="6">MATCH(0.01,End_Bal,-1)+1</definedName>
    <definedName name="Number_of_Payments">MATCH(0.01,End_Bal,-1)+1</definedName>
    <definedName name="Number_of_Selections">[22]CMA_Calculations!$F$125</definedName>
    <definedName name="NUMBEROFDETAILFIELDS1">[69]CRITERIA1!$B$29</definedName>
    <definedName name="NUMBEROFHEADERFIELDS1">[69]CRITERIA1!$B$28</definedName>
    <definedName name="nvission">"V2006-10-01"</definedName>
    <definedName name="NVS">"V2006-07-02"</definedName>
    <definedName name="NvsASD">"V2006-04-30"</definedName>
    <definedName name="NvsASD1">"V2007-12-30"</definedName>
    <definedName name="NvsAutoDrillOk">"VN"</definedName>
    <definedName name="NvsElapsedTime">0.000543981484952383</definedName>
    <definedName name="NvsElapsedTime1">0.000439814815763384</definedName>
    <definedName name="NvsEndTime">38853.4307523148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"%,X,RZT.ACCOUNT.,CZF.."</definedName>
    <definedName name="NvsPanelEffdt">"V1900-01-01"</definedName>
    <definedName name="NvsPanelSetid">"VLTDCO"</definedName>
    <definedName name="NvsReqBU">"VINDPL"</definedName>
    <definedName name="NvsReqBUOnly">"VY"</definedName>
    <definedName name="NvsTransLed">"VN"</definedName>
    <definedName name="NvsTreeASD">"V2006-04-30"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o" localSheetId="17" hidden="1">#REF!</definedName>
    <definedName name="o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o" localSheetId="1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o" localSheetId="9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o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o" hidden="1">#REF!</definedName>
    <definedName name="O_M" localSheetId="17">[100]Sensitivity!$E$8</definedName>
    <definedName name="O_M">[101]Sensitivity!$E$8</definedName>
    <definedName name="oandm_var_mod">[119]Assumptions!$L$40</definedName>
    <definedName name="oc">[286]Sensitivity!$J$12</definedName>
    <definedName name="OCA">'[72]2. Forecast Drivers'!$E$54:$S$54</definedName>
    <definedName name="OCC_SWITCH">#REF!</definedName>
    <definedName name="OCL">'[72]2. Forecast Drivers'!$E$57:$S$57</definedName>
    <definedName name="OCOST">#REF!</definedName>
    <definedName name="OCR" localSheetId="17">#REF!</definedName>
    <definedName name="OCR">#REF!</definedName>
    <definedName name="octroi">#REF!</definedName>
    <definedName name="OctroiArea">[122]Assumptions!#REF!</definedName>
    <definedName name="OD" localSheetId="17">'[91]Pool details'!$Y$3:$Y$4876</definedName>
    <definedName name="OD" localSheetId="7">'[72]2. Forecast Drivers'!$E$200:$S$200</definedName>
    <definedName name="OD" localSheetId="10">'[72]2. Forecast Drivers'!$E$200:$S$200</definedName>
    <definedName name="OD" localSheetId="9">'[72]2. Forecast Drivers'!$E$200:$S$200</definedName>
    <definedName name="OD" localSheetId="6">'[72]2. Forecast Drivers'!$E$200:$S$200</definedName>
    <definedName name="OD">'[92]Pool details'!$Y$3:$Y$4876</definedName>
    <definedName name="OFFER">[287]DMS_Configurator!$B$4</definedName>
    <definedName name="Office_Equipments">#REF!</definedName>
    <definedName name="OH">#REF!</definedName>
    <definedName name="OIB" localSheetId="17">#REF!</definedName>
    <definedName name="OIB">#REF!</definedName>
    <definedName name="ok" localSheetId="7" hidden="1">{#N/A,#N/A,FALSE,"COVER1.XLS ";#N/A,#N/A,FALSE,"RACT1.XLS";#N/A,#N/A,FALSE,"RACT2.XLS";#N/A,#N/A,FALSE,"ECCMP";#N/A,#N/A,FALSE,"WELDER.XLS"}</definedName>
    <definedName name="ok" localSheetId="10" hidden="1">{#N/A,#N/A,FALSE,"COVER1.XLS ";#N/A,#N/A,FALSE,"RACT1.XLS";#N/A,#N/A,FALSE,"RACT2.XLS";#N/A,#N/A,FALSE,"ECCMP";#N/A,#N/A,FALSE,"WELDER.XLS"}</definedName>
    <definedName name="ok" localSheetId="1" hidden="1">{#N/A,#N/A,FALSE,"COVER1.XLS ";#N/A,#N/A,FALSE,"RACT1.XLS";#N/A,#N/A,FALSE,"RACT2.XLS";#N/A,#N/A,FALSE,"ECCMP";#N/A,#N/A,FALSE,"WELDER.XLS"}</definedName>
    <definedName name="ok" localSheetId="0" hidden="1">{#N/A,#N/A,FALSE,"COVER1.XLS ";#N/A,#N/A,FALSE,"RACT1.XLS";#N/A,#N/A,FALSE,"RACT2.XLS";#N/A,#N/A,FALSE,"ECCMP";#N/A,#N/A,FALSE,"WELDER.XLS"}</definedName>
    <definedName name="ok" localSheetId="6" hidden="1">{#N/A,#N/A,FALSE,"COVER1.XLS ";#N/A,#N/A,FALSE,"RACT1.XLS";#N/A,#N/A,FALSE,"RACT2.XLS";#N/A,#N/A,FALSE,"ECCMP";#N/A,#N/A,FALSE,"WELDER.XLS"}</definedName>
    <definedName name="ok" hidden="1">{#N/A,#N/A,FALSE,"COVER1.XLS ";#N/A,#N/A,FALSE,"RACT1.XLS";#N/A,#N/A,FALSE,"RACT2.XLS";#N/A,#N/A,FALSE,"ECCMP";#N/A,#N/A,FALSE,"WELDER.XLS"}</definedName>
    <definedName name="OL_PAKI" localSheetId="17">[259]海外WORK!#REF!</definedName>
    <definedName name="OL_PAKI">[260]海外WORK!#REF!</definedName>
    <definedName name="OLDHRA">'[243]OLD-HRA'!$A$2:$C$491</definedName>
    <definedName name="oldsur_usincome">[46]Calculator!$P$4</definedName>
    <definedName name="Olklkk">#REF!</definedName>
    <definedName name="OLS" localSheetId="17">#REF!</definedName>
    <definedName name="OLS">#REF!</definedName>
    <definedName name="OM" hidden="1">20</definedName>
    <definedName name="OM.5">#REF!</definedName>
    <definedName name="OM_1">#REF!</definedName>
    <definedName name="OM_1.5">#REF!</definedName>
    <definedName name="OM_2">#REF!</definedName>
    <definedName name="OM_2.5">#REF!</definedName>
    <definedName name="OM_3">#REF!</definedName>
    <definedName name="OMS_P2_M" localSheetId="17">'[85]末残計画(四半期ベース)'!$F$855</definedName>
    <definedName name="OMS_P2_M">'[86]末残計画(四半期ベース)'!$F$855</definedName>
    <definedName name="OMS_P2_Q" localSheetId="17">'[85]末残計画(四半期ベース)'!$G$855</definedName>
    <definedName name="OMS_P2_Q">'[86]末残計画(四半期ベース)'!$G$855</definedName>
    <definedName name="OMS_PX2_M" localSheetId="17">'[85]末残計画(四半期ベース)'!$F$851</definedName>
    <definedName name="OMS_PX2_M">'[86]末残計画(四半期ベース)'!$F$851</definedName>
    <definedName name="OMS_PX2_Q" localSheetId="17">'[85]末残計画(四半期ベース)'!$G$851</definedName>
    <definedName name="OMS_PX2_Q">'[86]末残計画(四半期ベース)'!$G$851</definedName>
    <definedName name="OMS_PY2_M" localSheetId="17">'[85]末残計画(四半期ベース)'!$F$853</definedName>
    <definedName name="OMS_PY2_M">'[86]末残計画(四半期ベース)'!$F$853</definedName>
    <definedName name="OMS_PY2_Q" localSheetId="17">'[85]末残計画(四半期ベース)'!$G$853</definedName>
    <definedName name="OMS_PY2_Q">'[86]末残計画(四半期ベース)'!$G$853</definedName>
    <definedName name="OMS_R2_M" localSheetId="17">'[85]末残計画(四半期ベース)'!$F$856</definedName>
    <definedName name="OMS_R2_M">'[86]末残計画(四半期ベース)'!$F$856</definedName>
    <definedName name="OMS_R2_Q" localSheetId="17">'[85]末残計画(四半期ベース)'!$G$856</definedName>
    <definedName name="OMS_R2_Q">'[86]末残計画(四半期ベース)'!$G$856</definedName>
    <definedName name="OMS_RX2_M" localSheetId="17">'[85]末残計画(四半期ベース)'!$F$852</definedName>
    <definedName name="OMS_RX2_M">'[86]末残計画(四半期ベース)'!$F$852</definedName>
    <definedName name="OMS_RX2_Q" localSheetId="17">'[85]末残計画(四半期ベース)'!$G$852</definedName>
    <definedName name="OMS_RX2_Q">'[86]末残計画(四半期ベース)'!$G$852</definedName>
    <definedName name="OMS_RY2_M" localSheetId="17">'[85]末残計画(四半期ベース)'!$F$854</definedName>
    <definedName name="OMS_RY2_M">'[86]末残計画(四半期ベース)'!$F$854</definedName>
    <definedName name="OMS_RY2_Q" localSheetId="17">'[85]末残計画(四半期ベース)'!$G$854</definedName>
    <definedName name="OMS_RY2_Q">'[86]末残計画(四半期ベース)'!$G$854</definedName>
    <definedName name="On_Click" localSheetId="5">[288]!On_Click</definedName>
    <definedName name="On_Click" localSheetId="0">[288]!On_Click</definedName>
    <definedName name="On_Click">[288]!On_Click</definedName>
    <definedName name="One">'[72]2. Forecast Drivers'!$D$330</definedName>
    <definedName name="ONM_Base">#REF!</definedName>
    <definedName name="ONM_SEN">#REF!</definedName>
    <definedName name="OOA_Bal">'[72]2. Forecast Drivers'!$E$97:$S$97</definedName>
    <definedName name="OOA_Cash">'[72]2. Forecast Drivers'!$E$96:$S$96</definedName>
    <definedName name="OOE">'[72]2. Forecast Drivers'!$E$37:$S$37</definedName>
    <definedName name="OOL_Bal">'[72]2. Forecast Drivers'!$E$102:$S$102</definedName>
    <definedName name="OOL_Cash">'[72]2. Forecast Drivers'!$E$101:$S$101</definedName>
    <definedName name="ooo">#REF!</definedName>
    <definedName name="oooo" localSheetId="17">#REF!</definedName>
    <definedName name="oooo">#REF!</definedName>
    <definedName name="OOP_Bal">'[72]2. Forecast Drivers'!$E$166:$S$166</definedName>
    <definedName name="OOP_Cash">'[72]2. Forecast Drivers'!$F$165:$S$165</definedName>
    <definedName name="oopppp\" hidden="1">#REF!</definedName>
    <definedName name="OOR">'[72]2. Forecast Drivers'!$E$28:$S$28</definedName>
    <definedName name="op_stk_rough_99">#REF!</definedName>
    <definedName name="OpCash">'[72]2. Forecast Drivers'!$E$42:$S$42</definedName>
    <definedName name="opcfdrate" localSheetId="17">[289]EconSummary!$D$4</definedName>
    <definedName name="opcfdrate">[290]EconSummary!$D$4</definedName>
    <definedName name="open" localSheetId="7" hidden="1">{"plansummary",#N/A,FALSE,"PlanSummary";"sales",#N/A,FALSE,"Sales Rec";"productivity",#N/A,FALSE,"Productivity Rec";"capitalspending",#N/A,FALSE,"Capital Spending"}</definedName>
    <definedName name="open" localSheetId="10" hidden="1">{"plansummary",#N/A,FALSE,"PlanSummary";"sales",#N/A,FALSE,"Sales Rec";"productivity",#N/A,FALSE,"Productivity Rec";"capitalspending",#N/A,FALSE,"Capital Spending"}</definedName>
    <definedName name="open" localSheetId="1" hidden="1">{"plansummary",#N/A,FALSE,"PlanSummary";"sales",#N/A,FALSE,"Sales Rec";"productivity",#N/A,FALSE,"Productivity Rec";"capitalspending",#N/A,FALSE,"Capital Spending"}</definedName>
    <definedName name="open" localSheetId="0" hidden="1">{"plansummary",#N/A,FALSE,"PlanSummary";"sales",#N/A,FALSE,"Sales Rec";"productivity",#N/A,FALSE,"Productivity Rec";"capitalspending",#N/A,FALSE,"Capital Spending"}</definedName>
    <definedName name="open" localSheetId="6" hidden="1">{"plansummary",#N/A,FALSE,"PlanSummary";"sales",#N/A,FALSE,"Sales Rec";"productivity",#N/A,FALSE,"Productivity Rec";"capitalspending",#N/A,FALSE,"Capital Spending"}</definedName>
    <definedName name="open" hidden="1">{"plansummary",#N/A,FALSE,"PlanSummary";"sales",#N/A,FALSE,"Sales Rec";"productivity",#N/A,FALSE,"Productivity Rec";"capitalspending",#N/A,FALSE,"Capital Spending"}</definedName>
    <definedName name="Open_Confirm" localSheetId="17">#REF!</definedName>
    <definedName name="Open_Confirm">#REF!</definedName>
    <definedName name="operating_print">#REF!</definedName>
    <definedName name="operations">#REF!</definedName>
    <definedName name="OpLease_Bal">'[72]2. Forecast Drivers'!$E$128:$S$128</definedName>
    <definedName name="OpLease_Cash">'[72]2. Forecast Drivers'!$E$129:$S$129</definedName>
    <definedName name="OpLease_Int">'[72]2. Forecast Drivers'!$E$131:$S$131</definedName>
    <definedName name="OPTION_COPY">#REF!</definedName>
    <definedName name="OptionChk1" localSheetId="5">[135]!OptionChk1</definedName>
    <definedName name="OptionChk1" localSheetId="0">[135]!OptionChk1</definedName>
    <definedName name="OptionChk1">[135]!OptionChk1</definedName>
    <definedName name="OptionChk2" localSheetId="5">[135]!OptionChk2</definedName>
    <definedName name="OptionChk2" localSheetId="0">[135]!OptionChk2</definedName>
    <definedName name="OptionChk2">[135]!OptionChk2</definedName>
    <definedName name="OptionChk3" localSheetId="5">[135]!OptionChk3</definedName>
    <definedName name="OptionChk3" localSheetId="0">[135]!OptionChk3</definedName>
    <definedName name="OptionChk3">[135]!OptionChk3</definedName>
    <definedName name="Options">'[72]2. Forecast Drivers'!$D$145</definedName>
    <definedName name="optpatchcord" localSheetId="17">'[132]Capex-fixed'!#REF!</definedName>
    <definedName name="optpatchcord">'[132]Capex-fixed'!#REF!</definedName>
    <definedName name="order_value">#REF!</definedName>
    <definedName name="OrderTable" hidden="1">#REF!</definedName>
    <definedName name="Orig_R">[142]Rollup!#REF!</definedName>
    <definedName name="origination_mode" localSheetId="17">[291]EMI!$B$3:$B$2468</definedName>
    <definedName name="origination_mode">[292]EMI!$B$3:$B$2468</definedName>
    <definedName name="OrigLoan_R">[142]Rollup!#REF!</definedName>
    <definedName name="os.BalanceNoRaceHorse">[46]CG_OS!$J$91</definedName>
    <definedName name="os.BalanceOwnRaceHorse">[46]CG_OS!$J$97</definedName>
    <definedName name="os.DeductSec57">[46]CG_OS!$H$96</definedName>
    <definedName name="os.Receipts">[46]CG_OS!$H$95</definedName>
    <definedName name="os.TotalOSGross">[46]CG_OS!$J$86</definedName>
    <definedName name="os.TotDeductions">[46]CG_OS!$H$90</definedName>
    <definedName name="os.TotOthSrcNoRaceHorse">[46]CG_OS!$J$93</definedName>
    <definedName name="os.WinLottRacePuzz">[46]CG_OS!$J$92</definedName>
    <definedName name="OSL">#REF!</definedName>
    <definedName name="osloss1.unabs">'[46]CYLA BFLA'!$F$61</definedName>
    <definedName name="OSP_Maintenance">[149]assumptions!#REF!</definedName>
    <definedName name="ospmaintenance" localSheetId="17">#REF!</definedName>
    <definedName name="ospmaintenance">#REF!</definedName>
    <definedName name="OSSbssdis">#REF!</definedName>
    <definedName name="Oth">#REF!</definedName>
    <definedName name="OTHER_ASSETS">'[129]MN T.B.'!$A$221:$H$273</definedName>
    <definedName name="Other_Costs">#REF!</definedName>
    <definedName name="other_dep_99">#REF!</definedName>
    <definedName name="OTHER_ERN">'[129]MN T.B.'!$A$171:$H$219</definedName>
    <definedName name="Other_exp_99">#REF!</definedName>
    <definedName name="other_labour">#REF!</definedName>
    <definedName name="OTHER_LIAB">'[129]MN T.B.'!$A$275:$H$315</definedName>
    <definedName name="Other_S___M_Costs_on_Revenue">[128]assumptions!$D$43</definedName>
    <definedName name="OTHER1">'[129]MN T.B.'!$A$163:$H$314</definedName>
    <definedName name="otherfinancialcharge">'[132]NLD - Assum'!#REF!</definedName>
    <definedName name="otherinterconnectperldca" localSheetId="17">#REF!</definedName>
    <definedName name="otherinterconnectperldca">#REF!</definedName>
    <definedName name="othernwtfcy1">#REF!</definedName>
    <definedName name="othernwtfcy2">#REF!</definedName>
    <definedName name="othernwtfcy3">#REF!</definedName>
    <definedName name="othernwtfcy4">#REF!</definedName>
    <definedName name="othernwtfcy5onwards">#REF!</definedName>
    <definedName name="otherosincome">'[46]CYLA BFLA'!$O$15</definedName>
    <definedName name="otherosincome.bf">'[46]CYLA BFLA'!$AF$15</definedName>
    <definedName name="otherosincome.bp">'[46]CYLA BFLA'!$AB$15</definedName>
    <definedName name="otherosincome.hp">'[46]CYLA BFLA'!$X$15</definedName>
    <definedName name="otherosincome.ih">'[46]CYLA BFLA'!$Q$15</definedName>
    <definedName name="otherosincome.os">'[46]CYLA BFLA'!$T$15</definedName>
    <definedName name="otherosincome.rem">'[46]CYLA BFLA'!$AO$12</definedName>
    <definedName name="otherosloss">'[46]CYLA BFLA'!$P$15</definedName>
    <definedName name="otherosloss.aftbfl">'[46]CYLA BFLA'!$AH$15</definedName>
    <definedName name="otherosloss.bf">'[46]CYLA BFLA'!$AE$15</definedName>
    <definedName name="otherosloss.bfadj">'[46]CYLA BFLA'!$AG$15</definedName>
    <definedName name="otherosloss.bp">'[46]CYLA BFLA'!$AD$15</definedName>
    <definedName name="otherosloss.hp">'[46]CYLA BFLA'!$Z$15</definedName>
    <definedName name="otherosloss.ih">'[46]CYLA BFLA'!$R$15</definedName>
    <definedName name="otherosloss.os">'[46]CYLA BFLA'!$V$15</definedName>
    <definedName name="otherosloss.unabs">'[46]CYLA BFLA'!$AN$12</definedName>
    <definedName name="Others" localSheetId="7" hidden="1">{#N/A,#N/A,FALSE,"COVER1.XLS ";#N/A,#N/A,FALSE,"RACT1.XLS";#N/A,#N/A,FALSE,"RACT2.XLS";#N/A,#N/A,FALSE,"ECCMP";#N/A,#N/A,FALSE,"WELDER.XLS"}</definedName>
    <definedName name="Others" localSheetId="10" hidden="1">{#N/A,#N/A,FALSE,"COVER1.XLS ";#N/A,#N/A,FALSE,"RACT1.XLS";#N/A,#N/A,FALSE,"RACT2.XLS";#N/A,#N/A,FALSE,"ECCMP";#N/A,#N/A,FALSE,"WELDER.XLS"}</definedName>
    <definedName name="Others" localSheetId="1" hidden="1">{#N/A,#N/A,FALSE,"COVER1.XLS ";#N/A,#N/A,FALSE,"RACT1.XLS";#N/A,#N/A,FALSE,"RACT2.XLS";#N/A,#N/A,FALSE,"ECCMP";#N/A,#N/A,FALSE,"WELDER.XLS"}</definedName>
    <definedName name="Others" localSheetId="0" hidden="1">{#N/A,#N/A,FALSE,"COVER1.XLS ";#N/A,#N/A,FALSE,"RACT1.XLS";#N/A,#N/A,FALSE,"RACT2.XLS";#N/A,#N/A,FALSE,"ECCMP";#N/A,#N/A,FALSE,"WELDER.XLS"}</definedName>
    <definedName name="Others" localSheetId="6" hidden="1">{#N/A,#N/A,FALSE,"COVER1.XLS ";#N/A,#N/A,FALSE,"RACT1.XLS";#N/A,#N/A,FALSE,"RACT2.XLS";#N/A,#N/A,FALSE,"ECCMP";#N/A,#N/A,FALSE,"WELDER.XLS"}</definedName>
    <definedName name="Others" hidden="1">{#N/A,#N/A,FALSE,"COVER1.XLS ";#N/A,#N/A,FALSE,"RACT1.XLS";#N/A,#N/A,FALSE,"RACT2.XLS";#N/A,#N/A,FALSE,"ECCMP";#N/A,#N/A,FALSE,"WELDER.XLS"}</definedName>
    <definedName name="OTHLIAB">#REF!</definedName>
    <definedName name="othpay">[152]tb!$G$804:$O$926</definedName>
    <definedName name="othSecinclnlhrs.IncOfCurYrAfterSetOff3">'[46]CYLA BFLA'!$H$12</definedName>
    <definedName name="othSecinclnlhrs.IncOfCurYrUnderThatHead3">'[46]CYLA BFLA'!$D$12</definedName>
    <definedName name="othsrcincl.BFlossPrevYrUndSameHeadSetoff5">'[46]CYLA BFLA'!$E$26</definedName>
    <definedName name="othsrcincl.BFUnabsorbedDeprSetoff5">'[46]CYLA BFLA'!$F$26</definedName>
    <definedName name="otr_labour">#REF!</definedName>
    <definedName name="otr_labour_99">#REF!</definedName>
    <definedName name="outofareashipcost">[122]Assumptions!#REF!</definedName>
    <definedName name="OutOfAreaShipPercent">[122]Assumptions!#REF!</definedName>
    <definedName name="OUTPUT_AREA">#REF!</definedName>
    <definedName name="Outputs">#REF!</definedName>
    <definedName name="outsourcedmanpowerph1a">#REF!</definedName>
    <definedName name="outsourcedmanpowerph1b">#REF!</definedName>
    <definedName name="outsourcedmanpowerph2">#REF!</definedName>
    <definedName name="P" localSheetId="7">#REF!</definedName>
    <definedName name="P" localSheetId="10">#REF!</definedName>
    <definedName name="P" localSheetId="9">#REF!</definedName>
    <definedName name="P" localSheetId="6">#REF!</definedName>
    <definedName name="p">#REF!</definedName>
    <definedName name="P___L___Statement">#REF!</definedName>
    <definedName name="P_1">#REF!</definedName>
    <definedName name="P_2">#REF!</definedName>
    <definedName name="P_3">#REF!</definedName>
    <definedName name="P_and_L">#REF!</definedName>
    <definedName name="P_L">#REF!</definedName>
    <definedName name="P_M">#REF!</definedName>
    <definedName name="P_MARVINKURVE">#REF!</definedName>
    <definedName name="P_Som">#REF!</definedName>
    <definedName name="P0">#REF!</definedName>
    <definedName name="P1_">#REF!</definedName>
    <definedName name="p2_">#REF!</definedName>
    <definedName name="p3_">#REF!</definedName>
    <definedName name="P90_var_mod">[119]Assumptions!$L$41</definedName>
    <definedName name="PAF">[71]Assumptions!$C$44</definedName>
    <definedName name="PAF_Base">#REF!</definedName>
    <definedName name="PAF_SEN">#REF!</definedName>
    <definedName name="PAG">#REF!</definedName>
    <definedName name="Page" localSheetId="7" hidden="1">{#N/A,#N/A,FALSE,"COVER.XLS";#N/A,#N/A,FALSE,"RACT1.XLS";#N/A,#N/A,FALSE,"RACT2.XLS";#N/A,#N/A,FALSE,"ECCMP";#N/A,#N/A,FALSE,"WELDER.XLS"}</definedName>
    <definedName name="Page" localSheetId="10" hidden="1">{#N/A,#N/A,FALSE,"COVER.XLS";#N/A,#N/A,FALSE,"RACT1.XLS";#N/A,#N/A,FALSE,"RACT2.XLS";#N/A,#N/A,FALSE,"ECCMP";#N/A,#N/A,FALSE,"WELDER.XLS"}</definedName>
    <definedName name="Page" localSheetId="1" hidden="1">{#N/A,#N/A,FALSE,"COVER.XLS";#N/A,#N/A,FALSE,"RACT1.XLS";#N/A,#N/A,FALSE,"RACT2.XLS";#N/A,#N/A,FALSE,"ECCMP";#N/A,#N/A,FALSE,"WELDER.XLS"}</definedName>
    <definedName name="Page" localSheetId="0" hidden="1">{#N/A,#N/A,FALSE,"COVER.XLS";#N/A,#N/A,FALSE,"RACT1.XLS";#N/A,#N/A,FALSE,"RACT2.XLS";#N/A,#N/A,FALSE,"ECCMP";#N/A,#N/A,FALSE,"WELDER.XLS"}</definedName>
    <definedName name="Page" localSheetId="6" hidden="1">{#N/A,#N/A,FALSE,"COVER.XLS";#N/A,#N/A,FALSE,"RACT1.XLS";#N/A,#N/A,FALSE,"RACT2.XLS";#N/A,#N/A,FALSE,"ECCMP";#N/A,#N/A,FALSE,"WELDER.XLS"}</definedName>
    <definedName name="Page" hidden="1">{#N/A,#N/A,FALSE,"COVER.XLS";#N/A,#N/A,FALSE,"RACT1.XLS";#N/A,#N/A,FALSE,"RACT2.XLS";#N/A,#N/A,FALSE,"ECCMP";#N/A,#N/A,FALSE,"WELDER.XLS"}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7">#REF!</definedName>
    <definedName name="page_8">#REF!</definedName>
    <definedName name="page_9">#REF!</definedName>
    <definedName name="page1">#REF!</definedName>
    <definedName name="page10">#REF!</definedName>
    <definedName name="PAGE10_6">#REF!</definedName>
    <definedName name="PAGE11_6">#REF!</definedName>
    <definedName name="PAGE12_6">#REF!</definedName>
    <definedName name="PAGE14">#REF!</definedName>
    <definedName name="PAGE15">#REF!</definedName>
    <definedName name="PAGE16">#REF!</definedName>
    <definedName name="PAGE17">#REF!</definedName>
    <definedName name="PAGE18">#REF!</definedName>
    <definedName name="PAGE19">#REF!</definedName>
    <definedName name="page2">#REF!</definedName>
    <definedName name="PAGE2_6">#REF!</definedName>
    <definedName name="PAGE20">#REF!</definedName>
    <definedName name="PAGE21">#REF!</definedName>
    <definedName name="PAGE210">#REF!</definedName>
    <definedName name="PAGE22">#REF!</definedName>
    <definedName name="PAGE23">#REF!</definedName>
    <definedName name="PAGE24">#REF!</definedName>
    <definedName name="PAGE25">#REF!</definedName>
    <definedName name="PAGE26">#REF!</definedName>
    <definedName name="PAGE27">#REF!</definedName>
    <definedName name="PAGE28">#REF!</definedName>
    <definedName name="PAGE29">#REF!</definedName>
    <definedName name="page3">#REF!</definedName>
    <definedName name="PAGE3_6">#REF!</definedName>
    <definedName name="page34">#REF!</definedName>
    <definedName name="Page35">#REF!</definedName>
    <definedName name="PAGE4">#REF!</definedName>
    <definedName name="PAGE4_6">#REF!</definedName>
    <definedName name="page5">#REF!</definedName>
    <definedName name="PAGE5_6">#REF!</definedName>
    <definedName name="page50">#REF!</definedName>
    <definedName name="page51">#REF!</definedName>
    <definedName name="page52">#REF!</definedName>
    <definedName name="page6">#REF!</definedName>
    <definedName name="PAGE6_6">#REF!</definedName>
    <definedName name="page7">#REF!</definedName>
    <definedName name="PAGE7_6">#REF!</definedName>
    <definedName name="page8">#REF!</definedName>
    <definedName name="PAGE8_6U1A">#REF!</definedName>
    <definedName name="PAGE8_6U1B">#REF!</definedName>
    <definedName name="PAGE8_6U2A">#REF!</definedName>
    <definedName name="PAGE8_6U2B">#REF!</definedName>
    <definedName name="PAGE8_6U3A">#REF!</definedName>
    <definedName name="PAGE8_6U3B">#REF!</definedName>
    <definedName name="PAGE9">#REF!</definedName>
    <definedName name="PAGE9_6">#REF!</definedName>
    <definedName name="PalisadeReportWorkbookCreatedBy">"AtRisk"</definedName>
    <definedName name="PAN">[114]Masters!$C$11</definedName>
    <definedName name="PandL">#REF!</definedName>
    <definedName name="PAP" localSheetId="17">[138]PAP!$D$5</definedName>
    <definedName name="PAP">[139]PAP!$D$5</definedName>
    <definedName name="PARAMS">#REF!</definedName>
    <definedName name="parse" hidden="1">#REF!</definedName>
    <definedName name="part_iv">#REF!</definedName>
    <definedName name="PART1">#REF!</definedName>
    <definedName name="partc.AggreFBTLiability">[46]PART_C!$J$17</definedName>
    <definedName name="partc.DefaultFileUs115WK">[46]PART_C!$H$15</definedName>
    <definedName name="partc.DefaultPayUs115WJ3">[46]PART_C!$H$14</definedName>
    <definedName name="partc.EducationCess">[46]PART_C!$J$11</definedName>
    <definedName name="partc.FBTPayable">[46]PART_C!$J$9</definedName>
    <definedName name="partc.SurchargeOnFBT">[46]PART_C!$J$10</definedName>
    <definedName name="partc.TotalTaxesPaid">[46]PART_C!$J$21</definedName>
    <definedName name="partc.TotFBTInterestPayable">[46]PART_C!$J$16</definedName>
    <definedName name="partc.TotFBTLiability">[46]PART_C!$J$12</definedName>
    <definedName name="partc.TotValueOfFBT">[46]PART_C!$J$8</definedName>
    <definedName name="PartDesignation">[114]Masters!$C$16</definedName>
    <definedName name="PARTICULARS">#REF!</definedName>
    <definedName name="partnercap97">#REF!</definedName>
    <definedName name="Partners_capital_99">#REF!</definedName>
    <definedName name="PartnersCapitalAc98">#REF!</definedName>
    <definedName name="past" localSheetId="17">#REF!</definedName>
    <definedName name="past">#REF!</definedName>
    <definedName name="paste_1">#REF!</definedName>
    <definedName name="paste_10">#REF!</definedName>
    <definedName name="paste_11">#REF!</definedName>
    <definedName name="paste_12">#REF!</definedName>
    <definedName name="paste_14">#REF!</definedName>
    <definedName name="paste_15">#REF!</definedName>
    <definedName name="paste_16">#REF!</definedName>
    <definedName name="paste_17">#REF!</definedName>
    <definedName name="paste_18">#REF!</definedName>
    <definedName name="paste_2">#REF!</definedName>
    <definedName name="paste_3">#REF!</definedName>
    <definedName name="paste_4">#REF!</definedName>
    <definedName name="paste_5">#REF!</definedName>
    <definedName name="paste_6">#REF!</definedName>
    <definedName name="PASTE_LoanCOALSPV">#REF!</definedName>
    <definedName name="PATHNAME">[45]INFO!#REF!</definedName>
    <definedName name="Pauline">#REF!</definedName>
    <definedName name="Pay_Date">#REF!</definedName>
    <definedName name="Pay_Num">#REF!</definedName>
    <definedName name="payal" localSheetId="7" hidden="1">{"'Sheet3'!$A$1:$B$30"}</definedName>
    <definedName name="payal" localSheetId="10" hidden="1">{"'Sheet3'!$A$1:$B$30"}</definedName>
    <definedName name="payal" localSheetId="1" hidden="1">{"'Sheet3'!$A$1:$B$30"}</definedName>
    <definedName name="payal" localSheetId="0" hidden="1">{"'Sheet3'!$A$1:$B$30"}</definedName>
    <definedName name="payal" localSheetId="6" hidden="1">{"'Sheet3'!$A$1:$B$30"}</definedName>
    <definedName name="payal" hidden="1">{"'Sheet3'!$A$1:$B$30"}</definedName>
    <definedName name="payment.Num" localSheetId="7">IF(OR('[97]FITZ MORT 94'!A1048576="",'[97]FITZ MORT 94'!A1048576='Depreciation Schedule'!Total_payments),"",'[97]FITZ MORT 94'!A1048576+1)</definedName>
    <definedName name="payment.Num" localSheetId="10">IF(OR('[97]FITZ MORT 94'!A1048576="",'[97]FITZ MORT 94'!A1048576=EV!Total_payments),"",'[97]FITZ MORT 94'!A1048576+1)</definedName>
    <definedName name="payment.Num" localSheetId="1">IF(OR('[97]FITZ MORT 94'!A1048576="",'[97]FITZ MORT 94'!A1048576=Historical!Total_payments),"",'[97]FITZ MORT 94'!A1048576+1)</definedName>
    <definedName name="payment.Num" localSheetId="0">IF(OR('[97]FITZ MORT 94'!A1048576="",'[97]FITZ MORT 94'!A1048576=Projected!Total_payments),"",'[97]FITZ MORT 94'!A1048576+1)</definedName>
    <definedName name="payment.Num" localSheetId="6">IF(OR('[97]FITZ MORT 94'!A1048576="",'[97]FITZ MORT 94'!A1048576='Working Capital RK'!Total_payments),"",'[97]FITZ MORT 94'!A1048576+1)</definedName>
    <definedName name="payment.Num">IF(OR('[97]FITZ MORT 94'!A1048576="",'[97]FITZ MORT 94'!A1048576=[0]!Total_payments),"",'[97]FITZ MORT 94'!A1048576+1)</definedName>
    <definedName name="Payment_Date" localSheetId="7">DATE(YEAR(Loan_Start),MONTH(Loan_Start)+Payment_Number,DAY(Loan_Start))</definedName>
    <definedName name="Payment_Date" localSheetId="10">DATE(YEAR(Loan_Start),MONTH(Loan_Start)+Payment_Number,DAY(Loan_Start))</definedName>
    <definedName name="Payment_Date" localSheetId="1">DATE(YEAR(Loan_Start),MONTH(Loan_Start)+Payment_Number,DAY(Loan_Start))</definedName>
    <definedName name="Payment_Date" localSheetId="0">DATE(YEAR([0]!Loan_Start),MONTH([0]!Loan_Start)+Payment_Number,DAY([0]!Loan_Start))</definedName>
    <definedName name="Payment_Date" localSheetId="6">DATE(YEAR(Loan_Start),MONTH(Loan_Start)+Payment_Number,DAY(Loan_Start))</definedName>
    <definedName name="Payment_Date">DATE(YEAR(Loan_Start),MONTH(Loan_Start)+Payment_Number,DAY(Loan_Start))</definedName>
    <definedName name="Payments_per_year">'[97]FITZ MORT 94'!$C$9</definedName>
    <definedName name="PaymentStatus">[67]ReasonCode!$U$2:$U$6</definedName>
    <definedName name="PAYROLL_TAX">#REF!</definedName>
    <definedName name="PBIDT">#REF!</definedName>
    <definedName name="PBinstalcost" localSheetId="17">'[132]Capex-fixed'!#REF!</definedName>
    <definedName name="PBinstalcost">'[132]Capex-fixed'!#REF!</definedName>
    <definedName name="PBTAprActual">#REF!</definedName>
    <definedName name="PBTAugActual">#REF!</definedName>
    <definedName name="PBTDecProj">#REF!</definedName>
    <definedName name="PBTFebProj">#REF!</definedName>
    <definedName name="PBTJanProj">#REF!</definedName>
    <definedName name="PBTJulyActual">#REF!</definedName>
    <definedName name="PBTJuneProj">#REF!</definedName>
    <definedName name="PBTMarProj">#REF!</definedName>
    <definedName name="PBTMayActual">#REF!</definedName>
    <definedName name="PBTNovProj">#REF!</definedName>
    <definedName name="PBTOctProj">#REF!</definedName>
    <definedName name="PBTSepProj">#REF!</definedName>
    <definedName name="pc">[249]Sensitivity!$F$9</definedName>
    <definedName name="PC_1">#REF!</definedName>
    <definedName name="PC_2">#REF!</definedName>
    <definedName name="PC_3">#REF!</definedName>
    <definedName name="PC_4">#REF!</definedName>
    <definedName name="PC_5">#REF!</definedName>
    <definedName name="PC_6">#REF!</definedName>
    <definedName name="pc_p" localSheetId="17">[265]Macros!$C$29</definedName>
    <definedName name="pc_p">[266]Macros!$C$29</definedName>
    <definedName name="pconv" localSheetId="17">'[132]Capex-fixed'!#REF!</definedName>
    <definedName name="pconv">'[132]Capex-fixed'!#REF!</definedName>
    <definedName name="pconvcable" localSheetId="17">'[132]Capex-fixed'!#REF!</definedName>
    <definedName name="pconvcable">'[132]Capex-fixed'!#REF!</definedName>
    <definedName name="pcurr">#REF!</definedName>
    <definedName name="pcurr1">#REF!</definedName>
    <definedName name="pd" localSheetId="17">'[76]Cost Breakup Depreciation&amp; Tax'!$C$31</definedName>
    <definedName name="pd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 localSheetId="1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 localSheetId="9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>'[77]Cost Breakup Depreciation&amp; Tax'!$C$31</definedName>
    <definedName name="PEHigh">[209]Factset!$IU$29</definedName>
    <definedName name="PELow">[209]Factset!$IU$30</definedName>
    <definedName name="Pen_Excess">'[72]2. Forecast Drivers'!$D$137</definedName>
    <definedName name="PENAL" localSheetId="17">#REF!</definedName>
    <definedName name="PENAL">#REF!</definedName>
    <definedName name="Per10080G.DonationAmt">'[46]80G'!$I$4:$I$8</definedName>
    <definedName name="Per10080G.EligibleAmt">'[46]80G'!$J$4:$J$8</definedName>
    <definedName name="Per10080G.TotDon100Percent">'[46]80G'!$I$10</definedName>
    <definedName name="Per10080G.TotElig100Percent">'[46]80G'!$J$10</definedName>
    <definedName name="Per5080G.DonationAmt">'[46]80G'!$I$50:$I$54</definedName>
    <definedName name="Per5080G.EligibleAmt">'[46]80G'!$J$50:$J$54</definedName>
    <definedName name="Per5080G.TotalEligibleDonationsUs80G">'[46]80G'!$J$61</definedName>
    <definedName name="Per5080G.TotDon100Percent">'[46]80G'!$I$56</definedName>
    <definedName name="Per5080G.TotElig100Percent">'[46]80G'!$J$56</definedName>
    <definedName name="Percent_Class_A">#REF!</definedName>
    <definedName name="Percent_Class_B">#REF!</definedName>
    <definedName name="Percent_Threshold">#REF!</definedName>
    <definedName name="percentagemarketcoveredph2">#REF!</definedName>
    <definedName name="percentagemktcoveredph1a">#REF!</definedName>
    <definedName name="percentagemktcoveredph1b">#REF!</definedName>
    <definedName name="percentcables">#REF!</definedName>
    <definedName name="percentcivil">#REF!</definedName>
    <definedName name="percentducts">#REF!</definedName>
    <definedName name="percentelectro">#REF!</definedName>
    <definedName name="percentland">#REF!</definedName>
    <definedName name="percentothers">#REF!</definedName>
    <definedName name="percentrow">#REF!</definedName>
    <definedName name="period">12</definedName>
    <definedName name="periodcerc">'[103]Core Assumptions'!$G$220</definedName>
    <definedName name="PeriodEnding">#REF!</definedName>
    <definedName name="Periodic_rate" localSheetId="7">[0]!Annual_interest_rate/[0]!Payments_per_year</definedName>
    <definedName name="Periodic_rate" localSheetId="10">[0]!Annual_interest_rate/[0]!Payments_per_year</definedName>
    <definedName name="Periodic_rate" localSheetId="1">[0]!Annual_interest_rate/[0]!Payments_per_year</definedName>
    <definedName name="Periodic_rate" localSheetId="0">[0]!Annual_interest_rate/[0]!Payments_per_year</definedName>
    <definedName name="Periodic_rate" localSheetId="6">[0]!Annual_interest_rate/[0]!Payments_per_year</definedName>
    <definedName name="Periodic_rate">[0]!Annual_interest_rate/[0]!Payments_per_year</definedName>
    <definedName name="periodmerc">'[103]Core Assumptions'!$G$219</definedName>
    <definedName name="PERIODSETNAME1">[69]CRITERIA1!$B$4</definedName>
    <definedName name="PerNO5080G.DonationAmt">'[46]80G'!$I$18:$I$22</definedName>
    <definedName name="PerNO5080G.EligibleAmtCalc">'[46]80G'!$O$18:$O$22</definedName>
    <definedName name="PerNO5080G.TotDon100Percent">'[46]80G'!$I$24</definedName>
    <definedName name="PerNO5080G.TotElig100Percent">'[46]80G'!$J$24</definedName>
    <definedName name="Perperson">#REF!</definedName>
    <definedName name="pertrip">#REF!</definedName>
    <definedName name="PerYES10080G.DonationAmt">'[46]80G'!$I$34:$I$38</definedName>
    <definedName name="PerYES10080G.EligibleAmt">'[46]80G'!$J$34:$J$38</definedName>
    <definedName name="PerYES10080G.TotDon100Percent">'[46]80G'!$I$40</definedName>
    <definedName name="PerYES10080G.TotElig100Percent">'[46]80G'!$J$40</definedName>
    <definedName name="PF" localSheetId="7" hidden="1">{#N/A,#N/A,FALSE,"COVER.XLS";#N/A,#N/A,FALSE,"RACT1.XLS";#N/A,#N/A,FALSE,"RACT2.XLS";#N/A,#N/A,FALSE,"ECCMP";#N/A,#N/A,FALSE,"WELDER.XLS"}</definedName>
    <definedName name="PF" localSheetId="10" hidden="1">{#N/A,#N/A,FALSE,"COVER.XLS";#N/A,#N/A,FALSE,"RACT1.XLS";#N/A,#N/A,FALSE,"RACT2.XLS";#N/A,#N/A,FALSE,"ECCMP";#N/A,#N/A,FALSE,"WELDER.XLS"}</definedName>
    <definedName name="PF" localSheetId="1" hidden="1">{#N/A,#N/A,FALSE,"COVER.XLS";#N/A,#N/A,FALSE,"RACT1.XLS";#N/A,#N/A,FALSE,"RACT2.XLS";#N/A,#N/A,FALSE,"ECCMP";#N/A,#N/A,FALSE,"WELDER.XLS"}</definedName>
    <definedName name="PF" localSheetId="0" hidden="1">{#N/A,#N/A,FALSE,"COVER.XLS";#N/A,#N/A,FALSE,"RACT1.XLS";#N/A,#N/A,FALSE,"RACT2.XLS";#N/A,#N/A,FALSE,"ECCMP";#N/A,#N/A,FALSE,"WELDER.XLS"}</definedName>
    <definedName name="PF" localSheetId="6" hidden="1">{#N/A,#N/A,FALSE,"COVER.XLS";#N/A,#N/A,FALSE,"RACT1.XLS";#N/A,#N/A,FALSE,"RACT2.XLS";#N/A,#N/A,FALSE,"ECCMP";#N/A,#N/A,FALSE,"WELDER.XLS"}</definedName>
    <definedName name="PF" hidden="1">{#N/A,#N/A,FALSE,"COVER.XLS";#N/A,#N/A,FALSE,"RACT1.XLS";#N/A,#N/A,FALSE,"RACT2.XLS";#N/A,#N/A,FALSE,"ECCMP";#N/A,#N/A,FALSE,"WELDER.XLS"}</definedName>
    <definedName name="PG">#REF!</definedName>
    <definedName name="PG_2">[293]NOTES!#REF!</definedName>
    <definedName name="PG_4">[293]NOTES!#REF!</definedName>
    <definedName name="PG_5">[293]NOTES!#REF!</definedName>
    <definedName name="Philippines_PLDT">[106]List_ratios!#REF!</definedName>
    <definedName name="PhotoShootCost">[122]Assumptions!#REF!</definedName>
    <definedName name="PhotoShootPercent">[122]Assumptions!#REF!</definedName>
    <definedName name="PhotoWebCost">[122]Assumptions!#REF!</definedName>
    <definedName name="PIC">"Picture 1"</definedName>
    <definedName name="pipelease_paste">[74]HMPL!$C$59</definedName>
    <definedName name="piu" localSheetId="17">'[132]Capex-fixed'!#REF!</definedName>
    <definedName name="piu">'[132]Capex-fixed'!#REF!</definedName>
    <definedName name="PKG.CHGS.">#REF!</definedName>
    <definedName name="PKTCLHold">'[103]Core Assumptions'!$C$361</definedName>
    <definedName name="PKTCLOGI">'[103]Core Assumptions'!$G$361</definedName>
    <definedName name="PL" localSheetId="17">'[138]P L'!$C$6</definedName>
    <definedName name="pl" localSheetId="7">#REF!</definedName>
    <definedName name="pl" localSheetId="10">#REF!</definedName>
    <definedName name="pl" localSheetId="9">#REF!</definedName>
    <definedName name="pl" localSheetId="6">#REF!</definedName>
    <definedName name="PL">'[139]P L'!$C$6</definedName>
    <definedName name="PL.BalBFPrevYr">[46]PROFIT_LOSS!$J$96</definedName>
    <definedName name="PL.BusinessReceipts">[46]PROFIT_LOSS!$J$2</definedName>
    <definedName name="PL.ClosingStock">[46]PROFIT_LOSS!$J$21</definedName>
    <definedName name="PL.DepreciationAmort">[46]PROFIT_LOSS!$J$90</definedName>
    <definedName name="PL.Expenses">[46]PROFIT_LOSS!$J$108</definedName>
    <definedName name="PL.GrossProfit">[46]PROFIT_LOSS!$J$107</definedName>
    <definedName name="PL.InterestExpdr">[46]PROFIT_LOSS!$J$89</definedName>
    <definedName name="PL.NetProfit">[46]PROFIT_LOSS!$J$109</definedName>
    <definedName name="PL.PBIDTA">[46]PROFIT_LOSS!$J$88</definedName>
    <definedName name="PL.PBT">[46]PROFIT_LOSS!$J$91</definedName>
    <definedName name="PL.ProfitAfterTax">[46]PROFIT_LOSS!$J$95</definedName>
    <definedName name="PL.TotCreditsToPL">[46]PROFIT_LOSS!$J$22</definedName>
    <definedName name="PL.TotOthIncome">[46]PROFIT_LOSS!$J$20</definedName>
    <definedName name="pl_a">[152]tb!$G$10:$V$1193</definedName>
    <definedName name="PL1A">#N/A</definedName>
    <definedName name="PL1B">#N/A</definedName>
    <definedName name="PL2A">#N/A</definedName>
    <definedName name="PL2B">#N/A</definedName>
    <definedName name="PL3A">#N/A</definedName>
    <definedName name="PL3B">#N/A</definedName>
    <definedName name="plac">#REF!</definedName>
    <definedName name="PLAccount" localSheetId="17">#REF!</definedName>
    <definedName name="PLAccount">#REF!</definedName>
    <definedName name="PLAN">[294]PLAN!$A$2:$A$32</definedName>
    <definedName name="PLAN_LIST">[294]PLAN!$A$2:$A$65536</definedName>
    <definedName name="plan1">[248]Input!$B$159</definedName>
    <definedName name="plan10">[248]Input!$K$159</definedName>
    <definedName name="plan2">[248]Input!$C$159</definedName>
    <definedName name="plan3">[248]Input!$D$159</definedName>
    <definedName name="plan4">[248]Input!$E$159</definedName>
    <definedName name="plan5">[248]Input!$F$159</definedName>
    <definedName name="plan6">[248]Input!$G$159</definedName>
    <definedName name="plan7">[248]Input!$H$159</definedName>
    <definedName name="plan8">[248]Input!$I$159</definedName>
    <definedName name="plan9">[248]Input!$J$159</definedName>
    <definedName name="Plant">#REF!</definedName>
    <definedName name="PLANT_LIST">[295]PLANT!$D$2:$D$65504</definedName>
    <definedName name="PLANT_TYPE_LIST">[295]PLANT_TYPE!$A$2:$A$65536</definedName>
    <definedName name="PLCrEx.TotExciseCustomsVAT">[46]PROFIT_LOSS!$J$8</definedName>
    <definedName name="plf" localSheetId="17">[100]Sensitivity!$E$6</definedName>
    <definedName name="PLF" localSheetId="7">[71]Assumptions!$C$45</definedName>
    <definedName name="PLF" localSheetId="10">[71]Assumptions!$C$45</definedName>
    <definedName name="PLF" localSheetId="9">[71]Assumptions!$C$45</definedName>
    <definedName name="PLF" localSheetId="6">[71]Assumptions!$C$45</definedName>
    <definedName name="plf">[101]Sensitivity!$E$6</definedName>
    <definedName name="PLF_Base">#REF!</definedName>
    <definedName name="PLF_SEN">#REF!</definedName>
    <definedName name="plfull">#REF!</definedName>
    <definedName name="ploss">#REF!</definedName>
    <definedName name="ploss95">#REF!</definedName>
    <definedName name="ploss96">#REF!</definedName>
    <definedName name="PLOSS97">#REF!</definedName>
    <definedName name="PLrate">'[140]Groupings 2004'!#REF!</definedName>
    <definedName name="PLRateEUR_USD1">[296]Rates!$D$4</definedName>
    <definedName name="PLRateGBP_USD">[140]Rates!$D$3</definedName>
    <definedName name="PLRateRMB_USD">[296]Rates!$D$5</definedName>
    <definedName name="PLTable">'[134]PL-Bud'!$A$11:$Y$133</definedName>
    <definedName name="pm" localSheetId="17">'[76]Cost Breakup Depreciation&amp; Tax'!$C$29</definedName>
    <definedName name="pm">'[77]Cost Breakup Depreciation&amp; Tax'!$C$29</definedName>
    <definedName name="pmonth">#REF!</definedName>
    <definedName name="Pmt_to_use">'[97]FITZ MORT 94'!$C$15</definedName>
    <definedName name="PNLnew">[297]Assumptions!#REF!</definedName>
    <definedName name="POApprover">[67]ReasonCode!$Q$2:$Q$13</definedName>
    <definedName name="poerujgslnmv">[298]BKCSTOCKVAL!#REF!</definedName>
    <definedName name="Polish_cl_99">#REF!</definedName>
    <definedName name="Polish_op_99">#REF!</definedName>
    <definedName name="Pop_Ratio">#REF!</definedName>
    <definedName name="PoPno">'[299]Level 0'!#REF!</definedName>
    <definedName name="populationgrowthrate" localSheetId="17">#REF!</definedName>
    <definedName name="populationgrowthrate">#REF!</definedName>
    <definedName name="POST">#REF!</definedName>
    <definedName name="Postage" localSheetId="17" hidden="1">{#N/A,#N/A,FALSE,"Aging Summary";#N/A,#N/A,FALSE,"Ratio Analysis";#N/A,#N/A,FALSE,"Test 120 Day Accts";#N/A,#N/A,FALSE,"Tickmarks"}</definedName>
    <definedName name="Postage" localSheetId="1" hidden="1">{#N/A,#N/A,FALSE,"Aging Summary";#N/A,#N/A,FALSE,"Ratio Analysis";#N/A,#N/A,FALSE,"Test 120 Day Accts";#N/A,#N/A,FALSE,"Tickmarks"}</definedName>
    <definedName name="Postage" localSheetId="0" hidden="1">{#N/A,#N/A,FALSE,"Aging Summary";#N/A,#N/A,FALSE,"Ratio Analysis";#N/A,#N/A,FALSE,"Test 120 Day Accts";#N/A,#N/A,FALSE,"Tickmarks"}</definedName>
    <definedName name="Postage" hidden="1">{#N/A,#N/A,FALSE,"Aging Summary";#N/A,#N/A,FALSE,"Ratio Analysis";#N/A,#N/A,FALSE,"Test 120 Day Accts";#N/A,#N/A,FALSE,"Tickmarks"}</definedName>
    <definedName name="PostageCourierTelephoneExpenses" localSheetId="17" hidden="1">{#N/A,#N/A,FALSE,"Aging Summary";#N/A,#N/A,FALSE,"Ratio Analysis";#N/A,#N/A,FALSE,"Test 120 Day Accts";#N/A,#N/A,FALSE,"Tickmarks"}</definedName>
    <definedName name="PostageCourierTelephoneExpenses" localSheetId="1" hidden="1">{#N/A,#N/A,FALSE,"Aging Summary";#N/A,#N/A,FALSE,"Ratio Analysis";#N/A,#N/A,FALSE,"Test 120 Day Accts";#N/A,#N/A,FALSE,"Tickmarks"}</definedName>
    <definedName name="PostageCourierTelephoneExpenses" localSheetId="0" hidden="1">{#N/A,#N/A,FALSE,"Aging Summary";#N/A,#N/A,FALSE,"Ratio Analysis";#N/A,#N/A,FALSE,"Test 120 Day Accts";#N/A,#N/A,FALSE,"Tickmarks"}</definedName>
    <definedName name="PostageCourierTelephoneExpenses" hidden="1">{#N/A,#N/A,FALSE,"Aging Summary";#N/A,#N/A,FALSE,"Ratio Analysis";#N/A,#N/A,FALSE,"Test 120 Day Accts";#N/A,#N/A,FALSE,"Tickmarks"}</definedName>
    <definedName name="POStatus">[67]ReasonCode!$R$2:$R$6</definedName>
    <definedName name="POSTERRORSTOSUSP1">[69]CRITERIA1!$B$34</definedName>
    <definedName name="postsplit">[75]Assumptions!$C$55</definedName>
    <definedName name="pots30if">'[132]Capex-fixed'!#REF!</definedName>
    <definedName name="potscable">'[132]Capex-fixed'!#REF!</definedName>
    <definedName name="potsif">'[132]Capex-fixed'!#REF!</definedName>
    <definedName name="power" localSheetId="17">'[76]Cost Breakup Depreciation&amp; Tax'!$C$19</definedName>
    <definedName name="POWER" localSheetId="7">#REF!</definedName>
    <definedName name="POWER" localSheetId="10">#REF!</definedName>
    <definedName name="POWER" localSheetId="9">#REF!</definedName>
    <definedName name="POWER" localSheetId="6">#REF!</definedName>
    <definedName name="power">'[77]Cost Breakup Depreciation&amp; Tax'!$C$19</definedName>
    <definedName name="Power_99">#REF!</definedName>
    <definedName name="power_existing_furnace">[175]Assum!$C$362:$M$374</definedName>
    <definedName name="power_new_furnace">[175]Assum!$C$377:$M$389</definedName>
    <definedName name="pp" localSheetId="17" hidden="1">#REF!</definedName>
    <definedName name="PP" localSheetId="7">#REF!</definedName>
    <definedName name="PP" localSheetId="10">#REF!</definedName>
    <definedName name="PP" localSheetId="9">#REF!</definedName>
    <definedName name="PP" localSheetId="6">#REF!</definedName>
    <definedName name="pp" hidden="1">#REF!</definedName>
    <definedName name="pp_consol">'[300]Rollup Summary'!$H$26</definedName>
    <definedName name="PPE_Net">'[72]2. Forecast Drivers'!$E$66:$S$66</definedName>
    <definedName name="PPP">#REF!</definedName>
    <definedName name="pptt">[248]b!$C$11</definedName>
    <definedName name="PR">#REF!</definedName>
    <definedName name="PR_RTL">[71]Input!$C$34</definedName>
    <definedName name="Praveen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" localSheetId="10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" localSheetId="1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" localSheetId="0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aveen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e_tax_materiality">#REF!</definedName>
    <definedName name="PreCompDebt">#REF!</definedName>
    <definedName name="prefinclosure" localSheetId="17">'[76]Cost Breakup Depreciation&amp; Tax'!$C$34</definedName>
    <definedName name="prefinclosure">'[77]Cost Breakup Depreciation&amp; Tax'!$C$34</definedName>
    <definedName name="Prefs_Bal">'[72]2. Forecast Drivers'!$E$231:$S$231</definedName>
    <definedName name="Prefs_Cash">'[72]2. Forecast Drivers'!$E$230:$S$230</definedName>
    <definedName name="Prefs_Div">'[72]2. Forecast Drivers'!$E$233:$S$233</definedName>
    <definedName name="prem" localSheetId="17">[49]Assumptions!#REF!</definedName>
    <definedName name="prem">[50]Assumptions!#REF!</definedName>
    <definedName name="PREMEXP">#REF!</definedName>
    <definedName name="premises">#REF!</definedName>
    <definedName name="Premium">#REF!</definedName>
    <definedName name="premiumc">'[45]NOTES '!#REF!</definedName>
    <definedName name="premiump">'[45]NOTES '!#REF!</definedName>
    <definedName name="Pre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v">#REF!</definedName>
    <definedName name="PREV_ADJ_31398">#REF!</definedName>
    <definedName name="PRF_1">#REF!</definedName>
    <definedName name="PRF_2_P1">#REF!</definedName>
    <definedName name="PRF_2_P2">#REF!</definedName>
    <definedName name="PRF_3_AN1">#REF!</definedName>
    <definedName name="PRF_3_AN2">#REF!</definedName>
    <definedName name="PRF_3_AN3">#REF!</definedName>
    <definedName name="Price" localSheetId="7">[301]report!#REF!</definedName>
    <definedName name="Price" localSheetId="10">[301]report!#REF!</definedName>
    <definedName name="Price" localSheetId="9">[301]report!#REF!</definedName>
    <definedName name="Price" localSheetId="6">[301]report!#REF!</definedName>
    <definedName name="price">[126]Sens!$O$11</definedName>
    <definedName name="price97">#REF!</definedName>
    <definedName name="Pricipal_Repay_Sensitivity" localSheetId="17">#REF!</definedName>
    <definedName name="Pricipal_Repay_Sensitivity">#REF!</definedName>
    <definedName name="Pricipal_Sensitivity">#REF!</definedName>
    <definedName name="Princ">#REF!</definedName>
    <definedName name="Principal" localSheetId="7">IF('[97]FITZ MORT 94'!XFA1&lt;&gt;"",MIN('[97]FITZ MORT 94'!XFC1,[0]!Pmt_to_use-'[97]FITZ MORT 94'!XFD1),"")</definedName>
    <definedName name="Principal" localSheetId="10">IF('[97]FITZ MORT 94'!XFA1&lt;&gt;"",MIN('[97]FITZ MORT 94'!XFC1,[0]!Pmt_to_use-'[97]FITZ MORT 94'!XFD1),"")</definedName>
    <definedName name="Principal" localSheetId="1">IF('[97]FITZ MORT 94'!XFA1&lt;&gt;"",MIN('[97]FITZ MORT 94'!XFC1,[0]!Pmt_to_use-'[97]FITZ MORT 94'!XFD1),"")</definedName>
    <definedName name="Principal" localSheetId="0">IF('[97]FITZ MORT 94'!XFA1&lt;&gt;"",MIN('[97]FITZ MORT 94'!XFC1,[0]!Pmt_to_use-'[97]FITZ MORT 94'!XFD1),"")</definedName>
    <definedName name="Principal" localSheetId="6">IF('[97]FITZ MORT 94'!XFA1&lt;&gt;"",MIN('[97]FITZ MORT 94'!XFC1,[0]!Pmt_to_use-'[97]FITZ MORT 94'!XFD1),"")</definedName>
    <definedName name="Principal">IF('[97]FITZ MORT 94'!XFA1&lt;&gt;"",MIN('[97]FITZ MORT 94'!XFC1,[0]!Pmt_to_use-'[97]FITZ MORT 94'!XFD1),"")</definedName>
    <definedName name="prinpaid">#REF!</definedName>
    <definedName name="PRINT">#REF!</definedName>
    <definedName name="Print_Accounts_lacs">#REF!</definedName>
    <definedName name="_xlnm.Print_Area" localSheetId="20">'Additional Information'!$A$1:$AD$73</definedName>
    <definedName name="_xlnm.Print_Area" localSheetId="19">'Balance Sheet'!$A$1:$AD$163</definedName>
    <definedName name="_xlnm.Print_Area" localSheetId="17">#REF!</definedName>
    <definedName name="_xlnm.Print_Area" localSheetId="7">#REF!</definedName>
    <definedName name="_xlnm.Print_Area" localSheetId="10">#REF!</definedName>
    <definedName name="_xlnm.Print_Area" localSheetId="18">'Operating Statement'!$A$1:$AD$75</definedName>
    <definedName name="_xlnm.Print_Area" localSheetId="9">#REF!</definedName>
    <definedName name="_xlnm.Print_Area" localSheetId="6">#REF!</definedName>
    <definedName name="_xlnm.Print_Area">#REF!</definedName>
    <definedName name="Print_Area_2">#REF!</definedName>
    <definedName name="Print_Area_3">#REF!</definedName>
    <definedName name="Print_Area_5">'[302]Opening Balance'!#REF!</definedName>
    <definedName name="Print_Area_MI" localSheetId="7">#REF!</definedName>
    <definedName name="Print_Area_MI" localSheetId="10">#REF!</definedName>
    <definedName name="Print_Area_MI" localSheetId="9">#REF!</definedName>
    <definedName name="Print_Area_MI" localSheetId="6">#REF!</definedName>
    <definedName name="Print_Area_MI">#REF!</definedName>
    <definedName name="Print_Area_Reset" localSheetId="7">OFFSET(Full_Print,0,0,Last_Row)</definedName>
    <definedName name="Print_Area_Reset" localSheetId="10">OFFSET(Full_Print,0,0,Last_Row)</definedName>
    <definedName name="Print_Area_Reset" localSheetId="1">OFFSET(Full_Print,0,0,Last_Row)</definedName>
    <definedName name="Print_Area_Reset" localSheetId="0">OFFSET([0]!Full_Print,0,0,[0]!Last_Row)</definedName>
    <definedName name="Print_Area_Reset" localSheetId="6">OFFSET(Full_Print,0,0,Last_Row)</definedName>
    <definedName name="Print_Area_Reset">OFFSET(Full_Print,0,0,Last_Row)</definedName>
    <definedName name="Print_Details" localSheetId="1">#REF!</definedName>
    <definedName name="Print_Details" localSheetId="0">#REF!</definedName>
    <definedName name="Print_Details">#REF!</definedName>
    <definedName name="print_head">#REF!</definedName>
    <definedName name="Print_Hotels">#REF!</definedName>
    <definedName name="Print_Range">#REF!</definedName>
    <definedName name="Print_Title">#REF!</definedName>
    <definedName name="_xlnm.Print_Titles" localSheetId="7">'[303]Wkly-Analysis'!$A$2:$IV$6</definedName>
    <definedName name="_xlnm.Print_Titles" localSheetId="10">'[303]Wkly-Analysis'!$A$2:$IV$6</definedName>
    <definedName name="_xlnm.Print_Titles" localSheetId="9">'[303]Wkly-Analysis'!$A$2:$IV$6</definedName>
    <definedName name="_xlnm.Print_Titles" localSheetId="6">'[303]Wkly-Analysis'!$A$2:$IV$6</definedName>
    <definedName name="_xlnm.Print_Titles">#N/A</definedName>
    <definedName name="Print_Titles_MI" localSheetId="17">#REF!</definedName>
    <definedName name="PRINT_TITLES_MI" localSheetId="7">#REF!</definedName>
    <definedName name="PRINT_TITLES_MI" localSheetId="10">#REF!</definedName>
    <definedName name="PRINT_TITLES_MI" localSheetId="9">#REF!</definedName>
    <definedName name="PRINT_TITLES_MI" localSheetId="6">#REF!</definedName>
    <definedName name="Print_Titles_MI">#REF!</definedName>
    <definedName name="PRINT1">#REF!</definedName>
    <definedName name="PRINT10">#REF!</definedName>
    <definedName name="PRINT11">#REF!</definedName>
    <definedName name="PRINT12">#REF!</definedName>
    <definedName name="PRINT13">#REF!</definedName>
    <definedName name="PRINT14">#REF!</definedName>
    <definedName name="PRINT2">#REF!</definedName>
    <definedName name="PRINT3">#REF!</definedName>
    <definedName name="PRINT4">#REF!</definedName>
    <definedName name="PRINT6">#REF!</definedName>
    <definedName name="PRINT7">#REF!</definedName>
    <definedName name="PRINT8">#REF!</definedName>
    <definedName name="PRINTAB">#REF!</definedName>
    <definedName name="PRINTCDEI">#REF!</definedName>
    <definedName name="PRINTCDOE">#REF!</definedName>
    <definedName name="Printed_Accounts">#REF!</definedName>
    <definedName name="PRINTEFLPM">#REF!</definedName>
    <definedName name="PRINTGLA">#REF!</definedName>
    <definedName name="PrintHanBusinessModel" localSheetId="5">[130]!PrintHanBusinessModel</definedName>
    <definedName name="PrintHanBusinessModel" localSheetId="0">[130]!PrintHanBusinessModel</definedName>
    <definedName name="PrintHanBusinessModel">[130]!PrintHanBusinessModel</definedName>
    <definedName name="PRINTHLV" localSheetId="17">#REF!</definedName>
    <definedName name="PRINTHLV">#REF!</definedName>
    <definedName name="PRINTILPM">#REF!</definedName>
    <definedName name="PRINTJKMV">#REF!</definedName>
    <definedName name="PRINTLLV">#REF!</definedName>
    <definedName name="PrintManagerQuery">#REF!</definedName>
    <definedName name="PRINTMRP">#REF!</definedName>
    <definedName name="PRINTNOOP">#REF!</definedName>
    <definedName name="PRINTNOP">#REF!</definedName>
    <definedName name="PRINTPLS">#REF!</definedName>
    <definedName name="PRINTQRC">#REF!</definedName>
    <definedName name="PrintRange">#REF!</definedName>
    <definedName name="PrintSelectedSheetsMacroButton">#REF!</definedName>
    <definedName name="PRINTSTLC">#REF!</definedName>
    <definedName name="ProdForm" hidden="1">#REF!</definedName>
    <definedName name="PRODSALES">#REF!</definedName>
    <definedName name="ProductGroup">[67]ReasonCode!$K$2:$K$31</definedName>
    <definedName name="PROF_TAX">#REF!</definedName>
    <definedName name="ProfileOfTaggedInstruments___ByConstrMgr_Complex_Category">#REF!</definedName>
    <definedName name="PROFIT">#REF!</definedName>
    <definedName name="Profit_Loss">#REF!</definedName>
    <definedName name="profit_loss_a_c">#REF!</definedName>
    <definedName name="Profit_Loss_Account" localSheetId="17">[100]Financials!$B$5</definedName>
    <definedName name="Profit_Loss_Account">[101]Financials!$B$5</definedName>
    <definedName name="Profitability" localSheetId="17">#REF!</definedName>
    <definedName name="Profitability">#REF!</definedName>
    <definedName name="ProImportExport.ImportFile">#N/A</definedName>
    <definedName name="ProImportExport.SaveNewFile">#N/A</definedName>
    <definedName name="proj" localSheetId="17">#REF!</definedName>
    <definedName name="PROJ" localSheetId="7">'[304]A-General'!$J$9</definedName>
    <definedName name="PROJ" localSheetId="10">'[304]A-General'!$J$9</definedName>
    <definedName name="PROJ" localSheetId="9">'[304]A-General'!$J$9</definedName>
    <definedName name="PROJ" localSheetId="6">'[304]A-General'!$J$9</definedName>
    <definedName name="proj">#REF!</definedName>
    <definedName name="Proj_Name">#REF!</definedName>
    <definedName name="PROJECT" localSheetId="17">'[226]ADAMYA FINAL SHEET'!#REF!</definedName>
    <definedName name="Project" localSheetId="7">'[70]A-General'!$AJ$13</definedName>
    <definedName name="Project" localSheetId="10">'[70]A-General'!$AJ$13</definedName>
    <definedName name="Project" localSheetId="9">'[70]A-General'!$AJ$13</definedName>
    <definedName name="Project" localSheetId="6">'[70]A-General'!$AJ$13</definedName>
    <definedName name="PROJECT">'[226]ADAMYA FINAL SHEET'!#REF!</definedName>
    <definedName name="project_cost" localSheetId="17">[100]Sensitivity!$E$7</definedName>
    <definedName name="project_cost">[101]Sensitivity!$E$7</definedName>
    <definedName name="PROJECT_NAME">'[58]C Sum'!$C$91</definedName>
    <definedName name="projected" localSheetId="17">#REF!</definedName>
    <definedName name="projected">#REF!</definedName>
    <definedName name="ProjectName" localSheetId="17">{"Client Name or Project Name"}</definedName>
    <definedName name="ProjectName" localSheetId="7">{"Client Name or Project Name"}</definedName>
    <definedName name="ProjectName" localSheetId="10">{"Client Name or Project Name"}</definedName>
    <definedName name="ProjectName" localSheetId="1">{"Client Name or Project Name"}</definedName>
    <definedName name="ProjectName" localSheetId="0">{"Client Name or Project Name"}</definedName>
    <definedName name="ProjectName" localSheetId="9">{"Client Name or Project Name"}</definedName>
    <definedName name="ProjectName" localSheetId="6">{"Client Name or Project Name"}</definedName>
    <definedName name="ProjectName">{"Client Name or Project Name"}</definedName>
    <definedName name="ProjectName2" localSheetId="7">{"MSREF V International Waterfall"}</definedName>
    <definedName name="ProjectName2" localSheetId="10">{"MSREF V International Waterfall"}</definedName>
    <definedName name="ProjectName2" localSheetId="1">{"MSREF V International Waterfall"}</definedName>
    <definedName name="ProjectName2" localSheetId="0">{"MSREF V International Waterfall"}</definedName>
    <definedName name="ProjectName2" localSheetId="6">{"MSREF V International Waterfall"}</definedName>
    <definedName name="ProjectName2">{"MSREF V International Waterfall"}</definedName>
    <definedName name="projects">#REF!</definedName>
    <definedName name="ProjLoss_R">[142]Rollup!#REF!</definedName>
    <definedName name="Property_Name">[142]Rollup!#REF!</definedName>
    <definedName name="prov">[196]WORKINGS!#REF!</definedName>
    <definedName name="Prov_Bal">'[72]2. Forecast Drivers'!$E$161:$S$161</definedName>
    <definedName name="Prov_Cash">'[72]2. Forecast Drivers'!$E$160:$S$160</definedName>
    <definedName name="PROVISION">#REF!</definedName>
    <definedName name="Provision2" localSheetId="7" hidden="1">{"plansummary",#N/A,FALSE,"PlanSummary";"sales",#N/A,FALSE,"Sales Rec";"productivity",#N/A,FALSE,"Productivity Rec";"capitalspending",#N/A,FALSE,"Capital Spending"}</definedName>
    <definedName name="Provision2" localSheetId="10" hidden="1">{"plansummary",#N/A,FALSE,"PlanSummary";"sales",#N/A,FALSE,"Sales Rec";"productivity",#N/A,FALSE,"Productivity Rec";"capitalspending",#N/A,FALSE,"Capital Spending"}</definedName>
    <definedName name="Provision2" localSheetId="1" hidden="1">{"plansummary",#N/A,FALSE,"PlanSummary";"sales",#N/A,FALSE,"Sales Rec";"productivity",#N/A,FALSE,"Productivity Rec";"capitalspending",#N/A,FALSE,"Capital Spending"}</definedName>
    <definedName name="Provision2" localSheetId="0" hidden="1">{"plansummary",#N/A,FALSE,"PlanSummary";"sales",#N/A,FALSE,"Sales Rec";"productivity",#N/A,FALSE,"Productivity Rec";"capitalspending",#N/A,FALSE,"Capital Spending"}</definedName>
    <definedName name="Provision2" localSheetId="6" hidden="1">{"plansummary",#N/A,FALSE,"PlanSummary";"sales",#N/A,FALSE,"Sales Rec";"productivity",#N/A,FALSE,"Productivity Rec";"capitalspending",#N/A,FALSE,"Capital Spending"}</definedName>
    <definedName name="Provision2" hidden="1">{"plansummary",#N/A,FALSE,"PlanSummary";"sales",#N/A,FALSE,"Sales Rec";"productivity",#N/A,FALSE,"Productivity Rec";"capitalspending",#N/A,FALSE,"Capital Spending"}</definedName>
    <definedName name="psd" localSheetId="17">'[76]Cost Breakup Depreciation&amp; Tax'!$C$18</definedName>
    <definedName name="psd">'[77]Cost Breakup Depreciation&amp; Tax'!$C$18</definedName>
    <definedName name="PT">#N/A</definedName>
    <definedName name="PTA_Bulk">#REF!</definedName>
    <definedName name="PTA_ISBL">#REF!</definedName>
    <definedName name="ptl" localSheetId="7" hidden="1">{"'August 2000'!$A$1:$J$101"}</definedName>
    <definedName name="ptl" localSheetId="10" hidden="1">{"'August 2000'!$A$1:$J$101"}</definedName>
    <definedName name="ptl" localSheetId="1" hidden="1">{"'August 2000'!$A$1:$J$101"}</definedName>
    <definedName name="ptl" localSheetId="0" hidden="1">{"'August 2000'!$A$1:$J$101"}</definedName>
    <definedName name="ptl" localSheetId="6" hidden="1">{"'August 2000'!$A$1:$J$101"}</definedName>
    <definedName name="ptl" hidden="1">{"'August 2000'!$A$1:$J$101"}</definedName>
    <definedName name="PUB">#REF!</definedName>
    <definedName name="PUB_UserID" hidden="1">"MAYERX"</definedName>
    <definedName name="pullingcost" localSheetId="17">'[132]Capex-fixed'!#REF!</definedName>
    <definedName name="pullingcost">'[132]Capex-fixed'!#REF!</definedName>
    <definedName name="PWMF">[75]Assumptions!$C$29</definedName>
    <definedName name="PWMFSwitch">[75]Assumptions!$J$5</definedName>
    <definedName name="PY">[124]TaxComputn!$A$3</definedName>
    <definedName name="PY_Accounts_Receivable">#REF!</definedName>
    <definedName name="PY_all_Equity" localSheetId="17">#REF!</definedName>
    <definedName name="PY_all_Equity">#REF!</definedName>
    <definedName name="PY_all_Income">#REF!</definedName>
    <definedName name="PY_all_RetEarn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q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">#REF!</definedName>
    <definedName name="QQ" localSheetId="17" hidden="1">{#N/A,#N/A,FALSE,"Part ABC"}</definedName>
    <definedName name="qq" localSheetId="7" hidden="1">{#N/A,#N/A,FALSE,"COVER1.XLS ";#N/A,#N/A,FALSE,"RACT1.XLS";#N/A,#N/A,FALSE,"RACT2.XLS";#N/A,#N/A,FALSE,"ECCMP";#N/A,#N/A,FALSE,"WELDER.XLS"}</definedName>
    <definedName name="qq" localSheetId="10" hidden="1">{#N/A,#N/A,FALSE,"COVER1.XLS ";#N/A,#N/A,FALSE,"RACT1.XLS";#N/A,#N/A,FALSE,"RACT2.XLS";#N/A,#N/A,FALSE,"ECCMP";#N/A,#N/A,FALSE,"WELDER.XLS"}</definedName>
    <definedName name="QQ" localSheetId="1" hidden="1">{#N/A,#N/A,FALSE,"Part ABC"}</definedName>
    <definedName name="QQ" localSheetId="0" hidden="1">{#N/A,#N/A,FALSE,"Part ABC"}</definedName>
    <definedName name="qq" localSheetId="9" hidden="1">{#N/A,#N/A,FALSE,"COVER1.XLS ";#N/A,#N/A,FALSE,"RACT1.XLS";#N/A,#N/A,FALSE,"RACT2.XLS";#N/A,#N/A,FALSE,"ECCMP";#N/A,#N/A,FALSE,"WELDER.XLS"}</definedName>
    <definedName name="qq" localSheetId="6" hidden="1">{#N/A,#N/A,FALSE,"COVER1.XLS ";#N/A,#N/A,FALSE,"RACT1.XLS";#N/A,#N/A,FALSE,"RACT2.XLS";#N/A,#N/A,FALSE,"ECCMP";#N/A,#N/A,FALSE,"WELDER.XLS"}</definedName>
    <definedName name="QQ" hidden="1">{#N/A,#N/A,FALSE,"Part ABC"}</definedName>
    <definedName name="qryEqptOrdDelyETAProfile_byConstrMgr">#REF!</definedName>
    <definedName name="qryEqptOrdPODelProfile_ByConstrMgr">#REF!</definedName>
    <definedName name="qryForEqptProfTotalDelvdFdnErnIndImp">#REF!</definedName>
    <definedName name="qrySummROSDatesFromQuery">#REF!</definedName>
    <definedName name="qryUnitForecastUtils">#REF!</definedName>
    <definedName name="Qtr1F">[46]IT_DDTP!$X$29</definedName>
    <definedName name="Qtr2F">[46]IT_DDTP!$Y$29</definedName>
    <definedName name="Qtr3F">[46]IT_DDTP!$Z$29</definedName>
    <definedName name="Qtr4F">[46]IT_DDTP!$AA$29</definedName>
    <definedName name="Qtr5F">[46]IT_DDTP!$AB$29</definedName>
    <definedName name="QualifyingAmount80G">'[46]80G'!$N$1</definedName>
    <definedName name="Quarter">#REF!</definedName>
    <definedName name="Query1">#REF!</definedName>
    <definedName name="Question1" localSheetId="17">#REF!</definedName>
    <definedName name="Question1">#REF!</definedName>
    <definedName name="Question10">#REF!</definedName>
    <definedName name="Question11">#REF!</definedName>
    <definedName name="question12">#REF!</definedName>
    <definedName name="question13">#REF!</definedName>
    <definedName name="question14">#REF!</definedName>
    <definedName name="question15">#REF!</definedName>
    <definedName name="question16">#REF!</definedName>
    <definedName name="question17">#REF!</definedName>
    <definedName name="question18">#REF!</definedName>
    <definedName name="question19">#REF!</definedName>
    <definedName name="Question2">#REF!</definedName>
    <definedName name="question20">#REF!</definedName>
    <definedName name="Question3">#REF!</definedName>
    <definedName name="Question4">#REF!</definedName>
    <definedName name="Question5">#REF!</definedName>
    <definedName name="Question6">#REF!</definedName>
    <definedName name="Question7">#REF!</definedName>
    <definedName name="question7a">#REF!</definedName>
    <definedName name="Question8">#REF!</definedName>
    <definedName name="Question9">#REF!</definedName>
    <definedName name="quickfield">#REF!</definedName>
    <definedName name="qw" localSheetId="17" hidden="1">'[305]SCH 10'!#REF!</definedName>
    <definedName name="qw" hidden="1">'[306]SCH 10'!#REF!</definedName>
    <definedName name="qwe">'[132]Capex-fixed'!#REF!</definedName>
    <definedName name="qwer">'[307]NKEL O&amp;M'!#REF!</definedName>
    <definedName name="qzqzqz10">#REF!</definedName>
    <definedName name="qzqzqz11">#REF!</definedName>
    <definedName name="qzqzqz31">#REF!</definedName>
    <definedName name="qzqzqz32">#REF!</definedName>
    <definedName name="qzqzqz9">#REF!</definedName>
    <definedName name="R_">#N/A</definedName>
    <definedName name="R_CHARAVARTHI">#REF!</definedName>
    <definedName name="R_Factor" localSheetId="17">#REF!</definedName>
    <definedName name="R_Factor" localSheetId="7">#REF!</definedName>
    <definedName name="R_Factor" localSheetId="10">#REF!</definedName>
    <definedName name="R_Factor" localSheetId="9">#REF!</definedName>
    <definedName name="R_Factor" localSheetId="6">#REF!</definedName>
    <definedName name="R_Factor">#REF!</definedName>
    <definedName name="R_Pathania">#REF!</definedName>
    <definedName name="racehorseincome.bf">'[46]CYLA BFLA'!$AF$14</definedName>
    <definedName name="racehorseincome.bp">'[46]CYLA BFLA'!$AB$14</definedName>
    <definedName name="racehorseincome.hp">'[46]CYLA BFLA'!$X$14</definedName>
    <definedName name="racehorseincome.ih">'[46]CYLA BFLA'!$Q$14</definedName>
    <definedName name="racehorseincome.os">'[46]CYLA BFLA'!$T$14</definedName>
    <definedName name="racehorseincome.rem">'[46]CYLA BFLA'!$AO$14</definedName>
    <definedName name="racehorseloss.aftbfl">'[46]CYLA BFLA'!$AH$14</definedName>
    <definedName name="racehorseloss.bf">'[46]CYLA BFLA'!$AE$14</definedName>
    <definedName name="racehorseloss.bfadj">'[46]CYLA BFLA'!$AG$14</definedName>
    <definedName name="racehorseloss.bp">'[46]CYLA BFLA'!$AD$14</definedName>
    <definedName name="racehorseloss.hp">'[46]CYLA BFLA'!$Z$14</definedName>
    <definedName name="racehorseloss.ih">'[46]CYLA BFLA'!$R$14</definedName>
    <definedName name="racehorseloss.os">'[46]CYLA BFLA'!$V$14</definedName>
    <definedName name="racehorseloss.unabs">'[46]CYLA BFLA'!$AN$14</definedName>
    <definedName name="racehorseosincome">'[46]CYLA BFLA'!$O$14</definedName>
    <definedName name="racehorseosloss">'[46]CYLA BFLA'!$P$14</definedName>
    <definedName name="rad_dscnt">#REF!</definedName>
    <definedName name="raj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j" localSheetId="1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j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j" localSheetId="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j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j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K" localSheetId="7" hidden="1">{#N/A,#N/A,FALSE,"COVER.XLS";#N/A,#N/A,FALSE,"RACT1.XLS";#N/A,#N/A,FALSE,"RACT2.XLS";#N/A,#N/A,FALSE,"ECCMP";#N/A,#N/A,FALSE,"WELDER.XLS"}</definedName>
    <definedName name="RAK" localSheetId="10" hidden="1">{#N/A,#N/A,FALSE,"COVER.XLS";#N/A,#N/A,FALSE,"RACT1.XLS";#N/A,#N/A,FALSE,"RACT2.XLS";#N/A,#N/A,FALSE,"ECCMP";#N/A,#N/A,FALSE,"WELDER.XLS"}</definedName>
    <definedName name="RAK" localSheetId="1" hidden="1">{#N/A,#N/A,FALSE,"COVER.XLS";#N/A,#N/A,FALSE,"RACT1.XLS";#N/A,#N/A,FALSE,"RACT2.XLS";#N/A,#N/A,FALSE,"ECCMP";#N/A,#N/A,FALSE,"WELDER.XLS"}</definedName>
    <definedName name="RAK" localSheetId="0" hidden="1">{#N/A,#N/A,FALSE,"COVER.XLS";#N/A,#N/A,FALSE,"RACT1.XLS";#N/A,#N/A,FALSE,"RACT2.XLS";#N/A,#N/A,FALSE,"ECCMP";#N/A,#N/A,FALSE,"WELDER.XLS"}</definedName>
    <definedName name="RAK" localSheetId="6" hidden="1">{#N/A,#N/A,FALSE,"COVER.XLS";#N/A,#N/A,FALSE,"RACT1.XLS";#N/A,#N/A,FALSE,"RACT2.XLS";#N/A,#N/A,FALSE,"ECCMP";#N/A,#N/A,FALSE,"WELDER.XLS"}</definedName>
    <definedName name="RAK" hidden="1">{#N/A,#N/A,FALSE,"COVER.XLS";#N/A,#N/A,FALSE,"RACT1.XLS";#N/A,#N/A,FALSE,"RACT2.XLS";#N/A,#N/A,FALSE,"ECCMP";#N/A,#N/A,FALSE,"WELDER.XLS"}</definedName>
    <definedName name="RAKESH" localSheetId="7" hidden="1">{#N/A,#N/A,FALSE,"COVER.XLS";#N/A,#N/A,FALSE,"RACT1.XLS";#N/A,#N/A,FALSE,"RACT2.XLS";#N/A,#N/A,FALSE,"ECCMP";#N/A,#N/A,FALSE,"WELDER.XLS"}</definedName>
    <definedName name="RAKESH" localSheetId="10" hidden="1">{#N/A,#N/A,FALSE,"COVER.XLS";#N/A,#N/A,FALSE,"RACT1.XLS";#N/A,#N/A,FALSE,"RACT2.XLS";#N/A,#N/A,FALSE,"ECCMP";#N/A,#N/A,FALSE,"WELDER.XLS"}</definedName>
    <definedName name="RAKESH" localSheetId="1" hidden="1">{#N/A,#N/A,FALSE,"COVER.XLS";#N/A,#N/A,FALSE,"RACT1.XLS";#N/A,#N/A,FALSE,"RACT2.XLS";#N/A,#N/A,FALSE,"ECCMP";#N/A,#N/A,FALSE,"WELDER.XLS"}</definedName>
    <definedName name="RAKESH" localSheetId="0" hidden="1">{#N/A,#N/A,FALSE,"COVER.XLS";#N/A,#N/A,FALSE,"RACT1.XLS";#N/A,#N/A,FALSE,"RACT2.XLS";#N/A,#N/A,FALSE,"ECCMP";#N/A,#N/A,FALSE,"WELDER.XLS"}</definedName>
    <definedName name="RAKESH" localSheetId="6" hidden="1">{#N/A,#N/A,FALSE,"COVER.XLS";#N/A,#N/A,FALSE,"RACT1.XLS";#N/A,#N/A,FALSE,"RACT2.XLS";#N/A,#N/A,FALSE,"ECCMP";#N/A,#N/A,FALSE,"WELDER.XLS"}</definedName>
    <definedName name="RAKESH" hidden="1">{#N/A,#N/A,FALSE,"COVER.XLS";#N/A,#N/A,FALSE,"RACT1.XLS";#N/A,#N/A,FALSE,"RACT2.XLS";#N/A,#N/A,FALSE,"ECCMP";#N/A,#N/A,FALSE,"WELDER.XLS"}</definedName>
    <definedName name="RAT" localSheetId="17">[138]Keyratios!$E$20</definedName>
    <definedName name="RAT">[139]Keyratios!$E$20</definedName>
    <definedName name="RATE">#REF!</definedName>
    <definedName name="Rate_Half" localSheetId="17">'[226]ADAMYA FINAL SHEET'!#REF!</definedName>
    <definedName name="Rate_Half">'[226]ADAMYA FINAL SHEET'!#REF!</definedName>
    <definedName name="Rate_Peak" localSheetId="17">'[226]ADAMYA FINAL SHEET'!#REF!</definedName>
    <definedName name="Rate_Peak">'[226]ADAMYA FINAL SHEET'!#REF!</definedName>
    <definedName name="ratebyname">[308]Rates!#REF!</definedName>
    <definedName name="RATES">#REF!</definedName>
    <definedName name="ratios" localSheetId="17">#REF!</definedName>
    <definedName name="Ratios" localSheetId="7">CapitalEmployed+CurrentLiab</definedName>
    <definedName name="Ratios" localSheetId="10">CapitalEmployed+CurrentLiab</definedName>
    <definedName name="ratios" localSheetId="1">#REF!</definedName>
    <definedName name="ratios" localSheetId="0">#REF!</definedName>
    <definedName name="Ratios" localSheetId="9">CapitalEmployed+CurrentLiab</definedName>
    <definedName name="Ratios" localSheetId="6">CapitalEmployed+CurrentLiab</definedName>
    <definedName name="ratios">#REF!</definedName>
    <definedName name="Rato" localSheetId="1">#REF!</definedName>
    <definedName name="Rato" localSheetId="0">#REF!</definedName>
    <definedName name="Rato">#REF!</definedName>
    <definedName name="RAUX" localSheetId="1">#REF!</definedName>
    <definedName name="RAUX" localSheetId="0">#REF!</definedName>
    <definedName name="RAUX">#REF!</definedName>
    <definedName name="Raw_material">#REF!</definedName>
    <definedName name="Raw_material_99">#REF!</definedName>
    <definedName name="RawData">#REF!</definedName>
    <definedName name="RawHeader">#REF!</definedName>
    <definedName name="RAWMAT">'[212]Data Input'!$B$195:$P$272</definedName>
    <definedName name="RBASE">#REF!</definedName>
    <definedName name="RCAP">#REF!</definedName>
    <definedName name="RCArea" hidden="1">#REF!</definedName>
    <definedName name="RCERC">#REF!</definedName>
    <definedName name="RCOALCOST">#REF!</definedName>
    <definedName name="RCoalScenario">#REF!</definedName>
    <definedName name="rdterm">#REF!</definedName>
    <definedName name="re">#REF!</definedName>
    <definedName name="Realisations_salevalue">#REF!</definedName>
    <definedName name="ReasonCode">[67]ReasonCode!$A$2:$A$16</definedName>
    <definedName name="Rebate_AgriInc_Calc">[46]Calculator!$D$18</definedName>
    <definedName name="recap_dividend">"Picture 69"</definedName>
    <definedName name="recap_repurchase">"Picture 64"</definedName>
    <definedName name="recb">'[195]OTHER RECEIVABLES'!$C$18</definedName>
    <definedName name="RecCnt">#REF!</definedName>
    <definedName name="reco">#REF!</definedName>
    <definedName name="reco18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18" localSheetId="1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18" localSheetId="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18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18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1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MMENDATION">" 
"</definedName>
    <definedName name="recon">#REF!</definedName>
    <definedName name="_xlnm.Recorder">[225]Macro1!$B$180:$B$16437</definedName>
    <definedName name="Red_Tariff_.25">#REF!</definedName>
    <definedName name="Red_Tariff_.5">#REF!</definedName>
    <definedName name="redep">#REF!</definedName>
    <definedName name="Reductioningrowthrate">#REF!</definedName>
    <definedName name="REF" localSheetId="7" hidden="1">{#N/A,#N/A,FALSE,"COMP"}</definedName>
    <definedName name="REF" localSheetId="10" hidden="1">{#N/A,#N/A,FALSE,"COMP"}</definedName>
    <definedName name="REF" localSheetId="1" hidden="1">{#N/A,#N/A,FALSE,"COMP"}</definedName>
    <definedName name="REF" localSheetId="0" hidden="1">{#N/A,#N/A,FALSE,"COMP"}</definedName>
    <definedName name="REF" localSheetId="6" hidden="1">{#N/A,#N/A,FALSE,"COMP"}</definedName>
    <definedName name="REF" hidden="1">{#N/A,#N/A,FALSE,"COMP"}</definedName>
    <definedName name="Ref_1" localSheetId="7">[309]PyrllDeduc!#REF!</definedName>
    <definedName name="Ref_1" localSheetId="10">[309]PyrllDeduc!#REF!</definedName>
    <definedName name="Ref_1" localSheetId="9">[309]PyrllDeduc!#REF!</definedName>
    <definedName name="Ref_1" localSheetId="6">[309]PyrllDeduc!#REF!</definedName>
    <definedName name="Ref_1">#REF!</definedName>
    <definedName name="Ref_2" localSheetId="7">[310]Year_End!#REF!</definedName>
    <definedName name="Ref_2" localSheetId="10">[310]Year_End!#REF!</definedName>
    <definedName name="Ref_2" localSheetId="9">[310]Year_End!#REF!</definedName>
    <definedName name="Ref_2" localSheetId="6">[310]Year_End!#REF!</definedName>
    <definedName name="Ref_2">#REF!</definedName>
    <definedName name="Ref_3" localSheetId="7">#REF!</definedName>
    <definedName name="Ref_3" localSheetId="10">#REF!</definedName>
    <definedName name="Ref_3" localSheetId="9">#REF!</definedName>
    <definedName name="Ref_3" localSheetId="6">#REF!</definedName>
    <definedName name="Ref_3">#REF!</definedName>
    <definedName name="Ref_4" localSheetId="7">'[311]Price Testing - Used - 1'!#REF!</definedName>
    <definedName name="Ref_4" localSheetId="10">'[311]Price Testing - Used - 1'!#REF!</definedName>
    <definedName name="Ref_4" localSheetId="9">'[311]Price Testing - Used - 1'!#REF!</definedName>
    <definedName name="Ref_4" localSheetId="6">'[311]Price Testing - Used - 1'!#REF!</definedName>
    <definedName name="Ref_4">#REF!</definedName>
    <definedName name="Ref_5">'[311]Price Testing - Used - 1'!#REF!</definedName>
    <definedName name="Ref_6">'[311]Price Testing - Used - 1'!#REF!</definedName>
    <definedName name="refin">#REF!</definedName>
    <definedName name="RefinShort_R">[142]Rollup!#REF!</definedName>
    <definedName name="Refund">#REF!</definedName>
    <definedName name="Reinvest">#REF!</definedName>
    <definedName name="relbill">'[110]ALL-IBANK-BRS'!$A$1:$B$453</definedName>
    <definedName name="remotecallclosure">[148]data!$C$2:$C$201</definedName>
    <definedName name="REmpExp">#REF!</definedName>
    <definedName name="RENT">#REF!</definedName>
    <definedName name="RENTEC_P2_M" localSheetId="17">'[85]末残計画(四半期ベース)'!$F$751</definedName>
    <definedName name="RENTEC_P2_M">'[86]末残計画(四半期ベース)'!$F$751</definedName>
    <definedName name="RENTEC_P2_Q" localSheetId="17">'[85]末残計画(四半期ベース)'!$G$751</definedName>
    <definedName name="RENTEC_P2_Q">'[86]末残計画(四半期ベース)'!$G$751</definedName>
    <definedName name="RENTEC_PX2_M" localSheetId="17">'[85]末残計画(四半期ベース)'!$F$747</definedName>
    <definedName name="RENTEC_PX2_M">'[86]末残計画(四半期ベース)'!$F$747</definedName>
    <definedName name="RENTEC_PX2_Q" localSheetId="17">'[85]末残計画(四半期ベース)'!$G$747</definedName>
    <definedName name="RENTEC_PX2_Q">'[86]末残計画(四半期ベース)'!$G$747</definedName>
    <definedName name="RENTEC_PY2_M" localSheetId="17">'[85]末残計画(四半期ベース)'!$F$749</definedName>
    <definedName name="RENTEC_PY2_M">'[86]末残計画(四半期ベース)'!$F$749</definedName>
    <definedName name="RENTEC_PY2_Q" localSheetId="17">'[85]末残計画(四半期ベース)'!$G$749</definedName>
    <definedName name="RENTEC_PY2_Q">'[86]末残計画(四半期ベース)'!$G$749</definedName>
    <definedName name="RENTEC_R2_M" localSheetId="17">'[85]末残計画(四半期ベース)'!$F$752</definedName>
    <definedName name="RENTEC_R2_M">'[86]末残計画(四半期ベース)'!$F$752</definedName>
    <definedName name="RENTEC_R2_Q" localSheetId="17">'[85]末残計画(四半期ベース)'!$G$752</definedName>
    <definedName name="RENTEC_R2_Q">'[86]末残計画(四半期ベース)'!$G$752</definedName>
    <definedName name="RENTEC_RX2_M" localSheetId="17">'[85]末残計画(四半期ベース)'!$F$748</definedName>
    <definedName name="RENTEC_RX2_M">'[86]末残計画(四半期ベース)'!$F$748</definedName>
    <definedName name="RENTEC_RX2_Q" localSheetId="17">'[85]末残計画(四半期ベース)'!$G$748</definedName>
    <definedName name="RENTEC_RX2_Q">'[86]末残計画(四半期ベース)'!$G$748</definedName>
    <definedName name="RENTEC_RY2_M" localSheetId="17">'[85]末残計画(四半期ベース)'!$F$750</definedName>
    <definedName name="RENTEC_RY2_M">'[86]末残計画(四半期ベース)'!$F$750</definedName>
    <definedName name="RENTEC_RY2_Q" localSheetId="17">'[85]末残計画(四半期ベース)'!$G$750</definedName>
    <definedName name="RENTEC_RY2_Q">'[86]末残計画(四半期ベース)'!$G$750</definedName>
    <definedName name="REPAIRS">#REF!</definedName>
    <definedName name="Repay_Orig" localSheetId="17">#REF!</definedName>
    <definedName name="Repay_Orig">#REF!</definedName>
    <definedName name="Repay_Sensitivity">#REF!</definedName>
    <definedName name="repayment">#REF!</definedName>
    <definedName name="Report_Title">"Trend eDoctor Virus Diagnostic Report for  Trend_Micro_HK_Limited"</definedName>
    <definedName name="res" localSheetId="7" hidden="1">{#N/A,#N/A,FALSE,"COVER1.XLS ";#N/A,#N/A,FALSE,"RACT1.XLS";#N/A,#N/A,FALSE,"RACT2.XLS";#N/A,#N/A,FALSE,"ECCMP";#N/A,#N/A,FALSE,"WELDER.XLS"}</definedName>
    <definedName name="res" localSheetId="10" hidden="1">{#N/A,#N/A,FALSE,"COVER1.XLS ";#N/A,#N/A,FALSE,"RACT1.XLS";#N/A,#N/A,FALSE,"RACT2.XLS";#N/A,#N/A,FALSE,"ECCMP";#N/A,#N/A,FALSE,"WELDER.XLS"}</definedName>
    <definedName name="res" localSheetId="1" hidden="1">{#N/A,#N/A,FALSE,"COVER1.XLS ";#N/A,#N/A,FALSE,"RACT1.XLS";#N/A,#N/A,FALSE,"RACT2.XLS";#N/A,#N/A,FALSE,"ECCMP";#N/A,#N/A,FALSE,"WELDER.XLS"}</definedName>
    <definedName name="res" localSheetId="0" hidden="1">{#N/A,#N/A,FALSE,"COVER1.XLS ";#N/A,#N/A,FALSE,"RACT1.XLS";#N/A,#N/A,FALSE,"RACT2.XLS";#N/A,#N/A,FALSE,"ECCMP";#N/A,#N/A,FALSE,"WELDER.XLS"}</definedName>
    <definedName name="res" localSheetId="6" hidden="1">{#N/A,#N/A,FALSE,"COVER1.XLS ";#N/A,#N/A,FALSE,"RACT1.XLS";#N/A,#N/A,FALSE,"RACT2.XLS";#N/A,#N/A,FALSE,"ECCMP";#N/A,#N/A,FALSE,"WELDER.XLS"}</definedName>
    <definedName name="res" hidden="1">{#N/A,#N/A,FALSE,"COVER1.XLS ";#N/A,#N/A,FALSE,"RACT1.XLS";#N/A,#N/A,FALSE,"RACT2.XLS";#N/A,#N/A,FALSE,"ECCMP";#N/A,#N/A,FALSE,"WELDER.XLS"}</definedName>
    <definedName name="res_sum" localSheetId="7" hidden="1">{#N/A,#N/A,FALSE,"COVER1.XLS ";#N/A,#N/A,FALSE,"RACT1.XLS";#N/A,#N/A,FALSE,"RACT2.XLS";#N/A,#N/A,FALSE,"ECCMP";#N/A,#N/A,FALSE,"WELDER.XLS"}</definedName>
    <definedName name="res_sum" localSheetId="10" hidden="1">{#N/A,#N/A,FALSE,"COVER1.XLS ";#N/A,#N/A,FALSE,"RACT1.XLS";#N/A,#N/A,FALSE,"RACT2.XLS";#N/A,#N/A,FALSE,"ECCMP";#N/A,#N/A,FALSE,"WELDER.XLS"}</definedName>
    <definedName name="res_sum" localSheetId="1" hidden="1">{#N/A,#N/A,FALSE,"COVER1.XLS ";#N/A,#N/A,FALSE,"RACT1.XLS";#N/A,#N/A,FALSE,"RACT2.XLS";#N/A,#N/A,FALSE,"ECCMP";#N/A,#N/A,FALSE,"WELDER.XLS"}</definedName>
    <definedName name="res_sum" localSheetId="0" hidden="1">{#N/A,#N/A,FALSE,"COVER1.XLS ";#N/A,#N/A,FALSE,"RACT1.XLS";#N/A,#N/A,FALSE,"RACT2.XLS";#N/A,#N/A,FALSE,"ECCMP";#N/A,#N/A,FALSE,"WELDER.XLS"}</definedName>
    <definedName name="res_sum" localSheetId="6" hidden="1">{#N/A,#N/A,FALSE,"COVER1.XLS ";#N/A,#N/A,FALSE,"RACT1.XLS";#N/A,#N/A,FALSE,"RACT2.XLS";#N/A,#N/A,FALSE,"ECCMP";#N/A,#N/A,FALSE,"WELDER.XLS"}</definedName>
    <definedName name="res_sum" hidden="1">{#N/A,#N/A,FALSE,"COVER1.XLS ";#N/A,#N/A,FALSE,"RACT1.XLS";#N/A,#N/A,FALSE,"RACT2.XLS";#N/A,#N/A,FALSE,"ECCMP";#N/A,#N/A,FALSE,"WELDER.XLS"}</definedName>
    <definedName name="REsc_Melawan">#REF!</definedName>
    <definedName name="reserve_rate">'[204]Core Assumptions'!$F$48</definedName>
    <definedName name="Residual_difference" localSheetId="7">'[68]Excess Calc'!#REF!</definedName>
    <definedName name="Residual_difference" localSheetId="10">'[68]Excess Calc'!#REF!</definedName>
    <definedName name="Residual_difference" localSheetId="9">'[68]Excess Calc'!#REF!</definedName>
    <definedName name="Residual_difference" localSheetId="6">'[68]Excess Calc'!#REF!</definedName>
    <definedName name="Residual_difference">#REF!</definedName>
    <definedName name="RESPONSIBILITYAPPLICATIONID1">[69]CRITERIA1!$B$7</definedName>
    <definedName name="RESPONSIBILITYID1">[69]CRITERIA1!$B$8</definedName>
    <definedName name="RESPONSIBILITYNAME1">[69]CRITERIA1!$B$6</definedName>
    <definedName name="restorationcost">'[132]Capex-fixed'!#REF!</definedName>
    <definedName name="Restr_Bal">'[72]2. Forecast Drivers'!$E$172:$S$172</definedName>
    <definedName name="Restr_Cash">'[72]2. Forecast Drivers'!$E$171:$S$171</definedName>
    <definedName name="Restr_Prof">'[72]2. Forecast Drivers'!$E$170:$S$170</definedName>
    <definedName name="resultc">#REF!</definedName>
    <definedName name="resultp">#REF!</definedName>
    <definedName name="RETAIL_ASSETS">'[129]MN T.B.'!$A$370:$H$405</definedName>
    <definedName name="RETAIL_ERN">'[129]MN T.B.'!$A$325:$H$368</definedName>
    <definedName name="RETAIL_LIAB">'[129]MN T.B.'!$A$407:$H$436</definedName>
    <definedName name="RETAIL1">'[129]MN T.B.'!$A$317:$H$435</definedName>
    <definedName name="retainedc">'[45]NOTES '!#REF!</definedName>
    <definedName name="retainedp">'[45]NOTES '!#REF!</definedName>
    <definedName name="retpipe">[74]HMPL!$D$8</definedName>
    <definedName name="retpipe_cal">[74]HMPL!$D$146</definedName>
    <definedName name="RetRel_Bal">'[72]2. Forecast Drivers'!$E$116:$S$116</definedName>
    <definedName name="RetRel_Cash">'[72]2. Forecast Drivers'!$E$115:$S$115</definedName>
    <definedName name="RetRel_Int">'[72]2. Forecast Drivers'!#REF!</definedName>
    <definedName name="RetRel_Nonop">'[72]2. Forecast Drivers'!$E$118:$S$118</definedName>
    <definedName name="RetRelA_Bal">'[72]2. Forecast Drivers'!$E$112:$S$112</definedName>
    <definedName name="RetRelA_Cash">'[72]2. Forecast Drivers'!$F$111:$S$111</definedName>
    <definedName name="return" localSheetId="7">NOPAT/capital</definedName>
    <definedName name="return" localSheetId="10">NOPAT/capital</definedName>
    <definedName name="return" localSheetId="1">NOPAT/capital</definedName>
    <definedName name="return" localSheetId="0">[0]!NOPAT/[0]!capital</definedName>
    <definedName name="return" localSheetId="6">NOPAT/capital</definedName>
    <definedName name="return">NOPAT/capital</definedName>
    <definedName name="return1" localSheetId="7">nopat1/capital1</definedName>
    <definedName name="return1" localSheetId="10">nopat1/capital1</definedName>
    <definedName name="return1" localSheetId="1">nopat1/capital1</definedName>
    <definedName name="return1" localSheetId="0">nopat1/capital1</definedName>
    <definedName name="return1" localSheetId="6">nopat1/capital1</definedName>
    <definedName name="return1">nopat1/capital1</definedName>
    <definedName name="Returns" localSheetId="1">[312]MAIN!#REF!</definedName>
    <definedName name="Returns" localSheetId="0">[312]MAIN!#REF!</definedName>
    <definedName name="Returns">[312]MAIN!#REF!</definedName>
    <definedName name="Rev">'[72]2. Forecast Drivers'!$E$25:$S$25</definedName>
    <definedName name="Rev_P1">'[313]Forecast Drivers'!$T$294:$AD$294</definedName>
    <definedName name="Rev_P2">'[72]2. Forecast Drivers'!$T$294:$AD$294</definedName>
    <definedName name="REV_WORKING">#REF!</definedName>
    <definedName name="reva" localSheetId="17">#REF!</definedName>
    <definedName name="reva">#REF!</definedName>
    <definedName name="REVCOST">#REF!</definedName>
    <definedName name="REVE">'[72]13. Scenario2'!#REF!</definedName>
    <definedName name="revenue1_chk" localSheetId="17">'[100]UPERC Tariff Calc'!$A$67</definedName>
    <definedName name="revenue1_chk">'[101]UPERC Tariff Calc'!$A$67</definedName>
    <definedName name="revenue1c" localSheetId="17">'[100]UPERC Tariff Calc'!$F$16:$AJ$16</definedName>
    <definedName name="revenue1c">'[101]UPERC Tariff Calc'!$F$16:$AJ$16</definedName>
    <definedName name="revenue1p" localSheetId="17">'[100]UPERC Tariff Calc'!$F$67:$AJ$67</definedName>
    <definedName name="revenue1p">'[101]UPERC Tariff Calc'!$F$67:$AJ$67</definedName>
    <definedName name="revenue2_chk" localSheetId="17">'[100]UPERC Tariff Calc'!$A$147</definedName>
    <definedName name="revenue2_chk">'[101]UPERC Tariff Calc'!$A$147</definedName>
    <definedName name="revenue2c" localSheetId="17">'[100]UPERC Tariff Calc'!$F$96:$AJ$96</definedName>
    <definedName name="revenue2c">'[101]UPERC Tariff Calc'!$F$96:$AJ$96</definedName>
    <definedName name="revenue2p" localSheetId="17">'[100]UPERC Tariff Calc'!$F$147:$AJ$147</definedName>
    <definedName name="revenue2p">'[101]UPERC Tariff Calc'!$F$147:$AJ$147</definedName>
    <definedName name="revenue3_chk" localSheetId="17">'[100]UPERC Tariff Calc'!$A$227</definedName>
    <definedName name="revenue3_chk">'[101]UPERC Tariff Calc'!$A$227</definedName>
    <definedName name="revenue3c" localSheetId="17">'[100]UPERC Tariff Calc'!$F$176:$AJ$176</definedName>
    <definedName name="revenue3c">'[101]UPERC Tariff Calc'!$F$176:$AJ$176</definedName>
    <definedName name="revenue3p" localSheetId="17">'[100]UPERC Tariff Calc'!$F$227:$AJ$227</definedName>
    <definedName name="revenue3p">'[101]UPERC Tariff Calc'!$F$227:$AJ$227</definedName>
    <definedName name="revenueall_chk" localSheetId="17">'[100]UPERC Tariff Calc'!$A$4</definedName>
    <definedName name="revenueall_chk">'[101]UPERC Tariff Calc'!$A$4</definedName>
    <definedName name="RevLine">[106]List_ratios!#REF!</definedName>
    <definedName name="revloss1anoncolocation" localSheetId="17">#REF!</definedName>
    <definedName name="revloss1anoncolocation">#REF!</definedName>
    <definedName name="revloss1bnoncolocation">#REF!</definedName>
    <definedName name="revloss2noncolocation">#REF!</definedName>
    <definedName name="RevMultipleHigh">[209]Factset!$IU$23</definedName>
    <definedName name="RevMultipleLow">[209]Factset!$IU$24</definedName>
    <definedName name="Revq1">#REF!</definedName>
    <definedName name="revq2">#REF!</definedName>
    <definedName name="revq3">#REF!</definedName>
    <definedName name="revq4">#REF!</definedName>
    <definedName name="revshare">'[314]NLD - Assum'!#REF!</definedName>
    <definedName name="revsharebasis">'[314]NLD - Assum'!#REF!</definedName>
    <definedName name="revshareSDCAtfc" localSheetId="17">#REF!</definedName>
    <definedName name="revshareSDCAtfc">#REF!</definedName>
    <definedName name="RevYee">[106]List_ratios!#REF!</definedName>
    <definedName name="rf4r4" localSheetId="7" hidden="1">{#N/A,#N/A,FALSE,"COVER.XLS";#N/A,#N/A,FALSE,"RACT1.XLS";#N/A,#N/A,FALSE,"RACT2.XLS";#N/A,#N/A,FALSE,"ECCMP";#N/A,#N/A,FALSE,"WELDER.XLS"}</definedName>
    <definedName name="rf4r4" localSheetId="10" hidden="1">{#N/A,#N/A,FALSE,"COVER.XLS";#N/A,#N/A,FALSE,"RACT1.XLS";#N/A,#N/A,FALSE,"RACT2.XLS";#N/A,#N/A,FALSE,"ECCMP";#N/A,#N/A,FALSE,"WELDER.XLS"}</definedName>
    <definedName name="rf4r4" localSheetId="1" hidden="1">{#N/A,#N/A,FALSE,"COVER.XLS";#N/A,#N/A,FALSE,"RACT1.XLS";#N/A,#N/A,FALSE,"RACT2.XLS";#N/A,#N/A,FALSE,"ECCMP";#N/A,#N/A,FALSE,"WELDER.XLS"}</definedName>
    <definedName name="rf4r4" localSheetId="0" hidden="1">{#N/A,#N/A,FALSE,"COVER.XLS";#N/A,#N/A,FALSE,"RACT1.XLS";#N/A,#N/A,FALSE,"RACT2.XLS";#N/A,#N/A,FALSE,"ECCMP";#N/A,#N/A,FALSE,"WELDER.XLS"}</definedName>
    <definedName name="rf4r4" localSheetId="6" hidden="1">{#N/A,#N/A,FALSE,"COVER.XLS";#N/A,#N/A,FALSE,"RACT1.XLS";#N/A,#N/A,FALSE,"RACT2.XLS";#N/A,#N/A,FALSE,"ECCMP";#N/A,#N/A,FALSE,"WELDER.XLS"}</definedName>
    <definedName name="rf4r4" hidden="1">{#N/A,#N/A,FALSE,"COVER.XLS";#N/A,#N/A,FALSE,"RACT1.XLS";#N/A,#N/A,FALSE,"RACT2.XLS";#N/A,#N/A,FALSE,"ECCMP";#N/A,#N/A,FALSE,"WELDER.XLS"}</definedName>
    <definedName name="RFHandling">#REF!</definedName>
    <definedName name="RFOREX">#REF!</definedName>
    <definedName name="RFUEL">#REF!</definedName>
    <definedName name="rfv.bs1" localSheetId="7" hidden="1">{"bs",#N/A,FALSE,"BS";"pl",#N/A,FALSE,"PL"}</definedName>
    <definedName name="rfv.bs1" localSheetId="10" hidden="1">{"bs",#N/A,FALSE,"BS";"pl",#N/A,FALSE,"PL"}</definedName>
    <definedName name="rfv.bs1" localSheetId="1" hidden="1">{"bs",#N/A,FALSE,"BS";"pl",#N/A,FALSE,"PL"}</definedName>
    <definedName name="rfv.bs1" localSheetId="0" hidden="1">{"bs",#N/A,FALSE,"BS";"pl",#N/A,FALSE,"PL"}</definedName>
    <definedName name="rfv.bs1" localSheetId="6" hidden="1">{"bs",#N/A,FALSE,"BS";"pl",#N/A,FALSE,"PL"}</definedName>
    <definedName name="rfv.bs1" hidden="1">{"bs",#N/A,FALSE,"BS";"pl",#N/A,FALSE,"PL"}</definedName>
    <definedName name="RFx">#REF!</definedName>
    <definedName name="rg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" localSheetId="1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" localSheetId="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nl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gnl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gnl" localSheetId="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gnl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gnl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gnl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h.IncOfCurYrAfterSetOff4">'[46]CYLA BFLA'!$H$13</definedName>
    <definedName name="rh.IncOfCurYrUnderThatHead4">'[46]CYLA BFLA'!$D$13</definedName>
    <definedName name="rh.IncOfCurYrUndHeadFromCYLA6">'[46]CYLA BFLA'!$D$27</definedName>
    <definedName name="rho">#REF!</definedName>
    <definedName name="RIB">[144]INFO!$B$5</definedName>
    <definedName name="rilmkt">#REF!</definedName>
    <definedName name="RISHRA">#REF!</definedName>
    <definedName name="RISHRA_E">#REF!</definedName>
    <definedName name="Risk_Free">#REF!</definedName>
    <definedName name="Risk_Premiu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">[196]WORKINGS!#REF!</definedName>
    <definedName name="RMB">[315]Data!$D$10</definedName>
    <definedName name="RMC">#REF!</definedName>
    <definedName name="RMconsumed">'[150]Operating Statistics'!#REF!</definedName>
    <definedName name="RMelawan_Price">#REF!</definedName>
    <definedName name="RMIX">#REF!</definedName>
    <definedName name="RMsummary">#REF!</definedName>
    <definedName name="ro">[316]Master!$N$2</definedName>
    <definedName name="ROA">[106]List_ratios!#REF!</definedName>
    <definedName name="roe">#REF!</definedName>
    <definedName name="rOHAN">#REF!</definedName>
    <definedName name="ROIC">'[72]2. Forecast Drivers'!$D$321</definedName>
    <definedName name="rollingstock" localSheetId="17">'[76]Cost Breakup Depreciation&amp; Tax'!$C$16</definedName>
    <definedName name="rollingstock">'[77]Cost Breakup Depreciation&amp; Tax'!$C$16</definedName>
    <definedName name="RONM">#REF!</definedName>
    <definedName name="Rooms">[142]Rollup!#REF!</definedName>
    <definedName name="Rosenka">'[317]Occ, Other Rev, Exp, Dispo'!$E$83</definedName>
    <definedName name="round">1</definedName>
    <definedName name="routerswitchdis">#REF!</definedName>
    <definedName name="ROWSTOUPLOAD1">[69]CRITERIA1!$B$20</definedName>
    <definedName name="RP" localSheetId="17">#REF!</definedName>
    <definedName name="RP">#REF!</definedName>
    <definedName name="RPAF">#REF!</definedName>
    <definedName name="RPLF">#REF!</definedName>
    <definedName name="rr" localSheetId="17" hidden="1">{#N/A,#N/A,FALSE,"Part ABC"}</definedName>
    <definedName name="rr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" localSheetId="1" hidden="1">{#N/A,#N/A,FALSE,"Part ABC"}</definedName>
    <definedName name="rr" localSheetId="0" hidden="1">{#N/A,#N/A,FALSE,"Part ABC"}</definedName>
    <definedName name="rr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" hidden="1">{#N/A,#N/A,FALSE,"Part ABC"}</definedName>
    <definedName name="rradj" localSheetId="7">nopatadj/capitaladj</definedName>
    <definedName name="rradj" localSheetId="10">nopatadj/capitaladj</definedName>
    <definedName name="rradj" localSheetId="1">nopatadj/capitaladj</definedName>
    <definedName name="rradj" localSheetId="0">[0]!nopatadj/[0]!capitaladj</definedName>
    <definedName name="rradj" localSheetId="6">nopatadj/capitaladj</definedName>
    <definedName name="rradj">nopatadj/capitaladj</definedName>
    <definedName name="rrdsa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dsa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dsa" localSheetId="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dsa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dsa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dsa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m">#REF!</definedName>
    <definedName name="rrn.bsall" localSheetId="7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n.bsall" localSheetId="10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n.bsall" localSheetId="1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n.bsall" localSheetId="0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n.bsall" localSheetId="6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n.bsall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r">#REF!</definedName>
    <definedName name="RRRR">#REF!</definedName>
    <definedName name="RRTL_Int">#REF!</definedName>
    <definedName name="Rs">#REF!</definedName>
    <definedName name="Rsin">[318]Main!$B$2</definedName>
    <definedName name="RSL">#REF!</definedName>
    <definedName name="rsurp">#REF!</definedName>
    <definedName name="RTariff">#REF!</definedName>
    <definedName name="RTL_BASE">[71]Input!#REF!</definedName>
    <definedName name="RTL_INT_Base">#REF!</definedName>
    <definedName name="RTL_INT_SEN">#REF!</definedName>
    <definedName name="RTransporation">#REF!</definedName>
    <definedName name="RTransport">#REF!</definedName>
    <definedName name="RTransportation">#REF!</definedName>
    <definedName name="RTTRTRTR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upees" localSheetId="17">#REF!</definedName>
    <definedName name="Rupees">#REF!</definedName>
    <definedName name="Ruraltitle" localSheetId="7">#REF!</definedName>
    <definedName name="Ruraltitle" localSheetId="10">#REF!</definedName>
    <definedName name="Ruraltitle" localSheetId="9">#REF!</definedName>
    <definedName name="Ruraltitle" localSheetId="6">#REF!</definedName>
    <definedName name="Ruraltitle">#REF!</definedName>
    <definedName name="rvdrate">#REF!</definedName>
    <definedName name="rw" localSheetId="7" hidden="1">{#N/A,#N/A,FALSE,"COVER1.XLS ";#N/A,#N/A,FALSE,"RACT1.XLS";#N/A,#N/A,FALSE,"RACT2.XLS";#N/A,#N/A,FALSE,"ECCMP";#N/A,#N/A,FALSE,"WELDER.XLS"}</definedName>
    <definedName name="rw" localSheetId="10" hidden="1">{#N/A,#N/A,FALSE,"COVER1.XLS ";#N/A,#N/A,FALSE,"RACT1.XLS";#N/A,#N/A,FALSE,"RACT2.XLS";#N/A,#N/A,FALSE,"ECCMP";#N/A,#N/A,FALSE,"WELDER.XLS"}</definedName>
    <definedName name="rw" localSheetId="1" hidden="1">{#N/A,#N/A,FALSE,"COVER1.XLS ";#N/A,#N/A,FALSE,"RACT1.XLS";#N/A,#N/A,FALSE,"RACT2.XLS";#N/A,#N/A,FALSE,"ECCMP";#N/A,#N/A,FALSE,"WELDER.XLS"}</definedName>
    <definedName name="rw" localSheetId="0" hidden="1">{#N/A,#N/A,FALSE,"COVER1.XLS ";#N/A,#N/A,FALSE,"RACT1.XLS";#N/A,#N/A,FALSE,"RACT2.XLS";#N/A,#N/A,FALSE,"ECCMP";#N/A,#N/A,FALSE,"WELDER.XLS"}</definedName>
    <definedName name="rw" localSheetId="6" hidden="1">{#N/A,#N/A,FALSE,"COVER1.XLS ";#N/A,#N/A,FALSE,"RACT1.XLS";#N/A,#N/A,FALSE,"RACT2.XLS";#N/A,#N/A,FALSE,"ECCMP";#N/A,#N/A,FALSE,"WELDER.XLS"}</definedName>
    <definedName name="rw" hidden="1">{#N/A,#N/A,FALSE,"COVER1.XLS ";#N/A,#N/A,FALSE,"RACT1.XLS";#N/A,#N/A,FALSE,"RACT2.XLS";#N/A,#N/A,FALSE,"ECCMP";#N/A,#N/A,FALSE,"WELDER.XLS"}</definedName>
    <definedName name="rwere" localSheetId="7" hidden="1">{#N/A,#N/A,FALSE,"COVER1.XLS ";#N/A,#N/A,FALSE,"RACT1.XLS";#N/A,#N/A,FALSE,"RACT2.XLS";#N/A,#N/A,FALSE,"ECCMP";#N/A,#N/A,FALSE,"WELDER.XLS"}</definedName>
    <definedName name="rwere" localSheetId="10" hidden="1">{#N/A,#N/A,FALSE,"COVER1.XLS ";#N/A,#N/A,FALSE,"RACT1.XLS";#N/A,#N/A,FALSE,"RACT2.XLS";#N/A,#N/A,FALSE,"ECCMP";#N/A,#N/A,FALSE,"WELDER.XLS"}</definedName>
    <definedName name="rwere" localSheetId="1" hidden="1">{#N/A,#N/A,FALSE,"COVER1.XLS ";#N/A,#N/A,FALSE,"RACT1.XLS";#N/A,#N/A,FALSE,"RACT2.XLS";#N/A,#N/A,FALSE,"ECCMP";#N/A,#N/A,FALSE,"WELDER.XLS"}</definedName>
    <definedName name="rwere" localSheetId="0" hidden="1">{#N/A,#N/A,FALSE,"COVER1.XLS ";#N/A,#N/A,FALSE,"RACT1.XLS";#N/A,#N/A,FALSE,"RACT2.XLS";#N/A,#N/A,FALSE,"ECCMP";#N/A,#N/A,FALSE,"WELDER.XLS"}</definedName>
    <definedName name="rwere" localSheetId="6" hidden="1">{#N/A,#N/A,FALSE,"COVER1.XLS ";#N/A,#N/A,FALSE,"RACT1.XLS";#N/A,#N/A,FALSE,"RACT2.XLS";#N/A,#N/A,FALSE,"ECCMP";#N/A,#N/A,FALSE,"WELDER.XLS"}</definedName>
    <definedName name="rwere" hidden="1">{#N/A,#N/A,FALSE,"COVER1.XLS ";#N/A,#N/A,FALSE,"RACT1.XLS";#N/A,#N/A,FALSE,"RACT2.XLS";#N/A,#N/A,FALSE,"ECCMP";#N/A,#N/A,FALSE,"WELDER.XLS"}</definedName>
    <definedName name="rwteteyr">ROW(#REF!)</definedName>
    <definedName name="S" localSheetId="17" hidden="1">'[305]SCH 10'!#REF!</definedName>
    <definedName name="s" localSheetId="7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" localSheetId="10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" localSheetId="9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" localSheetId="6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" hidden="1">'[306]SCH 10'!#REF!</definedName>
    <definedName name="S_0">#REF!</definedName>
    <definedName name="S_0.5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5">#REF!</definedName>
    <definedName name="S_26">#REF!</definedName>
    <definedName name="S_27">#REF!</definedName>
    <definedName name="S_28">#REF!</definedName>
    <definedName name="S_29">#REF!</definedName>
    <definedName name="S_3">#REF!</definedName>
    <definedName name="S_30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AcctDes" localSheetId="17">#REF!</definedName>
    <definedName name="S_AcctDes" localSheetId="7">#REF!</definedName>
    <definedName name="S_AcctDes" localSheetId="10">#REF!</definedName>
    <definedName name="S_AcctDes" localSheetId="9">#REF!</definedName>
    <definedName name="S_AcctDes" localSheetId="6">#REF!</definedName>
    <definedName name="S_AcctDes">#REF!</definedName>
    <definedName name="S_AcctNum">#REF!</definedName>
    <definedName name="S_Adjust" localSheetId="7">#REF!</definedName>
    <definedName name="S_Adjust" localSheetId="10">#REF!</definedName>
    <definedName name="S_Adjust" localSheetId="9">#REF!</definedName>
    <definedName name="S_Adjust" localSheetId="6">#REF!</definedName>
    <definedName name="S_Adjust">#REF!</definedName>
    <definedName name="S_Adjust_Data" localSheetId="7">[261]Lead!$I$1:$I$402</definedName>
    <definedName name="S_Adjust_Data" localSheetId="10">[261]Lead!$I$1:$I$402</definedName>
    <definedName name="S_Adjust_Data" localSheetId="9">[261]Lead!$I$1:$I$402</definedName>
    <definedName name="S_Adjust_Data" localSheetId="6">[261]Lead!$I$1:$I$402</definedName>
    <definedName name="S_Adjust_Data">#REF!</definedName>
    <definedName name="S_Adjust_GT" localSheetId="7">#REF!</definedName>
    <definedName name="S_Adjust_GT" localSheetId="10">#REF!</definedName>
    <definedName name="S_Adjust_GT" localSheetId="9">#REF!</definedName>
    <definedName name="S_Adjust_GT" localSheetId="6">#REF!</definedName>
    <definedName name="S_Adjust_GT">#REF!</definedName>
    <definedName name="S_AJE_Tot" localSheetId="7">#REF!</definedName>
    <definedName name="S_AJE_Tot" localSheetId="10">#REF!</definedName>
    <definedName name="S_AJE_Tot" localSheetId="9">#REF!</definedName>
    <definedName name="S_AJE_Tot" localSheetId="6">#REF!</definedName>
    <definedName name="S_AJE_Tot">#REF!</definedName>
    <definedName name="S_AJE_Tot_Data" localSheetId="7">[261]Lead!$H$1:$H$402</definedName>
    <definedName name="S_AJE_Tot_Data" localSheetId="10">[261]Lead!$H$1:$H$402</definedName>
    <definedName name="S_AJE_Tot_Data" localSheetId="9">[261]Lead!$H$1:$H$402</definedName>
    <definedName name="S_AJE_Tot_Data" localSheetId="6">[261]Lead!$H$1:$H$402</definedName>
    <definedName name="S_AJE_Tot_Data">#REF!</definedName>
    <definedName name="S_AJE_Tot_GT" localSheetId="7">#REF!</definedName>
    <definedName name="S_AJE_Tot_GT" localSheetId="10">#REF!</definedName>
    <definedName name="S_AJE_Tot_GT" localSheetId="9">#REF!</definedName>
    <definedName name="S_AJE_Tot_GT" localSheetId="6">#REF!</definedName>
    <definedName name="S_AJE_Tot_GT">#REF!</definedName>
    <definedName name="S_CompNum" localSheetId="7">#REF!</definedName>
    <definedName name="S_CompNum" localSheetId="10">#REF!</definedName>
    <definedName name="S_CompNum" localSheetId="9">#REF!</definedName>
    <definedName name="S_CompNum" localSheetId="6">#REF!</definedName>
    <definedName name="S_CompNum">#REF!</definedName>
    <definedName name="S_CY_Beg" localSheetId="7">#REF!</definedName>
    <definedName name="S_CY_Beg" localSheetId="10">#REF!</definedName>
    <definedName name="S_CY_Beg" localSheetId="9">#REF!</definedName>
    <definedName name="S_CY_Beg" localSheetId="6">#REF!</definedName>
    <definedName name="S_CY_Beg">#REF!</definedName>
    <definedName name="S_CY_Beg_Data" localSheetId="7">[261]Lead!$F$1:$F$402</definedName>
    <definedName name="S_CY_Beg_Data" localSheetId="10">[261]Lead!$F$1:$F$402</definedName>
    <definedName name="S_CY_Beg_Data" localSheetId="9">[261]Lead!$F$1:$F$402</definedName>
    <definedName name="S_CY_Beg_Data" localSheetId="6">[261]Lead!$F$1:$F$402</definedName>
    <definedName name="S_CY_Beg_Data">#REF!</definedName>
    <definedName name="S_CY_Beg_GT" localSheetId="7">#REF!</definedName>
    <definedName name="S_CY_Beg_GT" localSheetId="10">#REF!</definedName>
    <definedName name="S_CY_Beg_GT" localSheetId="9">#REF!</definedName>
    <definedName name="S_CY_Beg_GT" localSheetId="6">#REF!</definedName>
    <definedName name="S_CY_Beg_GT">#REF!</definedName>
    <definedName name="S_CY_End" localSheetId="7">#REF!</definedName>
    <definedName name="S_CY_End" localSheetId="10">#REF!</definedName>
    <definedName name="S_CY_End" localSheetId="9">#REF!</definedName>
    <definedName name="S_CY_End" localSheetId="6">#REF!</definedName>
    <definedName name="S_CY_End">#REF!</definedName>
    <definedName name="S_CY_End_Data" localSheetId="7">[261]Lead!$K$1:$K$402</definedName>
    <definedName name="S_CY_End_Data" localSheetId="10">[261]Lead!$K$1:$K$402</definedName>
    <definedName name="S_CY_End_Data" localSheetId="9">[261]Lead!$K$1:$K$402</definedName>
    <definedName name="S_CY_End_Data" localSheetId="6">[261]Lead!$K$1:$K$402</definedName>
    <definedName name="S_CY_End_Data">#REF!</definedName>
    <definedName name="S_CY_End_GT" localSheetId="7">#REF!</definedName>
    <definedName name="S_CY_End_GT" localSheetId="10">#REF!</definedName>
    <definedName name="S_CY_End_GT" localSheetId="9">#REF!</definedName>
    <definedName name="S_CY_End_GT" localSheetId="6">#REF!</definedName>
    <definedName name="S_CY_End_GT">#REF!</definedName>
    <definedName name="S_Diff_Amt" localSheetId="7">#REF!</definedName>
    <definedName name="S_Diff_Amt" localSheetId="10">#REF!</definedName>
    <definedName name="S_Diff_Amt" localSheetId="9">#REF!</definedName>
    <definedName name="S_Diff_Amt" localSheetId="6">#REF!</definedName>
    <definedName name="S_Diff_Amt">#REF!</definedName>
    <definedName name="S_Diff_Pct" localSheetId="7">#REF!</definedName>
    <definedName name="S_Diff_Pct" localSheetId="10">#REF!</definedName>
    <definedName name="S_Diff_Pct" localSheetId="9">#REF!</definedName>
    <definedName name="S_Diff_Pct" localSheetId="6">#REF!</definedName>
    <definedName name="S_Diff_Pct">#REF!</definedName>
    <definedName name="S_Dogra">#REF!</definedName>
    <definedName name="S_Gentela">#REF!</definedName>
    <definedName name="S_GrpNum">#REF!</definedName>
    <definedName name="S_Headings">#REF!</definedName>
    <definedName name="s_hp">#REF!</definedName>
    <definedName name="S_KeyValue">#REF!</definedName>
    <definedName name="S_LSRange1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Negi">#REF!</definedName>
    <definedName name="S_Pal">#REF!</definedName>
    <definedName name="S_PY_End">#REF!</definedName>
    <definedName name="S_PY_End_Data" localSheetId="7">[261]Lead!$M$1:$M$402</definedName>
    <definedName name="S_PY_End_Data" localSheetId="10">[261]Lead!$M$1:$M$402</definedName>
    <definedName name="S_PY_End_Data" localSheetId="9">[261]Lead!$M$1:$M$402</definedName>
    <definedName name="S_PY_End_Data" localSheetId="6">[261]Lead!$M$1:$M$402</definedName>
    <definedName name="S_PY_End_Data">#REF!</definedName>
    <definedName name="S_PY_End_GT" localSheetId="7">#REF!</definedName>
    <definedName name="S_PY_End_GT" localSheetId="10">#REF!</definedName>
    <definedName name="S_PY_End_GT" localSheetId="9">#REF!</definedName>
    <definedName name="S_PY_End_GT" localSheetId="6">#REF!</definedName>
    <definedName name="S_PY_End_GT">#REF!</definedName>
    <definedName name="S_RJE_Tot" localSheetId="7">#REF!</definedName>
    <definedName name="S_RJE_Tot" localSheetId="10">#REF!</definedName>
    <definedName name="S_RJE_Tot" localSheetId="9">#REF!</definedName>
    <definedName name="S_RJE_Tot" localSheetId="6">#REF!</definedName>
    <definedName name="S_RJE_Tot">#REF!</definedName>
    <definedName name="S_RJE_Tot_Data" localSheetId="7">[261]Lead!$J$1:$J$402</definedName>
    <definedName name="S_RJE_Tot_Data" localSheetId="10">[261]Lead!$J$1:$J$402</definedName>
    <definedName name="S_RJE_Tot_Data" localSheetId="9">[261]Lead!$J$1:$J$402</definedName>
    <definedName name="S_RJE_Tot_Data" localSheetId="6">[261]Lead!$J$1:$J$402</definedName>
    <definedName name="S_RJE_Tot_Data">#REF!</definedName>
    <definedName name="S_RJE_Tot_GT" localSheetId="7">#REF!</definedName>
    <definedName name="S_RJE_Tot_GT" localSheetId="10">#REF!</definedName>
    <definedName name="S_RJE_Tot_GT" localSheetId="9">#REF!</definedName>
    <definedName name="S_RJE_Tot_GT" localSheetId="6">#REF!</definedName>
    <definedName name="S_RJE_Tot_GT">#REF!</definedName>
    <definedName name="S_RowNum" localSheetId="7">#REF!</definedName>
    <definedName name="S_RowNum" localSheetId="10">#REF!</definedName>
    <definedName name="S_RowNum" localSheetId="9">#REF!</definedName>
    <definedName name="S_RowNum" localSheetId="6">#REF!</definedName>
    <definedName name="S_RowNum">#REF!</definedName>
    <definedName name="S_Total">#REF!</definedName>
    <definedName name="S_Total1">#REF!</definedName>
    <definedName name="S_Total2">#REF!</definedName>
    <definedName name="S_Total3">#REF!</definedName>
    <definedName name="S192..1">#REF!</definedName>
    <definedName name="S192..2">'[202]192'!#REF!</definedName>
    <definedName name="S194..3">'[202]194C'!#REF!</definedName>
    <definedName name="S194C..2">'[202]194C'!#REF!</definedName>
    <definedName name="S194C..4">'[202]194C'!#REF!</definedName>
    <definedName name="S194C..5">'[202]194C'!#REF!</definedName>
    <definedName name="S194C..6">'[202]194C'!#REF!</definedName>
    <definedName name="sa" localSheetId="7">'[192]TB APJ'!$B$97</definedName>
    <definedName name="sa" localSheetId="10">'[192]TB APJ'!$B$97</definedName>
    <definedName name="sa" localSheetId="9">'[192]TB APJ'!$B$97</definedName>
    <definedName name="sa" localSheetId="6">'[192]TB APJ'!$B$97</definedName>
    <definedName name="SA">[274]Sheet1!$G$2:$G$11588</definedName>
    <definedName name="sadasdas" localSheetId="17">'[319]P L'!$A$1:$BP$87</definedName>
    <definedName name="sadasdas">'[320]P L'!$A$1:$BP$87</definedName>
    <definedName name="sag">[174]factors!$C$23</definedName>
    <definedName name="saghw">#REF!</definedName>
    <definedName name="sagsw">#REF!</definedName>
    <definedName name="sahshs">'[246]04REL'!#REF!</definedName>
    <definedName name="sal">[196]WORKINGS!#REF!</definedName>
    <definedName name="SAL299_FULL">#REF!</definedName>
    <definedName name="SALARY">#REF!</definedName>
    <definedName name="salaryincome.bf">'[46]CYLA BFLA'!$AF$10</definedName>
    <definedName name="salaryincome.bp">'[46]CYLA BFLA'!$AB$10</definedName>
    <definedName name="salaryincome.hp">'[46]CYLA BFLA'!$X$10</definedName>
    <definedName name="salaryincome.ih">'[46]CYLA BFLA'!$Q$10</definedName>
    <definedName name="salaryincome.os">'[46]CYLA BFLA'!$T$10</definedName>
    <definedName name="salaryincome.rem">'[46]CYLA BFLA'!$AO$20</definedName>
    <definedName name="salaryinhouse" localSheetId="17">#REF!</definedName>
    <definedName name="salaryinhouse">#REF!</definedName>
    <definedName name="salaryloss.aftbfl">'[46]CYLA BFLA'!$AH$10</definedName>
    <definedName name="salaryloss.bf">'[46]CYLA BFLA'!$AE$10</definedName>
    <definedName name="salaryloss.bfadj">'[46]CYLA BFLA'!$AG$10</definedName>
    <definedName name="salaryloss.unabs">'[46]CYLA BFLA'!$AN$20</definedName>
    <definedName name="salaryoutsourced">#REF!</definedName>
    <definedName name="SALE" localSheetId="7">#REF!</definedName>
    <definedName name="SALE" localSheetId="10">#REF!</definedName>
    <definedName name="SALE" localSheetId="9">#REF!</definedName>
    <definedName name="SALE" localSheetId="6">#REF!</definedName>
    <definedName name="SALE">#REF!</definedName>
    <definedName name="Sale_in_Month">[142]Summary!#REF!</definedName>
    <definedName name="Sale_in_Year">[142]Summary!#REF!</definedName>
    <definedName name="SALE_MODE">[295]SALE_MODE!$A$2:$A$28</definedName>
    <definedName name="SALEDETL">#REF!</definedName>
    <definedName name="Sales">[106]List_ratios!#REF!</definedName>
    <definedName name="Sales_Costs">[142]Summary!#REF!</definedName>
    <definedName name="Sales1">#REF!</definedName>
    <definedName name="sales97">#REF!</definedName>
    <definedName name="salesdata">#REF!</definedName>
    <definedName name="SalesTax">'[150]Operating Statistics'!#REF!</definedName>
    <definedName name="SAN">[321]Net!#REF!</definedName>
    <definedName name="SANGEETA_PAL">#REF!</definedName>
    <definedName name="SAPBEXdnldView" hidden="1">"45A2SX1UPJKH7CBVEWZ0QHI5V"</definedName>
    <definedName name="SAPBEXrevision" hidden="1">1</definedName>
    <definedName name="SAPBEXsysID" hidden="1">"BWP"</definedName>
    <definedName name="SAPBEXwbID" hidden="1">"3XQBW78D16A2EDUNTS3NPBKLN"</definedName>
    <definedName name="SARAL97">#REF!</definedName>
    <definedName name="SARAL98">#REF!</definedName>
    <definedName name="Sarvecapg">'[223]VIR CG'!#REF!</definedName>
    <definedName name="SaveNewFile">#N/A</definedName>
    <definedName name="SaveWorkbookNo" localSheetId="0">[31]!SaveWorkbookNo</definedName>
    <definedName name="SaveWorkbookNo">[31]!SaveWorkbookNo</definedName>
    <definedName name="SaveWorkbookYes" localSheetId="0">[31]!SaveWorkbookYes</definedName>
    <definedName name="SaveWorkbookYes">[31]!SaveWorkbookYes</definedName>
    <definedName name="savingsq1">[46]Calculator!$AJ$13</definedName>
    <definedName name="savingsq2">[46]Calculator!$AK$13</definedName>
    <definedName name="savingsq3">[46]Calculator!$AL$13</definedName>
    <definedName name="savingsq4">[46]Calculator!$AM$13</definedName>
    <definedName name="savingsq5">[46]Calculator!$AN$13</definedName>
    <definedName name="SBI">[20]SBI!$E$29</definedName>
    <definedName name="sbi.bs.rt">'[103]PPT Inputs'!$C$35</definedName>
    <definedName name="sbi_facility_99">#REF!</definedName>
    <definedName name="Sc">[316]Master!$M$6</definedName>
    <definedName name="sc_a_b">#REF!</definedName>
    <definedName name="sc_b">#REF!</definedName>
    <definedName name="SCALE">#REF!</definedName>
    <definedName name="scaleupfactor">'[132]NLD - Assum'!#REF!</definedName>
    <definedName name="ScanCost">[122]Assumptions!#REF!</definedName>
    <definedName name="ScanPercent">[122]Assumptions!#REF!</definedName>
    <definedName name="Scenario">'[72]2. Forecast Drivers'!$D$9</definedName>
    <definedName name="scF">#REF!</definedName>
    <definedName name="SCH">[47]BSPL!$A$113:$D$160</definedName>
    <definedName name="SCH__2">#REF!</definedName>
    <definedName name="Sch_1_2_3" localSheetId="17">#REF!</definedName>
    <definedName name="Sch_1_2_3">#REF!</definedName>
    <definedName name="Sch_1_to_3">#REF!</definedName>
    <definedName name="Sch_10_to_13">#REF!</definedName>
    <definedName name="SCH_11">#REF!</definedName>
    <definedName name="Sch_11_12">#REF!</definedName>
    <definedName name="Sch_13">#REF!</definedName>
    <definedName name="sch_131415">#REF!</definedName>
    <definedName name="sch_13141516">#REF!</definedName>
    <definedName name="Sch_14_to_18">#REF!</definedName>
    <definedName name="Sch_191">#REF!</definedName>
    <definedName name="sch_192">#REF!</definedName>
    <definedName name="sch_193">#REF!</definedName>
    <definedName name="sch_194">#REF!</definedName>
    <definedName name="sch_195">#REF!</definedName>
    <definedName name="sch_196">#REF!</definedName>
    <definedName name="Sch_1a">#REF!</definedName>
    <definedName name="sch_2">#REF!</definedName>
    <definedName name="Sch_5_6_7">#REF!</definedName>
    <definedName name="Sch_5_to_9">#REF!</definedName>
    <definedName name="Sch_61">#REF!</definedName>
    <definedName name="Sch_62">#REF!</definedName>
    <definedName name="sch_63">#REF!</definedName>
    <definedName name="sch_789">#REF!</definedName>
    <definedName name="Sch_8_9_10">#REF!</definedName>
    <definedName name="sch_a">#REF!</definedName>
    <definedName name="SCH1_3">#REF!</definedName>
    <definedName name="SCH1_5">#REF!</definedName>
    <definedName name="SCH1_TO_3">[211]tb!#REF!</definedName>
    <definedName name="SCH4_5">#REF!</definedName>
    <definedName name="SCH4_T0_5">[211]tb!#REF!</definedName>
    <definedName name="SCH6_10">#REF!</definedName>
    <definedName name="Sched_Pay">#REF!</definedName>
    <definedName name="Schedule_1.2">#REF!</definedName>
    <definedName name="Schedule_13">#REF!</definedName>
    <definedName name="Schedule_4">#REF!</definedName>
    <definedName name="Schedule_5">#REF!</definedName>
    <definedName name="Schedule_9">#REF!</definedName>
    <definedName name="Scheduled_Extra_Payments">#REF!</definedName>
    <definedName name="Scheduled_Interest_Rate">#REF!</definedName>
    <definedName name="Scheduled_Monthly_Payment">#REF!</definedName>
    <definedName name="scheduleThree">#REF!</definedName>
    <definedName name="sco_sites">#REF!</definedName>
    <definedName name="Scurve1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curve1" localSheetId="1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curve1" localSheetId="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curve1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curve1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curve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D" localSheetId="17">'[322]Table 5'!$E$1</definedName>
    <definedName name="sd" localSheetId="7" hidden="1">{#N/A,#N/A,FALSE,"COVER1.XLS ";#N/A,#N/A,FALSE,"RACT1.XLS";#N/A,#N/A,FALSE,"RACT2.XLS";#N/A,#N/A,FALSE,"ECCMP";#N/A,#N/A,FALSE,"WELDER.XLS"}</definedName>
    <definedName name="sd" localSheetId="10" hidden="1">{#N/A,#N/A,FALSE,"COVER1.XLS ";#N/A,#N/A,FALSE,"RACT1.XLS";#N/A,#N/A,FALSE,"RACT2.XLS";#N/A,#N/A,FALSE,"ECCMP";#N/A,#N/A,FALSE,"WELDER.XLS"}</definedName>
    <definedName name="sd" localSheetId="9" hidden="1">{#N/A,#N/A,FALSE,"COVER1.XLS ";#N/A,#N/A,FALSE,"RACT1.XLS";#N/A,#N/A,FALSE,"RACT2.XLS";#N/A,#N/A,FALSE,"ECCMP";#N/A,#N/A,FALSE,"WELDER.XLS"}</definedName>
    <definedName name="sd" localSheetId="6" hidden="1">{#N/A,#N/A,FALSE,"COVER1.XLS ";#N/A,#N/A,FALSE,"RACT1.XLS";#N/A,#N/A,FALSE,"RACT2.XLS";#N/A,#N/A,FALSE,"ECCMP";#N/A,#N/A,FALSE,"WELDER.XLS"}</definedName>
    <definedName name="SD">'[323]Table 5'!$E$1</definedName>
    <definedName name="sda" localSheetId="17">[324]Keyratios!#REF!</definedName>
    <definedName name="sda">[325]Keyratios!#REF!</definedName>
    <definedName name="SDASD">#REF!</definedName>
    <definedName name="sdcacarriagetfc1a" localSheetId="17">#REF!</definedName>
    <definedName name="sdcacarriagetfc1a">#REF!</definedName>
    <definedName name="sdcacarriagetfc1b">#REF!</definedName>
    <definedName name="sdcacarriagetfc2">#REF!</definedName>
    <definedName name="sdf" localSheetId="7" hidden="1">{#N/A,#N/A,FALSE,"COVER.XLS";#N/A,#N/A,FALSE,"RACT1.XLS";#N/A,#N/A,FALSE,"RACT2.XLS";#N/A,#N/A,FALSE,"ECCMP";#N/A,#N/A,FALSE,"WELDER.XLS"}</definedName>
    <definedName name="sdf" localSheetId="10" hidden="1">{#N/A,#N/A,FALSE,"COVER.XLS";#N/A,#N/A,FALSE,"RACT1.XLS";#N/A,#N/A,FALSE,"RACT2.XLS";#N/A,#N/A,FALSE,"ECCMP";#N/A,#N/A,FALSE,"WELDER.XLS"}</definedName>
    <definedName name="sdf" localSheetId="9" hidden="1">{#N/A,#N/A,FALSE,"COVER.XLS";#N/A,#N/A,FALSE,"RACT1.XLS";#N/A,#N/A,FALSE,"RACT2.XLS";#N/A,#N/A,FALSE,"ECCMP";#N/A,#N/A,FALSE,"WELDER.XLS"}</definedName>
    <definedName name="sdf" localSheetId="6" hidden="1">{#N/A,#N/A,FALSE,"COVER.XLS";#N/A,#N/A,FALSE,"RACT1.XLS";#N/A,#N/A,FALSE,"RACT2.XLS";#N/A,#N/A,FALSE,"ECCMP";#N/A,#N/A,FALSE,"WELDER.XLS"}</definedName>
    <definedName name="SDF">[326]Sheet1!$A$2:$H$2501</definedName>
    <definedName name="sdflhk">[298]MAHSTOCKVAL!#REF!</definedName>
    <definedName name="SDP">#N/A</definedName>
    <definedName name="sds" localSheetId="7" hidden="1">{"plansummary",#N/A,FALSE,"PlanSummary";"sales",#N/A,FALSE,"Sales Rec";"productivity",#N/A,FALSE,"Productivity Rec";"capitalspending",#N/A,FALSE,"Capital Spending"}</definedName>
    <definedName name="sds" localSheetId="10" hidden="1">{"plansummary",#N/A,FALSE,"PlanSummary";"sales",#N/A,FALSE,"Sales Rec";"productivity",#N/A,FALSE,"Productivity Rec";"capitalspending",#N/A,FALSE,"Capital Spending"}</definedName>
    <definedName name="sds" localSheetId="1" hidden="1">{"plansummary",#N/A,FALSE,"PlanSummary";"sales",#N/A,FALSE,"Sales Rec";"productivity",#N/A,FALSE,"Productivity Rec";"capitalspending",#N/A,FALSE,"Capital Spending"}</definedName>
    <definedName name="sds" localSheetId="0" hidden="1">{"plansummary",#N/A,FALSE,"PlanSummary";"sales",#N/A,FALSE,"Sales Rec";"productivity",#N/A,FALSE,"Productivity Rec";"capitalspending",#N/A,FALSE,"Capital Spending"}</definedName>
    <definedName name="sds" localSheetId="6" hidden="1">{"plansummary",#N/A,FALSE,"PlanSummary";"sales",#N/A,FALSE,"Sales Rec";"productivity",#N/A,FALSE,"Productivity Rec";"capitalspending",#N/A,FALSE,"Capital Spending"}</definedName>
    <definedName name="sds" hidden="1">{"plansummary",#N/A,FALSE,"PlanSummary";"sales",#N/A,FALSE,"Sales Rec";"productivity",#N/A,FALSE,"Productivity Rec";"capitalspending",#N/A,FALSE,"Capital Spending"}</definedName>
    <definedName name="sdsdsdsd">#REF!</definedName>
    <definedName name="sdsfszsfzs" localSheetId="1">#REF!,#REF!</definedName>
    <definedName name="sdsfszsfzs" localSheetId="0">#REF!,#REF!</definedName>
    <definedName name="sdsfszsfzs">#REF!,#REF!</definedName>
    <definedName name="SE_NAME">""</definedName>
    <definedName name="seasoning" localSheetId="17">'[91]Pool details'!$AS$3:$AS$4876</definedName>
    <definedName name="seasoning">'[92]Pool details'!$AS$3:$AS$4876</definedName>
    <definedName name="SEC43B" localSheetId="17">#REF!</definedName>
    <definedName name="SEC43B">#REF!</definedName>
    <definedName name="SECOAL">#REF!</definedName>
    <definedName name="SECTOR_LIST">[295]SECTOR!$A$2:$A$65536</definedName>
    <definedName name="segpbt">#REF!</definedName>
    <definedName name="SELECT">#REF!</definedName>
    <definedName name="Selection">#REF!</definedName>
    <definedName name="SEMI">#REF!</definedName>
    <definedName name="sencount" hidden="1">1</definedName>
    <definedName name="Sensi1">#REF!</definedName>
    <definedName name="Sensi2">#REF!</definedName>
    <definedName name="Sensi3">#REF!</definedName>
    <definedName name="sensitivity">#REF!</definedName>
    <definedName name="SEOREP">#REF!</definedName>
    <definedName name="SEREPORT">#REF!</definedName>
    <definedName name="series_assum_ex_rate_USD">[117]Assum!$F$299:$Y$299</definedName>
    <definedName name="serverdis">#REF!</definedName>
    <definedName name="Service_Charges__Amenities">'[327]PIVOT -Grouping '!#REF!</definedName>
    <definedName name="Service_Type">"Service Type"</definedName>
    <definedName name="SETOFBOOKSID1">[69]CRITERIA1!$B$1</definedName>
    <definedName name="SETOFBOOKSNAME1">[69]CRITERIA1!$B$2</definedName>
    <definedName name="SEZA10.DedFromUndertaking">'[46]10A'!$F$19</definedName>
    <definedName name="SEZA10.TotalDedUs10Sub">'[46]10A'!$H$20</definedName>
    <definedName name="SF">[142]Rollup!#REF!</definedName>
    <definedName name="SFAS131_9803__Export_List">#REF!</definedName>
    <definedName name="SGA">'[72]2. Forecast Drivers'!$E$34:$S$34</definedName>
    <definedName name="Share_of_DLF" localSheetId="17">'[328]P&amp;L'!$C$44</definedName>
    <definedName name="Share_of_DLF">'[329]P&amp;L'!$C$44</definedName>
    <definedName name="SHARED_FORMULA_1">#N/A</definedName>
    <definedName name="SHARED_FORMULA_3">#N/A</definedName>
    <definedName name="SHARED_FORMULA_5">#N/A</definedName>
    <definedName name="SHARED_FORMULA_7">#N/A</definedName>
    <definedName name="SHARED_FORMULA_9">#N/A</definedName>
    <definedName name="Shares_Av">'[72]2. Forecast Drivers'!$E$250:$S$250</definedName>
    <definedName name="Shares_FD_Av">'[72]2. Forecast Drivers'!$E$255:$S$255</definedName>
    <definedName name="Shares2">'[72]2. Forecast Drivers'!$N$252</definedName>
    <definedName name="sHEET" localSheetId="17">[330]Keyratios!#REF!</definedName>
    <definedName name="sHEET">[331]Keyratios!#REF!</definedName>
    <definedName name="SHEET1">#REF!</definedName>
    <definedName name="sheet10.NetPLFromSpecBus">[46]BP!$H$4</definedName>
    <definedName name="sheet10.NetPLFromSpecifiedBus">[46]BP!$H$5</definedName>
    <definedName name="sheet11.AdjustedPLOthThanSpecBus">[46]BP!$J$17</definedName>
    <definedName name="sheet11.AdjustPLAfterDeprOthSpecInc">[46]BP!$J$23</definedName>
    <definedName name="sheet11.AmtAllowUs35ACt">[46]BP!$H$41</definedName>
    <definedName name="sheet11.BalancePLOthThanSpecBus">[46]BP!$J$13</definedName>
    <definedName name="sheet11.DebPL35ACAmt">[46]BP!$H$40</definedName>
    <definedName name="sheet11.DepreciationAllowUs32_1_i">[46]BP!$H$21</definedName>
    <definedName name="sheet11.DepreciationDebPLCosAct">[46]BP!$J$18</definedName>
    <definedName name="sheet11.ExpDebToPLExemptInc">[46]BP!$H$15</definedName>
    <definedName name="sheet11.ExpDebToPLOthHeads">[46]BP!$H$14</definedName>
    <definedName name="sheet11.PLAftAdjDedBusOthThanSpec">[46]BP!$J$45</definedName>
    <definedName name="sheet11.TotAfterAddToPLDeprOthSpecInc">[46]BP!$J$34</definedName>
    <definedName name="sheet11.TotDeductionAmts">[46]BP!$J$44</definedName>
    <definedName name="sheet11.TotDeprAllowITAct">[46]BP!$J$22</definedName>
    <definedName name="sheet11.TotExpDebPL">[46]BP!$H$16</definedName>
    <definedName name="sheet12.AdditionUs28to44DA">[46]BP!$J$70</definedName>
    <definedName name="sheet12.AddSec2844DA">[46]BP!$J$75</definedName>
    <definedName name="sheet12.AdjustedPLFrmSpecifiedBus">[46]BP!$J$79</definedName>
    <definedName name="sheet12.AdjustedPLFrmSpecuBus">[46]BP!$J$72</definedName>
    <definedName name="sheet12.DedSec2844DA">[46]BP!$J$76</definedName>
    <definedName name="sheet12.DeductUs28to44DA">[46]BP!$J$71</definedName>
    <definedName name="sheet12.DeductUs35AD">[46]BP!$J$78</definedName>
    <definedName name="sheet12.DENetPLBusOthThanSpec7A7B7C">[46]BP!$H$67</definedName>
    <definedName name="sheet12.NetPLAftAdjBusOthThanSpec">[46]BP!$J$66</definedName>
    <definedName name="sheet12.NetPLBusOthThanSpec7A7B7C">[46]BP!$J$67</definedName>
    <definedName name="sheet12.NetPLFrmSpecBus">[46]BP!$J$69</definedName>
    <definedName name="sheet12.NetPLFrmSpecifiedBus">[46]BP!$J$74</definedName>
    <definedName name="sheet12.ProfitLossBfrDeductUs10s">[46]BP!$J$59</definedName>
    <definedName name="sheet12.ProfLossFromSpecifiedBus">[46]BP!$J$77</definedName>
    <definedName name="sheet12.TotDeductionUs10s">[46]BP!$J$65</definedName>
    <definedName name="sheet12.TotDeemedProfitBusUs">[46]BP!$J$58</definedName>
    <definedName name="sheet16.BalBusLossAftSetoff">'[46]CYLA BFLA'!$F$15</definedName>
    <definedName name="sheet16.BalHPlossCurYrAftSetoff">'[46]CYLA BFLA'!$E$15</definedName>
    <definedName name="sheet16.TotAllUs35cl4Setoff">'[46]CYLA BFLA'!$G$28</definedName>
    <definedName name="sheet16.TotBusLossSetoff">'[46]CYLA BFLA'!$F$14</definedName>
    <definedName name="sheet16.TotHPlossCurYrSetoff">'[46]CYLA BFLA'!$E$14</definedName>
    <definedName name="sheet16.TotOthSrcLossNoRaceHorseSetoff">'[46]CYLA BFLA'!$G$14</definedName>
    <definedName name="sheet16.TotUnabsorbedDeprSetoff">'[46]CYLA BFLA'!$F$28</definedName>
    <definedName name="sheet22.YesNo">[46]PART_C!$IV$9:$IV$10</definedName>
    <definedName name="sheet8b.CurrentYearLoss">[46]PART_B!$J$22</definedName>
    <definedName name="sheet8b.DeductionsUnderScheduleVIA">[46]PART_B!$J$26</definedName>
    <definedName name="sheet8b.GrossTotalIncome">[46]PART_B!$J$25</definedName>
    <definedName name="sheet8b.IncomeFromHP">[46]PART_B!$J$2</definedName>
    <definedName name="sheet8b.LongTerm">[46]PART_B!$H$15</definedName>
    <definedName name="sheet8b.NetAgricultureIncomeOrOtherIncomeForRate">[46]PART_B!$J$28</definedName>
    <definedName name="sheet8b.TotalCapGains">[46]PART_B!$J$16</definedName>
    <definedName name="sheet8b.TotalShortTerm">[46]PART_B!$H$12</definedName>
    <definedName name="sheet8b.TotalTI">[46]PART_B!$J$21</definedName>
    <definedName name="sheet8b.TotIncFromOS">[46]PART_B!$J$20</definedName>
    <definedName name="sheet8b.TotProfBusGain">[46]PART_B!$J$7</definedName>
    <definedName name="sheet9.AdvanceTax">[46]PART_B!$H$63</definedName>
    <definedName name="sheet9.AggregateTaxInterestLiability">[46]PART_B!$J$61</definedName>
    <definedName name="sheet9.AssesseeVerName">[46]PART_B!$F$72</definedName>
    <definedName name="sheet9.Capacity">[46]PART_B!$F$77</definedName>
    <definedName name="sheet9.CreditUnd115JAA">[46]PART_B!$J$46</definedName>
    <definedName name="sheet9.Date">[46]PART_B!$F$79</definedName>
    <definedName name="sheet9.EducationCess">[46]PART_B!$J$43</definedName>
    <definedName name="sheet9.EduCessOnDemandUnd155JB">[46]PART_B!$J$36</definedName>
    <definedName name="sheet9.FatherName">[46]PART_B!$F$73</definedName>
    <definedName name="sheet9.GrossTaxLiability">[46]PART_B!$J$44</definedName>
    <definedName name="sheet9.GrossTaxPayable">[46]PART_B!$J$45</definedName>
    <definedName name="sheet9.IntrstPayUs234A">[46]PART_B!$H$57</definedName>
    <definedName name="sheet9.IntrstPayUs234B">[46]PART_B!$H$58</definedName>
    <definedName name="sheet9.IntrstPayUs234C">[46]PART_B!$H$59</definedName>
    <definedName name="sheet9.NetTaxLiability">[46]PART_B!$J$55</definedName>
    <definedName name="sheet9.Place">[46]PART_B!$F$78</definedName>
    <definedName name="sheet9.RebateUs88E">[46]PART_B!$J$48</definedName>
    <definedName name="sheet9.Section90">[46]PART_B!$H$52</definedName>
    <definedName name="sheet9.Section91">[46]PART_B!$H$53</definedName>
    <definedName name="sheet9.SelfAssessmentTax">[46]PART_B!$H$66</definedName>
    <definedName name="sheet9.SurchargeOnDemandUnd155JB">[46]PART_B!$J$35</definedName>
    <definedName name="sheet9.SurchargeOnTaxPayable">[46]PART_B!$J$42</definedName>
    <definedName name="sheet9.TaxAtNormalRatesOnAggrInc">[46]PART_B!$H$39</definedName>
    <definedName name="sheet9.TaxPayableOnDemandUnd155JB">[46]PART_B!$J$34</definedName>
    <definedName name="sheet9.TaxPayableOnTotInc">[46]PART_B!$J$41</definedName>
    <definedName name="sheet9.TaxpayAfterCreditUnd115JAA">[46]PART_B!$J$50</definedName>
    <definedName name="sheet9.TCS">[46]PART_B!$H$65</definedName>
    <definedName name="sheet9.TDS">[46]PART_B!$H$64</definedName>
    <definedName name="sheet9.TotalIntrstPay">[46]PART_B!$J$60</definedName>
    <definedName name="sheet9.TotalTaxesPaid">[46]PART_B!$J$67</definedName>
    <definedName name="sheet9.TotTaxPayableOnDemandUnd155JB">[46]PART_B!$J$37</definedName>
    <definedName name="sheet9.TotTaxRelief">[46]PART_B!$J$54</definedName>
    <definedName name="sheet9.VerPAN">[46]PART_B!$J$72</definedName>
    <definedName name="shelf_1_fixed">[332]Equipment!$F$41</definedName>
    <definedName name="shelf_1A_var">[332]Equipment!$F$54</definedName>
    <definedName name="shelf_1B_fixed">[332]Equipment!$F$61</definedName>
    <definedName name="shelf_1B_var">[332]Equipment!$F$74</definedName>
    <definedName name="shelf_1C_fixed">[332]Equipment!$F$81</definedName>
    <definedName name="shelf_1C_var">[332]Equipment!$F$94</definedName>
    <definedName name="shelf_1D_fixed">[332]Equipment!$F$101</definedName>
    <definedName name="shelf_1D_var">[332]Equipment!$F$114</definedName>
    <definedName name="shelf_1E_fixed">[332]Equipment!$F$121</definedName>
    <definedName name="shelf_1E_var">[332]Equipment!$F$134</definedName>
    <definedName name="shelf_IIA_fixed" localSheetId="17">'[132]Capex-fixed'!#REF!</definedName>
    <definedName name="shelf_IIA_fixed">'[132]Capex-fixed'!#REF!</definedName>
    <definedName name="shelf_IIIA_fixed">[332]Equipment!$F$249</definedName>
    <definedName name="shelf_IIIA_var">[332]Equipment!$F$262</definedName>
    <definedName name="shelf_IIIB_fixed">[332]Equipment!$F$269</definedName>
    <definedName name="shelf_IIIB_var">[332]Equipment!$F$282</definedName>
    <definedName name="shelf_IIIC_fixed">[332]Equipment!$F$289</definedName>
    <definedName name="shelf_IIIC_var">[332]Equipment!$F$302</definedName>
    <definedName name="shelf_IIID_fixed">[332]Equipment!$F$309</definedName>
    <definedName name="shelf_IIID_var">[332]Equipment!$F$322</definedName>
    <definedName name="shelf_IIIE_fixed">[332]Equipment!$F$329</definedName>
    <definedName name="shelf_IIIE_var">[332]Equipment!$F$342</definedName>
    <definedName name="shelf_IVA_fixed">[332]Equipment!$F$353</definedName>
    <definedName name="shelf_IVA_var">[332]Equipment!$F$366</definedName>
    <definedName name="shelf_IVB_fixed">[332]Equipment!$F$373</definedName>
    <definedName name="shelf_IVB_var">[332]Equipment!$F$386</definedName>
    <definedName name="shelf_IVC_fixed">[332]Equipment!$F$393</definedName>
    <definedName name="shelf_IVC_var">[332]Equipment!$F$406</definedName>
    <definedName name="shelf_IVD_fixed">[332]Equipment!$F$413</definedName>
    <definedName name="shelf_IVD_var">[332]Equipment!$F$426</definedName>
    <definedName name="shelf_IVE_fixed">[332]Equipment!$F$433</definedName>
    <definedName name="shelf_IVE_var">[332]Equipment!$F$446</definedName>
    <definedName name="shft1">[201]SUMMERY!$P$1</definedName>
    <definedName name="shftI">[333]SUMMERY!$P$1</definedName>
    <definedName name="ShipmentWeightBlock">[122]Assumptions!#REF!</definedName>
    <definedName name="short" localSheetId="7" hidden="1">{#N/A,#N/A,FALSE,"COVER1.XLS ";#N/A,#N/A,FALSE,"RACT1.XLS";#N/A,#N/A,FALSE,"RACT2.XLS";#N/A,#N/A,FALSE,"ECCMP";#N/A,#N/A,FALSE,"WELDER.XLS"}</definedName>
    <definedName name="short" localSheetId="10" hidden="1">{#N/A,#N/A,FALSE,"COVER1.XLS ";#N/A,#N/A,FALSE,"RACT1.XLS";#N/A,#N/A,FALSE,"RACT2.XLS";#N/A,#N/A,FALSE,"ECCMP";#N/A,#N/A,FALSE,"WELDER.XLS"}</definedName>
    <definedName name="short" localSheetId="9" hidden="1">{#N/A,#N/A,FALSE,"COVER1.XLS ";#N/A,#N/A,FALSE,"RACT1.XLS";#N/A,#N/A,FALSE,"RACT2.XLS";#N/A,#N/A,FALSE,"ECCMP";#N/A,#N/A,FALSE,"WELDER.XLS"}</definedName>
    <definedName name="short" localSheetId="6" hidden="1">{#N/A,#N/A,FALSE,"COVER1.XLS ";#N/A,#N/A,FALSE,"RACT1.XLS";#N/A,#N/A,FALSE,"RACT2.XLS";#N/A,#N/A,FALSE,"ECCMP";#N/A,#N/A,FALSE,"WELDER.XLS"}</definedName>
    <definedName name="SHORT">'[78]YE-SW2'!$IM$8159</definedName>
    <definedName name="SHORTGH" localSheetId="7" hidden="1">{#N/A,#N/A,FALSE,"COVER1.XLS ";#N/A,#N/A,FALSE,"RACT1.XLS";#N/A,#N/A,FALSE,"RACT2.XLS";#N/A,#N/A,FALSE,"ECCMP";#N/A,#N/A,FALSE,"WELDER.XLS"}</definedName>
    <definedName name="SHORTGH" localSheetId="10" hidden="1">{#N/A,#N/A,FALSE,"COVER1.XLS ";#N/A,#N/A,FALSE,"RACT1.XLS";#N/A,#N/A,FALSE,"RACT2.XLS";#N/A,#N/A,FALSE,"ECCMP";#N/A,#N/A,FALSE,"WELDER.XLS"}</definedName>
    <definedName name="SHORTGH" localSheetId="1" hidden="1">{#N/A,#N/A,FALSE,"COVER1.XLS ";#N/A,#N/A,FALSE,"RACT1.XLS";#N/A,#N/A,FALSE,"RACT2.XLS";#N/A,#N/A,FALSE,"ECCMP";#N/A,#N/A,FALSE,"WELDER.XLS"}</definedName>
    <definedName name="SHORTGH" localSheetId="0" hidden="1">{#N/A,#N/A,FALSE,"COVER1.XLS ";#N/A,#N/A,FALSE,"RACT1.XLS";#N/A,#N/A,FALSE,"RACT2.XLS";#N/A,#N/A,FALSE,"ECCMP";#N/A,#N/A,FALSE,"WELDER.XLS"}</definedName>
    <definedName name="SHORTGH" localSheetId="6" hidden="1">{#N/A,#N/A,FALSE,"COVER1.XLS ";#N/A,#N/A,FALSE,"RACT1.XLS";#N/A,#N/A,FALSE,"RACT2.XLS";#N/A,#N/A,FALSE,"ECCMP";#N/A,#N/A,FALSE,"WELDER.XLS"}</definedName>
    <definedName name="SHORTGH" hidden="1">{#N/A,#N/A,FALSE,"COVER1.XLS ";#N/A,#N/A,FALSE,"RACT1.XLS";#N/A,#N/A,FALSE,"RACT2.XLS";#N/A,#N/A,FALSE,"ECCMP";#N/A,#N/A,FALSE,"WELDER.XLS"}</definedName>
    <definedName name="ShortTermDebt">[150]Financials!$J$147:$U$147</definedName>
    <definedName name="Show.Date" localSheetId="7">IF('[97]FITZ MORT 94'!XFD1&lt;&gt;"",DATE(YEAR([0]!First_payment_due),MONTH([0]!First_payment_due)+('[97]FITZ MORT 94'!XFD1-1)*12/[0]!Payments_per_year,DAY([0]!First_payment_due)),"")</definedName>
    <definedName name="Show.Date" localSheetId="10">IF('[97]FITZ MORT 94'!XFD1&lt;&gt;"",DATE(YEAR([0]!First_payment_due),MONTH([0]!First_payment_due)+('[97]FITZ MORT 94'!XFD1-1)*12/[0]!Payments_per_year,DAY([0]!First_payment_due)),"")</definedName>
    <definedName name="Show.Date" localSheetId="1">IF('[97]FITZ MORT 94'!XFD1&lt;&gt;"",DATE(YEAR([0]!First_payment_due),MONTH([0]!First_payment_due)+('[97]FITZ MORT 94'!XFD1-1)*12/[0]!Payments_per_year,DAY([0]!First_payment_due)),"")</definedName>
    <definedName name="Show.Date" localSheetId="0">IF('[97]FITZ MORT 94'!XFD1&lt;&gt;"",DATE(YEAR([0]!First_payment_due),MONTH([0]!First_payment_due)+('[97]FITZ MORT 94'!XFD1-1)*12/[0]!Payments_per_year,DAY([0]!First_payment_due)),"")</definedName>
    <definedName name="Show.Date" localSheetId="6">IF('[97]FITZ MORT 94'!XFD1&lt;&gt;"",DATE(YEAR([0]!First_payment_due),MONTH([0]!First_payment_due)+('[97]FITZ MORT 94'!XFD1-1)*12/[0]!Payments_per_year,DAY([0]!First_payment_due)),"")</definedName>
    <definedName name="Show.Date">IF('[97]FITZ MORT 94'!XFD1&lt;&gt;"",DATE(YEAR([0]!First_payment_due),MONTH([0]!First_payment_due)+('[97]FITZ MORT 94'!XFD1-1)*12/[0]!Payments_per_year,DAY([0]!First_payment_due)),"")</definedName>
    <definedName name="SHR" localSheetId="17">[100]Sensitivity!$E$9</definedName>
    <definedName name="SHR">[101]Sensitivity!$E$9</definedName>
    <definedName name="shshshsh">#REF!,#REF!</definedName>
    <definedName name="SHT">#REF!</definedName>
    <definedName name="SI.SecCode">[46]SI!$C$12:$C$21</definedName>
    <definedName name="SI.SplRateInc">[46]SI!$E$12:$E$21</definedName>
    <definedName name="SI.SplRateIncTax">[46]SI!$G$12:$G$21</definedName>
    <definedName name="SI.TotSplRateIncTax">[46]SI!$G$22</definedName>
    <definedName name="SI_NAME">"Trend Micro HK eDoctor"</definedName>
    <definedName name="SIDDHESH">#REF!</definedName>
    <definedName name="sig" localSheetId="17">#REF!</definedName>
    <definedName name="sig">#REF!</definedName>
    <definedName name="SIGHT" localSheetId="17">[334]CAPEX!#REF!</definedName>
    <definedName name="SIGHT">[335]CAPEX!#REF!</definedName>
    <definedName name="signal" localSheetId="17">'[76]Cost Breakup Depreciation&amp; Tax'!$C$17</definedName>
    <definedName name="signal">'[77]Cost Breakup Depreciation&amp; Tax'!$C$17</definedName>
    <definedName name="size">#REF!</definedName>
    <definedName name="SKYMARK" localSheetId="17">[236]国内work!#REF!</definedName>
    <definedName name="SKYMARK">[237]国内work!#REF!</definedName>
    <definedName name="sl">#REF!</definedName>
    <definedName name="SL_Base">#REF!</definedName>
    <definedName name="SL_SEN">#REF!</definedName>
    <definedName name="SLFHDOJHGDLKJGBD" hidden="1">#REF!</definedName>
    <definedName name="slmadditionalhead1" localSheetId="17">#REF!</definedName>
    <definedName name="slmadditionalhead1">#REF!</definedName>
    <definedName name="slmadditionalhead2">#REF!</definedName>
    <definedName name="slmcivil">#REF!</definedName>
    <definedName name="slmduct">#REF!</definedName>
    <definedName name="slmelectro">#REF!</definedName>
    <definedName name="slmutilities">#REF!</definedName>
    <definedName name="slotreq_LEMU6">'[132]Capex-fixed'!#REF!</definedName>
    <definedName name="slotreq_LESA8">'[132]Capex-fixed'!#REF!</definedName>
    <definedName name="slotreq_LOMIF">'[132]Capex-fixed'!#REF!</definedName>
    <definedName name="slotreq_PCONV">'[132]Capex-fixed'!#REF!</definedName>
    <definedName name="slotreq_PHLC30">'[132]Capex-fixed'!#REF!</definedName>
    <definedName name="slotreq_PHLC60">'[132]Capex-fixed'!#REF!</definedName>
    <definedName name="sn">'[336]RCTL-SCH'!#REF!</definedName>
    <definedName name="softcostonetime" localSheetId="17">'[76]Cost Breakup Depreciation&amp; Tax'!$C$35</definedName>
    <definedName name="softcostonetime">'[77]Cost Breakup Depreciation&amp; Tax'!$C$35</definedName>
    <definedName name="Sonota" localSheetId="17">[241]その他!$A$1:$N$2</definedName>
    <definedName name="Sonota">[242]その他!$A$1:$N$2</definedName>
    <definedName name="sort" localSheetId="17">#REF!</definedName>
    <definedName name="sort">#REF!</definedName>
    <definedName name="sort_area">#REF!</definedName>
    <definedName name="sort_range">#REF!</definedName>
    <definedName name="sot">#REF!</definedName>
    <definedName name="source" localSheetId="17">'[91]Pool details'!$D$3:$D$4876</definedName>
    <definedName name="source">'[92]Pool details'!$D$3:$D$4876</definedName>
    <definedName name="SP">#N/A</definedName>
    <definedName name="SpaceCostPerUserPerYear">[120]Assumptions!#REF!</definedName>
    <definedName name="SPAIN">#REF!</definedName>
    <definedName name="SPAN">#REF!</definedName>
    <definedName name="SpecialPrice" hidden="1">#REF!</definedName>
    <definedName name="SpecItem">'[72]2. Forecast Drivers'!$E$155:$S$155</definedName>
    <definedName name="spr" localSheetId="17">[64]SPR!#REF!</definedName>
    <definedName name="spr">[65]SPR!#REF!</definedName>
    <definedName name="spread">#N/A</definedName>
    <definedName name="spread1">#N/A</definedName>
    <definedName name="spreadadj">#N/A</definedName>
    <definedName name="spreads">'[72]26. Optimal Capital Structure'!#REF!,'[72]26. Optimal Capital Structure'!#REF!</definedName>
    <definedName name="SPT__Czech">[106]List_ratios!#REF!</definedName>
    <definedName name="SPV_DSCR">#REF!</definedName>
    <definedName name="SPV_Loan">#REF!</definedName>
    <definedName name="SPWS_WBID">"FF2F8A43-5A64-4DCD-BC03-1C90566C04FC"</definedName>
    <definedName name="SRANGE">[337]Sheet1!$A$1:$G$278</definedName>
    <definedName name="SRH_Equity">'[281]Portfolio Summary'!$K$33</definedName>
    <definedName name="Sri_Manoj_Maheshwari">#REF!</definedName>
    <definedName name="SS" localSheetId="17">#REF!</definedName>
    <definedName name="ss" localSheetId="7" hidden="1">{#N/A,#N/A,FALSE,"COVER.XLS";#N/A,#N/A,FALSE,"RACT1.XLS";#N/A,#N/A,FALSE,"RACT2.XLS";#N/A,#N/A,FALSE,"ECCMP";#N/A,#N/A,FALSE,"WELDER.XLS"}</definedName>
    <definedName name="ss" localSheetId="10" hidden="1">{#N/A,#N/A,FALSE,"COVER.XLS";#N/A,#N/A,FALSE,"RACT1.XLS";#N/A,#N/A,FALSE,"RACT2.XLS";#N/A,#N/A,FALSE,"ECCMP";#N/A,#N/A,FALSE,"WELDER.XLS"}</definedName>
    <definedName name="ss" localSheetId="9" hidden="1">{#N/A,#N/A,FALSE,"COVER.XLS";#N/A,#N/A,FALSE,"RACT1.XLS";#N/A,#N/A,FALSE,"RACT2.XLS";#N/A,#N/A,FALSE,"ECCMP";#N/A,#N/A,FALSE,"WELDER.XLS"}</definedName>
    <definedName name="ss" localSheetId="6" hidden="1">{#N/A,#N/A,FALSE,"COVER.XLS";#N/A,#N/A,FALSE,"RACT1.XLS";#N/A,#N/A,FALSE,"RACT2.XLS";#N/A,#N/A,FALSE,"ECCMP";#N/A,#N/A,FALSE,"WELDER.XLS"}</definedName>
    <definedName name="SS">#REF!</definedName>
    <definedName name="SS_MaxPattern">"Max Pattern Number "</definedName>
    <definedName name="SS_MaxPattern_1">""</definedName>
    <definedName name="SS_MaxPattern_2">""</definedName>
    <definedName name="SS_MaxPattern_3">""</definedName>
    <definedName name="SS_MaxPattern_4">""</definedName>
    <definedName name="SS_MaxPattern_5">""</definedName>
    <definedName name="SS_MaxPattern_6">""</definedName>
    <definedName name="SS_MinPattern">"Min Pattern Number "</definedName>
    <definedName name="SS_MinPattern_1">""</definedName>
    <definedName name="SS_MinPattern_2">""</definedName>
    <definedName name="SS_MinPattern_3">""</definedName>
    <definedName name="SS_MinPattern_4">""</definedName>
    <definedName name="SS_MinPattern_5">""</definedName>
    <definedName name="SS_MinPattern_6">""</definedName>
    <definedName name="SS_ServerNo">"Number of Serveres "</definedName>
    <definedName name="SS_ServerNo_1">""</definedName>
    <definedName name="SS_ServerNo_2">""</definedName>
    <definedName name="SS_ServerNo_3">""</definedName>
    <definedName name="SS_ServerNo_4">""</definedName>
    <definedName name="SS_ServerNo_5">""</definedName>
    <definedName name="SS_ServerNo_6">""</definedName>
    <definedName name="SS_SiteName">"Site Name"</definedName>
    <definedName name="SS_SiteName_1">""</definedName>
    <definedName name="SS_SiteName_2">""</definedName>
    <definedName name="SS_SiteName_3">""</definedName>
    <definedName name="SS_SiteName_4">""</definedName>
    <definedName name="SS_SiteName_5">""</definedName>
    <definedName name="SS_SiteName_6">""</definedName>
    <definedName name="SS_VirusNo">"Number of Viruses "</definedName>
    <definedName name="SS_VirusNo_1">""</definedName>
    <definedName name="SS_VirusNo_2">""</definedName>
    <definedName name="SS_VirusNo_3">""</definedName>
    <definedName name="SS_VirusNo_4">""</definedName>
    <definedName name="SS_VirusNo_5">""</definedName>
    <definedName name="SS_VirusNo_6">""</definedName>
    <definedName name="SSC">'[269]BS Rec Control Sheet'!#REF!</definedName>
    <definedName name="sss" localSheetId="17">CMA!sss</definedName>
    <definedName name="sss" localSheetId="7">#REF!</definedName>
    <definedName name="sss" localSheetId="10">#REF!</definedName>
    <definedName name="sss" localSheetId="1">Historical!sss</definedName>
    <definedName name="sss" localSheetId="0">Projected!sss</definedName>
    <definedName name="sss" localSheetId="9">#REF!</definedName>
    <definedName name="sss" localSheetId="6">#REF!</definedName>
    <definedName name="sss">sss</definedName>
    <definedName name="SSSA" localSheetId="1" hidden="1">#REF!</definedName>
    <definedName name="SSSA" localSheetId="0" hidden="1">#REF!</definedName>
    <definedName name="SSSA" hidden="1">#REF!</definedName>
    <definedName name="SSSS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">#REF!</definedName>
    <definedName name="ST43B" localSheetId="17">[338]COMPUTATION!#REF!</definedName>
    <definedName name="ST43B">[338]COMPUTATION!#REF!</definedName>
    <definedName name="STAFF">#REF!</definedName>
    <definedName name="Staff_Costs">#REF!</definedName>
    <definedName name="Staff_Loan">'[327]PIVOT -Grouping '!#REF!</definedName>
    <definedName name="staff_sal" localSheetId="17">#REF!</definedName>
    <definedName name="staff_sal">#REF!</definedName>
    <definedName name="staffexpline">[106]List_ratios!#REF!</definedName>
    <definedName name="star99">#REF!</definedName>
    <definedName name="StartDate">'[339]A-General'!$Q$16</definedName>
    <definedName name="STARTJOURNALIMPORT1">[69]CRITERIA1!$B$21</definedName>
    <definedName name="StartSummaryCol">#REF!</definedName>
    <definedName name="startupcost" localSheetId="17">'[76]Cost Breakup Depreciation&amp; Tax'!$C$33</definedName>
    <definedName name="startupcost">'[77]Cost Breakup Depreciation&amp; Tax'!$C$33</definedName>
    <definedName name="State" localSheetId="17">'[91]Pool details'!$R$3:$R$4876</definedName>
    <definedName name="State">'[92]Pool details'!$R$3:$R$4876</definedName>
    <definedName name="STATE_LIST">[295]STATE!$A$2:$A$65536</definedName>
    <definedName name="States">[256]Lists!$A$16:$A$50</definedName>
    <definedName name="STATETAX">'[129]MN T.B.'!$J$22</definedName>
    <definedName name="station" localSheetId="17">'[76]Cost Breakup Depreciation&amp; Tax'!$C$5</definedName>
    <definedName name="station">'[77]Cost Breakup Depreciation&amp; Tax'!$C$5</definedName>
    <definedName name="STATUS_LIST">[295]STATUS!$A$2:$A$65536</definedName>
    <definedName name="stax">[71]Assumptions!$D$333</definedName>
    <definedName name="stcg.BFlossPrevYrUndSameHeadSetoff3">'[46]CYLA BFLA'!$E$24</definedName>
    <definedName name="stcg.BFUnabsorbedDeprSetoff3">'[46]CYLA BFLA'!$F$24</definedName>
    <definedName name="stcg.IncOfCurYrAfterSetOff1">'[46]CYLA BFLA'!$H$10</definedName>
    <definedName name="stcg.IncOfCurYrUnderThatHead1">'[46]CYLA BFLA'!$D$10</definedName>
    <definedName name="stcg111a.ecq1">[46]Calculator!$AD$11</definedName>
    <definedName name="stcg111a.ecq2">[46]Calculator!$AE$11</definedName>
    <definedName name="stcg111a.ecq3">[46]Calculator!$AF$11</definedName>
    <definedName name="stcg111a.ecq4">[46]Calculator!$AG$11</definedName>
    <definedName name="stcg111a.ecq5">[46]Calculator!$AH$11</definedName>
    <definedName name="stcg111a.savings">[46]Calculator!$AI$11</definedName>
    <definedName name="stcg111a.scq1">[46]Calculator!$Y$11</definedName>
    <definedName name="stcg111a.scq2">[46]Calculator!$Z$11</definedName>
    <definedName name="stcg111a.scq3">[46]Calculator!$AA$11</definedName>
    <definedName name="stcg111a.scq4">[46]Calculator!$AB$11</definedName>
    <definedName name="stcg111a.scq5">[46]Calculator!$AC$11</definedName>
    <definedName name="stcg111aec.usratio">[46]Calculator!$X$11</definedName>
    <definedName name="stcg111aincome">'[46]CYLA BFLA'!$O$16</definedName>
    <definedName name="stcg111aincome.bf">'[46]CYLA BFLA'!$AF$16</definedName>
    <definedName name="stcg111aincome.bp">'[46]CYLA BFLA'!$AB$16</definedName>
    <definedName name="stcg111aincome.hp">'[46]CYLA BFLA'!$X$16</definedName>
    <definedName name="stcg111aincome.ih">'[46]CYLA BFLA'!$Q$16</definedName>
    <definedName name="stcg111aincome.os">'[46]CYLA BFLA'!$T$16</definedName>
    <definedName name="stcg111aincome.rem">'[46]CYLA BFLA'!$AO$19</definedName>
    <definedName name="stcg111aincome.stcl">'[46]CYLA BFLA'!$F$46</definedName>
    <definedName name="stcg111aincome.usratio">[46]Calculator!$V$11</definedName>
    <definedName name="stcg111aloss">'[46]CYLA BFLA'!$P$16</definedName>
    <definedName name="stcg111aloss.bfadj">'[46]CYLA BFLA'!$AG$16</definedName>
    <definedName name="stcg111aloss.bp">'[46]CYLA BFLA'!$AD$16</definedName>
    <definedName name="stcg111aloss.hp">'[46]CYLA BFLA'!$Z$16</definedName>
    <definedName name="stcg111aloss.ih">'[46]CYLA BFLA'!$R$16</definedName>
    <definedName name="stcg111aloss.os">'[46]CYLA BFLA'!$V$16</definedName>
    <definedName name="stcg111aloss.unabs">'[46]CYLA BFLA'!$AN$19</definedName>
    <definedName name="stcg111asur.usratio">[46]Calculator!$W$11</definedName>
    <definedName name="stcgloss.aftbfl">'[46]CYLA BFLA'!$AH$16</definedName>
    <definedName name="stcgloss.bf">'[46]CYLA BFLA'!$AE$16</definedName>
    <definedName name="stcgloss1.unabs">'[46]CYLA BFLA'!$F$57</definedName>
    <definedName name="stcgoththan111a.ecq1">[46]Calculator!$AD$14</definedName>
    <definedName name="stcgoththan111a.scq1">[46]Calculator!$Y$14</definedName>
    <definedName name="stcgoththan111aec.usratio">[46]Calculator!$X$14</definedName>
    <definedName name="stcgoththan111aincome">'[46]CYLA BFLA'!$O$17</definedName>
    <definedName name="stcgoththan111aincome.bf">'[46]CYLA BFLA'!$AF$17</definedName>
    <definedName name="stcgoththan111aincome.bp">'[46]CYLA BFLA'!$AB$17</definedName>
    <definedName name="stcgoththan111aincome.hp">'[46]CYLA BFLA'!$X$17</definedName>
    <definedName name="stcgoththan111aincome.ih">'[46]CYLA BFLA'!$Q$17</definedName>
    <definedName name="stcgoththan111aincome.os">'[46]CYLA BFLA'!$T$17</definedName>
    <definedName name="stcgoththan111aincome.q1diff">[46]Calculator!$AJ$47</definedName>
    <definedName name="stcgoththan111aincome.q2diff">[46]Calculator!$AJ$48</definedName>
    <definedName name="stcgoththan111aincome.q3diff">[46]Calculator!$AJ$49</definedName>
    <definedName name="stcgoththan111aincome.q4diff">[46]Calculator!$AJ$50</definedName>
    <definedName name="stcgoththan111aincome.q5diff">[46]Calculator!$AJ$51</definedName>
    <definedName name="stcgoththan111aincome.rem">'[46]CYLA BFLA'!$AO$16</definedName>
    <definedName name="stcgoththan111aincome.stcl">'[46]CYLA BFLA'!$F$42</definedName>
    <definedName name="stcgoththan111Aincome.usratio">[46]Calculator!$V$14</definedName>
    <definedName name="stcgoththan111aloss">'[46]CYLA BFLA'!$P$17</definedName>
    <definedName name="stcgoththan111aloss.bfadj">'[46]CYLA BFLA'!$AG$17</definedName>
    <definedName name="stcgoththan111aloss.bp">'[46]CYLA BFLA'!$AD$17</definedName>
    <definedName name="stcgoththan111aloss.hp">'[46]CYLA BFLA'!$Z$17</definedName>
    <definedName name="stcgoththan111Aloss.ih">'[46]CYLA BFLA'!$R$17</definedName>
    <definedName name="stcgoththan111aloss.os">'[46]CYLA BFLA'!$V$17</definedName>
    <definedName name="stcgoththan111Aloss.unabs">'[46]CYLA BFLA'!$AN$16</definedName>
    <definedName name="stcgoththan111asur.usratio">[46]Calculator!$W$14</definedName>
    <definedName name="stcla1">'[46]CYLA BFLA'!$F$41</definedName>
    <definedName name="stcla2">'[46]CYLA BFLA'!$F$45</definedName>
    <definedName name="stclremaining">'[46]CYLA BFLA'!$F$48</definedName>
    <definedName name="STD" localSheetId="17">[64]Facility!#REF!</definedName>
    <definedName name="STD">[65]Facility!#REF!</definedName>
    <definedName name="STD_Bal">'[72]2. Forecast Drivers'!$E$202:$S$202</definedName>
    <definedName name="STD_Cash">'[72]2. Forecast Drivers'!$E$208:$S$208</definedName>
    <definedName name="STDDATE" localSheetId="17">[83]関係会社貸付金データ!$D$6</definedName>
    <definedName name="STDDATE">[84]関係会社貸付金データ!$D$6</definedName>
    <definedName name="ste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p">[131]wwww!$P$77</definedName>
    <definedName name="stk">#REF!</definedName>
    <definedName name="STL" localSheetId="17">[138]Facility!$B$382</definedName>
    <definedName name="STL">[139]Facility!$B$382</definedName>
    <definedName name="Stock">#REF!</definedName>
    <definedName name="stock_status2001">#REF!</definedName>
    <definedName name="STOCK_WORKING">#REF!</definedName>
    <definedName name="stockdata">#REF!</definedName>
    <definedName name="Stocks">#REF!</definedName>
    <definedName name="STPA10.DedFromUndertaking">'[46]10A'!$F$3</definedName>
    <definedName name="STPA10.TotalDedUs10Sub">'[46]10A'!$H$4</definedName>
    <definedName name="strat">[248]Assumptions!#REF!</definedName>
    <definedName name="STTC.STTPaid">'[46]80_'!$G$63</definedName>
    <definedName name="STTC.TaxPaySTTAvgRate">'[46]80_'!$G$62</definedName>
    <definedName name="sub_total">#REF!</definedName>
    <definedName name="subcat">[340]Rates!$B$28:$B$47</definedName>
    <definedName name="Subscriber_base_related_Software_Costs">#REF!</definedName>
    <definedName name="subsidiary" localSheetId="17">#REF!</definedName>
    <definedName name="subsidiary">#REF!</definedName>
    <definedName name="sum" localSheetId="7">#REF!</definedName>
    <definedName name="sum" localSheetId="10">#REF!</definedName>
    <definedName name="sum" localSheetId="9">#REF!</definedName>
    <definedName name="sum" localSheetId="6">#REF!</definedName>
    <definedName name="SUM">#N/A</definedName>
    <definedName name="sum.fault.repairs">#REF!</definedName>
    <definedName name="sum_admin.exp">#REF!</definedName>
    <definedName name="sum_adv.dir.mktg">#REF!</definedName>
    <definedName name="sum_adv.ele.media">#REF!</definedName>
    <definedName name="sum_adv.eqp.sub">#REF!</definedName>
    <definedName name="sum_adv.ose.bill">#REF!</definedName>
    <definedName name="sum_adv.ose.cc">#REF!</definedName>
    <definedName name="sum_adv.ose.conv">#REF!</definedName>
    <definedName name="sum_adv.ose.trg">#REF!</definedName>
    <definedName name="sum_adv.ose.tvlg">#REF!</definedName>
    <definedName name="sum_adv.outdoor.media">#REF!</definedName>
    <definedName name="sum_adv.pr">#REF!</definedName>
    <definedName name="sum_adv.prn.media">#REF!</definedName>
    <definedName name="sum_adv.prtg">#REF!</definedName>
    <definedName name="sum_adv.snd.caf">#REF!</definedName>
    <definedName name="sum_adv.snd.cl.ent">#REF!</definedName>
    <definedName name="sum_adv.snd.log">#REF!</definedName>
    <definedName name="sum_adv.snd.mr">#REF!</definedName>
    <definedName name="sum_adv.snd.osf">#REF!</definedName>
    <definedName name="sum_amc.costs">#REF!</definedName>
    <definedName name="sum_hiring.charges.vehicles">#REF!</definedName>
    <definedName name="sum_ic.costs">#REF!</definedName>
    <definedName name="sum_nw.admin.exp">#REF!</definedName>
    <definedName name="sum_nw.salaries">#REF!</definedName>
    <definedName name="sum_nw.trg">#REF!</definedName>
    <definedName name="Sum_of_All">#REF!</definedName>
    <definedName name="sum_power.costs">#REF!</definedName>
    <definedName name="sum_route.surveillance">#REF!</definedName>
    <definedName name="Sum_RSq">#REF!</definedName>
    <definedName name="sum_splicevan.running">#REF!</definedName>
    <definedName name="suma">#REF!</definedName>
    <definedName name="SUMM">#REF!</definedName>
    <definedName name="Summary">#REF!</definedName>
    <definedName name="summary_print">#REF!</definedName>
    <definedName name="SumRSQu">#REF!</definedName>
    <definedName name="Suppliers">[67]ReasonCode!$B$2:$B$5000</definedName>
    <definedName name="Support">[133]Support!$A$1:$L$68</definedName>
    <definedName name="Sur_Calc">[46]Calculator!$D$22</definedName>
    <definedName name="Sur_limit">[46]Calculator!$Q$30</definedName>
    <definedName name="Sur_Rate">[46]Calculator!$R$30</definedName>
    <definedName name="sur_stcgoththan111aincome">[46]Calculator!$R$5</definedName>
    <definedName name="sur_usincome">[46]Calculator!$Q$5</definedName>
    <definedName name="svc0">[341]BSPL!$A$655:$D$692</definedName>
    <definedName name="sw">#REF!</definedName>
    <definedName name="sw_sh">[174]factors!$C$4</definedName>
    <definedName name="SWAPS">'[78]YE-SW2'!$IV$8175</definedName>
    <definedName name="SWdis">#REF!</definedName>
    <definedName name="SWED">#REF!</definedName>
    <definedName name="SWEDEN">#REF!</definedName>
    <definedName name="swgrossnet" localSheetId="17">#REF!</definedName>
    <definedName name="swgrossnet">#REF!</definedName>
    <definedName name="SWIT">#REF!</definedName>
    <definedName name="SWITCH" localSheetId="7">#REF!</definedName>
    <definedName name="SWITCH" localSheetId="10">#REF!</definedName>
    <definedName name="SWITCH" localSheetId="9">#REF!</definedName>
    <definedName name="SWITCH" localSheetId="6">#REF!</definedName>
    <definedName name="Switch">#REF!</definedName>
    <definedName name="SWITZERLAND">#REF!</definedName>
    <definedName name="SWM">#REF!</definedName>
    <definedName name="swphase">#REF!</definedName>
    <definedName name="swphase1a">#REF!</definedName>
    <definedName name="swphase1b">#REF!</definedName>
    <definedName name="swphase2">#REF!</definedName>
    <definedName name="sy" localSheetId="17" hidden="1">{#N/A,#N/A,FALSE,"Part ABC"}</definedName>
    <definedName name="sy" localSheetId="1" hidden="1">{#N/A,#N/A,FALSE,"Part ABC"}</definedName>
    <definedName name="sy" localSheetId="0" hidden="1">{#N/A,#N/A,FALSE,"Part ABC"}</definedName>
    <definedName name="sy" hidden="1">{#N/A,#N/A,FALSE,"Part ABC"}</definedName>
    <definedName name="syn_copy">[74]LCE!$E$63</definedName>
    <definedName name="synpipe_paste" localSheetId="17">[74]HMPL!#REF!</definedName>
    <definedName name="synpipe_paste">[74]HMPL!#REF!</definedName>
    <definedName name="t" localSheetId="7" hidden="1">{#N/A,#N/A,FALSE,"COVER.XLS";#N/A,#N/A,FALSE,"RACT1.XLS";#N/A,#N/A,FALSE,"RACT2.XLS";#N/A,#N/A,FALSE,"ECCMP";#N/A,#N/A,FALSE,"WELDER.XLS"}</definedName>
    <definedName name="t" localSheetId="10" hidden="1">{#N/A,#N/A,FALSE,"COVER.XLS";#N/A,#N/A,FALSE,"RACT1.XLS";#N/A,#N/A,FALSE,"RACT2.XLS";#N/A,#N/A,FALSE,"ECCMP";#N/A,#N/A,FALSE,"WELDER.XLS"}</definedName>
    <definedName name="t" localSheetId="1" hidden="1">{#N/A,#N/A,FALSE,"COVER.XLS";#N/A,#N/A,FALSE,"RACT1.XLS";#N/A,#N/A,FALSE,"RACT2.XLS";#N/A,#N/A,FALSE,"ECCMP";#N/A,#N/A,FALSE,"WELDER.XLS"}</definedName>
    <definedName name="t" localSheetId="0" hidden="1">{#N/A,#N/A,FALSE,"COVER.XLS";#N/A,#N/A,FALSE,"RACT1.XLS";#N/A,#N/A,FALSE,"RACT2.XLS";#N/A,#N/A,FALSE,"ECCMP";#N/A,#N/A,FALSE,"WELDER.XLS"}</definedName>
    <definedName name="t" localSheetId="6" hidden="1">{#N/A,#N/A,FALSE,"COVER.XLS";#N/A,#N/A,FALSE,"RACT1.XLS";#N/A,#N/A,FALSE,"RACT2.XLS";#N/A,#N/A,FALSE,"ECCMP";#N/A,#N/A,FALSE,"WELDER.XLS"}</definedName>
    <definedName name="t" hidden="1">{#N/A,#N/A,FALSE,"COVER.XLS";#N/A,#N/A,FALSE,"RACT1.XLS";#N/A,#N/A,FALSE,"RACT2.XLS";#N/A,#N/A,FALSE,"ECCMP";#N/A,#N/A,FALSE,"WELDER.XLS"}</definedName>
    <definedName name="t_b_round_off">#REF!</definedName>
    <definedName name="TA" localSheetId="17">#REF!</definedName>
    <definedName name="ta" localSheetId="7">#REF!</definedName>
    <definedName name="ta" localSheetId="10">#REF!</definedName>
    <definedName name="ta" localSheetId="9">#REF!</definedName>
    <definedName name="ta" localSheetId="6">#REF!</definedName>
    <definedName name="TA">#REF!</definedName>
    <definedName name="TA3Q">#REF!</definedName>
    <definedName name="taac">'[103]Core Assumptions'!$F$219</definedName>
    <definedName name="table">'[342]DETAIL SHEET'!$L$10:$BA$55</definedName>
    <definedName name="table_annual_draw">[115]Production!$C$77:$O$91</definedName>
    <definedName name="table_annual_production">[175]Assum!$C$125:$M$138</definedName>
    <definedName name="table_avg_realisation">[115]Assum!$C$123:$O$131</definedName>
    <definedName name="table_capex_HO">[115]Assum!$C$692:$O$698</definedName>
    <definedName name="table_capex_nashik_cosmetic">[115]Assum!#REF!</definedName>
    <definedName name="table_closing_stock">[159]Assum!#REF!</definedName>
    <definedName name="table_commence_date">[115]Assum!$C$62:$O$75</definedName>
    <definedName name="table_dep_rate">[115]Assum!$C$776:$F$781</definedName>
    <definedName name="table_depreciation_allocated">#REF!</definedName>
    <definedName name="table_draw_capacity">[115]Assum!$C$10:$O$23</definedName>
    <definedName name="table_draw_per">[115]Assum!#REF!</definedName>
    <definedName name="table_fixed_overheads_growth">[175]Assum!$C$426:$M$433</definedName>
    <definedName name="table_HNGFL_capex_less_180">[116]Assumption!#REF!</definedName>
    <definedName name="table_HNGFL_capex_tax_calc">[116]Assumption!#REF!</definedName>
    <definedName name="table_HNGFL_capex_tax_calx">[116]Assumption!#REF!</definedName>
    <definedName name="table_HNGFL_common_staff_employees">[116]Assumption!#REF!</definedName>
    <definedName name="table_HNGFL_dep_rate">[116]Assumption!#REF!</definedName>
    <definedName name="table_HNGFL_efficiency">[116]Assumption!#REF!</definedName>
    <definedName name="table_HNGFL_float_employees">[116]Assumption!#REF!</definedName>
    <definedName name="table_HNGFL_float_salary">[116]Assumption!#REF!</definedName>
    <definedName name="table_HNGFL_IGU_employees">[116]Assumption!#REF!</definedName>
    <definedName name="table_HNGFL_intt_rates">[116]Assumption!#REF!</definedName>
    <definedName name="table_HNGFL_manufacturing_cost_growth">[115]Sens!$C$87:$O$87</definedName>
    <definedName name="table_HNGFL_P_M_breakdown">[116]Assumption!#REF!</definedName>
    <definedName name="table_HNGFL_packing_cost_growth">[115]Sens!$C$86:$P$86</definedName>
    <definedName name="table_HNGFL_power_cost_growth">[115]Sens!$C$84:$P$84</definedName>
    <definedName name="table_HNGFL_realization_growth">[115]Sens!$C$62:$P$70</definedName>
    <definedName name="table_HNGFL_repairs_cost_growth">[115]Sens!$C$93:$O$93</definedName>
    <definedName name="table_HNGFL_RM_cost_growth">[115]Sens!$C$73:$O$81</definedName>
    <definedName name="table_HNGFL_salary_growth">[115]Sens!$B$89:$O$89</definedName>
    <definedName name="table_HNGFL_stores_spares_growth">[115]Sens!$C$92:$O$92</definedName>
    <definedName name="table_HNGFL_tax_dep_rate">[116]Assumption!#REF!</definedName>
    <definedName name="table_HNGFL_Tempered_employees">[116]Assumption!#REF!</definedName>
    <definedName name="table_HNGFL_water_cost_growth">[115]Sens!$C$85:$P$85</definedName>
    <definedName name="table_investment_schedule">[115]Assum!$C$927:$O$927</definedName>
    <definedName name="table_loans_advances_days">[115]Assum!$C$893:$O$902</definedName>
    <definedName name="table_nashik_cosmetic_power_cons">[115]Assum!#REF!</definedName>
    <definedName name="table_nashik_cosmetic_power_price">[115]Assum!#REF!</definedName>
    <definedName name="table_nashik_cosmetic_realisation">[115]Assum!#REF!</definedName>
    <definedName name="table_nashik_cosmetic_volume">[115]Assum!#REF!</definedName>
    <definedName name="table_op_days">[115]Assum!$C$78:$O$78</definedName>
    <definedName name="table_opening_stock">[159]Assum!#REF!</definedName>
    <definedName name="table_other_variable_overheads">[175]Assum!$C$268:$M$275</definedName>
    <definedName name="table_overheads_growth">[115]Sens!$C$29:$O$29</definedName>
    <definedName name="table_pack_eff">[115]Assum!$C$27:$O$40</definedName>
    <definedName name="table_packing_cost">[175]Assum!$C$225:$M$232</definedName>
    <definedName name="table_packing_cost_growth">[115]Sens!$C$27:$O$27</definedName>
    <definedName name="table_packing_inventory_days">[115]Assum!$C$841:$O$850</definedName>
    <definedName name="table_packing_material_days">[159]Assum!#REF!</definedName>
    <definedName name="table_plant_capacity">[115]Assum!#REF!</definedName>
    <definedName name="table_power_cost_growth">[115]Sens!$C$33:$O$39</definedName>
    <definedName name="table_prod_overheads">[115]Assum!$C$386:$O$394</definedName>
    <definedName name="table_prod_overheads_growth">[115]Sens!$C$29:$O$29</definedName>
    <definedName name="table_product_volume">[115]Assum!$C$112:$O$120</definedName>
    <definedName name="table_raw_material_cost">[175]Assum!$C$203:$M$210</definedName>
    <definedName name="table_raw_material_days">[159]Assum!#REF!</definedName>
    <definedName name="table_realisation_growth">[115]Sens!$C$10:$O$18</definedName>
    <definedName name="table_rebuild_sch">[115]Assum!$C$46:$O$59</definedName>
    <definedName name="table_return_investments">[115]Assum!$C$928:$O$928</definedName>
    <definedName name="table_RM_cons">[115]Assum!$C$354:$O$356</definedName>
    <definedName name="table_RM_cost">[115]Assum!$C$359:$O$361</definedName>
    <definedName name="table_RM_cost_growth">[115]Sens!$C$21:$O$24</definedName>
    <definedName name="table_RM_inventory_days">[115]Assum!$C$829:$O$838</definedName>
    <definedName name="table_salary_growth">[175]Assum!$C$393:$M$401</definedName>
    <definedName name="table_sale_volume">[175]Assum!$C$155:$M$163</definedName>
    <definedName name="table_sales_realisation">[175]Assum!$C$179:$M$186</definedName>
    <definedName name="table_savings_shift_gas">[115]Assum!$C$587:$O$595</definedName>
    <definedName name="table_secured_additions">[115]Assum!$C$936:$O$950</definedName>
    <definedName name="table_secured_int_rates">[115]Assum!$C$969:$F$983</definedName>
    <definedName name="table_secured_repayments">[115]Assum!$C$953:$O$966</definedName>
    <definedName name="table_selling_expenses">[175]Assum!$C$289:$M$296</definedName>
    <definedName name="table_selling_expenses_growth">[115]Sens!$C$30:$O$30</definedName>
    <definedName name="table_stores_inventory_days">[115]Assum!$C$854:$O$863</definedName>
    <definedName name="table_stores_spares_cost">[175]Assum!$C$247:$M$254</definedName>
    <definedName name="table_stores_spares_cost_growth">[115]Sens!$C$28:$O$28</definedName>
    <definedName name="table_stores_spares_days">[159]Assum!#REF!</definedName>
    <definedName name="table_sundry_creditor_days">[115]Assum!$C$906:$O$915</definedName>
    <definedName name="table_sundry_debtor_days">[115]Assum!$C$880:$O$889</definedName>
    <definedName name="table_tax_dep_rate">[115]Assum!$C$787:$F$796</definedName>
    <definedName name="table_tax_rate">[115]Assum!$C$803:$O$803</definedName>
    <definedName name="table_total_depreciation">[175]Assum!$C$588:$M$597</definedName>
    <definedName name="table_unsecured_additions">[115]Assum!$C$988:$O$992</definedName>
    <definedName name="table_unsecured_int_rates">[115]Assum!$C$1002:$F$1006</definedName>
    <definedName name="table_unsecured_repayments">[115]Assum!$C$995:$O$999</definedName>
    <definedName name="table_wages_cost">[175]Assum!$C$415:$M$422</definedName>
    <definedName name="table_WIP_days">[159]Assum!#REF!</definedName>
    <definedName name="table_WIP_inventory">[159]WCAP!#REF!</definedName>
    <definedName name="table_WIP_inventory_days">[115]Assum!$C$867:$O$876</definedName>
    <definedName name="TABLE1">#REF!</definedName>
    <definedName name="TAFName">[114]Masters!$C$19</definedName>
    <definedName name="TAMNo">[114]Masters!$C$23</definedName>
    <definedName name="TAName">[114]Masters!$C$20</definedName>
    <definedName name="TAno">'[103]Core Assumptions'!$F$218</definedName>
    <definedName name="TAPlace">[114]Masters!$C$43</definedName>
    <definedName name="Target">#REF!</definedName>
    <definedName name="Target_IRR" localSheetId="17">#REF!</definedName>
    <definedName name="Target_IRR">#REF!</definedName>
    <definedName name="Target1">#REF!</definedName>
    <definedName name="Tariff">[119]Assumptions!$H$8</definedName>
    <definedName name="tariff_var_mod">[119]Assumptions!$L$37</definedName>
    <definedName name="tariffgrowthyr1" localSheetId="17">#REF!</definedName>
    <definedName name="tariffgrowthyr1">#REF!</definedName>
    <definedName name="tariffgrowthyr2">#REF!</definedName>
    <definedName name="tariffgrowthyr3">#REF!</definedName>
    <definedName name="tariffgrowthyr4">#REF!</definedName>
    <definedName name="tariffgrowthyr5onwards">#REF!</definedName>
    <definedName name="TAV">'[317]Occ, Other Rev, Exp, Dispo'!$E$85</definedName>
    <definedName name="TAV_Bldg">'[317]Occ, Other Rev, Exp, Dispo'!$E$87</definedName>
    <definedName name="TAV_Land">'[317]Occ, Other Rev, Exp, Dispo'!$E$86</definedName>
    <definedName name="TAX">#REF!</definedName>
    <definedName name="Tax_Charge">'[72]2. Forecast Drivers'!$E$269:$S$269</definedName>
    <definedName name="Tax_Cred_Bal">'[72]2. Forecast Drivers'!$E$274:$S$274</definedName>
    <definedName name="Tax_Cred_Delta">'[72]2. Forecast Drivers'!$F$275:$S$275</definedName>
    <definedName name="TAX_DIFF">#REF!</definedName>
    <definedName name="Tax_Effect_Income">#REF!</definedName>
    <definedName name="Tax_Effect_Liabs">#REF!</definedName>
    <definedName name="Tax_Effect_RetEarn">#REF!</definedName>
    <definedName name="Tax_MAT">#REF!</definedName>
    <definedName name="Tax_Paid">'[72]2. Forecast Drivers'!$F$273:$S$273</definedName>
    <definedName name="TAX_PAS">#REF!</definedName>
    <definedName name="Tax_Rate" localSheetId="7">#REF!</definedName>
    <definedName name="Tax_Rate" localSheetId="10">#REF!</definedName>
    <definedName name="Tax_Rate" localSheetId="9">#REF!</definedName>
    <definedName name="Tax_Rate" localSheetId="6">#REF!</definedName>
    <definedName name="Tax_Rate">#REF!</definedName>
    <definedName name="TaxAudAdd">[114]Masters!$C$24</definedName>
    <definedName name="TaxAuditDate">[114]Masters!$C$40</definedName>
    <definedName name="TAXCOMP">#REF!</definedName>
    <definedName name="TAXCOMP1">[53]FINAL!$A$10:$B$28</definedName>
    <definedName name="TaxCSTSalesArea">[122]Assumptions!#REF!</definedName>
    <definedName name="taxdepr">#REF!</definedName>
    <definedName name="TAXES">'[129]MN T.B.'!$N$67:$FM$8005</definedName>
    <definedName name="taxestable">[131]wwww!$E$67:$P$70</definedName>
    <definedName name="taxliab">#REF!</definedName>
    <definedName name="TaxLocalSalesArea">[122]Assumptions!#REF!</definedName>
    <definedName name="TaxPaid10">[190]Assumptions!$B$22</definedName>
    <definedName name="taxpayc">'[45]NOTES '!#REF!</definedName>
    <definedName name="taxpayp">'[45]NOTES '!#REF!</definedName>
    <definedName name="TaxRate11">[190]Assumptions!$B$20</definedName>
    <definedName name="Taxrate12">#REF!</definedName>
    <definedName name="TaxTV">10%</definedName>
    <definedName name="TaxVATSalesArea">[122]Assumptions!#REF!</definedName>
    <definedName name="taxworking" localSheetId="17">#REF!</definedName>
    <definedName name="taxworking">#REF!</definedName>
    <definedName name="TaxXL">5%</definedName>
    <definedName name="tb">#REF!</definedName>
    <definedName name="TB_data">[343]TB_data!$A$2:$I$1183</definedName>
    <definedName name="TB_Phil">'[344]phil-tb'!$A$1:$I$943</definedName>
    <definedName name="TBdata" localSheetId="17">#REF!</definedName>
    <definedName name="TBdata">#REF!</definedName>
    <definedName name="tbl_ProdInfo" hidden="1">#REF!</definedName>
    <definedName name="tbsep">#REF!</definedName>
    <definedName name="tbsep21">'[345]#REF'!$D$10:$J$751</definedName>
    <definedName name="TBTable">'[134]TB-Bud'!$A$11:$Y$133</definedName>
    <definedName name="TCS.AmtTCSClaimedThisYear">[46]DDT_TDS_TCS!$F$1540:$F$1542</definedName>
    <definedName name="td">#REF!</definedName>
    <definedName name="Tdg_Fin" localSheetId="17">#REF!</definedName>
    <definedName name="Tdg_Fin">#REF!</definedName>
    <definedName name="TDS">#REF!</definedName>
    <definedName name="TDS2.ClaimOutOfTotTDSOnAmtPaid">[46]DDT_TDS_TCS!$H$21:$H$1533</definedName>
    <definedName name="TDSCERTICATES">#REF!</definedName>
    <definedName name="TDSCR_FCSPV">#REF!</definedName>
    <definedName name="TECH1">#REF!</definedName>
    <definedName name="TECH2">#REF!</definedName>
    <definedName name="TECH3">#REF!</definedName>
    <definedName name="TECH4">#REF!</definedName>
    <definedName name="TECH5">#REF!</definedName>
    <definedName name="telecom" localSheetId="17">'[76]Cost Breakup Depreciation&amp; Tax'!$C$13</definedName>
    <definedName name="telecom">'[77]Cost Breakup Depreciation&amp; Tax'!$C$13</definedName>
    <definedName name="Telefonica__Spain">[106]List_ratios!#REF!</definedName>
    <definedName name="Telekom_Malaysia">[106]List_ratios!#REF!</definedName>
    <definedName name="Telephone">"eDoctor"</definedName>
    <definedName name="Telkom">[106]List_ratios!#REF!</definedName>
    <definedName name="Telstra">[106]List_ratios!#REF!</definedName>
    <definedName name="Temp" localSheetId="7">{"Client Name or Project Name"}</definedName>
    <definedName name="Temp" localSheetId="10">{"Client Name or Project Name"}</definedName>
    <definedName name="Temp" localSheetId="1">{"Client Name or Project Name"}</definedName>
    <definedName name="Temp" localSheetId="0">{"Client Name or Project Name"}</definedName>
    <definedName name="Temp" localSheetId="6">{"Client Name or Project Name"}</definedName>
    <definedName name="Temp">{"Client Name or Project Name"}</definedName>
    <definedName name="TEMPLATENUMBER1">[69]CRITERIA1!$B$32</definedName>
    <definedName name="TEMPLATESTYLE1">[69]CRITERIA1!$B$31</definedName>
    <definedName name="TEMPLATETYPE1">[69]CRITERIA1!$B$30</definedName>
    <definedName name="Ten" localSheetId="17">#REF!</definedName>
    <definedName name="Ten">#REF!</definedName>
    <definedName name="Term_in_years">'[97]FITZ MORT 94'!$C$8</definedName>
    <definedName name="TERMDEBTS">#REF!</definedName>
    <definedName name="TERRYTOWEL">#REF!</definedName>
    <definedName name="test" localSheetId="7" hidden="1">{#N/A,#N/A,FALSE,"COVER1.XLS ";#N/A,#N/A,FALSE,"RACT1.XLS";#N/A,#N/A,FALSE,"RACT2.XLS";#N/A,#N/A,FALSE,"ECCMP";#N/A,#N/A,FALSE,"WELDER.XLS"}</definedName>
    <definedName name="test" localSheetId="10" hidden="1">{#N/A,#N/A,FALSE,"COVER1.XLS ";#N/A,#N/A,FALSE,"RACT1.XLS";#N/A,#N/A,FALSE,"RACT2.XLS";#N/A,#N/A,FALSE,"ECCMP";#N/A,#N/A,FALSE,"WELDER.XLS"}</definedName>
    <definedName name="test" localSheetId="1" hidden="1">{#N/A,#N/A,FALSE,"COVER1.XLS ";#N/A,#N/A,FALSE,"RACT1.XLS";#N/A,#N/A,FALSE,"RACT2.XLS";#N/A,#N/A,FALSE,"ECCMP";#N/A,#N/A,FALSE,"WELDER.XLS"}</definedName>
    <definedName name="test" localSheetId="0" hidden="1">{#N/A,#N/A,FALSE,"COVER1.XLS ";#N/A,#N/A,FALSE,"RACT1.XLS";#N/A,#N/A,FALSE,"RACT2.XLS";#N/A,#N/A,FALSE,"ECCMP";#N/A,#N/A,FALSE,"WELDER.XLS"}</definedName>
    <definedName name="test" localSheetId="6" hidden="1">{#N/A,#N/A,FALSE,"COVER1.XLS ";#N/A,#N/A,FALSE,"RACT1.XLS";#N/A,#N/A,FALSE,"RACT2.XLS";#N/A,#N/A,FALSE,"ECCMP";#N/A,#N/A,FALSE,"WELDER.XLS"}</definedName>
    <definedName name="test" hidden="1">{#N/A,#N/A,FALSE,"COVER1.XLS ";#N/A,#N/A,FALSE,"RACT1.XLS";#N/A,#N/A,FALSE,"RACT2.XLS";#N/A,#N/A,FALSE,"ECCMP";#N/A,#N/A,FALSE,"WELDER.XLS"}</definedName>
    <definedName name="TEST0" localSheetId="7">#REF!</definedName>
    <definedName name="TEST0" localSheetId="10">#REF!</definedName>
    <definedName name="TEST0" localSheetId="9">#REF!</definedName>
    <definedName name="TEST0" localSheetId="6">#REF!</definedName>
    <definedName name="TEST0">#REF!</definedName>
    <definedName name="TEST1" localSheetId="7">#REF!</definedName>
    <definedName name="TEST1" localSheetId="10">#REF!</definedName>
    <definedName name="TEST1" localSheetId="9">#REF!</definedName>
    <definedName name="TEST1" localSheetId="6">#REF!</definedName>
    <definedName name="TEST1">#REF!</definedName>
    <definedName name="TEST10" localSheetId="7">#REF!</definedName>
    <definedName name="TEST10" localSheetId="10">#REF!</definedName>
    <definedName name="TEST10" localSheetId="9">#REF!</definedName>
    <definedName name="TEST10" localSheetId="6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9">#REF!</definedName>
    <definedName name="TestAdd">"Test RefersTo1"</definedName>
    <definedName name="TESTHKEY" localSheetId="7">#REF!</definedName>
    <definedName name="TESTHKEY" localSheetId="10">#REF!</definedName>
    <definedName name="TESTHKEY" localSheetId="9">#REF!</definedName>
    <definedName name="TESTHKEY" localSheetId="6">#REF!</definedName>
    <definedName name="TESTHKEY">#REF!</definedName>
    <definedName name="TESTKEYS" localSheetId="7">#REF!</definedName>
    <definedName name="TESTKEYS" localSheetId="10">#REF!</definedName>
    <definedName name="TESTKEYS" localSheetId="9">#REF!</definedName>
    <definedName name="TESTKEYS" localSheetId="6">#REF!</definedName>
    <definedName name="TESTKEYS">#REF!</definedName>
    <definedName name="TESTVKEY" localSheetId="7">#REF!</definedName>
    <definedName name="TESTVKEY" localSheetId="10">#REF!</definedName>
    <definedName name="TESTVKEY" localSheetId="9">#REF!</definedName>
    <definedName name="TESTVKEY" localSheetId="6">#REF!</definedName>
    <definedName name="TESTVKEY">#REF!</definedName>
    <definedName name="Text">#REF!</definedName>
    <definedName name="text1">#REF!</definedName>
    <definedName name="TextRef">#REF!</definedName>
    <definedName name="TextRefCopy1" localSheetId="7">[346]BRS!#REF!</definedName>
    <definedName name="TextRefCopy1" localSheetId="10">[346]BRS!#REF!</definedName>
    <definedName name="TextRefCopy1" localSheetId="9">[346]BRS!#REF!</definedName>
    <definedName name="TextRefCopy1" localSheetId="6">[346]BRS!#REF!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2">#REF!</definedName>
    <definedName name="TextRefCopy103">#REF!</definedName>
    <definedName name="TextRefCopy104">#REF!</definedName>
    <definedName name="TextRefCopy105">#N/A</definedName>
    <definedName name="TextRefCopy106">#N/A</definedName>
    <definedName name="TextRefCopy107" localSheetId="17">CMA!TextRefCopy49</definedName>
    <definedName name="TextRefCopy107" localSheetId="1">TextRefCopy49</definedName>
    <definedName name="TextRefCopy107" localSheetId="0">[0]!TextRefCopy49</definedName>
    <definedName name="TextRefCopy107">TextRefCopy49</definedName>
    <definedName name="TextRefCopy108" localSheetId="17">[2]Schedules!$E$146</definedName>
    <definedName name="TextRefCopy108">[3]Schedules!$E$146</definedName>
    <definedName name="TextRefCopy109" localSheetId="17">CMA!TextRefCopy50</definedName>
    <definedName name="TextRefCopy109" localSheetId="1">TextRefCopy50</definedName>
    <definedName name="TextRefCopy109" localSheetId="0">[0]!TextRefCopy50</definedName>
    <definedName name="TextRefCopy109">TextRefCopy50</definedName>
    <definedName name="TextRefCopy11" localSheetId="17">[2]Schedules!$E$62</definedName>
    <definedName name="TextRefCopy11">[3]Schedules!$E$62</definedName>
    <definedName name="TextRefCopy110" localSheetId="17">[2]Schedules!$E$149</definedName>
    <definedName name="TextRefCopy110">[3]Schedules!$E$149</definedName>
    <definedName name="TextRefCopy111" localSheetId="17">[2]Schedules!$E$159</definedName>
    <definedName name="TextRefCopy111">[3]Schedules!$E$159</definedName>
    <definedName name="TextRefCopy112" localSheetId="17">[2]Schedules!$E$160</definedName>
    <definedName name="TextRefCopy112">[3]Schedules!$E$160</definedName>
    <definedName name="TextRefCopy113" localSheetId="17">[2]Schedules!$E$161</definedName>
    <definedName name="TextRefCopy113">[3]Schedules!$E$161</definedName>
    <definedName name="TextRefCopy114" localSheetId="17">CMA!TextRefCopy113</definedName>
    <definedName name="TextRefCopy114" localSheetId="1">TextRefCopy113</definedName>
    <definedName name="TextRefCopy114" localSheetId="0">[0]!TextRefCopy113</definedName>
    <definedName name="TextRefCopy114">TextRefCopy113</definedName>
    <definedName name="TextRefCopy115" localSheetId="17">CMA!TextRefCopy113</definedName>
    <definedName name="TextRefCopy115" localSheetId="1">TextRefCopy113</definedName>
    <definedName name="TextRefCopy115" localSheetId="0">[0]!TextRefCopy113</definedName>
    <definedName name="TextRefCopy115">TextRefCopy113</definedName>
    <definedName name="TextRefCopy116" localSheetId="17">[2]Schedules!$E$162</definedName>
    <definedName name="TextRefCopy116">[3]Schedules!$E$162</definedName>
    <definedName name="TextRefCopy117" localSheetId="17">[2]Schedules!$E$163</definedName>
    <definedName name="TextRefCopy117">[3]Schedules!$E$163</definedName>
    <definedName name="TextRefCopy118" localSheetId="17">[2]Schedules!#REF!</definedName>
    <definedName name="TextRefCopy118">[3]Schedules!#REF!</definedName>
    <definedName name="TextRefCopy119" localSheetId="17">[2]Schedules!$E$164</definedName>
    <definedName name="TextRefCopy119">[3]Schedules!$E$164</definedName>
    <definedName name="TextRefCopy12" localSheetId="17">[2]Schedules!$E$91</definedName>
    <definedName name="TextRefCopy12">[3]Schedules!$E$91</definedName>
    <definedName name="TextRefCopy120" localSheetId="17">[2]Schedules!#REF!</definedName>
    <definedName name="TextRefCopy120">[3]Schedules!#REF!</definedName>
    <definedName name="TextRefCopy121" localSheetId="17">[2]Schedules!$E$165</definedName>
    <definedName name="TextRefCopy121">[3]Schedules!$E$165</definedName>
    <definedName name="TextRefCopy122" localSheetId="17">[2]Schedules!#REF!</definedName>
    <definedName name="TextRefCopy122">[3]Schedules!#REF!</definedName>
    <definedName name="TextRefCopy123" localSheetId="17">CMA!TextRefCopy122</definedName>
    <definedName name="TextRefCopy123" localSheetId="1">TextRefCopy122</definedName>
    <definedName name="TextRefCopy123" localSheetId="0">[0]!TextRefCopy122</definedName>
    <definedName name="TextRefCopy123">TextRefCopy122</definedName>
    <definedName name="TextRefCopy124" localSheetId="17">CMA!TextRefCopy122</definedName>
    <definedName name="TextRefCopy124" localSheetId="1">TextRefCopy122</definedName>
    <definedName name="TextRefCopy124" localSheetId="0">[0]!TextRefCopy122</definedName>
    <definedName name="TextRefCopy124">TextRefCopy122</definedName>
    <definedName name="TextRefCopy125" localSheetId="17">CMA!TextRefCopy122</definedName>
    <definedName name="TextRefCopy125" localSheetId="1">TextRefCopy122</definedName>
    <definedName name="TextRefCopy125" localSheetId="0">[0]!TextRefCopy122</definedName>
    <definedName name="TextRefCopy125">TextRefCopy122</definedName>
    <definedName name="TextRefCopy126" localSheetId="17">[2]Schedules!$E$167</definedName>
    <definedName name="TextRefCopy126">[3]Schedules!$E$167</definedName>
    <definedName name="TextRefCopy127" localSheetId="17">CMA!TextRefCopy126</definedName>
    <definedName name="TextRefCopy127" localSheetId="1">TextRefCopy126</definedName>
    <definedName name="TextRefCopy127" localSheetId="0">[0]!TextRefCopy126</definedName>
    <definedName name="TextRefCopy127">TextRefCopy126</definedName>
    <definedName name="TextRefCopy128" localSheetId="17">[2]Schedules!#REF!</definedName>
    <definedName name="TextRefCopy128" localSheetId="1">[3]Schedules!#REF!</definedName>
    <definedName name="TextRefCopy128" localSheetId="0">[3]Schedules!#REF!</definedName>
    <definedName name="TextRefCopy128">[3]Schedules!#REF!</definedName>
    <definedName name="TextRefCopy129">#N/A</definedName>
    <definedName name="TextRefCopy13" localSheetId="17">'[347]FA Leadsheet &amp; Movement'!$L$36</definedName>
    <definedName name="TextRefCopy13">'[348]FA Leadsheet &amp; Movement'!$L$36</definedName>
    <definedName name="TextRefCopy130">#N/A</definedName>
    <definedName name="TextRefCopy131" localSheetId="17">CMA!TextRefCopy60</definedName>
    <definedName name="TextRefCopy131" localSheetId="1">TextRefCopy60</definedName>
    <definedName name="TextRefCopy131" localSheetId="0">[0]!TextRefCopy60</definedName>
    <definedName name="TextRefCopy131">TextRefCopy60</definedName>
    <definedName name="TextRefCopy132" localSheetId="17">CMA!TextRefCopy60</definedName>
    <definedName name="TextRefCopy132" localSheetId="1">TextRefCopy60</definedName>
    <definedName name="TextRefCopy132" localSheetId="0">[0]!TextRefCopy60</definedName>
    <definedName name="TextRefCopy132">TextRefCopy60</definedName>
    <definedName name="TextRefCopy133" localSheetId="17">CMA!TextRefCopy111</definedName>
    <definedName name="TextRefCopy133" localSheetId="1">TextRefCopy111</definedName>
    <definedName name="TextRefCopy133" localSheetId="0">[0]!TextRefCopy111</definedName>
    <definedName name="TextRefCopy133">TextRefCopy111</definedName>
    <definedName name="TextRefCopy134" localSheetId="17">CMA!TextRefCopy112</definedName>
    <definedName name="TextRefCopy134" localSheetId="1">TextRefCopy112</definedName>
    <definedName name="TextRefCopy134" localSheetId="0">[0]!TextRefCopy112</definedName>
    <definedName name="TextRefCopy134">TextRefCopy112</definedName>
    <definedName name="TextRefCopy135" localSheetId="17">CMA!TextRefCopy117</definedName>
    <definedName name="TextRefCopy135" localSheetId="1">TextRefCopy117</definedName>
    <definedName name="TextRefCopy135" localSheetId="0">[0]!TextRefCopy117</definedName>
    <definedName name="TextRefCopy135">TextRefCopy117</definedName>
    <definedName name="TextRefCopy136" localSheetId="17">CMA!TextRefCopy117</definedName>
    <definedName name="TextRefCopy136" localSheetId="1">TextRefCopy117</definedName>
    <definedName name="TextRefCopy136" localSheetId="0">[0]!TextRefCopy117</definedName>
    <definedName name="TextRefCopy136">TextRefCopy117</definedName>
    <definedName name="TextRefCopy137" localSheetId="17">CMA!TextRefCopy117</definedName>
    <definedName name="TextRefCopy137" localSheetId="1">TextRefCopy117</definedName>
    <definedName name="TextRefCopy137" localSheetId="0">[0]!TextRefCopy117</definedName>
    <definedName name="TextRefCopy137">TextRefCopy117</definedName>
    <definedName name="TextRefCopy138" localSheetId="17">CMA!TextRefCopy121</definedName>
    <definedName name="TextRefCopy138" localSheetId="1">TextRefCopy121</definedName>
    <definedName name="TextRefCopy138" localSheetId="0">[0]!TextRefCopy121</definedName>
    <definedName name="TextRefCopy138">TextRefCopy121</definedName>
    <definedName name="TextRefCopy139" localSheetId="17">CMA!TextRefCopy121</definedName>
    <definedName name="TextRefCopy139" localSheetId="1">TextRefCopy121</definedName>
    <definedName name="TextRefCopy139" localSheetId="0">[0]!TextRefCopy121</definedName>
    <definedName name="TextRefCopy139">TextRefCopy121</definedName>
    <definedName name="TextRefCopy14" localSheetId="17">CMA!TextRefCopy11</definedName>
    <definedName name="TextRefCopy14" localSheetId="1">TextRefCopy11</definedName>
    <definedName name="TextRefCopy14" localSheetId="0">[0]!TextRefCopy11</definedName>
    <definedName name="TextRefCopy14">TextRefCopy11</definedName>
    <definedName name="TextRefCopy140" localSheetId="17">CMA!TextRefCopy128</definedName>
    <definedName name="TextRefCopy140" localSheetId="1">Historical!TextRefCopy128</definedName>
    <definedName name="TextRefCopy140" localSheetId="0">Projected!TextRefCopy128</definedName>
    <definedName name="TextRefCopy140">TextRefCopy128</definedName>
    <definedName name="TextRefCopy141">#N/A</definedName>
    <definedName name="TextRefCopy142">#N/A</definedName>
    <definedName name="TextRefCopy143" localSheetId="17">CMA!TextRefCopy42</definedName>
    <definedName name="TextRefCopy143" localSheetId="1">TextRefCopy42</definedName>
    <definedName name="TextRefCopy143" localSheetId="0">[0]!TextRefCopy42</definedName>
    <definedName name="TextRefCopy143">TextRefCopy42</definedName>
    <definedName name="TextRefCopy144" localSheetId="17">CMA!TextRefCopy113</definedName>
    <definedName name="TextRefCopy144" localSheetId="1">TextRefCopy113</definedName>
    <definedName name="TextRefCopy144" localSheetId="0">[0]!TextRefCopy113</definedName>
    <definedName name="TextRefCopy144">TextRefCopy113</definedName>
    <definedName name="TextRefCopy145" localSheetId="17">CMA!TextRefCopy60</definedName>
    <definedName name="TextRefCopy145" localSheetId="1">TextRefCopy60</definedName>
    <definedName name="TextRefCopy145" localSheetId="0">[0]!TextRefCopy60</definedName>
    <definedName name="TextRefCopy145">TextRefCopy60</definedName>
    <definedName name="TextRefCopy146" localSheetId="17">CMA!TextRefCopy113</definedName>
    <definedName name="TextRefCopy146" localSheetId="1">TextRefCopy113</definedName>
    <definedName name="TextRefCopy146" localSheetId="0">[0]!TextRefCopy113</definedName>
    <definedName name="TextRefCopy146">TextRefCopy113</definedName>
    <definedName name="TextRefCopy147" localSheetId="17">#REF!</definedName>
    <definedName name="TextRefCopy147" localSheetId="1">#REF!</definedName>
    <definedName name="TextRefCopy147" localSheetId="0">#REF!</definedName>
    <definedName name="TextRefCopy147">#REF!</definedName>
    <definedName name="TextRefCopy148" localSheetId="17">CMA!TextRefCopy55</definedName>
    <definedName name="TextRefCopy148" localSheetId="1">TextRefCopy55</definedName>
    <definedName name="TextRefCopy148" localSheetId="0">[0]!TextRefCopy55</definedName>
    <definedName name="TextRefCopy148">TextRefCopy55</definedName>
    <definedName name="TextRefCopy149" localSheetId="17">CMA!TextRefCopy116</definedName>
    <definedName name="TextRefCopy149" localSheetId="1">TextRefCopy116</definedName>
    <definedName name="TextRefCopy149" localSheetId="0">[0]!TextRefCopy116</definedName>
    <definedName name="TextRefCopy149">TextRefCopy116</definedName>
    <definedName name="TextRefCopy15" localSheetId="17">'[2]Balance Sheet'!$E$31</definedName>
    <definedName name="TextRefCopy15">'[3]Balance Sheet'!$E$31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 localSheetId="17">CMA!TextRefCopy48</definedName>
    <definedName name="TextRefCopy158" localSheetId="1">TextRefCopy48</definedName>
    <definedName name="TextRefCopy158" localSheetId="0">[0]!TextRefCopy48</definedName>
    <definedName name="TextRefCopy158">TextRefCopy48</definedName>
    <definedName name="TextRefCopy159" localSheetId="17">CMA!TextRefCopy49</definedName>
    <definedName name="TextRefCopy159" localSheetId="1">TextRefCopy49</definedName>
    <definedName name="TextRefCopy159" localSheetId="0">[0]!TextRefCopy49</definedName>
    <definedName name="TextRefCopy159">TextRefCopy49</definedName>
    <definedName name="TextRefCopy16" localSheetId="17">CMA!TextRefCopy11</definedName>
    <definedName name="TextRefCopy16" localSheetId="1">TextRefCopy11</definedName>
    <definedName name="TextRefCopy16" localSheetId="0">[0]!TextRefCopy11</definedName>
    <definedName name="TextRefCopy16">TextRefCopy11</definedName>
    <definedName name="TextRefCopy160" localSheetId="17">CMA!TextRefCopy108</definedName>
    <definedName name="TextRefCopy160" localSheetId="1">TextRefCopy108</definedName>
    <definedName name="TextRefCopy160" localSheetId="0">[0]!TextRefCopy108</definedName>
    <definedName name="TextRefCopy160">TextRefCopy108</definedName>
    <definedName name="TextRefCopy161" localSheetId="17">CMA!TextRefCopy50</definedName>
    <definedName name="TextRefCopy161" localSheetId="1">TextRefCopy50</definedName>
    <definedName name="TextRefCopy161" localSheetId="0">[0]!TextRefCopy50</definedName>
    <definedName name="TextRefCopy161">TextRefCopy50</definedName>
    <definedName name="TextRefCopy162" localSheetId="17">CMA!TextRefCopy110</definedName>
    <definedName name="TextRefCopy162" localSheetId="1">TextRefCopy110</definedName>
    <definedName name="TextRefCopy162" localSheetId="0">[0]!TextRefCopy110</definedName>
    <definedName name="TextRefCopy162">TextRefCopy110</definedName>
    <definedName name="TextRefCopy163" localSheetId="17">CMA!TextRefCopy51</definedName>
    <definedName name="TextRefCopy163" localSheetId="1">TextRefCopy51</definedName>
    <definedName name="TextRefCopy163" localSheetId="0">[0]!TextRefCopy51</definedName>
    <definedName name="TextRefCopy163">TextRefCopy51</definedName>
    <definedName name="TextRefCopy164" localSheetId="17">CMA!TextRefCopy52</definedName>
    <definedName name="TextRefCopy164" localSheetId="1">TextRefCopy52</definedName>
    <definedName name="TextRefCopy164" localSheetId="0">[0]!TextRefCopy52</definedName>
    <definedName name="TextRefCopy164">TextRefCopy52</definedName>
    <definedName name="TextRefCopy165" localSheetId="17">CMA!TextRefCopy54</definedName>
    <definedName name="TextRefCopy165" localSheetId="1">TextRefCopy54</definedName>
    <definedName name="TextRefCopy165" localSheetId="0">[0]!TextRefCopy54</definedName>
    <definedName name="TextRefCopy165">TextRefCopy54</definedName>
    <definedName name="TextRefCopy166" localSheetId="17">CMA!TextRefCopy55</definedName>
    <definedName name="TextRefCopy166" localSheetId="1">TextRefCopy55</definedName>
    <definedName name="TextRefCopy166" localSheetId="0">[0]!TextRefCopy55</definedName>
    <definedName name="TextRefCopy166">TextRefCopy55</definedName>
    <definedName name="TextRefCopy167" localSheetId="17">CMA!TextRefCopy56</definedName>
    <definedName name="TextRefCopy167" localSheetId="1">TextRefCopy56</definedName>
    <definedName name="TextRefCopy167" localSheetId="0">[0]!TextRefCopy56</definedName>
    <definedName name="TextRefCopy167">TextRefCopy56</definedName>
    <definedName name="TextRefCopy168" localSheetId="17">CMA!TextRefCopy56</definedName>
    <definedName name="TextRefCopy168" localSheetId="1">TextRefCopy56</definedName>
    <definedName name="TextRefCopy168" localSheetId="0">[0]!TextRefCopy56</definedName>
    <definedName name="TextRefCopy168">TextRefCopy56</definedName>
    <definedName name="TextRefCopy169" localSheetId="17">CMA!TextRefCopy57</definedName>
    <definedName name="TextRefCopy169" localSheetId="1">TextRefCopy57</definedName>
    <definedName name="TextRefCopy169" localSheetId="0">[0]!TextRefCopy57</definedName>
    <definedName name="TextRefCopy169">TextRefCopy57</definedName>
    <definedName name="TextRefCopy17" localSheetId="17">'[347]FA Leadsheet &amp; Movement'!$L$49</definedName>
    <definedName name="TextRefCopy17">'[348]FA Leadsheet &amp; Movement'!$L$49</definedName>
    <definedName name="TextRefCopy170" localSheetId="17">CMA!TextRefCopy58</definedName>
    <definedName name="TextRefCopy170" localSheetId="1">TextRefCopy58</definedName>
    <definedName name="TextRefCopy170" localSheetId="0">[0]!TextRefCopy58</definedName>
    <definedName name="TextRefCopy170">TextRefCopy58</definedName>
    <definedName name="TextRefCopy171" localSheetId="17">CMA!TextRefCopy111</definedName>
    <definedName name="TextRefCopy171" localSheetId="1">TextRefCopy111</definedName>
    <definedName name="TextRefCopy171" localSheetId="0">[0]!TextRefCopy111</definedName>
    <definedName name="TextRefCopy171">TextRefCopy111</definedName>
    <definedName name="TextRefCopy172" localSheetId="17">CMA!TextRefCopy112</definedName>
    <definedName name="TextRefCopy172" localSheetId="1">TextRefCopy112</definedName>
    <definedName name="TextRefCopy172" localSheetId="0">[0]!TextRefCopy112</definedName>
    <definedName name="TextRefCopy172">TextRefCopy112</definedName>
    <definedName name="TextRefCopy173" localSheetId="17">CMA!TextRefCopy113</definedName>
    <definedName name="TextRefCopy173" localSheetId="1">TextRefCopy113</definedName>
    <definedName name="TextRefCopy173" localSheetId="0">[0]!TextRefCopy113</definedName>
    <definedName name="TextRefCopy173">TextRefCopy113</definedName>
    <definedName name="TextRefCopy174" localSheetId="17">CMA!TextRefCopy116</definedName>
    <definedName name="TextRefCopy174" localSheetId="1">TextRefCopy116</definedName>
    <definedName name="TextRefCopy174" localSheetId="0">[0]!TextRefCopy116</definedName>
    <definedName name="TextRefCopy174">TextRefCopy116</definedName>
    <definedName name="TextRefCopy175" localSheetId="17">CMA!TextRefCopy117</definedName>
    <definedName name="TextRefCopy175" localSheetId="1">TextRefCopy117</definedName>
    <definedName name="TextRefCopy175" localSheetId="0">[0]!TextRefCopy117</definedName>
    <definedName name="TextRefCopy175">TextRefCopy117</definedName>
    <definedName name="TextRefCopy176" localSheetId="17">CMA!TextRefCopy119</definedName>
    <definedName name="TextRefCopy176" localSheetId="1">TextRefCopy119</definedName>
    <definedName name="TextRefCopy176" localSheetId="0">[0]!TextRefCopy119</definedName>
    <definedName name="TextRefCopy176">TextRefCopy119</definedName>
    <definedName name="TextRefCopy177" localSheetId="17">CMA!TextRefCopy121</definedName>
    <definedName name="TextRefCopy177" localSheetId="1">TextRefCopy121</definedName>
    <definedName name="TextRefCopy177" localSheetId="0">[0]!TextRefCopy121</definedName>
    <definedName name="TextRefCopy177">TextRefCopy121</definedName>
    <definedName name="TextRefCopy179" localSheetId="17">CMA!TextRefCopy126</definedName>
    <definedName name="TextRefCopy179" localSheetId="1">TextRefCopy126</definedName>
    <definedName name="TextRefCopy179" localSheetId="0">[0]!TextRefCopy126</definedName>
    <definedName name="TextRefCopy179">TextRefCopy126</definedName>
    <definedName name="TextRefCopy18" localSheetId="17">CMA!TextRefCopy15</definedName>
    <definedName name="TextRefCopy18" localSheetId="1">TextRefCopy15</definedName>
    <definedName name="TextRefCopy18" localSheetId="0">[0]!TextRefCopy15</definedName>
    <definedName name="TextRefCopy18">TextRefCopy15</definedName>
    <definedName name="TextRefCopy180" localSheetId="17">CMA!TextRefCopy19</definedName>
    <definedName name="TextRefCopy180" localSheetId="1">TextRefCopy19</definedName>
    <definedName name="TextRefCopy180" localSheetId="0">[0]!TextRefCopy19</definedName>
    <definedName name="TextRefCopy180">TextRefCopy19</definedName>
    <definedName name="TextRefCopy181" localSheetId="17">CMA!TextRefCopy23</definedName>
    <definedName name="TextRefCopy181" localSheetId="1">TextRefCopy23</definedName>
    <definedName name="TextRefCopy181" localSheetId="0">[0]!TextRefCopy23</definedName>
    <definedName name="TextRefCopy181">TextRefCopy23</definedName>
    <definedName name="TextRefCopy182" localSheetId="17">CMA!TextRefCopy21</definedName>
    <definedName name="TextRefCopy182" localSheetId="1">TextRefCopy21</definedName>
    <definedName name="TextRefCopy182" localSheetId="0">[0]!TextRefCopy21</definedName>
    <definedName name="TextRefCopy182">TextRefCopy21</definedName>
    <definedName name="TextRefCopy183" localSheetId="17">CMA!TextRefCopy21</definedName>
    <definedName name="TextRefCopy183" localSheetId="1">TextRefCopy21</definedName>
    <definedName name="TextRefCopy183" localSheetId="0">[0]!TextRefCopy21</definedName>
    <definedName name="TextRefCopy183">TextRefCopy21</definedName>
    <definedName name="TextRefCopy184" localSheetId="17">CMA!TextRefCopy19</definedName>
    <definedName name="TextRefCopy184" localSheetId="1">TextRefCopy19</definedName>
    <definedName name="TextRefCopy184" localSheetId="0">[0]!TextRefCopy19</definedName>
    <definedName name="TextRefCopy184">TextRefCopy19</definedName>
    <definedName name="TextRefCopy185" localSheetId="17">CMA!TextRefCopy23</definedName>
    <definedName name="TextRefCopy185" localSheetId="1">TextRefCopy23</definedName>
    <definedName name="TextRefCopy185" localSheetId="0">[0]!TextRefCopy23</definedName>
    <definedName name="TextRefCopy185">TextRefCopy23</definedName>
    <definedName name="TextRefCopy186" localSheetId="17">CMA!TextRefCopy21</definedName>
    <definedName name="TextRefCopy186" localSheetId="1">TextRefCopy21</definedName>
    <definedName name="TextRefCopy186" localSheetId="0">[0]!TextRefCopy21</definedName>
    <definedName name="TextRefCopy186">TextRefCopy21</definedName>
    <definedName name="TextRefCopy187" localSheetId="17">CMA!TextRefCopy23</definedName>
    <definedName name="TextRefCopy187" localSheetId="1">TextRefCopy23</definedName>
    <definedName name="TextRefCopy187" localSheetId="0">[0]!TextRefCopy23</definedName>
    <definedName name="TextRefCopy187">TextRefCopy23</definedName>
    <definedName name="TextRefCopy188" localSheetId="17">CMA!TextRefCopy24</definedName>
    <definedName name="TextRefCopy188" localSheetId="1">TextRefCopy24</definedName>
    <definedName name="TextRefCopy188" localSheetId="0">[0]!TextRefCopy24</definedName>
    <definedName name="TextRefCopy188">TextRefCopy24</definedName>
    <definedName name="TextRefCopy189" localSheetId="17">CMA!TextRefCopy61</definedName>
    <definedName name="TextRefCopy189" localSheetId="1">TextRefCopy61</definedName>
    <definedName name="TextRefCopy189" localSheetId="0">[0]!TextRefCopy61</definedName>
    <definedName name="TextRefCopy189">TextRefCopy61</definedName>
    <definedName name="TextRefCopy19" localSheetId="17">[2]Schedules!$D$99</definedName>
    <definedName name="TextRefCopy19">[3]Schedules!$D$99</definedName>
    <definedName name="TextRefCopy190" localSheetId="17">CMA!TextRefCopy78</definedName>
    <definedName name="TextRefCopy190" localSheetId="1">TextRefCopy78</definedName>
    <definedName name="TextRefCopy190" localSheetId="0">[0]!TextRefCopy78</definedName>
    <definedName name="TextRefCopy190">TextRefCopy78</definedName>
    <definedName name="TextRefCopy191" localSheetId="17">'[2]Balance Sheet'!$E$33</definedName>
    <definedName name="TextRefCopy191">'[3]Balance Sheet'!$E$33</definedName>
    <definedName name="TextRefCopy192" localSheetId="17">CMA!TextRefCopy12</definedName>
    <definedName name="TextRefCopy192" localSheetId="1">TextRefCopy12</definedName>
    <definedName name="TextRefCopy192" localSheetId="0">[0]!TextRefCopy12</definedName>
    <definedName name="TextRefCopy192">TextRefCopy12</definedName>
    <definedName name="TextRefCopy193" localSheetId="17">CMA!TextRefCopy96</definedName>
    <definedName name="TextRefCopy193" localSheetId="1">TextRefCopy96</definedName>
    <definedName name="TextRefCopy193" localSheetId="0">[0]!TextRefCopy96</definedName>
    <definedName name="TextRefCopy193">TextRefCopy96</definedName>
    <definedName name="TextRefCopy194" localSheetId="17">CMA!TextRefCopy9</definedName>
    <definedName name="TextRefCopy194" localSheetId="1">TextRefCopy9</definedName>
    <definedName name="TextRefCopy194" localSheetId="0">[0]!TextRefCopy9</definedName>
    <definedName name="TextRefCopy194">TextRefCopy9</definedName>
    <definedName name="TextRefCopy195" localSheetId="17">CMA!TextRefCopy95</definedName>
    <definedName name="TextRefCopy195" localSheetId="1">TextRefCopy95</definedName>
    <definedName name="TextRefCopy195" localSheetId="0">[0]!TextRefCopy95</definedName>
    <definedName name="TextRefCopy195">TextRefCopy95</definedName>
    <definedName name="TextRefCopy196" localSheetId="17">CMA!TextRefCopy8</definedName>
    <definedName name="TextRefCopy196" localSheetId="1">TextRefCopy8</definedName>
    <definedName name="TextRefCopy196" localSheetId="0">[0]!TextRefCopy8</definedName>
    <definedName name="TextRefCopy196">TextRefCopy8</definedName>
    <definedName name="TextRefCopy197" localSheetId="17">CMA!TextRefCopy191</definedName>
    <definedName name="TextRefCopy197" localSheetId="1">TextRefCopy191</definedName>
    <definedName name="TextRefCopy197" localSheetId="0">[0]!TextRefCopy191</definedName>
    <definedName name="TextRefCopy197">TextRefCopy191</definedName>
    <definedName name="TextRefCopy198" localSheetId="17">[2]Schedules!#REF!</definedName>
    <definedName name="TextRefCopy198" localSheetId="1">[3]Schedules!#REF!</definedName>
    <definedName name="TextRefCopy198" localSheetId="0">[3]Schedules!#REF!</definedName>
    <definedName name="TextRefCopy198">[3]Schedules!#REF!</definedName>
    <definedName name="TextRefCopy2" localSheetId="17">#REF!</definedName>
    <definedName name="TextRefCopy2" localSheetId="7">#REF!</definedName>
    <definedName name="TextRefCopy2" localSheetId="10">#REF!</definedName>
    <definedName name="TextRefCopy2" localSheetId="9">#REF!</definedName>
    <definedName name="TextRefCopy2" localSheetId="6">#REF!</definedName>
    <definedName name="TextRefCopy2">#REF!</definedName>
    <definedName name="TextRefCopy20" localSheetId="17">[2]Schedules!#REF!</definedName>
    <definedName name="TextRefCopy20">[3]Schedules!#REF!</definedName>
    <definedName name="TextRefCopy21" localSheetId="17">[2]Schedules!$D$102</definedName>
    <definedName name="TextRefCopy21">[3]Schedules!$D$102</definedName>
    <definedName name="TextRefCopy22" localSheetId="17">CMA!TextRefCopy21</definedName>
    <definedName name="TextRefCopy22" localSheetId="1">TextRefCopy21</definedName>
    <definedName name="TextRefCopy22" localSheetId="0">[0]!TextRefCopy21</definedName>
    <definedName name="TextRefCopy22">TextRefCopy21</definedName>
    <definedName name="TextRefCopy23" localSheetId="17">[2]Schedules!$D$100</definedName>
    <definedName name="TextRefCopy23">[3]Schedules!$D$100</definedName>
    <definedName name="TextRefCopy24" localSheetId="17">[2]Schedules!$D$106</definedName>
    <definedName name="TextRefCopy24">[3]Schedules!$D$106</definedName>
    <definedName name="TextRefCopy25" localSheetId="17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#N/A</definedName>
    <definedName name="TextRefCopy30" localSheetId="17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#N/A</definedName>
    <definedName name="TextRefCopy40" localSheetId="17">#REF!</definedName>
    <definedName name="TextRefCopy40">#REF!</definedName>
    <definedName name="TextRefCopy41">#REF!</definedName>
    <definedName name="TextRefCopy42" localSheetId="17">[2]Schedules!#REF!</definedName>
    <definedName name="TextRefCopy42">[3]Schedules!#REF!</definedName>
    <definedName name="TextRefCopy43" localSheetId="17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#N/A</definedName>
    <definedName name="TextRefCopy48" localSheetId="17">[2]Schedules!$E$142</definedName>
    <definedName name="TextRefCopy48">[3]Schedules!$E$142</definedName>
    <definedName name="TextRefCopy49" localSheetId="17">[2]Schedules!$E$144</definedName>
    <definedName name="TextRefCopy49">[3]Schedules!$E$144</definedName>
    <definedName name="TextRefCopy5" localSheetId="17">[349]Tax!#REF!</definedName>
    <definedName name="TextRefCopy5">[350]Tax!#REF!</definedName>
    <definedName name="TextRefCopy50" localSheetId="17">[2]Schedules!$E$148</definedName>
    <definedName name="TextRefCopy50">[3]Schedules!$E$148</definedName>
    <definedName name="TextRefCopy51" localSheetId="17">[2]Schedules!$E$151</definedName>
    <definedName name="TextRefCopy51">[3]Schedules!$E$151</definedName>
    <definedName name="TextRefCopy52" localSheetId="17">[2]Schedules!$E$152</definedName>
    <definedName name="TextRefCopy52">[3]Schedules!$E$152</definedName>
    <definedName name="TextRefCopy53" localSheetId="17">CMA!TextRefCopy52</definedName>
    <definedName name="TextRefCopy53" localSheetId="1">TextRefCopy52</definedName>
    <definedName name="TextRefCopy53" localSheetId="0">[0]!TextRefCopy52</definedName>
    <definedName name="TextRefCopy53">TextRefCopy52</definedName>
    <definedName name="TextRefCopy54" localSheetId="17">[2]Schedules!$E$153</definedName>
    <definedName name="TextRefCopy54">[3]Schedules!$E$153</definedName>
    <definedName name="TextRefCopy55" localSheetId="17">[2]Schedules!$E$154</definedName>
    <definedName name="TextRefCopy55">[3]Schedules!$E$154</definedName>
    <definedName name="TextRefCopy56" localSheetId="17">[2]Schedules!$E$156</definedName>
    <definedName name="TextRefCopy56">[3]Schedules!$E$156</definedName>
    <definedName name="TextRefCopy57" localSheetId="17">[2]Schedules!$E$157</definedName>
    <definedName name="TextRefCopy57">[3]Schedules!$E$157</definedName>
    <definedName name="TextRefCopy58" localSheetId="17">[2]Schedules!$E$158</definedName>
    <definedName name="TextRefCopy58">[3]Schedules!$E$158</definedName>
    <definedName name="TextRefCopy59" localSheetId="17">[2]Schedules!#REF!</definedName>
    <definedName name="TextRefCopy59">[3]Schedules!#REF!</definedName>
    <definedName name="TextRefCopy6" localSheetId="17">[2]Schedules!#REF!</definedName>
    <definedName name="TextRefCopy6" localSheetId="7">#REF!</definedName>
    <definedName name="TextRefCopy6" localSheetId="10">#REF!</definedName>
    <definedName name="TextRefCopy6" localSheetId="9">#REF!</definedName>
    <definedName name="TextRefCopy6" localSheetId="6">#REF!</definedName>
    <definedName name="TextRefCopy6">[3]Schedules!#REF!</definedName>
    <definedName name="TextRefCopy60" localSheetId="17">[2]Schedules!#REF!</definedName>
    <definedName name="TextRefCopy60">[3]Schedules!#REF!</definedName>
    <definedName name="TextRefCopy61" localSheetId="17">'[2]Profit &amp; Loss'!$E$23</definedName>
    <definedName name="TextRefCopy61">'[3]Profit &amp; Loss'!$E$23</definedName>
    <definedName name="TextRefCopy62" localSheetId="17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 localSheetId="17">[349]Tax!#REF!</definedName>
    <definedName name="TextRefCopy7" localSheetId="7">#REF!</definedName>
    <definedName name="TextRefCopy7" localSheetId="10">#REF!</definedName>
    <definedName name="TextRefCopy7" localSheetId="9">#REF!</definedName>
    <definedName name="TextRefCopy7" localSheetId="6">#REF!</definedName>
    <definedName name="TextRefCopy7">[350]Tax!#REF!</definedName>
    <definedName name="TextRefCopy70" localSheetId="1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#N/A</definedName>
    <definedName name="TextRefCopy77" localSheetId="17">TextRefCopy28</definedName>
    <definedName name="TextRefCopy77" localSheetId="1">TextRefCopy28</definedName>
    <definedName name="TextRefCopy77" localSheetId="0">[0]!TextRefCopy28</definedName>
    <definedName name="TextRefCopy77">TextRefCopy28</definedName>
    <definedName name="TextRefCopy78" localSheetId="17">'[2]Balance Sheet'!$E$25</definedName>
    <definedName name="TextRefCopy78">'[3]Balance Sheet'!$E$25</definedName>
    <definedName name="TextRefCopy79" localSheetId="17">CMA!TextRefCopy78</definedName>
    <definedName name="TextRefCopy79" localSheetId="1">TextRefCopy78</definedName>
    <definedName name="TextRefCopy79" localSheetId="0">[0]!TextRefCopy78</definedName>
    <definedName name="TextRefCopy79">TextRefCopy78</definedName>
    <definedName name="TextRefCopy8" localSheetId="17">[2]Schedules!$E$89</definedName>
    <definedName name="TextRefCopy8">[3]Schedules!$E$89</definedName>
    <definedName name="TextRefCopy80" localSheetId="17">'[2]Balance Sheet'!$F$40</definedName>
    <definedName name="TextRefCopy80">'[3]Balance Sheet'!$F$40</definedName>
    <definedName name="TextRefCopy81" localSheetId="17">CMA!TextRefCopy80</definedName>
    <definedName name="TextRefCopy81" localSheetId="1">TextRefCopy80</definedName>
    <definedName name="TextRefCopy81" localSheetId="0">[0]!TextRefCopy80</definedName>
    <definedName name="TextRefCopy81">TextRefCopy80</definedName>
    <definedName name="TextRefCopy82" localSheetId="17">CMA!TextRefCopy80</definedName>
    <definedName name="TextRefCopy82" localSheetId="1">TextRefCopy80</definedName>
    <definedName name="TextRefCopy82" localSheetId="0">[0]!TextRefCopy80</definedName>
    <definedName name="TextRefCopy82">TextRefCopy80</definedName>
    <definedName name="TextRefCopy83" localSheetId="17">'[2]Profit &amp; Loss'!$E$22</definedName>
    <definedName name="TextRefCopy83">'[3]Profit &amp; Loss'!$E$22</definedName>
    <definedName name="TextRefCopy84" localSheetId="17">#REF!</definedName>
    <definedName name="TextRefCopy84">#REF!</definedName>
    <definedName name="TextRefCopy85">#REF!</definedName>
    <definedName name="TextRefCopy86">#REF!</definedName>
    <definedName name="TextRefCopy87" localSheetId="17">CMA!TextRefCopy61</definedName>
    <definedName name="TextRefCopy87" localSheetId="1">TextRefCopy61</definedName>
    <definedName name="TextRefCopy87" localSheetId="0">[0]!TextRefCopy61</definedName>
    <definedName name="TextRefCopy87">TextRefCopy61</definedName>
    <definedName name="TextRefCopy88" localSheetId="17">CMA!TextRefCopy19</definedName>
    <definedName name="TextRefCopy88" localSheetId="1">TextRefCopy19</definedName>
    <definedName name="TextRefCopy88" localSheetId="0">[0]!TextRefCopy19</definedName>
    <definedName name="TextRefCopy88">TextRefCopy19</definedName>
    <definedName name="TextRefCopy89" localSheetId="17">CMA!TextRefCopy23</definedName>
    <definedName name="TextRefCopy89" localSheetId="1">TextRefCopy23</definedName>
    <definedName name="TextRefCopy89" localSheetId="0">[0]!TextRefCopy23</definedName>
    <definedName name="TextRefCopy89">TextRefCopy23</definedName>
    <definedName name="TextRefCopy9" localSheetId="17">[2]Schedules!$E$87</definedName>
    <definedName name="TextRefCopy9">[3]Schedules!$E$87</definedName>
    <definedName name="TextRefCopy90" localSheetId="17">CMA!TextRefCopy21</definedName>
    <definedName name="TextRefCopy90" localSheetId="1">TextRefCopy21</definedName>
    <definedName name="TextRefCopy90" localSheetId="0">[0]!TextRefCopy21</definedName>
    <definedName name="TextRefCopy90">TextRefCopy21</definedName>
    <definedName name="TextRefCopy91" localSheetId="17">CMA!TextRefCopy24</definedName>
    <definedName name="TextRefCopy91" localSheetId="1">TextRefCopy24</definedName>
    <definedName name="TextRefCopy91" localSheetId="0">[0]!TextRefCopy24</definedName>
    <definedName name="TextRefCopy91">TextRefCopy24</definedName>
    <definedName name="TextRefCopy92" localSheetId="17">CMA!TextRefCopy24</definedName>
    <definedName name="TextRefCopy92" localSheetId="1">TextRefCopy24</definedName>
    <definedName name="TextRefCopy92" localSheetId="0">[0]!TextRefCopy24</definedName>
    <definedName name="TextRefCopy92">TextRefCopy24</definedName>
    <definedName name="TextRefCopy93" localSheetId="17">CMA!TextRefCopy9</definedName>
    <definedName name="TextRefCopy93" localSheetId="1">TextRefCopy9</definedName>
    <definedName name="TextRefCopy93" localSheetId="0">[0]!TextRefCopy9</definedName>
    <definedName name="TextRefCopy93">TextRefCopy9</definedName>
    <definedName name="TextRefCopy94" localSheetId="17">CMA!TextRefCopy8</definedName>
    <definedName name="TextRefCopy94" localSheetId="1">TextRefCopy8</definedName>
    <definedName name="TextRefCopy94" localSheetId="0">[0]!TextRefCopy8</definedName>
    <definedName name="TextRefCopy94">TextRefCopy8</definedName>
    <definedName name="TextRefCopy95" localSheetId="17">[2]Schedules!$E$88</definedName>
    <definedName name="TextRefCopy95">[3]Schedules!$E$88</definedName>
    <definedName name="TextRefCopy96" localSheetId="17">[2]Schedules!$E$85</definedName>
    <definedName name="TextRefCopy96">[3]Schedules!$E$85</definedName>
    <definedName name="TextRefCopy97" localSheetId="17">CMA!TextRefCopy9</definedName>
    <definedName name="TextRefCopy97" localSheetId="1">TextRefCopy9</definedName>
    <definedName name="TextRefCopy97" localSheetId="0">[0]!TextRefCopy9</definedName>
    <definedName name="TextRefCopy97">TextRefCopy9</definedName>
    <definedName name="TextRefCopy98" localSheetId="17">#REF!</definedName>
    <definedName name="TextRefCopy98" localSheetId="1">#REF!</definedName>
    <definedName name="TextRefCopy98" localSheetId="0">#REF!</definedName>
    <definedName name="TextRefCopy98">#REF!</definedName>
    <definedName name="TextRefCopy99" localSheetId="1">#REF!</definedName>
    <definedName name="TextRefCopy99" localSheetId="0">#REF!</definedName>
    <definedName name="TextRefCopy99">#REF!</definedName>
    <definedName name="TextRefCopyRangeCount" localSheetId="7" hidden="1">1</definedName>
    <definedName name="TextRefCopyRangeCount" localSheetId="10" hidden="1">1</definedName>
    <definedName name="TextRefCopyRangeCount" localSheetId="9" hidden="1">1</definedName>
    <definedName name="TextRefCopyRangeCount" localSheetId="6" hidden="1">1</definedName>
    <definedName name="TextRefCopyRangeCount" hidden="1">104</definedName>
    <definedName name="TEXTURISING">#REF!</definedName>
    <definedName name="tfcq1" localSheetId="17">#REF!</definedName>
    <definedName name="tfcq1">#REF!</definedName>
    <definedName name="tfcq2">#REF!</definedName>
    <definedName name="tfcq3">#REF!</definedName>
    <definedName name="tfcq4">#REF!</definedName>
    <definedName name="Tgt">#REF!</definedName>
    <definedName name="THAI_PLASTIC_in_KUSD">#REF!</definedName>
    <definedName name="This_year_Bsheet">#REF!</definedName>
    <definedName name="This_Year_Profit_Loss">#REF!</definedName>
    <definedName name="ThisYear">[142]Summary!#REF!</definedName>
    <definedName name="THREE">'[227]CAPITAL (2)'!#REF!</definedName>
    <definedName name="ThreeCD">#REF!</definedName>
    <definedName name="Threshold" localSheetId="7">'[68]Excess Calc'!#REF!</definedName>
    <definedName name="Threshold" localSheetId="10">'[68]Excess Calc'!#REF!</definedName>
    <definedName name="Threshold" localSheetId="9">'[68]Excess Calc'!#REF!</definedName>
    <definedName name="Threshold" localSheetId="6">'[68]Excess Calc'!#REF!</definedName>
    <definedName name="Threshold">#REF!</definedName>
    <definedName name="THRESOLD">[46]SI!$M$11</definedName>
    <definedName name="TI">[46]Calculator!$M$5</definedName>
    <definedName name="ticker">#REF!</definedName>
    <definedName name="Time_Period">#REF!</definedName>
    <definedName name="TimeSheetOnProjects">#REF!</definedName>
    <definedName name="title">#REF!</definedName>
    <definedName name="TL" localSheetId="17">[64]Facility!#REF!</definedName>
    <definedName name="TL">[65]Facility!#REF!</definedName>
    <definedName name="tlpandm" localSheetId="17">#REF!</definedName>
    <definedName name="tlpandm">#REF!</definedName>
    <definedName name="tlplantmach">#REF!</definedName>
    <definedName name="TLT">#REF!</definedName>
    <definedName name="TMTable">'[134]TM-Bud'!$A$11:$Y$133</definedName>
    <definedName name="tohuda" localSheetId="17">'[76]Cost Breakup Depreciation&amp; Tax'!$C$30</definedName>
    <definedName name="tohuda">'[77]Cost Breakup Depreciation&amp; Tax'!$C$30</definedName>
    <definedName name="TOL">#N/A</definedName>
    <definedName name="TOLC" localSheetId="17">[259]海外WORK!#REF!</definedName>
    <definedName name="TOLC">[260]海外WORK!#REF!</definedName>
    <definedName name="Tolerance">0.0025</definedName>
    <definedName name="Toll_Growth" localSheetId="17">#REF!</definedName>
    <definedName name="Toll_Growth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ChangeThreshold">0.01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">#REF!</definedName>
    <definedName name="Tot_knw_Xfoot">#REF!</definedName>
    <definedName name="Tot_lik_Xfoot">#REF!</definedName>
    <definedName name="Total">[351]CBS!$L$1</definedName>
    <definedName name="Total___US">'[269]BS Rec Control Sheet'!#REF!</definedName>
    <definedName name="total_A">#REF!</definedName>
    <definedName name="Total_Amount">[22]CMA_Calculations!$D$125</definedName>
    <definedName name="total_B">#REF!</definedName>
    <definedName name="total_budget">#REF!</definedName>
    <definedName name="total_C">#REF!</definedName>
    <definedName name="Total_Interest">#REF!</definedName>
    <definedName name="Total_Pay">#REF!</definedName>
    <definedName name="Total_payments" localSheetId="7">[0]!Payments_per_year*[0]!Term_in_years</definedName>
    <definedName name="Total_payments" localSheetId="10">[0]!Payments_per_year*[0]!Term_in_years</definedName>
    <definedName name="Total_payments" localSheetId="1">[0]!Payments_per_year*[0]!Term_in_years</definedName>
    <definedName name="Total_payments" localSheetId="0">[0]!Payments_per_year*[0]!Term_in_years</definedName>
    <definedName name="Total_payments" localSheetId="6">[0]!Payments_per_year*[0]!Term_in_years</definedName>
    <definedName name="Total_payments">[0]!Payments_per_year*[0]!Term_in_years</definedName>
    <definedName name="TotalAssets" localSheetId="7">CapitalEmployed+CurrentLiab</definedName>
    <definedName name="TotalAssets" localSheetId="10">CapitalEmployed+CurrentLiab</definedName>
    <definedName name="TotalAssets" localSheetId="1">CapitalEmployed+CurrentLiab</definedName>
    <definedName name="TotalAssets" localSheetId="0">[0]!CapitalEmployed+[0]!CurrentLiab</definedName>
    <definedName name="TotalAssets" localSheetId="6">CapitalEmployed+CurrentLiab</definedName>
    <definedName name="TotalAssets">CapitalEmployed+CurrentLiab</definedName>
    <definedName name="TotalBalance" localSheetId="1">[142]Summary!#REF!</definedName>
    <definedName name="TotalBalance" localSheetId="0">[142]Summary!#REF!</definedName>
    <definedName name="TotalBalance">[142]Summary!#REF!</definedName>
    <definedName name="TotalDebt" localSheetId="7">LongTermDebt+ShortTermDebt+CurrentPortion</definedName>
    <definedName name="TotalDebt" localSheetId="10">LongTermDebt+ShortTermDebt+CurrentPortion</definedName>
    <definedName name="TotalDebt" localSheetId="1">LongTermDebt+ShortTermDebt+CurrentPortion</definedName>
    <definedName name="TotalDebt" localSheetId="0">[0]!LongTermDebt+[0]!ShortTermDebt+[0]!CurrentPortion</definedName>
    <definedName name="TotalDebt" localSheetId="6">LongTermDebt+ShortTermDebt+CurrentPortion</definedName>
    <definedName name="TotalDebt">LongTermDebt+ShortTermDebt+CurrentPortion</definedName>
    <definedName name="TOTALINCOME" localSheetId="17">#REF!</definedName>
    <definedName name="TOTALINCOME" localSheetId="1">#REF!</definedName>
    <definedName name="TOTALINCOME" localSheetId="0">#REF!</definedName>
    <definedName name="TOTALINCOME">#REF!</definedName>
    <definedName name="TotalLocal" localSheetId="1">#REF!</definedName>
    <definedName name="TotalLocal" localSheetId="0">#REF!</definedName>
    <definedName name="TotalLocal">#REF!</definedName>
    <definedName name="TotalLossSum_R" localSheetId="1">[142]Rollup!#REF!</definedName>
    <definedName name="TotalLossSum_R" localSheetId="0">[142]Rollup!#REF!</definedName>
    <definedName name="TotalLossSum_R">[142]Rollup!#REF!</definedName>
    <definedName name="totalmiscecharge" localSheetId="17">'[132]Capex-fixed'!#REF!</definedName>
    <definedName name="totalmiscecharge" localSheetId="1">'[132]Capex-fixed'!#REF!</definedName>
    <definedName name="totalmiscecharge" localSheetId="0">'[132]Capex-fixed'!#REF!</definedName>
    <definedName name="totalmiscecharge">'[132]Capex-fixed'!#REF!</definedName>
    <definedName name="totalmv97" localSheetId="1">#REF!</definedName>
    <definedName name="totalmv97" localSheetId="0">#REF!</definedName>
    <definedName name="totalmv97">#REF!</definedName>
    <definedName name="TotalRoE10">[190]Assumptions!$B$23</definedName>
    <definedName name="TOTALS_1998">#REF!</definedName>
    <definedName name="TotalUSD">#REF!</definedName>
    <definedName name="TotData">#REF!</definedName>
    <definedName name="Totdebt">[106]List_ratios!#REF!</definedName>
    <definedName name="tothpincome">'[46]CYLA BFLA'!$O$11</definedName>
    <definedName name="tothploss">'[46]CYLA BFLA'!$P$11</definedName>
    <definedName name="totofbfloss.BusLossOthThanSpecLossCF8">[46]CFL!$F$11</definedName>
    <definedName name="totofbfloss.HPLossCF8">[46]CFL!$E$11</definedName>
    <definedName name="totofbfloss.LossFrmSpecBusCF8">[46]CFL!$G$11</definedName>
    <definedName name="totofbfloss.LossFrmSpecifiedBusCF8">[46]CFL!$H$11</definedName>
    <definedName name="totofbfloss.LTCGLossCF8">[46]CFL!$J$11</definedName>
    <definedName name="totofbfloss.OthSrcLossNotRaceHorseCF8">[46]CFL!$K$11</definedName>
    <definedName name="totofbfloss.OthSrcLossRaceHorseCF8">[46]CFL!$L$11</definedName>
    <definedName name="totofbfloss.STCGLossCF8">[46]CFL!$I$11</definedName>
    <definedName name="totpay">'[195]EMPLOYEE DESOSIT RECEIVED'!$C$345</definedName>
    <definedName name="totslot_ext" localSheetId="17">'[132]Capex-fixed'!#REF!</definedName>
    <definedName name="totslot_ext">'[132]Capex-fixed'!#REF!</definedName>
    <definedName name="totsum">'[203]DSM checkbook'!$A$21:$M$68</definedName>
    <definedName name="totusincome">[46]Calculator!$V$15</definedName>
    <definedName name="totusratio">[46]Calculator!$W$15</definedName>
    <definedName name="tour">[152]tb!$G$540:$O$669</definedName>
    <definedName name="TPC" localSheetId="17">'[76]Cost Breakup Depreciation&amp; Tax'!$C$41</definedName>
    <definedName name="TPC">'[77]Cost Breakup Depreciation&amp; Tax'!$C$41</definedName>
    <definedName name="TPC_Copy" localSheetId="17">#REF!</definedName>
    <definedName name="TPC_Copy">#REF!</definedName>
    <definedName name="TPC_Copy1">#REF!</definedName>
    <definedName name="TPC_Orig">#REF!</definedName>
    <definedName name="TPC_Orig1">#REF!</definedName>
    <definedName name="TPNL">#REF!</definedName>
    <definedName name="TPS">[133]TPS!$A$1:$N$68</definedName>
    <definedName name="TPSA__Poland">[106]List_ratios!#REF!</definedName>
    <definedName name="tr" localSheetId="7" hidden="1">{#N/A,#N/A,FALSE,"COVER.XLS";#N/A,#N/A,FALSE,"RACT1.XLS";#N/A,#N/A,FALSE,"RACT2.XLS";#N/A,#N/A,FALSE,"ECCMP";#N/A,#N/A,FALSE,"WELDER.XLS"}</definedName>
    <definedName name="tr" localSheetId="10" hidden="1">{#N/A,#N/A,FALSE,"COVER.XLS";#N/A,#N/A,FALSE,"RACT1.XLS";#N/A,#N/A,FALSE,"RACT2.XLS";#N/A,#N/A,FALSE,"ECCMP";#N/A,#N/A,FALSE,"WELDER.XLS"}</definedName>
    <definedName name="tr" localSheetId="1" hidden="1">{#N/A,#N/A,FALSE,"COVER.XLS";#N/A,#N/A,FALSE,"RACT1.XLS";#N/A,#N/A,FALSE,"RACT2.XLS";#N/A,#N/A,FALSE,"ECCMP";#N/A,#N/A,FALSE,"WELDER.XLS"}</definedName>
    <definedName name="tr" localSheetId="0" hidden="1">{#N/A,#N/A,FALSE,"COVER.XLS";#N/A,#N/A,FALSE,"RACT1.XLS";#N/A,#N/A,FALSE,"RACT2.XLS";#N/A,#N/A,FALSE,"ECCMP";#N/A,#N/A,FALSE,"WELDER.XLS"}</definedName>
    <definedName name="tr" localSheetId="6" hidden="1">{#N/A,#N/A,FALSE,"COVER.XLS";#N/A,#N/A,FALSE,"RACT1.XLS";#N/A,#N/A,FALSE,"RACT2.XLS";#N/A,#N/A,FALSE,"ECCMP";#N/A,#N/A,FALSE,"WELDER.XLS"}</definedName>
    <definedName name="tr" hidden="1">{#N/A,#N/A,FALSE,"COVER.XLS";#N/A,#N/A,FALSE,"RACT1.XLS";#N/A,#N/A,FALSE,"RACT2.XLS";#N/A,#N/A,FALSE,"ECCMP";#N/A,#N/A,FALSE,"WELDER.XLS"}</definedName>
    <definedName name="TR.RelfClaimed90">[46]TR_FA!$F$8:$F$12</definedName>
    <definedName name="TR.RelfClaimed90GTotal">[46]TR_FA!$F$13</definedName>
    <definedName name="TR.RelfClaimed91">[46]TR_FA!$G$8:$G$12</definedName>
    <definedName name="TR.RelfClaimed91GTotal">[46]TR_FA!$G$13</definedName>
    <definedName name="TR.TaxesPaidGTotal">[46]TR_FA!$E$13</definedName>
    <definedName name="TR.TotalTaxesPaid">[46]TR_FA!$E$8:$E$12</definedName>
    <definedName name="TR.TotalTaxesPaidOutIndia">[46]TR_FA!$G$16</definedName>
    <definedName name="TR.TotalTaxesPaidOutIndiaDTAAAppli">[46]TR_FA!$G$17</definedName>
    <definedName name="track" localSheetId="17">'[76]Cost Breakup Depreciation&amp; Tax'!$C$11</definedName>
    <definedName name="track">'[77]Cost Breakup Depreciation&amp; Tax'!$C$11</definedName>
    <definedName name="TRAD">#REF!</definedName>
    <definedName name="TradCred">'[72]2. Forecast Drivers'!$E$51:$S$51</definedName>
    <definedName name="TradDebt">'[72]2. Forecast Drivers'!$E$48:$S$48</definedName>
    <definedName name="Traffic" localSheetId="17">#REF!</definedName>
    <definedName name="Traffic">#REF!</definedName>
    <definedName name="Traffic_Growth">#REF!</definedName>
    <definedName name="trafficgrowthyr1">#REF!</definedName>
    <definedName name="trafficgrowthyr2">#REF!</definedName>
    <definedName name="trafficgrowthyr3">#REF!</definedName>
    <definedName name="trafficgrowthyr4">#REF!</definedName>
    <definedName name="trafficgrowthyr5onwards">#REF!</definedName>
    <definedName name="Translation">'[72]2. Forecast Drivers'!$E$242:$S$242</definedName>
    <definedName name="Transportation">[71]Assumptions!$D$60</definedName>
    <definedName name="Transportation_Base">#REF!</definedName>
    <definedName name="Transportation_SEN">#REF!</definedName>
    <definedName name="TRAVEL">#REF!</definedName>
    <definedName name="trcompay">[152]tb!$G$756:$O$802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nchingcost">'[132]Capex-fixed'!#REF!</definedName>
    <definedName name="TRIA">#REF!</definedName>
    <definedName name="TRIAL">#REF!</definedName>
    <definedName name="Trianglelosspercent" localSheetId="17">#REF!</definedName>
    <definedName name="Trianglelosspercent">#REF!</definedName>
    <definedName name="tripping">#REF!</definedName>
    <definedName name="try">[352]InputPO_Del!#REF!</definedName>
    <definedName name="tt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l_dscnt">#REF!</definedName>
    <definedName name="ttt">#REF!</definedName>
    <definedName name="ttttt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" localSheetId="10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" localSheetId="1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" localSheetId="0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tttt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wac">'[103]Core Assumptions'!$E$219</definedName>
    <definedName name="TWNo">'[103]Core Assumptions'!$E$218</definedName>
    <definedName name="TXN_Calc">[46]Calculator!$D$17</definedName>
    <definedName name="tyu">'[132]Capex-fixed'!#REF!</definedName>
    <definedName name="TZEN" localSheetId="17">#REF!</definedName>
    <definedName name="TZEN">#REF!</definedName>
    <definedName name="U">#REF!</definedName>
    <definedName name="U30a57">#REF!</definedName>
    <definedName name="UD.AmtDepCurYr">[46]UD!$D$4:$D$12</definedName>
    <definedName name="UD.Balance">[46]UD!$F$4:$F$12</definedName>
    <definedName name="UD.BF">[46]UD!$C$4:$C$12</definedName>
    <definedName name="UD.Setoff">[46]UD!$E$4:$E$12</definedName>
    <definedName name="UER">#REF!</definedName>
    <definedName name="uio" localSheetId="17">'[132]Capex-fixed'!#REF!</definedName>
    <definedName name="uio">'[132]Capex-fixed'!#REF!</definedName>
    <definedName name="ukdata">#REF!</definedName>
    <definedName name="uma" localSheetId="7" hidden="1">{#N/A,#N/A,FALSE,"COVER1.XLS ";#N/A,#N/A,FALSE,"RACT1.XLS";#N/A,#N/A,FALSE,"RACT2.XLS";#N/A,#N/A,FALSE,"ECCMP";#N/A,#N/A,FALSE,"WELDER.XLS"}</definedName>
    <definedName name="uma" localSheetId="10" hidden="1">{#N/A,#N/A,FALSE,"COVER1.XLS ";#N/A,#N/A,FALSE,"RACT1.XLS";#N/A,#N/A,FALSE,"RACT2.XLS";#N/A,#N/A,FALSE,"ECCMP";#N/A,#N/A,FALSE,"WELDER.XLS"}</definedName>
    <definedName name="uma" localSheetId="1" hidden="1">{#N/A,#N/A,FALSE,"COVER1.XLS ";#N/A,#N/A,FALSE,"RACT1.XLS";#N/A,#N/A,FALSE,"RACT2.XLS";#N/A,#N/A,FALSE,"ECCMP";#N/A,#N/A,FALSE,"WELDER.XLS"}</definedName>
    <definedName name="uma" localSheetId="0" hidden="1">{#N/A,#N/A,FALSE,"COVER1.XLS ";#N/A,#N/A,FALSE,"RACT1.XLS";#N/A,#N/A,FALSE,"RACT2.XLS";#N/A,#N/A,FALSE,"ECCMP";#N/A,#N/A,FALSE,"WELDER.XLS"}</definedName>
    <definedName name="uma" localSheetId="6" hidden="1">{#N/A,#N/A,FALSE,"COVER1.XLS ";#N/A,#N/A,FALSE,"RACT1.XLS";#N/A,#N/A,FALSE,"RACT2.XLS";#N/A,#N/A,FALSE,"ECCMP";#N/A,#N/A,FALSE,"WELDER.XLS"}</definedName>
    <definedName name="uma" hidden="1">{#N/A,#N/A,FALSE,"COVER1.XLS ";#N/A,#N/A,FALSE,"RACT1.XLS";#N/A,#N/A,FALSE,"RACT2.XLS";#N/A,#N/A,FALSE,"ECCMP";#N/A,#N/A,FALSE,"WELDER.XLS"}</definedName>
    <definedName name="Unit" localSheetId="17">#REF!</definedName>
    <definedName name="unit" localSheetId="7">[353]Input!$D$385</definedName>
    <definedName name="unit" localSheetId="10">[353]Input!$D$385</definedName>
    <definedName name="unit" localSheetId="9">[353]Input!$D$385</definedName>
    <definedName name="unit" localSheetId="6">[353]Input!$D$385</definedName>
    <definedName name="Unit">#REF!</definedName>
    <definedName name="Unit_label">'[72]2. Forecast Drivers'!$D$331</definedName>
    <definedName name="uNIT1">#REF!</definedName>
    <definedName name="uNIT2">#REF!</definedName>
    <definedName name="uNIT3">#REF!</definedName>
    <definedName name="Units">'[72]2. Forecast Drivers'!$D$15</definedName>
    <definedName name="unitwise">#REF!</definedName>
    <definedName name="unsecured_Loans_99">#REF!</definedName>
    <definedName name="UOL">#REF!</definedName>
    <definedName name="up_p" localSheetId="17">[265]Macros!$D$10</definedName>
    <definedName name="up_p">[266]Macros!$D$10</definedName>
    <definedName name="Update">[93]Introduction!#REF!</definedName>
    <definedName name="upfp" localSheetId="17">'[354]Phasing+ Int'!$C$151</definedName>
    <definedName name="upfp">'[101]Phasing+ Int'!$C$151</definedName>
    <definedName name="urban_kiosk_to" localSheetId="17">#REF!</definedName>
    <definedName name="urban_kiosk_to">#REF!</definedName>
    <definedName name="urban_shop_TO">#REF!</definedName>
    <definedName name="Urbanpopulationpercentage">#REF!</definedName>
    <definedName name="usa2data">#REF!</definedName>
    <definedName name="UScompanies">#REF!</definedName>
    <definedName name="USD" localSheetId="7">#REF!</definedName>
    <definedName name="USD" localSheetId="10">#REF!</definedName>
    <definedName name="USD" localSheetId="9">#REF!</definedName>
    <definedName name="USD" localSheetId="6">#REF!</definedName>
    <definedName name="usd">#REF!</definedName>
    <definedName name="USD.A">#REF!</definedName>
    <definedName name="USD.E">#REF!</definedName>
    <definedName name="USD_B">#REF!</definedName>
    <definedName name="usd_esc" localSheetId="17">[354]Sensitivity!$E$12</definedName>
    <definedName name="usd_esc">[101]Sensitivity!$E$12</definedName>
    <definedName name="USD_Rate">[355]KPIs!$AM$2</definedName>
    <definedName name="UseEPS" localSheetId="17">[147]Setting!#REF!</definedName>
    <definedName name="UseEPS">[147]Setting!#REF!</definedName>
    <definedName name="usincome">[46]Calculator!$Q$4</definedName>
    <definedName name="USNetCFDepJ1" localSheetId="17">[185]IRR!#REF!</definedName>
    <definedName name="USNetCFDepJ1">[186]IRR!#REF!</definedName>
    <definedName name="USNetCFWODepJ1" localSheetId="17">[185]IRR!#REF!</definedName>
    <definedName name="USNetCFWODepJ1">[186]IRR!#REF!</definedName>
    <definedName name="usrNext1Period">#REF!</definedName>
    <definedName name="util">[249]Sensitivity!$F$15</definedName>
    <definedName name="utilitydiversion" localSheetId="17">'[76]Cost Breakup Depreciation&amp; Tax'!$C$22</definedName>
    <definedName name="utilitydiversion">'[77]Cost Breakup Depreciation&amp; Tax'!$C$22</definedName>
    <definedName name="uttam">#REF!</definedName>
    <definedName name="uuu">#REF!</definedName>
    <definedName name="V" localSheetId="17">[270]rm9900!#REF!</definedName>
    <definedName name="V" localSheetId="7">#REF!</definedName>
    <definedName name="V" localSheetId="10">#REF!</definedName>
    <definedName name="V" localSheetId="9">#REF!</definedName>
    <definedName name="V" localSheetId="6">#REF!</definedName>
    <definedName name="V">[270]rm9900!#REF!</definedName>
    <definedName name="V_Gawade">#REF!</definedName>
    <definedName name="vAARIANCE">'[269]BS Rec Control Sheet'!#REF!</definedName>
    <definedName name="Val_Date">'[72]2. Forecast Drivers'!$D$11</definedName>
    <definedName name="valid">#REF!</definedName>
    <definedName name="validationr1">[131]Validation!$C$27:$O$27,[131]Validation!$D$22:$O$22,[131]Validation!$C$17:$O$17,[131]Validation!$D$10:$O$10</definedName>
    <definedName name="ValidClass">'[182]Dont Alter'!$B$3:$B$15</definedName>
    <definedName name="VALTHSALA">#REF!</definedName>
    <definedName name="value">3</definedName>
    <definedName name="values">'[356]Determination of Threshold'!$B$3,'[356]Determination of Threshold'!$B$4,'[356]Determination of Threshold'!$B$15</definedName>
    <definedName name="Values_Entered" localSheetId="7">IF(Loan_Amount*'Depreciation Schedule'!Interest_Rate*Loan_Years*Loan_Start&gt;0,1,0)</definedName>
    <definedName name="Values_Entered" localSheetId="10">IF(Loan_Amount*EV!Interest_Rate*Loan_Years*Loan_Start&gt;0,1,0)</definedName>
    <definedName name="Values_Entered" localSheetId="1">#N/A</definedName>
    <definedName name="Values_Entered" localSheetId="0">#N/A</definedName>
    <definedName name="Values_Entered" localSheetId="6">IF(Loan_Amount*'Working Capital RK'!Interest_Rate*Loan_Years*Loan_Start&gt;0,1,0)</definedName>
    <definedName name="Values_Entered">IF(Loan_Amount*'WACC RK'!Interest_Rate*Loan_Years*Loan_Start&gt;0,1,0)</definedName>
    <definedName name="ValuesBSA">[356]BS!$B$2:$O$3,[356]BS!$B$7:$O$13,[356]BS!$C$16:$O$17,[356]BS!$B$20:$O$20,[356]BS!$B$35:$O$37,[356]BS!$B$55:$O$55</definedName>
    <definedName name="ValuesBSL">#REF!,[356]BS!$C$24:$O$28,#REF!,#REF!,[356]BS!$B$42:$O$44</definedName>
    <definedName name="ValuesChecks">'[356]Checks &amp; Inputs'!$C$16:$O$17,'[356]Checks &amp; Inputs'!$B$2</definedName>
    <definedName name="ValueShort_R">[142]Rollup!#REF!</definedName>
    <definedName name="ValuesIS">[356]IS!$B$2:$N$4,[356]IS!$B$7:$N$54,[356]IS!$B$60:$N$61,[356]IS!#REF!,[356]IS!$B$75:$N$75,[356]IS!#REF!,[356]IS!#REF!</definedName>
    <definedName name="VAR_1">#REF!</definedName>
    <definedName name="VAR_10">#REF!</definedName>
    <definedName name="VAR_11">#REF!</definedName>
    <definedName name="VAR_12">#REF!</definedName>
    <definedName name="VAR_13">#REF!</definedName>
    <definedName name="VAR_14">#REF!</definedName>
    <definedName name="VAR_15">#REF!</definedName>
    <definedName name="VAR_16">#REF!</definedName>
    <definedName name="VAR_17">#REF!</definedName>
    <definedName name="VAR_18">#REF!</definedName>
    <definedName name="VAR_19">#REF!</definedName>
    <definedName name="VAR_2">#REF!</definedName>
    <definedName name="VAR_20">#REF!</definedName>
    <definedName name="VAR_21">#REF!</definedName>
    <definedName name="VAR_22">#REF!</definedName>
    <definedName name="VAR_23">#REF!</definedName>
    <definedName name="VAR_24">#REF!</definedName>
    <definedName name="VAR_25">#REF!</definedName>
    <definedName name="VAR_26">#REF!</definedName>
    <definedName name="VAR_27">#REF!</definedName>
    <definedName name="VAR_28">#REF!</definedName>
    <definedName name="VAR_29">#REF!</definedName>
    <definedName name="VAR_3">#REF!</definedName>
    <definedName name="VAR_30">#REF!</definedName>
    <definedName name="VAR_4">#REF!</definedName>
    <definedName name="VAR_5">#REF!</definedName>
    <definedName name="VAR_6">#REF!</definedName>
    <definedName name="VAR_7">#REF!</definedName>
    <definedName name="VAR_8">#REF!</definedName>
    <definedName name="VAR_9">#REF!</definedName>
    <definedName name="Var_IntRate">[189]Senstivity!$E$9</definedName>
    <definedName name="Var_IntRateP75">[189]Senstivity!$E$22</definedName>
    <definedName name="Var_ONM">[189]Senstivity!$E$8</definedName>
    <definedName name="Var_ONMP75">[189]Senstivity!$E$21</definedName>
    <definedName name="var_P75">[189]Senstivity!$E$17</definedName>
    <definedName name="Var_PLF">[189]Senstivity!$E$7</definedName>
    <definedName name="Var_PLFP75">[189]Senstivity!$E$20</definedName>
    <definedName name="Var_Tariff">[189]Senstivity!$E$6</definedName>
    <definedName name="Var_TariffP75">[189]Senstivity!$E$19</definedName>
    <definedName name="Variance">#REF!</definedName>
    <definedName name="VarIntRate">[189]Senstivity!$F$9</definedName>
    <definedName name="varioustaxes">[357]wwww!$C$59:$C$62</definedName>
    <definedName name="VarONM">[189]Senstivity!$F$8</definedName>
    <definedName name="VarPLF">[189]Senstivity!$F$7</definedName>
    <definedName name="VarTariff">[189]Senstivity!$F$6</definedName>
    <definedName name="VB" localSheetId="17">[64]PAP!#REF!</definedName>
    <definedName name="VB">[65]PAP!#REF!</definedName>
    <definedName name="vdfv">[358]Setting!$I$11</definedName>
    <definedName name="VEH">#REF!</definedName>
    <definedName name="versionno">1</definedName>
    <definedName name="vg">[297]Assumptions!#REF!</definedName>
    <definedName name="VIA.Section80GGA">'[46]80_'!$G$43</definedName>
    <definedName name="VIA.Section80GGC">'[46]80_'!$G$45</definedName>
    <definedName name="VIA.Section80IA">'[46]80_'!$G$46</definedName>
    <definedName name="VIA.Section80IAB">'[46]80_'!$G$47</definedName>
    <definedName name="VIA.Section80IB">'[46]80_'!$G$48</definedName>
    <definedName name="VIA.Section80IC">'[46]80_'!$G$49</definedName>
    <definedName name="VIA.Section80ID">'[46]80_'!$G$50</definedName>
    <definedName name="VIA.Section80JJA">'[46]80_'!$G$51</definedName>
    <definedName name="VIA.Section80JJAA">'[46]80_'!$G$52</definedName>
    <definedName name="VIA.Section80LA">'[46]80_'!$G$54</definedName>
    <definedName name="VIA.SectionGGB">'[46]80_'!$G$44</definedName>
    <definedName name="VIA.TotalChapVIADeductions">'[46]80_'!$G$55</definedName>
    <definedName name="viaduct" localSheetId="17">'[76]Cost Breakup Depreciation&amp; Tax'!$C$4</definedName>
    <definedName name="viaduct">'[77]Cost Breakup Depreciation&amp; Tax'!$C$4</definedName>
    <definedName name="VINOD_GAWADE">#REF!</definedName>
    <definedName name="vip" hidden="1">#REF!</definedName>
    <definedName name="vital5">'[156]Customize Your Invoice'!$E$15</definedName>
    <definedName name="Vivek">#REF!</definedName>
    <definedName name="vjsfnzxb.xcv">#REF!</definedName>
    <definedName name="VLSI" localSheetId="17">#REF!</definedName>
    <definedName name="VLSI">#REF!</definedName>
    <definedName name="VLSIsum">#REF!</definedName>
    <definedName name="VOLUME">#REF!</definedName>
    <definedName name="vv" localSheetId="7" hidden="1">{#N/A,#N/A,TRUE,"Sheet1"}</definedName>
    <definedName name="vv" localSheetId="10" hidden="1">{#N/A,#N/A,TRUE,"Sheet1"}</definedName>
    <definedName name="vv" localSheetId="1" hidden="1">{#N/A,#N/A,TRUE,"Sheet1"}</definedName>
    <definedName name="vv" localSheetId="0" hidden="1">{#N/A,#N/A,TRUE,"Sheet1"}</definedName>
    <definedName name="vv" localSheetId="6" hidden="1">{#N/A,#N/A,TRUE,"Sheet1"}</definedName>
    <definedName name="vv" hidden="1">{#N/A,#N/A,TRUE,"Sheet1"}</definedName>
    <definedName name="w" localSheetId="17" hidden="1">'[305]SCH 10'!#REF!</definedName>
    <definedName name="w" localSheetId="7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" localSheetId="1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" localSheetId="9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" localSheetId="6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" hidden="1">'[306]SCH 10'!#REF!</definedName>
    <definedName name="w_1">[46]Calculator!$P$3</definedName>
    <definedName name="w_14">[46]Calculator!$P$1</definedName>
    <definedName name="w_4">[46]Calculator!$P$2</definedName>
    <definedName name="w1deductions">[46]Calculator!$O$3</definedName>
    <definedName name="WACC">'[72]2. Forecast Drivers'!$F$223:$AD$223</definedName>
    <definedName name="wacc97">#REF!</definedName>
    <definedName name="WACCF">'[72]2. Forecast Drivers'!$O$223</definedName>
    <definedName name="wages">#REF!</definedName>
    <definedName name="Waiting">"Picture 1"</definedName>
    <definedName name="Warehouses">#REF!</definedName>
    <definedName name="WC_Bal">'[72]2. Forecast Drivers'!$E$59:$S$59</definedName>
    <definedName name="WC_Delta">'[72]2. Forecast Drivers'!$E$60:$Z$60</definedName>
    <definedName name="wcap" localSheetId="17">#REF!</definedName>
    <definedName name="wcap">#REF!</definedName>
    <definedName name="WDV">#REF!</definedName>
    <definedName name="wdvadditionalhead1">#REF!</definedName>
    <definedName name="wdvadditionalhead2">#REF!</definedName>
    <definedName name="wdvcivil">#REF!</definedName>
    <definedName name="wdvduct">#REF!</definedName>
    <definedName name="wdvelectro">#REF!</definedName>
    <definedName name="wdvutilities">#REF!</definedName>
    <definedName name="we" localSheetId="7">MATCH(0.01,End_Bal,-1)+1</definedName>
    <definedName name="we" localSheetId="10">MATCH(0.01,End_Bal,-1)+1</definedName>
    <definedName name="we" localSheetId="1">MATCH(0.01,End_Bal,-1)+1</definedName>
    <definedName name="we" localSheetId="0">MATCH(0.01,[0]!End_Bal,-1)+1</definedName>
    <definedName name="we" localSheetId="6">MATCH(0.01,End_Bal,-1)+1</definedName>
    <definedName name="we">MATCH(0.01,End_Bal,-1)+1</definedName>
    <definedName name="WebPercent">[122]Assumptions!#REF!</definedName>
    <definedName name="WEEK_1A">#REF!</definedName>
    <definedName name="WEEK_1B">#REF!</definedName>
    <definedName name="WEEK_2A">#REF!</definedName>
    <definedName name="WEEK_2B">#REF!</definedName>
    <definedName name="wer">'[132]Capex-fixed'!#REF!</definedName>
    <definedName name="WG">#N/A</definedName>
    <definedName name="WGJDFHJ">#REF!</definedName>
    <definedName name="wgn.bsall." localSheetId="7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gn.bsall." localSheetId="10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gn.bsall." localSheetId="1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gn.bsall." localSheetId="0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gn.bsall." localSheetId="6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gn.bsall.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kgs_admin.exp">#REF!</definedName>
    <definedName name="wkgs_adv.dir.mktg">#REF!</definedName>
    <definedName name="wkgs_adv.ele.media">#REF!</definedName>
    <definedName name="wkgs_adv.eqp.sub">#REF!</definedName>
    <definedName name="wkgs_adv.ose.bill">#REF!</definedName>
    <definedName name="wkgs_adv.ose.cc">#REF!</definedName>
    <definedName name="wkgs_adv.ose.conv">#REF!</definedName>
    <definedName name="wkgs_adv.ose.trg">#REF!</definedName>
    <definedName name="wkgs_adv.ose.tvlg">#REF!</definedName>
    <definedName name="wkgs_adv.outdoor.media">#REF!</definedName>
    <definedName name="wkgs_adv.pr">#REF!</definedName>
    <definedName name="wkgs_adv.prn.media">#REF!</definedName>
    <definedName name="wkgs_adv.prntg">#REF!</definedName>
    <definedName name="wkgs_adv.snd.caf">#REF!</definedName>
    <definedName name="wkgs_adv.snd.cl.ent">#REF!</definedName>
    <definedName name="wkgs_adv.snd.log">#REF!</definedName>
    <definedName name="wkgs_adv.snd.mr">#REF!</definedName>
    <definedName name="wkgs_adv.snd.osf">#REF!</definedName>
    <definedName name="wkgs_amc.costs">#REF!</definedName>
    <definedName name="wkgs_bw.dia">#REF!</definedName>
    <definedName name="wkgs_bw.dua">[359]data.exp!#REF!</definedName>
    <definedName name="wkgs_bw.ipvpn">[359]data.exp!#REF!</definedName>
    <definedName name="wkgs_bw.ll">#REF!</definedName>
    <definedName name="wkgs_bw.vc">[359]data.exp!#REF!</definedName>
    <definedName name="wkgs_fault.repairs">#REF!</definedName>
    <definedName name="wkgs_hiring.charges.vehicles">#REF!</definedName>
    <definedName name="wkgs_ic.costs">#REF!</definedName>
    <definedName name="wkgs_nw.admin.exp">#REF!</definedName>
    <definedName name="wkgs_nw.salaries">#REF!</definedName>
    <definedName name="wkgs_power.costs">#REF!</definedName>
    <definedName name="wkgs_route.surveillance">#REF!</definedName>
    <definedName name="wkgs_splicevan.running">#REF!</definedName>
    <definedName name="Work_C" localSheetId="17">[360]Names!$A$2:$A$15</definedName>
    <definedName name="Work_C">[361]Names!$A$2:$A$15</definedName>
    <definedName name="Working">#REF!</definedName>
    <definedName name="Working_capital_Rate_of_Interest_for_FY_10_11">[118]Assumption_PwC!$C$116</definedName>
    <definedName name="working2">#REF!</definedName>
    <definedName name="workingdays">#REF!</definedName>
    <definedName name="WorkingDaysPerYear">[120]Assumptions!#REF!</definedName>
    <definedName name="Workings" localSheetId="17">#REF!</definedName>
    <definedName name="Workings">#REF!</definedName>
    <definedName name="WORKINGS1">#REF!</definedName>
    <definedName name="WORKINGS2">#REF!</definedName>
    <definedName name="WORKINGS3">#REF!</definedName>
    <definedName name="WorkstationCostPerUserPerYear">[122]Assumptions!#REF!</definedName>
    <definedName name="wr" localSheetId="7" hidden="1">{#N/A,#N/A,FALSE,"17MAY";#N/A,#N/A,FALSE,"24MAY"}</definedName>
    <definedName name="wr" localSheetId="10" hidden="1">{#N/A,#N/A,FALSE,"17MAY";#N/A,#N/A,FALSE,"24MAY"}</definedName>
    <definedName name="wr" localSheetId="1" hidden="1">{#N/A,#N/A,FALSE,"17MAY";#N/A,#N/A,FALSE,"24MAY"}</definedName>
    <definedName name="wr" localSheetId="0" hidden="1">{#N/A,#N/A,FALSE,"17MAY";#N/A,#N/A,FALSE,"24MAY"}</definedName>
    <definedName name="wr" localSheetId="6" hidden="1">{#N/A,#N/A,FALSE,"17MAY";#N/A,#N/A,FALSE,"24MAY"}</definedName>
    <definedName name="wr" hidden="1">{#N/A,#N/A,FALSE,"17MAY";#N/A,#N/A,FALSE,"24MAY"}</definedName>
    <definedName name="WRI" localSheetId="7" hidden="1">{#N/A,#N/A,FALSE,"COMP"}</definedName>
    <definedName name="WRI" localSheetId="10" hidden="1">{#N/A,#N/A,FALSE,"COMP"}</definedName>
    <definedName name="WRI" localSheetId="1" hidden="1">{#N/A,#N/A,FALSE,"COMP"}</definedName>
    <definedName name="WRI" localSheetId="0" hidden="1">{#N/A,#N/A,FALSE,"COMP"}</definedName>
    <definedName name="WRI" localSheetId="6" hidden="1">{#N/A,#N/A,FALSE,"COMP"}</definedName>
    <definedName name="WRI" hidden="1">{#N/A,#N/A,FALSE,"COMP"}</definedName>
    <definedName name="wrn" localSheetId="7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" localSheetId="1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" localSheetId="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" localSheetId="6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1." localSheetId="7" hidden="1">{#N/A,#N/A,FALSE,"17MAY";#N/A,#N/A,FALSE,"24MAY"}</definedName>
    <definedName name="wrn.1." localSheetId="10" hidden="1">{#N/A,#N/A,FALSE,"17MAY";#N/A,#N/A,FALSE,"24MAY"}</definedName>
    <definedName name="wrn.1." localSheetId="1" hidden="1">{#N/A,#N/A,FALSE,"17MAY";#N/A,#N/A,FALSE,"24MAY"}</definedName>
    <definedName name="wrn.1." localSheetId="0" hidden="1">{#N/A,#N/A,FALSE,"17MAY";#N/A,#N/A,FALSE,"24MAY"}</definedName>
    <definedName name="wrn.1." localSheetId="6" hidden="1">{#N/A,#N/A,FALSE,"17MAY";#N/A,#N/A,FALSE,"24MAY"}</definedName>
    <definedName name="wrn.1." hidden="1">{#N/A,#N/A,FALSE,"17MAY";#N/A,#N/A,FALSE,"24MAY"}</definedName>
    <definedName name="wrn.2." localSheetId="7" hidden="1">{#N/A,#N/A,TRUE,"Sheet1"}</definedName>
    <definedName name="wrn.2." localSheetId="10" hidden="1">{#N/A,#N/A,TRUE,"Sheet1"}</definedName>
    <definedName name="wrn.2." localSheetId="1" hidden="1">{#N/A,#N/A,TRUE,"Sheet1"}</definedName>
    <definedName name="wrn.2." localSheetId="0" hidden="1">{#N/A,#N/A,TRUE,"Sheet1"}</definedName>
    <definedName name="wrn.2." localSheetId="6" hidden="1">{#N/A,#N/A,TRUE,"Sheet1"}</definedName>
    <definedName name="wrn.2." hidden="1">{#N/A,#N/A,TRUE,"Sheet1"}</definedName>
    <definedName name="wrn.2.2" localSheetId="7" hidden="1">{#N/A,#N/A,FALSE,"17MAY";#N/A,#N/A,FALSE,"24MAY"}</definedName>
    <definedName name="wrn.2.2" localSheetId="10" hidden="1">{#N/A,#N/A,FALSE,"17MAY";#N/A,#N/A,FALSE,"24MAY"}</definedName>
    <definedName name="wrn.2.2" localSheetId="1" hidden="1">{#N/A,#N/A,FALSE,"17MAY";#N/A,#N/A,FALSE,"24MAY"}</definedName>
    <definedName name="wrn.2.2" localSheetId="0" hidden="1">{#N/A,#N/A,FALSE,"17MAY";#N/A,#N/A,FALSE,"24MAY"}</definedName>
    <definedName name="wrn.2.2" localSheetId="6" hidden="1">{#N/A,#N/A,FALSE,"17MAY";#N/A,#N/A,FALSE,"24MAY"}</definedName>
    <definedName name="wrn.2.2" hidden="1">{#N/A,#N/A,FALSE,"17MAY";#N/A,#N/A,FALSE,"24MAY"}</definedName>
    <definedName name="wrn.Aging" localSheetId="17" hidden="1">{#N/A,#N/A,FALSE,"Aging Summary";#N/A,#N/A,FALSE,"Ratio Analysis";#N/A,#N/A,FALSE,"Test 120 Day Accts";#N/A,#N/A,FALSE,"Tickmarks"}</definedName>
    <definedName name="wrn.Aging" localSheetId="1" hidden="1">{#N/A,#N/A,FALSE,"Aging Summary";#N/A,#N/A,FALSE,"Ratio Analysis";#N/A,#N/A,FALSE,"Test 120 Day Accts";#N/A,#N/A,FALSE,"Tickmarks"}</definedName>
    <definedName name="wrn.Aging" localSheetId="0" hidden="1">{#N/A,#N/A,FALSE,"Aging Summary";#N/A,#N/A,FALSE,"Ratio Analysis";#N/A,#N/A,FALSE,"Test 120 Day Accts";#N/A,#N/A,FALSE,"Tickmarks"}</definedName>
    <definedName name="wrn.Aging" hidden="1">{#N/A,#N/A,FALSE,"Aging Summary";#N/A,#N/A,FALSE,"Ratio Analysis";#N/A,#N/A,FALSE,"Test 120 Day Accts";#N/A,#N/A,FALSE,"Tickmarks"}</definedName>
    <definedName name="wrn.Aging._.and._.Trend._.Analysis." localSheetId="17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7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localSheetId="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localSheetId="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localSheetId="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_.Reports." localSheetId="7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localSheetId="10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localSheetId="1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localSheetId="0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localSheetId="6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Belgium_Total." localSheetId="7" hidden="1">{"Belgium_Total",#N/A,FALSE,"Belg Wksheet"}</definedName>
    <definedName name="wrn.Belgium_Total." localSheetId="10" hidden="1">{"Belgium_Total",#N/A,FALSE,"Belg Wksheet"}</definedName>
    <definedName name="wrn.Belgium_Total." localSheetId="1" hidden="1">{"Belgium_Total",#N/A,FALSE,"Belg Wksheet"}</definedName>
    <definedName name="wrn.Belgium_Total." localSheetId="0" hidden="1">{"Belgium_Total",#N/A,FALSE,"Belg Wksheet"}</definedName>
    <definedName name="wrn.Belgium_Total." localSheetId="6" hidden="1">{"Belgium_Total",#N/A,FALSE,"Belg Wksheet"}</definedName>
    <definedName name="wrn.Belgium_Total." hidden="1">{"Belgium_Total",#N/A,FALSE,"Belg Wksheet"}</definedName>
    <definedName name="wrn.BelgSummary." localSheetId="7" hidden="1">{"BelgSummary",#N/A,FALSE,"Belg Summary"}</definedName>
    <definedName name="wrn.BelgSummary." localSheetId="10" hidden="1">{"BelgSummary",#N/A,FALSE,"Belg Summary"}</definedName>
    <definedName name="wrn.BelgSummary." localSheetId="1" hidden="1">{"BelgSummary",#N/A,FALSE,"Belg Summary"}</definedName>
    <definedName name="wrn.BelgSummary." localSheetId="0" hidden="1">{"BelgSummary",#N/A,FALSE,"Belg Summary"}</definedName>
    <definedName name="wrn.BelgSummary." localSheetId="6" hidden="1">{"BelgSummary",#N/A,FALSE,"Belg Summary"}</definedName>
    <definedName name="wrn.BelgSummary." hidden="1">{"BelgSummary",#N/A,FALSE,"Belg Summary"}</definedName>
    <definedName name="wrn.Book." localSheetId="7" hidden="1">{"EVA",#N/A,FALSE,"SMT2";#N/A,#N/A,FALSE,"Summary";#N/A,#N/A,FALSE,"Graphs";#N/A,#N/A,FALSE,"4 Panel"}</definedName>
    <definedName name="wrn.Book." localSheetId="10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localSheetId="0" hidden="1">{"EVA",#N/A,FALSE,"SMT2";#N/A,#N/A,FALSE,"Summary";#N/A,#N/A,FALSE,"Graphs";#N/A,#N/A,FALSE,"4 Panel"}</definedName>
    <definedName name="wrn.Book." localSheetId="6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s1." localSheetId="7" hidden="1">{"bs",#N/A,FALSE,"BS";"pl",#N/A,FALSE,"PL"}</definedName>
    <definedName name="wrn.bs1." localSheetId="10" hidden="1">{"bs",#N/A,FALSE,"BS";"pl",#N/A,FALSE,"PL"}</definedName>
    <definedName name="wrn.bs1." localSheetId="1" hidden="1">{"bs",#N/A,FALSE,"BS";"pl",#N/A,FALSE,"PL"}</definedName>
    <definedName name="wrn.bs1." localSheetId="0" hidden="1">{"bs",#N/A,FALSE,"BS";"pl",#N/A,FALSE,"PL"}</definedName>
    <definedName name="wrn.bs1." localSheetId="6" hidden="1">{"bs",#N/A,FALSE,"BS";"pl",#N/A,FALSE,"PL"}</definedName>
    <definedName name="wrn.bs1." hidden="1">{"bs",#N/A,FALSE,"BS";"pl",#N/A,FALSE,"PL"}</definedName>
    <definedName name="wrn.bs2" localSheetId="7" hidden="1">{"bs",#N/A,FALSE,"BS";"pl",#N/A,FALSE,"PL"}</definedName>
    <definedName name="wrn.bs2" localSheetId="10" hidden="1">{"bs",#N/A,FALSE,"BS";"pl",#N/A,FALSE,"PL"}</definedName>
    <definedName name="wrn.bs2" localSheetId="1" hidden="1">{"bs",#N/A,FALSE,"BS";"pl",#N/A,FALSE,"PL"}</definedName>
    <definedName name="wrn.bs2" localSheetId="0" hidden="1">{"bs",#N/A,FALSE,"BS";"pl",#N/A,FALSE,"PL"}</definedName>
    <definedName name="wrn.bs2" localSheetId="6" hidden="1">{"bs",#N/A,FALSE,"BS";"pl",#N/A,FALSE,"PL"}</definedName>
    <definedName name="wrn.bs2" hidden="1">{"bs",#N/A,FALSE,"BS";"pl",#N/A,FALSE,"PL"}</definedName>
    <definedName name="wrn.bsall." localSheetId="7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all." localSheetId="10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all." localSheetId="1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all." localSheetId="0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all." localSheetId="6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all.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PL." localSheetId="7" hidden="1">{"BS",#N/A,FALSE,"Accounts2002 New";"PL",#N/A,FALSE,"Accounts2002 New"}</definedName>
    <definedName name="wrn.BSPL." localSheetId="10" hidden="1">{"BS",#N/A,FALSE,"Accounts2002 New";"PL",#N/A,FALSE,"Accounts2002 New"}</definedName>
    <definedName name="wrn.BSPL." localSheetId="1" hidden="1">{"BS",#N/A,FALSE,"Accounts2002 New";"PL",#N/A,FALSE,"Accounts2002 New"}</definedName>
    <definedName name="wrn.BSPL." localSheetId="0" hidden="1">{"BS",#N/A,FALSE,"Accounts2002 New";"PL",#N/A,FALSE,"Accounts2002 New"}</definedName>
    <definedName name="wrn.BSPL." localSheetId="6" hidden="1">{"BS",#N/A,FALSE,"Accounts2002 New";"PL",#N/A,FALSE,"Accounts2002 New"}</definedName>
    <definedName name="wrn.BSPL." hidden="1">{"BS",#N/A,FALSE,"Accounts2002 New";"PL",#N/A,FALSE,"Accounts2002 New"}</definedName>
    <definedName name="wrn.Complete." localSheetId="7" hidden="1">{#N/A,#N/A,FALSE,"SMT1";#N/A,#N/A,FALSE,"SMT2";#N/A,#N/A,FALSE,"Summary";#N/A,#N/A,FALSE,"Graphs";#N/A,#N/A,FALSE,"4 Panel"}</definedName>
    <definedName name="wrn.Complete." localSheetId="10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localSheetId="0" hidden="1">{#N/A,#N/A,FALSE,"SMT1";#N/A,#N/A,FALSE,"SMT2";#N/A,#N/A,FALSE,"Summary";#N/A,#N/A,FALSE,"Graphs";#N/A,#N/A,FALSE,"4 Panel"}</definedName>
    <definedName name="wrn.Complete." localSheetId="6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10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localSheetId="0" hidden="1">{#N/A,#N/A,FALSE,"Full";#N/A,#N/A,FALSE,"Half";#N/A,#N/A,FALSE,"Op Expenses";#N/A,#N/A,FALSE,"Cap Charge";#N/A,#N/A,FALSE,"Cost C";#N/A,#N/A,FALSE,"PP&amp;E";#N/A,#N/A,FALSE,"R&amp;D"}</definedName>
    <definedName name="wrn.Complete._.Set." localSheetId="6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umable.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localSheetId="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untry._.Summary." localSheetId="7" hidden="1">{"Summary",#N/A,FALSE,"Country Summary"}</definedName>
    <definedName name="wrn.Country._.Summary." localSheetId="10" hidden="1">{"Summary",#N/A,FALSE,"Country Summary"}</definedName>
    <definedName name="wrn.Country._.Summary." localSheetId="1" hidden="1">{"Summary",#N/A,FALSE,"Country Summary"}</definedName>
    <definedName name="wrn.Country._.Summary." localSheetId="0" hidden="1">{"Summary",#N/A,FALSE,"Country Summary"}</definedName>
    <definedName name="wrn.Country._.Summary." localSheetId="6" hidden="1">{"Summary",#N/A,FALSE,"Country Summary"}</definedName>
    <definedName name="wrn.Country._.Summary." hidden="1">{"Summary",#N/A,FALSE,"Country Summary"}</definedName>
    <definedName name="wrn.Country._.Worksheet." localSheetId="7" hidden="1">{"WkSheet",#N/A,FALSE,"Country Wksheet"}</definedName>
    <definedName name="wrn.Country._.Worksheet." localSheetId="10" hidden="1">{"WkSheet",#N/A,FALSE,"Country Wksheet"}</definedName>
    <definedName name="wrn.Country._.Worksheet." localSheetId="1" hidden="1">{"WkSheet",#N/A,FALSE,"Country Wksheet"}</definedName>
    <definedName name="wrn.Country._.Worksheet." localSheetId="0" hidden="1">{"WkSheet",#N/A,FALSE,"Country Wksheet"}</definedName>
    <definedName name="wrn.Country._.Worksheet." localSheetId="6" hidden="1">{"WkSheet",#N/A,FALSE,"Country Wksheet"}</definedName>
    <definedName name="wrn.Country._.Worksheet." hidden="1">{"WkSheet",#N/A,FALSE,"Country Wksheet"}</definedName>
    <definedName name="wrn.elect." localSheetId="7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localSheetId="1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localSheetId="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localSheetId="6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final." localSheetId="7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localSheetId="1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localSheetId="6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ncials._.April._.02._.Rs._.000." localSheetId="7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localSheetId="10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localSheetId="1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localSheetId="0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localSheetId="6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MAR._.01." localSheetId="7" hidden="1">{"PG1",#N/A,FALSE,"SSL-FIN";"PG2",#N/A,FALSE,"SSL-FIN";"PG3",#N/A,FALSE,"SSL-FIN";"PG4",#N/A,FALSE,"SSL-FIN";"PG5",#N/A,FALSE,"SSL-FIN";"PG6",#N/A,FALSE,"SSL-FIN";"PG7",#N/A,FALSE,"SSL-FIN"}</definedName>
    <definedName name="wrn.FINANCIALS._.MAR._.01." localSheetId="10" hidden="1">{"PG1",#N/A,FALSE,"SSL-FIN";"PG2",#N/A,FALSE,"SSL-FIN";"PG3",#N/A,FALSE,"SSL-FIN";"PG4",#N/A,FALSE,"SSL-FIN";"PG5",#N/A,FALSE,"SSL-FIN";"PG6",#N/A,FALSE,"SSL-FIN";"PG7",#N/A,FALSE,"SSL-FIN"}</definedName>
    <definedName name="wrn.FINANCIALS._.MAR._.01." localSheetId="1" hidden="1">{"PG1",#N/A,FALSE,"SSL-FIN";"PG2",#N/A,FALSE,"SSL-FIN";"PG3",#N/A,FALSE,"SSL-FIN";"PG4",#N/A,FALSE,"SSL-FIN";"PG5",#N/A,FALSE,"SSL-FIN";"PG6",#N/A,FALSE,"SSL-FIN";"PG7",#N/A,FALSE,"SSL-FIN"}</definedName>
    <definedName name="wrn.FINANCIALS._.MAR._.01." localSheetId="0" hidden="1">{"PG1",#N/A,FALSE,"SSL-FIN";"PG2",#N/A,FALSE,"SSL-FIN";"PG3",#N/A,FALSE,"SSL-FIN";"PG4",#N/A,FALSE,"SSL-FIN";"PG5",#N/A,FALSE,"SSL-FIN";"PG6",#N/A,FALSE,"SSL-FIN";"PG7",#N/A,FALSE,"SSL-FIN"}</definedName>
    <definedName name="wrn.FINANCIALS._.MAR._.01." localSheetId="6" hidden="1">{"PG1",#N/A,FALSE,"SSL-FIN";"PG2",#N/A,FALSE,"SSL-FIN";"PG3",#N/A,FALSE,"SSL-FIN";"PG4",#N/A,FALSE,"SSL-FIN";"PG5",#N/A,FALSE,"SSL-FIN";"PG6",#N/A,FALSE,"SSL-FIN";"PG7",#N/A,FALSE,"SSL-FIN"}</definedName>
    <definedName name="wrn.FINANCIALS._.MAR._.01." hidden="1">{"PG1",#N/A,FALSE,"SSL-FIN";"PG2",#N/A,FALSE,"SSL-FIN";"PG3",#N/A,FALSE,"SSL-FIN";"PG4",#N/A,FALSE,"SSL-FIN";"PG5",#N/A,FALSE,"SSL-FIN";"PG6",#N/A,FALSE,"SSL-FIN";"PG7",#N/A,FALSE,"SSL-FIN"}</definedName>
    <definedName name="wrn.Food._.Packaging." localSheetId="7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localSheetId="10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localSheetId="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localSheetId="0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localSheetId="6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Service." localSheetId="7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localSheetId="10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localSheetId="1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localSheetId="0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localSheetId="6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RM1." localSheetId="7" hidden="1">{#N/A,#N/A,FALSE,"COMP"}</definedName>
    <definedName name="wrn.FORM1." localSheetId="10" hidden="1">{#N/A,#N/A,FALSE,"COMP"}</definedName>
    <definedName name="wrn.FORM1." localSheetId="1" hidden="1">{#N/A,#N/A,FALSE,"COMP"}</definedName>
    <definedName name="wrn.FORM1." localSheetId="0" hidden="1">{#N/A,#N/A,FALSE,"COMP"}</definedName>
    <definedName name="wrn.FORM1." localSheetId="6" hidden="1">{#N/A,#N/A,FALSE,"COMP"}</definedName>
    <definedName name="wrn.FORM1." hidden="1">{#N/A,#N/A,FALSE,"COMP"}</definedName>
    <definedName name="wrn.full." localSheetId="7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0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0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6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Financials." localSheetId="7" hidden="1">{#N/A,#N/A,TRUE,"Financials";#N/A,#N/A,TRUE,"Operating Statistics";#N/A,#N/A,TRUE,"Capex &amp; Depreciation";#N/A,#N/A,TRUE,"Debt"}</definedName>
    <definedName name="wrn.Full._.Financials." localSheetId="10" hidden="1">{#N/A,#N/A,TRUE,"Financials";#N/A,#N/A,TRUE,"Operating Statistics";#N/A,#N/A,TRUE,"Capex &amp; Depreciation";#N/A,#N/A,TRUE,"Debt"}</definedName>
    <definedName name="wrn.Full._.Financials." localSheetId="1" hidden="1">{#N/A,#N/A,TRUE,"Financials";#N/A,#N/A,TRUE,"Operating Statistics";#N/A,#N/A,TRUE,"Capex &amp; Depreciation";#N/A,#N/A,TRUE,"Debt"}</definedName>
    <definedName name="wrn.Full._.Financials." localSheetId="0" hidden="1">{#N/A,#N/A,TRUE,"Financials";#N/A,#N/A,TRUE,"Operating Statistics";#N/A,#N/A,TRUE,"Capex &amp; Depreciation";#N/A,#N/A,TRUE,"Debt"}</definedName>
    <definedName name="wrn.Full._.Financials." localSheetId="6" hidden="1">{#N/A,#N/A,TRUE,"Financials";#N/A,#N/A,TRUE,"Operating Statistics";#N/A,#N/A,TRUE,"Capex &amp; Depreciation";#N/A,#N/A,TRUE,"Debt"}</definedName>
    <definedName name="wrn.Full._.Financials." hidden="1">{#N/A,#N/A,TRUE,"Financials";#N/A,#N/A,TRUE,"Operating Statistics";#N/A,#N/A,TRUE,"Capex &amp; Depreciation";#N/A,#N/A,TRUE,"Debt"}</definedName>
    <definedName name="wrn.imprim.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localSheetId="10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localSheetId="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localSheetId="0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MDS1." localSheetId="7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localSheetId="1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localSheetId="1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localSheetId="0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localSheetId="6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One._.Pager._.plus._.Technicals." localSheetId="7" hidden="1">{#N/A,#N/A,FALSE,"One Pager";#N/A,#N/A,FALSE,"Technical"}</definedName>
    <definedName name="wrn.One._.Pager._.plus._.Technicals." localSheetId="10" hidden="1">{#N/A,#N/A,FALSE,"One Pager";#N/A,#N/A,FALSE,"Technical"}</definedName>
    <definedName name="wrn.One._.Pager._.plus._.Technicals." localSheetId="1" hidden="1">{#N/A,#N/A,FALSE,"One Pager";#N/A,#N/A,FALSE,"Technical"}</definedName>
    <definedName name="wrn.One._.Pager._.plus._.Technicals." localSheetId="0" hidden="1">{#N/A,#N/A,FALSE,"One Pager";#N/A,#N/A,FALSE,"Technical"}</definedName>
    <definedName name="wrn.One._.Pager._.plus._.Technicals." localSheetId="6" hidden="1">{#N/A,#N/A,FALSE,"One Pager";#N/A,#N/A,FALSE,"Technical"}</definedName>
    <definedName name="wrn.One._.Pager._.plus._.Technicals." hidden="1">{#N/A,#N/A,FALSE,"One Pager";#N/A,#N/A,FALSE,"Technical"}</definedName>
    <definedName name="wrn.P98." localSheetId="7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" localSheetId="10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" localSheetId="1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" localSheetId="0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" localSheetId="6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98.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iping.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p97schedules." localSheetId="7" hidden="1">{"plansummary",#N/A,FALSE,"PlanSummary";"sales",#N/A,FALSE,"Sales Rec";"productivity",#N/A,FALSE,"Productivity Rec";"capitalspending",#N/A,FALSE,"Capital Spending"}</definedName>
    <definedName name="wrn.pp97schedules." localSheetId="10" hidden="1">{"plansummary",#N/A,FALSE,"PlanSummary";"sales",#N/A,FALSE,"Sales Rec";"productivity",#N/A,FALSE,"Productivity Rec";"capitalspending",#N/A,FALSE,"Capital Spending"}</definedName>
    <definedName name="wrn.pp97schedules." localSheetId="1" hidden="1">{"plansummary",#N/A,FALSE,"PlanSummary";"sales",#N/A,FALSE,"Sales Rec";"productivity",#N/A,FALSE,"Productivity Rec";"capitalspending",#N/A,FALSE,"Capital Spending"}</definedName>
    <definedName name="wrn.pp97schedules." localSheetId="0" hidden="1">{"plansummary",#N/A,FALSE,"PlanSummary";"sales",#N/A,FALSE,"Sales Rec";"productivity",#N/A,FALSE,"Productivity Rec";"capitalspending",#N/A,FALSE,"Capital Spending"}</definedName>
    <definedName name="wrn.pp97schedules." localSheetId="6" hidden="1">{"plansummary",#N/A,FALSE,"PlanSummary";"sales",#N/A,FALSE,"Sales Rec";"productivity",#N/A,FALSE,"Productivity Rec";"capitalspending",#N/A,FALSE,"Capital Spending"}</definedName>
    <definedName name="wrn.pp97schedules." hidden="1">{"plansummary",#N/A,FALSE,"PlanSummary";"sales",#N/A,FALSE,"Sales Rec";"productivity",#N/A,FALSE,"Productivity Rec";"capitalspending",#N/A,FALSE,"Capital Spending"}</definedName>
    <definedName name="wrn.Print." localSheetId="17" hidden="1">{"scenario",#N/A,FALSE,"Scenarios";"IS",#N/A,FALSE,"IS";"BS",#N/A,FALSE,"BS";"CFS",#N/A,FALSE,"CFS";"Tax",#N/A,FALSE,"Tax";"Debt",#N/A,FALSE,"Debt";"VAS",#N/A,FALSE,"VAS_Rev";"EFS",#N/A,FALSE,"EFS";"EDI",#N/A,FALSE,"EDI";"MMS",#N/A,FALSE,"MMS";"Intra",#N/A,FALSE,"Intranet";"FA",#N/A,FALSE,"Fix_Assets";"PSTN",#N/A,FALSE,"PSTN_Lines";"PreOp",#N/A,FALSE,"Pre-Op";"InterExp",#N/A,FALSE,"Int'l_Exp";"Propcost",#N/A,FALSE,"PROP_COST";"LLCost",#N/A,FALSE,"LL_Cost";"NetCost",#N/A,FALSE,"Inet_Conn";"Phase1",#N/A,FALSE,"Phase1";"Srvrcost",#N/A,FALSE,"SRV_Cost";"DCF",#N/A,FALSE,"DCF";"DCFCO",#N/A,FALSE,"DCF_CO"}</definedName>
    <definedName name="wrn.Print." localSheetId="1" hidden="1">{"scenario",#N/A,FALSE,"Scenarios";"IS",#N/A,FALSE,"IS";"BS",#N/A,FALSE,"BS";"CFS",#N/A,FALSE,"CFS";"Tax",#N/A,FALSE,"Tax";"Debt",#N/A,FALSE,"Debt";"VAS",#N/A,FALSE,"VAS_Rev";"EFS",#N/A,FALSE,"EFS";"EDI",#N/A,FALSE,"EDI";"MMS",#N/A,FALSE,"MMS";"Intra",#N/A,FALSE,"Intranet";"FA",#N/A,FALSE,"Fix_Assets";"PSTN",#N/A,FALSE,"PSTN_Lines";"PreOp",#N/A,FALSE,"Pre-Op";"InterExp",#N/A,FALSE,"Int'l_Exp";"Propcost",#N/A,FALSE,"PROP_COST";"LLCost",#N/A,FALSE,"LL_Cost";"NetCost",#N/A,FALSE,"Inet_Conn";"Phase1",#N/A,FALSE,"Phase1";"Srvrcost",#N/A,FALSE,"SRV_Cost";"DCF",#N/A,FALSE,"DCF";"DCFCO",#N/A,FALSE,"DCF_CO"}</definedName>
    <definedName name="wrn.Print." localSheetId="0" hidden="1">{"scenario",#N/A,FALSE,"Scenarios";"IS",#N/A,FALSE,"IS";"BS",#N/A,FALSE,"BS";"CFS",#N/A,FALSE,"CFS";"Tax",#N/A,FALSE,"Tax";"Debt",#N/A,FALSE,"Debt";"VAS",#N/A,FALSE,"VAS_Rev";"EFS",#N/A,FALSE,"EFS";"EDI",#N/A,FALSE,"EDI";"MMS",#N/A,FALSE,"MMS";"Intra",#N/A,FALSE,"Intranet";"FA",#N/A,FALSE,"Fix_Assets";"PSTN",#N/A,FALSE,"PSTN_Lines";"PreOp",#N/A,FALSE,"Pre-Op";"InterExp",#N/A,FALSE,"Int'l_Exp";"Propcost",#N/A,FALSE,"PROP_COST";"LLCost",#N/A,FALSE,"LL_Cost";"NetCost",#N/A,FALSE,"Inet_Conn";"Phase1",#N/A,FALSE,"Phase1";"Srvrcost",#N/A,FALSE,"SRV_Cost";"DCF",#N/A,FALSE,"DCF";"DCFCO",#N/A,FALSE,"DCF_CO"}</definedName>
    <definedName name="wrn.Print." hidden="1">{"scenario",#N/A,FALSE,"Scenarios";"IS",#N/A,FALSE,"IS";"BS",#N/A,FALSE,"BS";"CFS",#N/A,FALSE,"CFS";"Tax",#N/A,FALSE,"Tax";"Debt",#N/A,FALSE,"Debt";"VAS",#N/A,FALSE,"VAS_Rev";"EFS",#N/A,FALSE,"EFS";"EDI",#N/A,FALSE,"EDI";"MMS",#N/A,FALSE,"MMS";"Intra",#N/A,FALSE,"Intranet";"FA",#N/A,FALSE,"Fix_Assets";"PSTN",#N/A,FALSE,"PSTN_Lines";"PreOp",#N/A,FALSE,"Pre-Op";"InterExp",#N/A,FALSE,"Int'l_Exp";"Propcost",#N/A,FALSE,"PROP_COST";"LLCost",#N/A,FALSE,"LL_Cost";"NetCost",#N/A,FALSE,"Inet_Conn";"Phase1",#N/A,FALSE,"Phase1";"Srvrcost",#N/A,FALSE,"SRV_Cost";"DCF",#N/A,FALSE,"DCF";"DCFCO",#N/A,FALSE,"DCF_CO"}</definedName>
    <definedName name="wrn.Print._.All._.A4.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10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1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0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10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1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0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6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localSheetId="7" hidden="1">{"Valuation",#N/A,TRUE,"Valuation Summary";"Financial Statements",#N/A,TRUE,"Results";"Results",#N/A,TRUE,"Results";"Ratios",#N/A,TRUE,"Results";"P2 Summary",#N/A,TRUE,"Results"}</definedName>
    <definedName name="wrn.Print._.Results._.A4." localSheetId="10" hidden="1">{"Valuation",#N/A,TRUE,"Valuation Summary";"Financial Statements",#N/A,TRUE,"Results";"Results",#N/A,TRUE,"Results";"Ratios",#N/A,TRUE,"Results";"P2 Summary",#N/A,TRUE,"Results"}</definedName>
    <definedName name="wrn.Print._.Results._.A4." localSheetId="1" hidden="1">{"Valuation",#N/A,TRUE,"Valuation Summary";"Financial Statements",#N/A,TRUE,"Results";"Results",#N/A,TRUE,"Results";"Ratios",#N/A,TRUE,"Results";"P2 Summary",#N/A,TRUE,"Results"}</definedName>
    <definedName name="wrn.Print._.Results._.A4." localSheetId="0" hidden="1">{"Valuation",#N/A,TRUE,"Valuation Summary";"Financial Statements",#N/A,TRUE,"Results";"Results",#N/A,TRUE,"Results";"Ratios",#N/A,TRUE,"Results";"P2 Summary",#N/A,TRUE,"Results"}</definedName>
    <definedName name="wrn.Print._.Results._.A4." localSheetId="6" hidden="1">{"Valuation",#N/A,TRUE,"Valuation Summary";"Financial Statements",#N/A,TRUE,"Results";"Results",#N/A,TRUE,"Results";"Ratios",#N/A,TRUE,"Results";"P2 Summary",#N/A,TRUE,"Results"}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10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1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0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6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All." localSheetId="7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10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1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0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6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Short." localSheetId="17" hidden="1">{"scenario",#N/A,FALSE,"Scenarios";"IS",#N/A,FALSE,"IS";"BS",#N/A,FALSE,"BS";"CFS",#N/A,FALSE,"CFS";"Intra",#N/A,FALSE,"Intranet";"MMS",#N/A,FALSE,"MMS";"EDI",#N/A,FALSE,"EDI";"EFS",#N/A,FALSE,"EFS";"DCF",#N/A,FALSE,"DCF";"Tax",#N/A,FALSE,"Tax";"Debt",#N/A,FALSE,"Debt";"VAS",#N/A,FALSE,"VAS_Rev";"FA",#N/A,FALSE,"Fix_Assets";"Summary",#N/A,FALSE,"SUMMARY"}</definedName>
    <definedName name="wrn.PrintShort." localSheetId="1" hidden="1">{"scenario",#N/A,FALSE,"Scenarios";"IS",#N/A,FALSE,"IS";"BS",#N/A,FALSE,"BS";"CFS",#N/A,FALSE,"CFS";"Intra",#N/A,FALSE,"Intranet";"MMS",#N/A,FALSE,"MMS";"EDI",#N/A,FALSE,"EDI";"EFS",#N/A,FALSE,"EFS";"DCF",#N/A,FALSE,"DCF";"Tax",#N/A,FALSE,"Tax";"Debt",#N/A,FALSE,"Debt";"VAS",#N/A,FALSE,"VAS_Rev";"FA",#N/A,FALSE,"Fix_Assets";"Summary",#N/A,FALSE,"SUMMARY"}</definedName>
    <definedName name="wrn.PrintShort." localSheetId="0" hidden="1">{"scenario",#N/A,FALSE,"Scenarios";"IS",#N/A,FALSE,"IS";"BS",#N/A,FALSE,"BS";"CFS",#N/A,FALSE,"CFS";"Intra",#N/A,FALSE,"Intranet";"MMS",#N/A,FALSE,"MMS";"EDI",#N/A,FALSE,"EDI";"EFS",#N/A,FALSE,"EFS";"DCF",#N/A,FALSE,"DCF";"Tax",#N/A,FALSE,"Tax";"Debt",#N/A,FALSE,"Debt";"VAS",#N/A,FALSE,"VAS_Rev";"FA",#N/A,FALSE,"Fix_Assets";"Summary",#N/A,FALSE,"SUMMARY"}</definedName>
    <definedName name="wrn.PrintShort." hidden="1">{"scenario",#N/A,FALSE,"Scenarios";"IS",#N/A,FALSE,"IS";"BS",#N/A,FALSE,"BS";"CFS",#N/A,FALSE,"CFS";"Intra",#N/A,FALSE,"Intranet";"MMS",#N/A,FALSE,"MMS";"EDI",#N/A,FALSE,"EDI";"EFS",#N/A,FALSE,"EFS";"DCF",#N/A,FALSE,"DCF";"Tax",#N/A,FALSE,"Tax";"Debt",#N/A,FALSE,"Debt";"VAS",#N/A,FALSE,"VAS_Rev";"FA",#N/A,FALSE,"Fix_Assets";"Summary",#N/A,FALSE,"SUMMARY"}</definedName>
    <definedName name="wrn.RCC." localSheetId="7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localSheetId="10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localSheetId="1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localSheetId="0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localSheetId="6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eport." localSheetId="7" hidden="1">{#N/A,#N/A,FALSE,"COVER.XLS";#N/A,#N/A,FALSE,"RACT1.XLS";#N/A,#N/A,FALSE,"RACT2.XLS";#N/A,#N/A,FALSE,"ECCMP";#N/A,#N/A,FALSE,"WELDER.XLS"}</definedName>
    <definedName name="wrn.report." localSheetId="10" hidden="1">{#N/A,#N/A,FALSE,"COVER.XLS";#N/A,#N/A,FALSE,"RACT1.XLS";#N/A,#N/A,FALSE,"RACT2.XLS";#N/A,#N/A,FALSE,"ECCMP";#N/A,#N/A,FALSE,"WELDER.XLS"}</definedName>
    <definedName name="wrn.report." localSheetId="1" hidden="1">{#N/A,#N/A,FALSE,"COVER.XLS";#N/A,#N/A,FALSE,"RACT1.XLS";#N/A,#N/A,FALSE,"RACT2.XLS";#N/A,#N/A,FALSE,"ECCMP";#N/A,#N/A,FALSE,"WELDER.XLS"}</definedName>
    <definedName name="wrn.report." localSheetId="0" hidden="1">{#N/A,#N/A,FALSE,"COVER.XLS";#N/A,#N/A,FALSE,"RACT1.XLS";#N/A,#N/A,FALSE,"RACT2.XLS";#N/A,#N/A,FALSE,"ECCMP";#N/A,#N/A,FALSE,"WELDER.XLS"}</definedName>
    <definedName name="wrn.report." localSheetId="6" hidden="1">{#N/A,#N/A,FALSE,"COVER.XLS";#N/A,#N/A,FALSE,"RACT1.XLS";#N/A,#N/A,FALSE,"RACT2.XLS";#N/A,#N/A,FALSE,"ECCMP";#N/A,#N/A,FALSE,"WELDER.XLS"}</definedName>
    <definedName name="wrn.report." hidden="1">{#N/A,#N/A,FALSE,"COVER.XLS";#N/A,#N/A,FALSE,"RACT1.XLS";#N/A,#N/A,FALSE,"RACT2.XLS";#N/A,#N/A,FALSE,"ECCMP";#N/A,#N/A,FALSE,"WELDER.XLS"}</definedName>
    <definedName name="wrn.report1" localSheetId="7" hidden="1">{#N/A,#N/A,FALSE,"COVER.XLS";#N/A,#N/A,FALSE,"RACT1.XLS";#N/A,#N/A,FALSE,"RACT2.XLS";#N/A,#N/A,FALSE,"ECCMP";#N/A,#N/A,FALSE,"WELDER.XLS"}</definedName>
    <definedName name="wrn.report1" localSheetId="10" hidden="1">{#N/A,#N/A,FALSE,"COVER.XLS";#N/A,#N/A,FALSE,"RACT1.XLS";#N/A,#N/A,FALSE,"RACT2.XLS";#N/A,#N/A,FALSE,"ECCMP";#N/A,#N/A,FALSE,"WELDER.XLS"}</definedName>
    <definedName name="wrn.report1" localSheetId="1" hidden="1">{#N/A,#N/A,FALSE,"COVER.XLS";#N/A,#N/A,FALSE,"RACT1.XLS";#N/A,#N/A,FALSE,"RACT2.XLS";#N/A,#N/A,FALSE,"ECCMP";#N/A,#N/A,FALSE,"WELDER.XLS"}</definedName>
    <definedName name="wrn.report1" localSheetId="0" hidden="1">{#N/A,#N/A,FALSE,"COVER.XLS";#N/A,#N/A,FALSE,"RACT1.XLS";#N/A,#N/A,FALSE,"RACT2.XLS";#N/A,#N/A,FALSE,"ECCMP";#N/A,#N/A,FALSE,"WELDER.XLS"}</definedName>
    <definedName name="wrn.report1" localSheetId="6" hidden="1">{#N/A,#N/A,FALSE,"COVER.XLS";#N/A,#N/A,FALSE,"RACT1.XLS";#N/A,#N/A,FALSE,"RACT2.XLS";#N/A,#N/A,FALSE,"ECCMP";#N/A,#N/A,FALSE,"WELDER.XLS"}</definedName>
    <definedName name="wrn.report1" hidden="1">{#N/A,#N/A,FALSE,"COVER.XLS";#N/A,#N/A,FALSE,"RACT1.XLS";#N/A,#N/A,FALSE,"RACT2.XLS";#N/A,#N/A,FALSE,"ECCMP";#N/A,#N/A,FALSE,"WELDER.XLS"}</definedName>
    <definedName name="wrn.RPLINS." localSheetId="7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localSheetId="1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localSheetId="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localSheetId="6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Schedules." localSheetId="7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localSheetId="10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localSheetId="1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localSheetId="0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localSheetId="6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taff._.cost1998." localSheetId="7" hidden="1">{#N/A,#N/A,TRUE,"Staffnos &amp; cost"}</definedName>
    <definedName name="wrn.Staff._.cost1998." localSheetId="10" hidden="1">{#N/A,#N/A,TRUE,"Staffnos &amp; cost"}</definedName>
    <definedName name="wrn.Staff._.cost1998." localSheetId="1" hidden="1">{#N/A,#N/A,TRUE,"Staffnos &amp; cost"}</definedName>
    <definedName name="wrn.Staff._.cost1998." localSheetId="0" hidden="1">{#N/A,#N/A,TRUE,"Staffnos &amp; cost"}</definedName>
    <definedName name="wrn.Staff._.cost1998." localSheetId="6" hidden="1">{#N/A,#N/A,TRUE,"Staffnos &amp; cost"}</definedName>
    <definedName name="wrn.Staff._.cost1998." hidden="1">{#N/A,#N/A,TRUE,"Staffnos &amp; cost"}</definedName>
    <definedName name="wrn.Staffcost." localSheetId="7" hidden="1">{#N/A,#N/A,FALSE,"Staffnos &amp; cost"}</definedName>
    <definedName name="wrn.Staffcost." localSheetId="10" hidden="1">{#N/A,#N/A,FALSE,"Staffnos &amp; cost"}</definedName>
    <definedName name="wrn.Staffcost." localSheetId="1" hidden="1">{#N/A,#N/A,FALSE,"Staffnos &amp; cost"}</definedName>
    <definedName name="wrn.Staffcost." localSheetId="0" hidden="1">{#N/A,#N/A,FALSE,"Staffnos &amp; cost"}</definedName>
    <definedName name="wrn.Staffcost." localSheetId="6" hidden="1">{#N/A,#N/A,FALSE,"Staffnos &amp; cost"}</definedName>
    <definedName name="wrn.Staffcost." hidden="1">{#N/A,#N/A,FALSE,"Staffnos &amp; cost"}</definedName>
    <definedName name="wrn.summ1" localSheetId="7" hidden="1">{#N/A,#N/A,FALSE,"COVER1.XLS ";#N/A,#N/A,FALSE,"RACT1.XLS";#N/A,#N/A,FALSE,"RACT2.XLS";#N/A,#N/A,FALSE,"ECCMP";#N/A,#N/A,FALSE,"WELDER.XLS"}</definedName>
    <definedName name="wrn.summ1" localSheetId="10" hidden="1">{#N/A,#N/A,FALSE,"COVER1.XLS ";#N/A,#N/A,FALSE,"RACT1.XLS";#N/A,#N/A,FALSE,"RACT2.XLS";#N/A,#N/A,FALSE,"ECCMP";#N/A,#N/A,FALSE,"WELDER.XLS"}</definedName>
    <definedName name="wrn.summ1" localSheetId="1" hidden="1">{#N/A,#N/A,FALSE,"COVER1.XLS ";#N/A,#N/A,FALSE,"RACT1.XLS";#N/A,#N/A,FALSE,"RACT2.XLS";#N/A,#N/A,FALSE,"ECCMP";#N/A,#N/A,FALSE,"WELDER.XLS"}</definedName>
    <definedName name="wrn.summ1" localSheetId="0" hidden="1">{#N/A,#N/A,FALSE,"COVER1.XLS ";#N/A,#N/A,FALSE,"RACT1.XLS";#N/A,#N/A,FALSE,"RACT2.XLS";#N/A,#N/A,FALSE,"ECCMP";#N/A,#N/A,FALSE,"WELDER.XLS"}</definedName>
    <definedName name="wrn.summ1" localSheetId="6" hidden="1">{#N/A,#N/A,FALSE,"COVER1.XLS ";#N/A,#N/A,FALSE,"RACT1.XLS";#N/A,#N/A,FALSE,"RACT2.XLS";#N/A,#N/A,FALSE,"ECCMP";#N/A,#N/A,FALSE,"WELDER.XLS"}</definedName>
    <definedName name="wrn.summ1" hidden="1">{#N/A,#N/A,FALSE,"COVER1.XLS ";#N/A,#N/A,FALSE,"RACT1.XLS";#N/A,#N/A,FALSE,"RACT2.XLS";#N/A,#N/A,FALSE,"ECCMP";#N/A,#N/A,FALSE,"WELDER.XLS"}</definedName>
    <definedName name="wrn.summary." localSheetId="7" hidden="1">{#N/A,#N/A,FALSE,"COVER1.XLS ";#N/A,#N/A,FALSE,"RACT1.XLS";#N/A,#N/A,FALSE,"RACT2.XLS";#N/A,#N/A,FALSE,"ECCMP";#N/A,#N/A,FALSE,"WELDER.XLS"}</definedName>
    <definedName name="wrn.summary." localSheetId="10" hidden="1">{#N/A,#N/A,FALSE,"COVER1.XLS ";#N/A,#N/A,FALSE,"RACT1.XLS";#N/A,#N/A,FALSE,"RACT2.XLS";#N/A,#N/A,FALSE,"ECCMP";#N/A,#N/A,FALSE,"WELDER.XLS"}</definedName>
    <definedName name="wrn.summary." localSheetId="1" hidden="1">{#N/A,#N/A,FALSE,"COVER1.XLS ";#N/A,#N/A,FALSE,"RACT1.XLS";#N/A,#N/A,FALSE,"RACT2.XLS";#N/A,#N/A,FALSE,"ECCMP";#N/A,#N/A,FALSE,"WELDER.XLS"}</definedName>
    <definedName name="wrn.summary." localSheetId="0" hidden="1">{#N/A,#N/A,FALSE,"COVER1.XLS ";#N/A,#N/A,FALSE,"RACT1.XLS";#N/A,#N/A,FALSE,"RACT2.XLS";#N/A,#N/A,FALSE,"ECCMP";#N/A,#N/A,FALSE,"WELDER.XLS"}</definedName>
    <definedName name="wrn.summary." localSheetId="6" hidden="1">{#N/A,#N/A,FALSE,"COVER1.XLS ";#N/A,#N/A,FALSE,"RACT1.XLS";#N/A,#N/A,FALSE,"RACT2.XLS";#N/A,#N/A,FALSE,"ECCMP";#N/A,#N/A,FALSE,"WELDER.XLS"}</definedName>
    <definedName name="wrn.summary." hidden="1">{#N/A,#N/A,FALSE,"COVER1.XLS ";#N/A,#N/A,FALSE,"RACT1.XLS";#N/A,#N/A,FALSE,"RACT2.XLS";#N/A,#N/A,FALSE,"ECCMP";#N/A,#N/A,FALSE,"WELDER.XLS"}</definedName>
    <definedName name="wrn.Tier._.I." localSheetId="17" hidden="1">{#N/A,#N/A,FALSE,"Part ABC"}</definedName>
    <definedName name="wrn.Tier._.I." localSheetId="1" hidden="1">{#N/A,#N/A,FALSE,"Part ABC"}</definedName>
    <definedName name="wrn.Tier._.I." localSheetId="0" hidden="1">{#N/A,#N/A,FALSE,"Part ABC"}</definedName>
    <definedName name="wrn.Tier._.I." hidden="1">{#N/A,#N/A,FALSE,"Part ABC"}</definedName>
    <definedName name="wrn.TRAVELLING." localSheetId="7" hidden="1">{#N/A,#N/A,FALSE,"Sheet3"}</definedName>
    <definedName name="wrn.TRAVELLING." localSheetId="10" hidden="1">{#N/A,#N/A,FALSE,"Sheet3"}</definedName>
    <definedName name="wrn.TRAVELLING." localSheetId="1" hidden="1">{#N/A,#N/A,FALSE,"Sheet3"}</definedName>
    <definedName name="wrn.TRAVELLING." localSheetId="0" hidden="1">{#N/A,#N/A,FALSE,"Sheet3"}</definedName>
    <definedName name="wrn.TRAVELLING." localSheetId="6" hidden="1">{#N/A,#N/A,FALSE,"Sheet3"}</definedName>
    <definedName name="wrn.TRAVELLING." hidden="1">{#N/A,#N/A,FALSE,"Sheet3"}</definedName>
    <definedName name="WRN0" localSheetId="7" hidden="1">{#N/A,#N/A,FALSE,"COVER1.XLS ";#N/A,#N/A,FALSE,"RACT1.XLS";#N/A,#N/A,FALSE,"RACT2.XLS";#N/A,#N/A,FALSE,"ECCMP";#N/A,#N/A,FALSE,"WELDER.XLS"}</definedName>
    <definedName name="WRN0" localSheetId="10" hidden="1">{#N/A,#N/A,FALSE,"COVER1.XLS ";#N/A,#N/A,FALSE,"RACT1.XLS";#N/A,#N/A,FALSE,"RACT2.XLS";#N/A,#N/A,FALSE,"ECCMP";#N/A,#N/A,FALSE,"WELDER.XLS"}</definedName>
    <definedName name="WRN0" localSheetId="1" hidden="1">{#N/A,#N/A,FALSE,"COVER1.XLS ";#N/A,#N/A,FALSE,"RACT1.XLS";#N/A,#N/A,FALSE,"RACT2.XLS";#N/A,#N/A,FALSE,"ECCMP";#N/A,#N/A,FALSE,"WELDER.XLS"}</definedName>
    <definedName name="WRN0" localSheetId="0" hidden="1">{#N/A,#N/A,FALSE,"COVER1.XLS ";#N/A,#N/A,FALSE,"RACT1.XLS";#N/A,#N/A,FALSE,"RACT2.XLS";#N/A,#N/A,FALSE,"ECCMP";#N/A,#N/A,FALSE,"WELDER.XLS"}</definedName>
    <definedName name="WRN0" localSheetId="6" hidden="1">{#N/A,#N/A,FALSE,"COVER1.XLS ";#N/A,#N/A,FALSE,"RACT1.XLS";#N/A,#N/A,FALSE,"RACT2.XLS";#N/A,#N/A,FALSE,"ECCMP";#N/A,#N/A,FALSE,"WELDER.XLS"}</definedName>
    <definedName name="WRN0" hidden="1">{#N/A,#N/A,FALSE,"COVER1.XLS ";#N/A,#N/A,FALSE,"RACT1.XLS";#N/A,#N/A,FALSE,"RACT2.XLS";#N/A,#N/A,FALSE,"ECCMP";#N/A,#N/A,FALSE,"WELDER.XLS"}</definedName>
    <definedName name="WRTGHold">'[103]Core Assumptions'!$C$360</definedName>
    <definedName name="WRTGOGI">'[103]Core Assumptions'!$G$360</definedName>
    <definedName name="WRTMHold">'[103]Core Assumptions'!$C$359</definedName>
    <definedName name="WRTMOGI">'[103]Core Assumptions'!$G$359</definedName>
    <definedName name="WTTSPG">#REF!</definedName>
    <definedName name="wvu.BTP." localSheetId="7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localSheetId="10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localSheetId="1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localSheetId="0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localSheetId="6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KTP." localSheetId="7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localSheetId="10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localSheetId="1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localSheetId="0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localSheetId="6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TOTAL." localSheetId="7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localSheetId="10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localSheetId="1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localSheetId="0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localSheetId="6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w" localSheetId="17" hidden="1">'[362]O Equip.'!#REF!</definedName>
    <definedName name="ww" localSheetId="7" hidden="1">{#N/A,#N/A,FALSE,"COMP"}</definedName>
    <definedName name="ww" localSheetId="10" hidden="1">{#N/A,#N/A,FALSE,"COMP"}</definedName>
    <definedName name="ww" localSheetId="9" hidden="1">{#N/A,#N/A,FALSE,"COMP"}</definedName>
    <definedName name="ww" localSheetId="6" hidden="1">{#N/A,#N/A,FALSE,"COMP"}</definedName>
    <definedName name="ww" hidden="1">'[363]O Equip.'!#REF!</definedName>
    <definedName name="www" localSheetId="7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" localSheetId="1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" localSheetId="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" localSheetId="6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w" hidden="1">[364]SUMMARY!$E$36:$H$36</definedName>
    <definedName name="x">'[365]Pd 13, 1999 or Budget-Yr 2000'!#REF!</definedName>
    <definedName name="X1_">#REF!</definedName>
    <definedName name="X11__?___QUIT_">#REF!</definedName>
    <definedName name="xa" localSheetId="7" hidden="1">{#N/A,#N/A,FALSE,"Aging Summary";#N/A,#N/A,FALSE,"Ratio Analysis";#N/A,#N/A,FALSE,"Test 120 Day Accts";#N/A,#N/A,FALSE,"Tickmarks"}</definedName>
    <definedName name="xa" localSheetId="10" hidden="1">{#N/A,#N/A,FALSE,"Aging Summary";#N/A,#N/A,FALSE,"Ratio Analysis";#N/A,#N/A,FALSE,"Test 120 Day Accts";#N/A,#N/A,FALSE,"Tickmarks"}</definedName>
    <definedName name="xa" localSheetId="1" hidden="1">{#N/A,#N/A,FALSE,"Aging Summary";#N/A,#N/A,FALSE,"Ratio Analysis";#N/A,#N/A,FALSE,"Test 120 Day Accts";#N/A,#N/A,FALSE,"Tickmarks"}</definedName>
    <definedName name="xa" localSheetId="0" hidden="1">{#N/A,#N/A,FALSE,"Aging Summary";#N/A,#N/A,FALSE,"Ratio Analysis";#N/A,#N/A,FALSE,"Test 120 Day Accts";#N/A,#N/A,FALSE,"Tickmarks"}</definedName>
    <definedName name="xa" localSheetId="6" hidden="1">{#N/A,#N/A,FALSE,"Aging Summary";#N/A,#N/A,FALSE,"Ratio Analysis";#N/A,#N/A,FALSE,"Test 120 Day Accts";#N/A,#N/A,FALSE,"Tickmarks"}</definedName>
    <definedName name="xa" hidden="1">{#N/A,#N/A,FALSE,"Aging Summary";#N/A,#N/A,FALSE,"Ratio Analysis";#N/A,#N/A,FALSE,"Test 120 Day Accts";#N/A,#N/A,FALSE,"Tickmarks"}</definedName>
    <definedName name="xc">[366]Company!$J$16</definedName>
    <definedName name="XCtblkcntbdl" localSheetId="17">#REF!</definedName>
    <definedName name="XCtblkcntbdl">#REF!</definedName>
    <definedName name="xcxcxcc">#REF!</definedName>
    <definedName name="xcxvxv">'[246]04REL'!#REF!</definedName>
    <definedName name="xczczczc">#REF!</definedName>
    <definedName name="xczxzxz" localSheetId="1">#REF!,#REF!</definedName>
    <definedName name="xczxzxz" localSheetId="0">#REF!,#REF!</definedName>
    <definedName name="xczxzxz">#REF!,#REF!</definedName>
    <definedName name="xfzdsfzsf">#REF!</definedName>
    <definedName name="XRef" hidden="1">#REF!</definedName>
    <definedName name="XREF_11" hidden="1">[367]Summary!$J$1:$J$65536</definedName>
    <definedName name="XREF_13" hidden="1">[367]Additions!$T$1:$T$65536</definedName>
    <definedName name="XREF_COLUMN_1" localSheetId="17" hidden="1">[368]blockwise!#REF!</definedName>
    <definedName name="XREF_COLUMN_1" localSheetId="7" hidden="1">#REF!</definedName>
    <definedName name="XREF_COLUMN_1" localSheetId="10" hidden="1">#REF!</definedName>
    <definedName name="XREF_COLUMN_1" localSheetId="9" hidden="1">#REF!</definedName>
    <definedName name="XREF_COLUMN_1" localSheetId="6" hidden="1">#REF!</definedName>
    <definedName name="XREF_COLUMN_1" hidden="1">[368]blockwise!#REF!</definedName>
    <definedName name="XREF_COLUMN_10" localSheetId="17" hidden="1">[362]DPE!#REF!</definedName>
    <definedName name="XREF_COLUMN_10" localSheetId="7" hidden="1">#REF!</definedName>
    <definedName name="XREF_COLUMN_10" localSheetId="10" hidden="1">#REF!</definedName>
    <definedName name="XREF_COLUMN_10" localSheetId="9" hidden="1">#REF!</definedName>
    <definedName name="XREF_COLUMN_10" localSheetId="6" hidden="1">#REF!</definedName>
    <definedName name="XREF_COLUMN_10" hidden="1">[363]DPE!#REF!</definedName>
    <definedName name="XREF_COLUMN_11" localSheetId="17" hidden="1">[362]DPE!#REF!</definedName>
    <definedName name="XREF_COLUMN_11" localSheetId="7" hidden="1">#REF!</definedName>
    <definedName name="XREF_COLUMN_11" localSheetId="10" hidden="1">#REF!</definedName>
    <definedName name="XREF_COLUMN_11" localSheetId="9" hidden="1">#REF!</definedName>
    <definedName name="XREF_COLUMN_11" localSheetId="6" hidden="1">#REF!</definedName>
    <definedName name="XREF_COLUMN_11" hidden="1">[363]DPE!#REF!</definedName>
    <definedName name="XREF_COLUMN_12" localSheetId="17" hidden="1">[362]DPE!#REF!</definedName>
    <definedName name="XREF_COLUMN_12" localSheetId="7" hidden="1">#REF!</definedName>
    <definedName name="XREF_COLUMN_12" localSheetId="10" hidden="1">#REF!</definedName>
    <definedName name="XREF_COLUMN_12" localSheetId="9" hidden="1">#REF!</definedName>
    <definedName name="XREF_COLUMN_12" localSheetId="6" hidden="1">#REF!</definedName>
    <definedName name="XREF_COLUMN_12" hidden="1">[363]DPE!#REF!</definedName>
    <definedName name="XREF_COLUMN_13" localSheetId="17" hidden="1">[362]DPE!#REF!</definedName>
    <definedName name="XREF_COLUMN_13" localSheetId="7" hidden="1">#REF!</definedName>
    <definedName name="XREF_COLUMN_13" localSheetId="10" hidden="1">#REF!</definedName>
    <definedName name="XREF_COLUMN_13" localSheetId="9" hidden="1">#REF!</definedName>
    <definedName name="XREF_COLUMN_13" localSheetId="6" hidden="1">#REF!</definedName>
    <definedName name="XREF_COLUMN_13" hidden="1">[363]DPE!#REF!</definedName>
    <definedName name="XREF_COLUMN_14" localSheetId="7" hidden="1">#REF!</definedName>
    <definedName name="XREF_COLUMN_14" localSheetId="10" hidden="1">#REF!</definedName>
    <definedName name="XREF_COLUMN_14" localSheetId="9" hidden="1">#REF!</definedName>
    <definedName name="XREF_COLUMN_14" localSheetId="6" hidden="1">#REF!</definedName>
    <definedName name="XREF_COLUMN_14" hidden="1">'[369]TL SBI'!#REF!</definedName>
    <definedName name="XREF_COLUMN_15" localSheetId="7" hidden="1">#REF!</definedName>
    <definedName name="XREF_COLUMN_15" localSheetId="10" hidden="1">#REF!</definedName>
    <definedName name="XREF_COLUMN_15" localSheetId="9" hidden="1">#REF!</definedName>
    <definedName name="XREF_COLUMN_15" localSheetId="6" hidden="1">#REF!</definedName>
    <definedName name="XREF_COLUMN_15" hidden="1">'[369]DDB Summary wrking'!#REF!</definedName>
    <definedName name="XREF_COLUMN_16" localSheetId="7" hidden="1">#REF!</definedName>
    <definedName name="XREF_COLUMN_16" localSheetId="10" hidden="1">#REF!</definedName>
    <definedName name="XREF_COLUMN_16" localSheetId="9" hidden="1">#REF!</definedName>
    <definedName name="XREF_COLUMN_16" localSheetId="6" hidden="1">#REF!</definedName>
    <definedName name="XREF_COLUMN_16" hidden="1">'[369]LOC 100cr ILFS'!#REF!</definedName>
    <definedName name="XREF_COLUMN_17" localSheetId="17" hidden="1">[370]TopSheet!#REF!</definedName>
    <definedName name="XREF_COLUMN_17" localSheetId="7" hidden="1">#REF!</definedName>
    <definedName name="XREF_COLUMN_17" localSheetId="10" hidden="1">#REF!</definedName>
    <definedName name="XREF_COLUMN_17" localSheetId="9" hidden="1">#REF!</definedName>
    <definedName name="XREF_COLUMN_17" localSheetId="6" hidden="1">#REF!</definedName>
    <definedName name="XREF_COLUMN_17" hidden="1">[371]TopSheet!#REF!</definedName>
    <definedName name="XREF_COLUMN_18" localSheetId="7" hidden="1">#REF!</definedName>
    <definedName name="XREF_COLUMN_18" localSheetId="10" hidden="1">#REF!</definedName>
    <definedName name="XREF_COLUMN_18" localSheetId="9" hidden="1">#REF!</definedName>
    <definedName name="XREF_COLUMN_18" localSheetId="6" hidden="1">#REF!</definedName>
    <definedName name="XREF_COLUMN_18" hidden="1">'[372]Leasehold mprovements'!#REF!</definedName>
    <definedName name="XREF_COLUMN_19" localSheetId="17" hidden="1">[370]TopSheet!#REF!</definedName>
    <definedName name="XREF_COLUMN_19" localSheetId="7" hidden="1">#REF!</definedName>
    <definedName name="XREF_COLUMN_19" localSheetId="10" hidden="1">#REF!</definedName>
    <definedName name="XREF_COLUMN_19" localSheetId="9" hidden="1">#REF!</definedName>
    <definedName name="XREF_COLUMN_19" localSheetId="6" hidden="1">#REF!</definedName>
    <definedName name="XREF_COLUMN_19" hidden="1">[371]TopSheet!#REF!</definedName>
    <definedName name="XREF_COLUMN_2" localSheetId="17" hidden="1">#REF!</definedName>
    <definedName name="XREF_COLUMN_2" localSheetId="7" hidden="1">#REF!</definedName>
    <definedName name="XREF_COLUMN_2" localSheetId="10" hidden="1">#REF!</definedName>
    <definedName name="XREF_COLUMN_2" localSheetId="9" hidden="1">#REF!</definedName>
    <definedName name="XREF_COLUMN_2" localSheetId="6" hidden="1">#REF!</definedName>
    <definedName name="XREF_COLUMN_2" hidden="1">#REF!</definedName>
    <definedName name="XREF_COLUMN_20" localSheetId="17" hidden="1">'[372]Leasehold mprovements'!#REF!</definedName>
    <definedName name="XREF_COLUMN_20" localSheetId="7" hidden="1">#REF!</definedName>
    <definedName name="XREF_COLUMN_20" localSheetId="10" hidden="1">#REF!</definedName>
    <definedName name="XREF_COLUMN_20" localSheetId="9" hidden="1">#REF!</definedName>
    <definedName name="XREF_COLUMN_20" localSheetId="6" hidden="1">#REF!</definedName>
    <definedName name="XREF_COLUMN_20" hidden="1">'[372]Leasehold mprovements'!#REF!</definedName>
    <definedName name="XREF_COLUMN_21" hidden="1">[373]Resignation!#REF!</definedName>
    <definedName name="XREF_COLUMN_22" hidden="1">[373]Resignation!#REF!</definedName>
    <definedName name="XREF_COLUMN_23" hidden="1">[373]Resignation!#REF!</definedName>
    <definedName name="XREF_COLUMN_24" localSheetId="17" hidden="1">[370]TopSheet!#REF!</definedName>
    <definedName name="XREF_COLUMN_24" hidden="1">[371]TopSheet!#REF!</definedName>
    <definedName name="XREF_COLUMN_25" localSheetId="17" hidden="1">[370]TopSheet!#REF!</definedName>
    <definedName name="XREF_COLUMN_25" hidden="1">[371]TopSheet!#REF!</definedName>
    <definedName name="XREF_COLUMN_26" localSheetId="17" hidden="1">[370]TopSheet!#REF!</definedName>
    <definedName name="XREF_COLUMN_26" hidden="1">[371]TopSheet!#REF!</definedName>
    <definedName name="XREF_COLUMN_27" localSheetId="17" hidden="1">[370]TopSheet!#REF!</definedName>
    <definedName name="XREF_COLUMN_27" hidden="1">[371]TopSheet!#REF!</definedName>
    <definedName name="XREF_COLUMN_28" localSheetId="17" hidden="1">[370]TopSheet!#REF!</definedName>
    <definedName name="XREF_COLUMN_28" hidden="1">[371]TopSheet!#REF!</definedName>
    <definedName name="XREF_COLUMN_29" localSheetId="17" hidden="1">[370]TopSheet!#REF!</definedName>
    <definedName name="XREF_COLUMN_29" hidden="1">[371]TopSheet!#REF!</definedName>
    <definedName name="XREF_COLUMN_3" localSheetId="17" hidden="1">'[362]F &amp; F PY'!#REF!</definedName>
    <definedName name="XREF_COLUMN_3" localSheetId="7" hidden="1">#REF!</definedName>
    <definedName name="XREF_COLUMN_3" localSheetId="10" hidden="1">#REF!</definedName>
    <definedName name="XREF_COLUMN_3" localSheetId="9" hidden="1">#REF!</definedName>
    <definedName name="XREF_COLUMN_3" localSheetId="6" hidden="1">#REF!</definedName>
    <definedName name="XREF_COLUMN_3" hidden="1">'[363]F &amp; F PY'!#REF!</definedName>
    <definedName name="XREF_COLUMN_30" localSheetId="17" hidden="1">[370]TopSheet!#REF!</definedName>
    <definedName name="XREF_COLUMN_30" hidden="1">[371]TopSheet!#REF!</definedName>
    <definedName name="XREF_COLUMN_31" localSheetId="17" hidden="1">[370]TopSheet!#REF!</definedName>
    <definedName name="XREF_COLUMN_31" hidden="1">[371]TopSheet!#REF!</definedName>
    <definedName name="XREF_COLUMN_32" localSheetId="17" hidden="1">#REF!</definedName>
    <definedName name="XREF_COLUMN_32" hidden="1">#REF!</definedName>
    <definedName name="XREF_COLUMN_33" hidden="1">#REF!</definedName>
    <definedName name="XREF_COLUMN_4" hidden="1">#REF!</definedName>
    <definedName name="XREF_COLUMN_40" localSheetId="17" hidden="1">[370]TopSheet!#REF!</definedName>
    <definedName name="XREF_COLUMN_40" hidden="1">[371]TopSheet!#REF!</definedName>
    <definedName name="XREF_COLUMN_5" localSheetId="17" hidden="1">#REF!</definedName>
    <definedName name="XREF_COLUMN_5" localSheetId="7" hidden="1">#REF!</definedName>
    <definedName name="XREF_COLUMN_5" localSheetId="10" hidden="1">#REF!</definedName>
    <definedName name="XREF_COLUMN_5" localSheetId="9" hidden="1">#REF!</definedName>
    <definedName name="XREF_COLUMN_5" localSheetId="6" hidden="1">#REF!</definedName>
    <definedName name="XREF_COLUMN_5" hidden="1">#REF!</definedName>
    <definedName name="XREF_COLUMN_6" localSheetId="17" hidden="1">'[362]O Equip.'!#REF!</definedName>
    <definedName name="XREF_COLUMN_6" localSheetId="7" hidden="1">'[374]NETTING OFF-Mar-15'!#REF!</definedName>
    <definedName name="XREF_COLUMN_6" localSheetId="10" hidden="1">'[374]NETTING OFF-Mar-15'!#REF!</definedName>
    <definedName name="XREF_COLUMN_6" localSheetId="9" hidden="1">'[374]NETTING OFF-Mar-15'!#REF!</definedName>
    <definedName name="XREF_COLUMN_6" localSheetId="6" hidden="1">'[374]NETTING OFF-Mar-15'!#REF!</definedName>
    <definedName name="XREF_COLUMN_6" hidden="1">'[363]O Equip.'!#REF!</definedName>
    <definedName name="XREF_COLUMN_7" localSheetId="17" hidden="1">'[362]O Equip.'!#REF!</definedName>
    <definedName name="XREF_COLUMN_7" localSheetId="7" hidden="1">#REF!</definedName>
    <definedName name="XREF_COLUMN_7" localSheetId="10" hidden="1">#REF!</definedName>
    <definedName name="XREF_COLUMN_7" localSheetId="9" hidden="1">#REF!</definedName>
    <definedName name="XREF_COLUMN_7" localSheetId="6" hidden="1">#REF!</definedName>
    <definedName name="XREF_COLUMN_7" hidden="1">'[363]O Equip.'!#REF!</definedName>
    <definedName name="XREF_COLUMN_8" localSheetId="17" hidden="1">'[362]O Equip.'!#REF!</definedName>
    <definedName name="XREF_COLUMN_8" localSheetId="7" hidden="1">#REF!</definedName>
    <definedName name="XREF_COLUMN_8" localSheetId="10" hidden="1">#REF!</definedName>
    <definedName name="XREF_COLUMN_8" localSheetId="9" hidden="1">#REF!</definedName>
    <definedName name="XREF_COLUMN_8" localSheetId="6" hidden="1">#REF!</definedName>
    <definedName name="XREF_COLUMN_8" hidden="1">'[363]O Equip.'!#REF!</definedName>
    <definedName name="XREF_COLUMN_9" localSheetId="17" hidden="1">'[362]O Equip.'!#REF!</definedName>
    <definedName name="XREF_COLUMN_9" localSheetId="7" hidden="1">#REF!</definedName>
    <definedName name="XREF_COLUMN_9" localSheetId="10" hidden="1">#REF!</definedName>
    <definedName name="XREF_COLUMN_9" localSheetId="9" hidden="1">#REF!</definedName>
    <definedName name="XREF_COLUMN_9" localSheetId="6" hidden="1">#REF!</definedName>
    <definedName name="XREF_COLUMN_9" hidden="1">'[363]O Equip.'!#REF!</definedName>
    <definedName name="XREF11" hidden="1">[375]ANNE1!#REF!</definedName>
    <definedName name="XREF12" hidden="1">[375]ANNE2!#REF!</definedName>
    <definedName name="XREF15" hidden="1">[367]Additions!$V$1:$V$65536</definedName>
    <definedName name="XREF17" hidden="1">[367]Summary!$E$31</definedName>
    <definedName name="XREF21" localSheetId="17" hidden="1">[375]ANNE2!#REF!</definedName>
    <definedName name="XREF21" hidden="1">[375]ANNE2!#REF!</definedName>
    <definedName name="XRefActiveRow" localSheetId="17" hidden="1">#REF!</definedName>
    <definedName name="XRefActiveRow" localSheetId="7" hidden="1">#REF!</definedName>
    <definedName name="XRefActiveRow" localSheetId="10" hidden="1">#REF!</definedName>
    <definedName name="XRefActiveRow" localSheetId="9" hidden="1">#REF!</definedName>
    <definedName name="XRefActiveRow" localSheetId="6" hidden="1">#REF!</definedName>
    <definedName name="XRefActiveRow" hidden="1">#REF!</definedName>
    <definedName name="XRefColumnsCount" localSheetId="7" hidden="1">42</definedName>
    <definedName name="XRefColumnsCount" localSheetId="10" hidden="1">42</definedName>
    <definedName name="XRefColumnsCount" localSheetId="9" hidden="1">42</definedName>
    <definedName name="XRefColumnsCount" localSheetId="6" hidden="1">42</definedName>
    <definedName name="XRefColumnsCount" hidden="1">23</definedName>
    <definedName name="XRefCopy1" localSheetId="17" hidden="1">[368]blockwise!#REF!</definedName>
    <definedName name="XRefCopy1" localSheetId="7" hidden="1">#REF!</definedName>
    <definedName name="XRefCopy1" localSheetId="10" hidden="1">#REF!</definedName>
    <definedName name="XRefCopy1" localSheetId="9" hidden="1">#REF!</definedName>
    <definedName name="XRefCopy1" localSheetId="6" hidden="1">#REF!</definedName>
    <definedName name="XRefCopy1" hidden="1">[368]blockwise!#REF!</definedName>
    <definedName name="XRefCopy10" localSheetId="7" hidden="1">#REF!</definedName>
    <definedName name="XRefCopy10" localSheetId="10" hidden="1">#REF!</definedName>
    <definedName name="XRefCopy10" localSheetId="9" hidden="1">#REF!</definedName>
    <definedName name="XRefCopy10" localSheetId="6" hidden="1">#REF!</definedName>
    <definedName name="XRefCopy10" hidden="1">[368]blockwise!#REF!</definedName>
    <definedName name="XRefCopy100" localSheetId="17" hidden="1">[370]TopSheet!#REF!</definedName>
    <definedName name="XRefCopy100" hidden="1">[371]TopSheet!#REF!</definedName>
    <definedName name="XRefCopy100Row" hidden="1">#REF!</definedName>
    <definedName name="XRefCopy101" localSheetId="17" hidden="1">[370]TopSheet!#REF!</definedName>
    <definedName name="XRefCopy101" localSheetId="7" hidden="1">#REF!</definedName>
    <definedName name="XRefCopy101" localSheetId="10" hidden="1">#REF!</definedName>
    <definedName name="XRefCopy101" localSheetId="9" hidden="1">#REF!</definedName>
    <definedName name="XRefCopy101" localSheetId="6" hidden="1">#REF!</definedName>
    <definedName name="XRefCopy101" hidden="1">[371]TopSheet!#REF!</definedName>
    <definedName name="XRefCopy101Row" localSheetId="17" hidden="1">#REF!</definedName>
    <definedName name="XRefCopy101Row" localSheetId="7" hidden="1">#REF!</definedName>
    <definedName name="XRefCopy101Row" localSheetId="10" hidden="1">#REF!</definedName>
    <definedName name="XRefCopy101Row" localSheetId="9" hidden="1">#REF!</definedName>
    <definedName name="XRefCopy101Row" localSheetId="6" hidden="1">#REF!</definedName>
    <definedName name="XRefCopy101Row" hidden="1">#REF!</definedName>
    <definedName name="XRefCopy102" localSheetId="17" hidden="1">[370]TopSheet!#REF!</definedName>
    <definedName name="XRefCopy102" localSheetId="7" hidden="1">#REF!</definedName>
    <definedName name="XRefCopy102" localSheetId="10" hidden="1">#REF!</definedName>
    <definedName name="XRefCopy102" localSheetId="9" hidden="1">#REF!</definedName>
    <definedName name="XRefCopy102" localSheetId="6" hidden="1">#REF!</definedName>
    <definedName name="XRefCopy102" hidden="1">[371]TopSheet!#REF!</definedName>
    <definedName name="XRefCopy102Row" localSheetId="17" hidden="1">#REF!</definedName>
    <definedName name="XRefCopy102Row" localSheetId="7" hidden="1">#REF!</definedName>
    <definedName name="XRefCopy102Row" localSheetId="10" hidden="1">#REF!</definedName>
    <definedName name="XRefCopy102Row" localSheetId="9" hidden="1">#REF!</definedName>
    <definedName name="XRefCopy102Row" localSheetId="6" hidden="1">#REF!</definedName>
    <definedName name="XRefCopy102Row" hidden="1">#REF!</definedName>
    <definedName name="XRefCopy103" localSheetId="17" hidden="1">[370]TopSheet!#REF!</definedName>
    <definedName name="XRefCopy103" localSheetId="7" hidden="1">#REF!</definedName>
    <definedName name="XRefCopy103" localSheetId="10" hidden="1">#REF!</definedName>
    <definedName name="XRefCopy103" localSheetId="9" hidden="1">#REF!</definedName>
    <definedName name="XRefCopy103" localSheetId="6" hidden="1">#REF!</definedName>
    <definedName name="XRefCopy103" hidden="1">[371]TopSheet!#REF!</definedName>
    <definedName name="XRefCopy103Row" localSheetId="17" hidden="1">#REF!</definedName>
    <definedName name="XRefCopy103Row" hidden="1">#REF!</definedName>
    <definedName name="XRefCopy104" localSheetId="17" hidden="1">[370]TopSheet!#REF!</definedName>
    <definedName name="XRefCopy104" localSheetId="7" hidden="1">#REF!</definedName>
    <definedName name="XRefCopy104" localSheetId="10" hidden="1">#REF!</definedName>
    <definedName name="XRefCopy104" localSheetId="9" hidden="1">#REF!</definedName>
    <definedName name="XRefCopy104" localSheetId="6" hidden="1">#REF!</definedName>
    <definedName name="XRefCopy104" hidden="1">[371]TopSheet!#REF!</definedName>
    <definedName name="XRefCopy104Row" localSheetId="17" hidden="1">#REF!</definedName>
    <definedName name="XRefCopy104Row" localSheetId="7" hidden="1">#REF!</definedName>
    <definedName name="XRefCopy104Row" localSheetId="10" hidden="1">#REF!</definedName>
    <definedName name="XRefCopy104Row" localSheetId="9" hidden="1">#REF!</definedName>
    <definedName name="XRefCopy104Row" localSheetId="6" hidden="1">#REF!</definedName>
    <definedName name="XRefCopy104Row" hidden="1">#REF!</definedName>
    <definedName name="XRefCopy105" localSheetId="17" hidden="1">[370]TopSheet!#REF!</definedName>
    <definedName name="XRefCopy105" localSheetId="7" hidden="1">#REF!</definedName>
    <definedName name="XRefCopy105" localSheetId="10" hidden="1">#REF!</definedName>
    <definedName name="XRefCopy105" localSheetId="9" hidden="1">#REF!</definedName>
    <definedName name="XRefCopy105" localSheetId="6" hidden="1">#REF!</definedName>
    <definedName name="XRefCopy105" hidden="1">[371]TopSheet!#REF!</definedName>
    <definedName name="XRefCopy105Row" localSheetId="17" hidden="1">#REF!</definedName>
    <definedName name="XRefCopy105Row" localSheetId="7" hidden="1">#REF!</definedName>
    <definedName name="XRefCopy105Row" localSheetId="10" hidden="1">#REF!</definedName>
    <definedName name="XRefCopy105Row" localSheetId="9" hidden="1">#REF!</definedName>
    <definedName name="XRefCopy105Row" localSheetId="6" hidden="1">#REF!</definedName>
    <definedName name="XRefCopy105Row" hidden="1">#REF!</definedName>
    <definedName name="XRefCopy106" localSheetId="17" hidden="1">[370]TopSheet!#REF!</definedName>
    <definedName name="XRefCopy106" hidden="1">[371]TopSheet!#REF!</definedName>
    <definedName name="XRefCopy106Row" localSheetId="17" hidden="1">#REF!</definedName>
    <definedName name="XRefCopy106Row" localSheetId="7" hidden="1">#REF!</definedName>
    <definedName name="XRefCopy106Row" localSheetId="10" hidden="1">#REF!</definedName>
    <definedName name="XRefCopy106Row" localSheetId="9" hidden="1">#REF!</definedName>
    <definedName name="XRefCopy106Row" localSheetId="6" hidden="1">#REF!</definedName>
    <definedName name="XRefCopy106Row" hidden="1">#REF!</definedName>
    <definedName name="XRefCopy107" localSheetId="17" hidden="1">[370]TopSheet!#REF!</definedName>
    <definedName name="XRefCopy107" hidden="1">[371]TopSheet!#REF!</definedName>
    <definedName name="XRefCopy107Row" localSheetId="17" hidden="1">#REF!</definedName>
    <definedName name="XRefCopy107Row" localSheetId="7" hidden="1">#REF!</definedName>
    <definedName name="XRefCopy107Row" localSheetId="10" hidden="1">#REF!</definedName>
    <definedName name="XRefCopy107Row" localSheetId="9" hidden="1">#REF!</definedName>
    <definedName name="XRefCopy107Row" localSheetId="6" hidden="1">#REF!</definedName>
    <definedName name="XRefCopy107Row" hidden="1">#REF!</definedName>
    <definedName name="XRefCopy108" localSheetId="17" hidden="1">[370]TopSheet!#REF!</definedName>
    <definedName name="XRefCopy108" localSheetId="7" hidden="1">#REF!</definedName>
    <definedName name="XRefCopy108" localSheetId="10" hidden="1">#REF!</definedName>
    <definedName name="XRefCopy108" localSheetId="9" hidden="1">#REF!</definedName>
    <definedName name="XRefCopy108" localSheetId="6" hidden="1">#REF!</definedName>
    <definedName name="XRefCopy108" hidden="1">[371]TopSheet!#REF!</definedName>
    <definedName name="XRefCopy108Row" localSheetId="17" hidden="1">#REF!</definedName>
    <definedName name="XRefCopy108Row" localSheetId="7" hidden="1">#REF!</definedName>
    <definedName name="XRefCopy108Row" localSheetId="10" hidden="1">#REF!</definedName>
    <definedName name="XRefCopy108Row" localSheetId="9" hidden="1">#REF!</definedName>
    <definedName name="XRefCopy108Row" localSheetId="6" hidden="1">#REF!</definedName>
    <definedName name="XRefCopy108Row" hidden="1">#REF!</definedName>
    <definedName name="XRefCopy109" localSheetId="17" hidden="1">[370]TopSheet!#REF!</definedName>
    <definedName name="XRefCopy109" localSheetId="7" hidden="1">#REF!</definedName>
    <definedName name="XRefCopy109" localSheetId="10" hidden="1">#REF!</definedName>
    <definedName name="XRefCopy109" localSheetId="9" hidden="1">#REF!</definedName>
    <definedName name="XRefCopy109" localSheetId="6" hidden="1">#REF!</definedName>
    <definedName name="XRefCopy109" hidden="1">[371]TopSheet!#REF!</definedName>
    <definedName name="XRefCopy109Row" localSheetId="17" hidden="1">#REF!</definedName>
    <definedName name="XRefCopy109Row" localSheetId="7" hidden="1">#REF!</definedName>
    <definedName name="XRefCopy109Row" localSheetId="10" hidden="1">#REF!</definedName>
    <definedName name="XRefCopy109Row" localSheetId="9" hidden="1">#REF!</definedName>
    <definedName name="XRefCopy109Row" localSheetId="6" hidden="1">#REF!</definedName>
    <definedName name="XRefCopy109Row" hidden="1">#REF!</definedName>
    <definedName name="XRefCopy10Row" localSheetId="7" hidden="1">#REF!</definedName>
    <definedName name="XRefCopy10Row" localSheetId="10" hidden="1">#REF!</definedName>
    <definedName name="XRefCopy10Row" localSheetId="9" hidden="1">#REF!</definedName>
    <definedName name="XRefCopy10Row" localSheetId="6" hidden="1">#REF!</definedName>
    <definedName name="XRefCopy10Row" hidden="1">#REF!</definedName>
    <definedName name="XRefCopy11" localSheetId="7" hidden="1">'[376]CWIP P&amp;M'!$D$15</definedName>
    <definedName name="XRefCopy11" localSheetId="10" hidden="1">'[376]CWIP P&amp;M'!$D$15</definedName>
    <definedName name="XRefCopy11" localSheetId="9" hidden="1">'[376]CWIP P&amp;M'!$D$15</definedName>
    <definedName name="XRefCopy11" localSheetId="6" hidden="1">'[376]CWIP P&amp;M'!$D$15</definedName>
    <definedName name="XRefCopy11" hidden="1">#REF!</definedName>
    <definedName name="XRefCopy110" localSheetId="17" hidden="1">[370]TopSheet!#REF!</definedName>
    <definedName name="XRefCopy110" localSheetId="7" hidden="1">#REF!</definedName>
    <definedName name="XRefCopy110" localSheetId="10" hidden="1">#REF!</definedName>
    <definedName name="XRefCopy110" localSheetId="9" hidden="1">#REF!</definedName>
    <definedName name="XRefCopy110" localSheetId="6" hidden="1">#REF!</definedName>
    <definedName name="XRefCopy110" hidden="1">[371]TopSheet!#REF!</definedName>
    <definedName name="XRefCopy110Row" localSheetId="17" hidden="1">#REF!</definedName>
    <definedName name="XRefCopy110Row" localSheetId="7" hidden="1">#REF!</definedName>
    <definedName name="XRefCopy110Row" localSheetId="10" hidden="1">#REF!</definedName>
    <definedName name="XRefCopy110Row" localSheetId="9" hidden="1">#REF!</definedName>
    <definedName name="XRefCopy110Row" localSheetId="6" hidden="1">#REF!</definedName>
    <definedName name="XRefCopy110Row" hidden="1">#REF!</definedName>
    <definedName name="XRefCopy111" localSheetId="17" hidden="1">[370]TopSheet!#REF!</definedName>
    <definedName name="XRefCopy111" localSheetId="7" hidden="1">#REF!</definedName>
    <definedName name="XRefCopy111" localSheetId="10" hidden="1">#REF!</definedName>
    <definedName name="XRefCopy111" localSheetId="9" hidden="1">#REF!</definedName>
    <definedName name="XRefCopy111" localSheetId="6" hidden="1">#REF!</definedName>
    <definedName name="XRefCopy111" hidden="1">[371]TopSheet!#REF!</definedName>
    <definedName name="XRefCopy111Row" localSheetId="17" hidden="1">#REF!</definedName>
    <definedName name="XRefCopy111Row" localSheetId="7" hidden="1">#REF!</definedName>
    <definedName name="XRefCopy111Row" localSheetId="10" hidden="1">#REF!</definedName>
    <definedName name="XRefCopy111Row" localSheetId="9" hidden="1">#REF!</definedName>
    <definedName name="XRefCopy111Row" localSheetId="6" hidden="1">#REF!</definedName>
    <definedName name="XRefCopy111Row" hidden="1">#REF!</definedName>
    <definedName name="XRefCopy112" localSheetId="17" hidden="1">[370]TopSheet!#REF!</definedName>
    <definedName name="XRefCopy112" localSheetId="7" hidden="1">#REF!</definedName>
    <definedName name="XRefCopy112" localSheetId="10" hidden="1">#REF!</definedName>
    <definedName name="XRefCopy112" localSheetId="9" hidden="1">#REF!</definedName>
    <definedName name="XRefCopy112" localSheetId="6" hidden="1">#REF!</definedName>
    <definedName name="XRefCopy112" hidden="1">[371]TopSheet!#REF!</definedName>
    <definedName name="XRefCopy112Row" localSheetId="17" hidden="1">#REF!</definedName>
    <definedName name="XRefCopy112Row" localSheetId="7" hidden="1">#REF!</definedName>
    <definedName name="XRefCopy112Row" localSheetId="10" hidden="1">#REF!</definedName>
    <definedName name="XRefCopy112Row" localSheetId="9" hidden="1">#REF!</definedName>
    <definedName name="XRefCopy112Row" localSheetId="6" hidden="1">#REF!</definedName>
    <definedName name="XRefCopy112Row" hidden="1">#REF!</definedName>
    <definedName name="XRefCopy113" localSheetId="17" hidden="1">[370]TopSheet!#REF!</definedName>
    <definedName name="XRefCopy113" localSheetId="7" hidden="1">#REF!</definedName>
    <definedName name="XRefCopy113" localSheetId="10" hidden="1">#REF!</definedName>
    <definedName name="XRefCopy113" localSheetId="9" hidden="1">#REF!</definedName>
    <definedName name="XRefCopy113" localSheetId="6" hidden="1">#REF!</definedName>
    <definedName name="XRefCopy113" hidden="1">[371]TopSheet!#REF!</definedName>
    <definedName name="XRefCopy113Row" localSheetId="17" hidden="1">#REF!</definedName>
    <definedName name="XRefCopy113Row" localSheetId="7" hidden="1">#REF!</definedName>
    <definedName name="XRefCopy113Row" localSheetId="10" hidden="1">#REF!</definedName>
    <definedName name="XRefCopy113Row" localSheetId="9" hidden="1">#REF!</definedName>
    <definedName name="XRefCopy113Row" localSheetId="6" hidden="1">#REF!</definedName>
    <definedName name="XRefCopy113Row" hidden="1">#REF!</definedName>
    <definedName name="XRefCopy114" localSheetId="17" hidden="1">[370]TopSheet!#REF!</definedName>
    <definedName name="XRefCopy114" localSheetId="7" hidden="1">#REF!</definedName>
    <definedName name="XRefCopy114" localSheetId="10" hidden="1">#REF!</definedName>
    <definedName name="XRefCopy114" localSheetId="9" hidden="1">#REF!</definedName>
    <definedName name="XRefCopy114" localSheetId="6" hidden="1">#REF!</definedName>
    <definedName name="XRefCopy114" hidden="1">[371]TopSheet!#REF!</definedName>
    <definedName name="XRefCopy114Row" localSheetId="17" hidden="1">#REF!</definedName>
    <definedName name="XRefCopy114Row" localSheetId="7" hidden="1">#REF!</definedName>
    <definedName name="XRefCopy114Row" localSheetId="10" hidden="1">#REF!</definedName>
    <definedName name="XRefCopy114Row" localSheetId="9" hidden="1">#REF!</definedName>
    <definedName name="XRefCopy114Row" localSheetId="6" hidden="1">#REF!</definedName>
    <definedName name="XRefCopy114Row" hidden="1">#REF!</definedName>
    <definedName name="XRefCopy115" localSheetId="17" hidden="1">[370]TopSheet!#REF!</definedName>
    <definedName name="XRefCopy115" localSheetId="7" hidden="1">#REF!</definedName>
    <definedName name="XRefCopy115" localSheetId="10" hidden="1">#REF!</definedName>
    <definedName name="XRefCopy115" localSheetId="9" hidden="1">#REF!</definedName>
    <definedName name="XRefCopy115" localSheetId="6" hidden="1">#REF!</definedName>
    <definedName name="XRefCopy115" hidden="1">[371]TopSheet!#REF!</definedName>
    <definedName name="XRefCopy115Row" localSheetId="17" hidden="1">#REF!</definedName>
    <definedName name="XRefCopy115Row" localSheetId="7" hidden="1">#REF!</definedName>
    <definedName name="XRefCopy115Row" localSheetId="10" hidden="1">#REF!</definedName>
    <definedName name="XRefCopy115Row" localSheetId="9" hidden="1">#REF!</definedName>
    <definedName name="XRefCopy115Row" localSheetId="6" hidden="1">#REF!</definedName>
    <definedName name="XRefCopy115Row" hidden="1">#REF!</definedName>
    <definedName name="XRefCopy116" localSheetId="17" hidden="1">[370]TopSheet!#REF!</definedName>
    <definedName name="XRefCopy116" localSheetId="7" hidden="1">#REF!</definedName>
    <definedName name="XRefCopy116" localSheetId="10" hidden="1">#REF!</definedName>
    <definedName name="XRefCopy116" localSheetId="9" hidden="1">#REF!</definedName>
    <definedName name="XRefCopy116" localSheetId="6" hidden="1">#REF!</definedName>
    <definedName name="XRefCopy116" hidden="1">[371]TopSheet!#REF!</definedName>
    <definedName name="XRefCopy116Row" localSheetId="17" hidden="1">#REF!</definedName>
    <definedName name="XRefCopy116Row" localSheetId="7" hidden="1">#REF!</definedName>
    <definedName name="XRefCopy116Row" localSheetId="10" hidden="1">#REF!</definedName>
    <definedName name="XRefCopy116Row" localSheetId="9" hidden="1">#REF!</definedName>
    <definedName name="XRefCopy116Row" localSheetId="6" hidden="1">#REF!</definedName>
    <definedName name="XRefCopy116Row" hidden="1">#REF!</definedName>
    <definedName name="XRefCopy117" localSheetId="17" hidden="1">[370]TopSheet!#REF!</definedName>
    <definedName name="XRefCopy117" localSheetId="7" hidden="1">#REF!</definedName>
    <definedName name="XRefCopy117" localSheetId="10" hidden="1">#REF!</definedName>
    <definedName name="XRefCopy117" localSheetId="9" hidden="1">#REF!</definedName>
    <definedName name="XRefCopy117" localSheetId="6" hidden="1">#REF!</definedName>
    <definedName name="XRefCopy117" hidden="1">[371]TopSheet!#REF!</definedName>
    <definedName name="XRefCopy117Row" localSheetId="17" hidden="1">#REF!</definedName>
    <definedName name="XRefCopy117Row" localSheetId="7" hidden="1">#REF!</definedName>
    <definedName name="XRefCopy117Row" localSheetId="10" hidden="1">#REF!</definedName>
    <definedName name="XRefCopy117Row" localSheetId="9" hidden="1">#REF!</definedName>
    <definedName name="XRefCopy117Row" localSheetId="6" hidden="1">#REF!</definedName>
    <definedName name="XRefCopy117Row" hidden="1">#REF!</definedName>
    <definedName name="XRefCopy118" localSheetId="17" hidden="1">[370]TopSheet!#REF!</definedName>
    <definedName name="XRefCopy118" localSheetId="7" hidden="1">#REF!</definedName>
    <definedName name="XRefCopy118" localSheetId="10" hidden="1">#REF!</definedName>
    <definedName name="XRefCopy118" localSheetId="9" hidden="1">#REF!</definedName>
    <definedName name="XRefCopy118" localSheetId="6" hidden="1">#REF!</definedName>
    <definedName name="XRefCopy118" hidden="1">[371]TopSheet!#REF!</definedName>
    <definedName name="XRefCopy118Row" localSheetId="17" hidden="1">#REF!</definedName>
    <definedName name="XRefCopy118Row" localSheetId="7" hidden="1">#REF!</definedName>
    <definedName name="XRefCopy118Row" localSheetId="10" hidden="1">#REF!</definedName>
    <definedName name="XRefCopy118Row" localSheetId="9" hidden="1">#REF!</definedName>
    <definedName name="XRefCopy118Row" localSheetId="6" hidden="1">#REF!</definedName>
    <definedName name="XRefCopy118Row" hidden="1">#REF!</definedName>
    <definedName name="XRefCopy119" localSheetId="7" hidden="1">#REF!</definedName>
    <definedName name="XRefCopy119" localSheetId="10" hidden="1">#REF!</definedName>
    <definedName name="XRefCopy119" localSheetId="9" hidden="1">#REF!</definedName>
    <definedName name="XRefCopy119" localSheetId="6" hidden="1">#REF!</definedName>
    <definedName name="XRefCopy119" hidden="1">#REF!</definedName>
    <definedName name="XRefCopy119Row" hidden="1">#REF!</definedName>
    <definedName name="XRefCopy11Row" localSheetId="7" hidden="1">[377]XREF!#REF!</definedName>
    <definedName name="XRefCopy11Row" localSheetId="10" hidden="1">[377]XREF!#REF!</definedName>
    <definedName name="XRefCopy11Row" localSheetId="9" hidden="1">[377]XREF!#REF!</definedName>
    <definedName name="XRefCopy11Row" localSheetId="6" hidden="1">[377]XREF!#REF!</definedName>
    <definedName name="XRefCopy11Row" hidden="1">#REF!</definedName>
    <definedName name="XRefCopy12" localSheetId="7" hidden="1">#REF!</definedName>
    <definedName name="XRefCopy12" localSheetId="10" hidden="1">#REF!</definedName>
    <definedName name="XRefCopy12" localSheetId="9" hidden="1">#REF!</definedName>
    <definedName name="XRefCopy12" localSheetId="6" hidden="1">#REF!</definedName>
    <definedName name="XRefCopy12" hidden="1">#REF!</definedName>
    <definedName name="XRefCopy120" localSheetId="7" hidden="1">#REF!</definedName>
    <definedName name="XRefCopy120" localSheetId="10" hidden="1">#REF!</definedName>
    <definedName name="XRefCopy120" localSheetId="9" hidden="1">#REF!</definedName>
    <definedName name="XRefCopy120" localSheetId="6" hidden="1">#REF!</definedName>
    <definedName name="XRefCopy120" hidden="1">#REF!</definedName>
    <definedName name="XRefCopy120Row" localSheetId="7" hidden="1">#REF!</definedName>
    <definedName name="XRefCopy120Row" localSheetId="10" hidden="1">#REF!</definedName>
    <definedName name="XRefCopy120Row" localSheetId="9" hidden="1">#REF!</definedName>
    <definedName name="XRefCopy120Row" localSheetId="6" hidden="1">#REF!</definedName>
    <definedName name="XRefCopy120Row" hidden="1">[378]XREF!#REF!</definedName>
    <definedName name="XRefCopy121" localSheetId="17" hidden="1">#REF!</definedName>
    <definedName name="XRefCopy121" localSheetId="7" hidden="1">#REF!</definedName>
    <definedName name="XRefCopy121" localSheetId="10" hidden="1">#REF!</definedName>
    <definedName name="XRefCopy121" localSheetId="9" hidden="1">#REF!</definedName>
    <definedName name="XRefCopy121" localSheetId="6" hidden="1">#REF!</definedName>
    <definedName name="XRefCopy121" hidden="1">#REF!</definedName>
    <definedName name="XRefCopy121Row" localSheetId="7" hidden="1">#REF!</definedName>
    <definedName name="XRefCopy121Row" localSheetId="10" hidden="1">#REF!</definedName>
    <definedName name="XRefCopy121Row" localSheetId="9" hidden="1">#REF!</definedName>
    <definedName name="XRefCopy121Row" localSheetId="6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localSheetId="7" hidden="1">#REF!</definedName>
    <definedName name="XRefCopy126Row" localSheetId="10" hidden="1">#REF!</definedName>
    <definedName name="XRefCopy126Row" localSheetId="9" hidden="1">#REF!</definedName>
    <definedName name="XRefCopy126Row" localSheetId="6" hidden="1">#REF!</definedName>
    <definedName name="XRefCopy126Row" hidden="1">[378]XREF!#REF!</definedName>
    <definedName name="XRefCopy127" localSheetId="17" hidden="1">#REF!</definedName>
    <definedName name="XRefCopy127" hidden="1">#REF!</definedName>
    <definedName name="XRefCopy127Row" localSheetId="7" hidden="1">#REF!</definedName>
    <definedName name="XRefCopy127Row" localSheetId="10" hidden="1">#REF!</definedName>
    <definedName name="XRefCopy127Row" localSheetId="9" hidden="1">#REF!</definedName>
    <definedName name="XRefCopy127Row" localSheetId="6" hidden="1">#REF!</definedName>
    <definedName name="XRefCopy127Row" hidden="1">#REF!</definedName>
    <definedName name="XRefCopy128" hidden="1">#REF!</definedName>
    <definedName name="XRefCopy128Row" hidden="1">#REF!</definedName>
    <definedName name="XRefCopy129Row" hidden="1">#REF!</definedName>
    <definedName name="XRefCopy12Row" hidden="1">#REF!</definedName>
    <definedName name="XRefCopy13" hidden="1">#REF!</definedName>
    <definedName name="XRefCopy130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8Row" hidden="1">#REF!</definedName>
    <definedName name="XRefCopy139Row" hidden="1">#REF!</definedName>
    <definedName name="XRefCopy13Row" hidden="1">#REF!</definedName>
    <definedName name="XRefCopy14" hidden="1">#REF!</definedName>
    <definedName name="XRefCopy140Row" hidden="1">#REF!</definedName>
    <definedName name="XRefCopy141Row" hidden="1">#REF!</definedName>
    <definedName name="XRefCopy142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" hidden="1">#REF!</definedName>
    <definedName name="XRefCopy150Row" hidden="1">#REF!</definedName>
    <definedName name="XRefCopy151" localSheetId="17" hidden="1">'[379]Sept 06'!#REF!</definedName>
    <definedName name="XRefCopy151" hidden="1">'[380]Sept 06'!#REF!</definedName>
    <definedName name="XRefCopy151Row" localSheetId="17" hidden="1">#REF!</definedName>
    <definedName name="XRefCopy151Row" localSheetId="7" hidden="1">#REF!</definedName>
    <definedName name="XRefCopy151Row" localSheetId="10" hidden="1">#REF!</definedName>
    <definedName name="XRefCopy151Row" localSheetId="9" hidden="1">#REF!</definedName>
    <definedName name="XRefCopy151Row" localSheetId="6" hidden="1">#REF!</definedName>
    <definedName name="XRefCopy151Row" hidden="1">#REF!</definedName>
    <definedName name="XRefCopy152" localSheetId="17" hidden="1">'[379]Sept 06'!#REF!</definedName>
    <definedName name="XRefCopy152" hidden="1">'[380]Sept 06'!#REF!</definedName>
    <definedName name="XRefCopy152Row" localSheetId="17" hidden="1">#REF!</definedName>
    <definedName name="XRefCopy152Row" localSheetId="7" hidden="1">#REF!</definedName>
    <definedName name="XRefCopy152Row" localSheetId="10" hidden="1">#REF!</definedName>
    <definedName name="XRefCopy152Row" localSheetId="9" hidden="1">#REF!</definedName>
    <definedName name="XRefCopy152Row" localSheetId="6" hidden="1">#REF!</definedName>
    <definedName name="XRefCopy152Row" hidden="1">#REF!</definedName>
    <definedName name="XRefCopy153" localSheetId="17" hidden="1">'[379]Sept 06'!#REF!</definedName>
    <definedName name="XRefCopy153" hidden="1">'[380]Sept 06'!#REF!</definedName>
    <definedName name="XRefCopy153Row" localSheetId="17" hidden="1">#REF!</definedName>
    <definedName name="XRefCopy153Row" hidden="1">#REF!</definedName>
    <definedName name="XRefCopy154" localSheetId="17" hidden="1">'[379]Sept 06'!#REF!</definedName>
    <definedName name="XRefCopy154" hidden="1">'[380]Sept 06'!#REF!</definedName>
    <definedName name="XRefCopy154Row" localSheetId="17" hidden="1">#REF!</definedName>
    <definedName name="XRefCopy154Row" hidden="1">#REF!</definedName>
    <definedName name="XRefCopy155" localSheetId="17" hidden="1">'[379]Sept 06'!#REF!</definedName>
    <definedName name="XRefCopy155" hidden="1">'[380]Sept 06'!#REF!</definedName>
    <definedName name="XRefCopy155Row" localSheetId="17" hidden="1">#REF!</definedName>
    <definedName name="XRefCopy155Row" localSheetId="7" hidden="1">#REF!</definedName>
    <definedName name="XRefCopy155Row" localSheetId="10" hidden="1">#REF!</definedName>
    <definedName name="XRefCopy155Row" localSheetId="9" hidden="1">#REF!</definedName>
    <definedName name="XRefCopy155Row" localSheetId="6" hidden="1">#REF!</definedName>
    <definedName name="XRefCopy155Row" hidden="1">#REF!</definedName>
    <definedName name="XRefCopy156" localSheetId="17" hidden="1">'[379]Sept 06'!#REF!</definedName>
    <definedName name="XRefCopy156" hidden="1">'[380]Sept 06'!#REF!</definedName>
    <definedName name="XRefCopy156Row" localSheetId="17" hidden="1">#REF!</definedName>
    <definedName name="XRefCopy156Row" localSheetId="7" hidden="1">#REF!</definedName>
    <definedName name="XRefCopy156Row" localSheetId="10" hidden="1">#REF!</definedName>
    <definedName name="XRefCopy156Row" localSheetId="9" hidden="1">#REF!</definedName>
    <definedName name="XRefCopy156Row" localSheetId="6" hidden="1">#REF!</definedName>
    <definedName name="XRefCopy156Row" hidden="1">#REF!</definedName>
    <definedName name="XRefCopy157" localSheetId="17" hidden="1">'[379]Sept 06'!#REF!</definedName>
    <definedName name="XRefCopy157" hidden="1">'[380]Sept 06'!#REF!</definedName>
    <definedName name="XRefCopy157Row" localSheetId="17" hidden="1">#REF!</definedName>
    <definedName name="XRefCopy157Row" localSheetId="7" hidden="1">#REF!</definedName>
    <definedName name="XRefCopy157Row" localSheetId="10" hidden="1">#REF!</definedName>
    <definedName name="XRefCopy157Row" localSheetId="9" hidden="1">#REF!</definedName>
    <definedName name="XRefCopy157Row" localSheetId="6" hidden="1">#REF!</definedName>
    <definedName name="XRefCopy157Row" hidden="1">#REF!</definedName>
    <definedName name="XRefCopy158" localSheetId="17" hidden="1">'[379]Sept 06'!#REF!</definedName>
    <definedName name="XRefCopy158" hidden="1">'[380]Sept 06'!#REF!</definedName>
    <definedName name="XRefCopy158Row" localSheetId="17" hidden="1">#REF!</definedName>
    <definedName name="XRefCopy158Row" localSheetId="7" hidden="1">#REF!</definedName>
    <definedName name="XRefCopy158Row" localSheetId="10" hidden="1">#REF!</definedName>
    <definedName name="XRefCopy158Row" localSheetId="9" hidden="1">#REF!</definedName>
    <definedName name="XRefCopy158Row" localSheetId="6" hidden="1">#REF!</definedName>
    <definedName name="XRefCopy158Row" hidden="1">#REF!</definedName>
    <definedName name="XRefCopy159" localSheetId="17" hidden="1">'[379]Sept 06'!#REF!</definedName>
    <definedName name="XRefCopy159" hidden="1">'[380]Sept 06'!#REF!</definedName>
    <definedName name="XRefCopy159Row" localSheetId="17" hidden="1">#REF!</definedName>
    <definedName name="XRefCopy159Row" localSheetId="7" hidden="1">#REF!</definedName>
    <definedName name="XRefCopy159Row" localSheetId="10" hidden="1">#REF!</definedName>
    <definedName name="XRefCopy159Row" localSheetId="9" hidden="1">#REF!</definedName>
    <definedName name="XRefCopy159Row" localSheetId="6" hidden="1">#REF!</definedName>
    <definedName name="XRefCopy159Row" hidden="1">#REF!</definedName>
    <definedName name="XRefCopy15Row" localSheetId="7" hidden="1">#REF!</definedName>
    <definedName name="XRefCopy15Row" localSheetId="10" hidden="1">#REF!</definedName>
    <definedName name="XRefCopy15Row" localSheetId="9" hidden="1">#REF!</definedName>
    <definedName name="XRefCopy15Row" localSheetId="6" hidden="1">#REF!</definedName>
    <definedName name="XRefCopy15Row" hidden="1">#REF!</definedName>
    <definedName name="XRefCopy16" hidden="1">#REF!</definedName>
    <definedName name="XRefCopy160" localSheetId="17" hidden="1">'[379]Sept 06'!#REF!</definedName>
    <definedName name="XRefCopy160" hidden="1">'[380]Sept 06'!#REF!</definedName>
    <definedName name="XRefCopy160Row" localSheetId="17" hidden="1">#REF!</definedName>
    <definedName name="XRefCopy160Row" localSheetId="7" hidden="1">#REF!</definedName>
    <definedName name="XRefCopy160Row" localSheetId="10" hidden="1">#REF!</definedName>
    <definedName name="XRefCopy160Row" localSheetId="9" hidden="1">#REF!</definedName>
    <definedName name="XRefCopy160Row" localSheetId="6" hidden="1">#REF!</definedName>
    <definedName name="XRefCopy160Row" hidden="1">#REF!</definedName>
    <definedName name="XRefCopy161" localSheetId="17" hidden="1">'[379]Sept 06'!#REF!</definedName>
    <definedName name="XRefCopy161" hidden="1">'[380]Sept 06'!#REF!</definedName>
    <definedName name="XRefCopy161Row" localSheetId="17" hidden="1">#REF!</definedName>
    <definedName name="XRefCopy161Row" localSheetId="7" hidden="1">#REF!</definedName>
    <definedName name="XRefCopy161Row" localSheetId="10" hidden="1">#REF!</definedName>
    <definedName name="XRefCopy161Row" localSheetId="9" hidden="1">#REF!</definedName>
    <definedName name="XRefCopy161Row" localSheetId="6" hidden="1">#REF!</definedName>
    <definedName name="XRefCopy161Row" hidden="1">#REF!</definedName>
    <definedName name="XRefCopy162" localSheetId="17" hidden="1">'[379]Sept 06'!#REF!</definedName>
    <definedName name="XRefCopy162" hidden="1">'[380]Sept 06'!#REF!</definedName>
    <definedName name="XRefCopy162Row" localSheetId="17" hidden="1">#REF!</definedName>
    <definedName name="XRefCopy162Row" localSheetId="7" hidden="1">#REF!</definedName>
    <definedName name="XRefCopy162Row" localSheetId="10" hidden="1">#REF!</definedName>
    <definedName name="XRefCopy162Row" localSheetId="9" hidden="1">#REF!</definedName>
    <definedName name="XRefCopy162Row" localSheetId="6" hidden="1">#REF!</definedName>
    <definedName name="XRefCopy162Row" hidden="1">#REF!</definedName>
    <definedName name="XRefCopy163" localSheetId="17" hidden="1">'[379]Sept 06'!#REF!</definedName>
    <definedName name="XRefCopy163" hidden="1">'[380]Sept 06'!#REF!</definedName>
    <definedName name="XRefCopy163Row" localSheetId="17" hidden="1">#REF!</definedName>
    <definedName name="XRefCopy163Row" localSheetId="7" hidden="1">#REF!</definedName>
    <definedName name="XRefCopy163Row" localSheetId="10" hidden="1">#REF!</definedName>
    <definedName name="XRefCopy163Row" localSheetId="9" hidden="1">#REF!</definedName>
    <definedName name="XRefCopy163Row" localSheetId="6" hidden="1">#REF!</definedName>
    <definedName name="XRefCopy163Row" hidden="1">#REF!</definedName>
    <definedName name="XRefCopy164" localSheetId="17" hidden="1">'[379]Sept 06'!#REF!</definedName>
    <definedName name="XRefCopy164" hidden="1">'[380]Sept 06'!#REF!</definedName>
    <definedName name="XRefCopy164Row" localSheetId="17" hidden="1">#REF!</definedName>
    <definedName name="XRefCopy164Row" localSheetId="7" hidden="1">#REF!</definedName>
    <definedName name="XRefCopy164Row" localSheetId="10" hidden="1">#REF!</definedName>
    <definedName name="XRefCopy164Row" localSheetId="9" hidden="1">#REF!</definedName>
    <definedName name="XRefCopy164Row" localSheetId="6" hidden="1">#REF!</definedName>
    <definedName name="XRefCopy164Row" hidden="1">#REF!</definedName>
    <definedName name="XRefCopy165" localSheetId="17" hidden="1">'[379]Sept 06'!#REF!</definedName>
    <definedName name="XRefCopy165" hidden="1">'[380]Sept 06'!#REF!</definedName>
    <definedName name="XRefCopy165Row" localSheetId="17" hidden="1">#REF!</definedName>
    <definedName name="XRefCopy165Row" localSheetId="7" hidden="1">#REF!</definedName>
    <definedName name="XRefCopy165Row" localSheetId="10" hidden="1">#REF!</definedName>
    <definedName name="XRefCopy165Row" localSheetId="9" hidden="1">#REF!</definedName>
    <definedName name="XRefCopy165Row" localSheetId="6" hidden="1">#REF!</definedName>
    <definedName name="XRefCopy165Row" hidden="1">#REF!</definedName>
    <definedName name="XRefCopy166" localSheetId="17" hidden="1">'[379]Sept 06'!#REF!</definedName>
    <definedName name="XRefCopy166" hidden="1">'[380]Sept 06'!#REF!</definedName>
    <definedName name="XRefCopy166Row" localSheetId="17" hidden="1">#REF!</definedName>
    <definedName name="XRefCopy166Row" localSheetId="7" hidden="1">#REF!</definedName>
    <definedName name="XRefCopy166Row" localSheetId="10" hidden="1">#REF!</definedName>
    <definedName name="XRefCopy166Row" localSheetId="9" hidden="1">#REF!</definedName>
    <definedName name="XRefCopy166Row" localSheetId="6" hidden="1">#REF!</definedName>
    <definedName name="XRefCopy166Row" hidden="1">#REF!</definedName>
    <definedName name="XRefCopy167" localSheetId="17" hidden="1">'[379]Sept 06'!#REF!</definedName>
    <definedName name="XRefCopy167" hidden="1">'[380]Sept 06'!#REF!</definedName>
    <definedName name="XRefCopy167Row" localSheetId="17" hidden="1">#REF!</definedName>
    <definedName name="XRefCopy167Row" localSheetId="7" hidden="1">#REF!</definedName>
    <definedName name="XRefCopy167Row" localSheetId="10" hidden="1">#REF!</definedName>
    <definedName name="XRefCopy167Row" localSheetId="9" hidden="1">#REF!</definedName>
    <definedName name="XRefCopy167Row" localSheetId="6" hidden="1">#REF!</definedName>
    <definedName name="XRefCopy167Row" hidden="1">#REF!</definedName>
    <definedName name="XRefCopy168" localSheetId="17" hidden="1">'[379]Sept 06'!#REF!</definedName>
    <definedName name="XRefCopy168" hidden="1">'[380]Sept 06'!#REF!</definedName>
    <definedName name="XRefCopy168Row" localSheetId="17" hidden="1">#REF!</definedName>
    <definedName name="XRefCopy168Row" localSheetId="7" hidden="1">#REF!</definedName>
    <definedName name="XRefCopy168Row" localSheetId="10" hidden="1">#REF!</definedName>
    <definedName name="XRefCopy168Row" localSheetId="9" hidden="1">#REF!</definedName>
    <definedName name="XRefCopy168Row" localSheetId="6" hidden="1">#REF!</definedName>
    <definedName name="XRefCopy168Row" hidden="1">#REF!</definedName>
    <definedName name="XRefCopy169" localSheetId="17" hidden="1">'[379]Sept 06'!#REF!</definedName>
    <definedName name="XRefCopy169" hidden="1">'[380]Sept 06'!#REF!</definedName>
    <definedName name="XRefCopy169Row" localSheetId="17" hidden="1">#REF!</definedName>
    <definedName name="XRefCopy169Row" localSheetId="7" hidden="1">#REF!</definedName>
    <definedName name="XRefCopy169Row" localSheetId="10" hidden="1">#REF!</definedName>
    <definedName name="XRefCopy169Row" localSheetId="9" hidden="1">#REF!</definedName>
    <definedName name="XRefCopy169Row" localSheetId="6" hidden="1">#REF!</definedName>
    <definedName name="XRefCopy169Row" hidden="1">#REF!</definedName>
    <definedName name="XRefCopy16Row" localSheetId="7" hidden="1">#REF!</definedName>
    <definedName name="XRefCopy16Row" localSheetId="10" hidden="1">#REF!</definedName>
    <definedName name="XRefCopy16Row" localSheetId="9" hidden="1">#REF!</definedName>
    <definedName name="XRefCopy16Row" localSheetId="6" hidden="1">#REF!</definedName>
    <definedName name="XRefCopy16Row" hidden="1">#REF!</definedName>
    <definedName name="XRefCopy17" hidden="1">#REF!</definedName>
    <definedName name="XRefCopy170" localSheetId="17" hidden="1">'[379]Sept 06'!#REF!</definedName>
    <definedName name="XRefCopy170" hidden="1">'[380]Sept 06'!#REF!</definedName>
    <definedName name="XRefCopy170Row" localSheetId="17" hidden="1">#REF!</definedName>
    <definedName name="XRefCopy170Row" localSheetId="7" hidden="1">#REF!</definedName>
    <definedName name="XRefCopy170Row" localSheetId="10" hidden="1">#REF!</definedName>
    <definedName name="XRefCopy170Row" localSheetId="9" hidden="1">#REF!</definedName>
    <definedName name="XRefCopy170Row" localSheetId="6" hidden="1">#REF!</definedName>
    <definedName name="XRefCopy170Row" hidden="1">#REF!</definedName>
    <definedName name="XRefCopy171" localSheetId="17" hidden="1">'[379]Sept 06'!#REF!</definedName>
    <definedName name="XRefCopy171" hidden="1">'[380]Sept 06'!#REF!</definedName>
    <definedName name="XRefCopy171Row" localSheetId="17" hidden="1">#REF!</definedName>
    <definedName name="XRefCopy171Row" localSheetId="7" hidden="1">#REF!</definedName>
    <definedName name="XRefCopy171Row" localSheetId="10" hidden="1">#REF!</definedName>
    <definedName name="XRefCopy171Row" localSheetId="9" hidden="1">#REF!</definedName>
    <definedName name="XRefCopy171Row" localSheetId="6" hidden="1">#REF!</definedName>
    <definedName name="XRefCopy171Row" hidden="1">#REF!</definedName>
    <definedName name="XRefCopy172" localSheetId="17" hidden="1">'[379]Sept 06'!#REF!</definedName>
    <definedName name="XRefCopy172" hidden="1">'[380]Sept 06'!#REF!</definedName>
    <definedName name="XRefCopy172Row" localSheetId="17" hidden="1">#REF!</definedName>
    <definedName name="XRefCopy172Row" localSheetId="7" hidden="1">#REF!</definedName>
    <definedName name="XRefCopy172Row" localSheetId="10" hidden="1">#REF!</definedName>
    <definedName name="XRefCopy172Row" localSheetId="9" hidden="1">#REF!</definedName>
    <definedName name="XRefCopy172Row" localSheetId="6" hidden="1">#REF!</definedName>
    <definedName name="XRefCopy172Row" hidden="1">#REF!</definedName>
    <definedName name="XRefCopy173" localSheetId="17" hidden="1">'[379]Sept 06'!#REF!</definedName>
    <definedName name="XRefCopy173" hidden="1">'[380]Sept 06'!#REF!</definedName>
    <definedName name="XRefCopy173Row" localSheetId="17" hidden="1">#REF!</definedName>
    <definedName name="XRefCopy173Row" localSheetId="7" hidden="1">#REF!</definedName>
    <definedName name="XRefCopy173Row" localSheetId="10" hidden="1">#REF!</definedName>
    <definedName name="XRefCopy173Row" localSheetId="9" hidden="1">#REF!</definedName>
    <definedName name="XRefCopy173Row" localSheetId="6" hidden="1">#REF!</definedName>
    <definedName name="XRefCopy173Row" hidden="1">#REF!</definedName>
    <definedName name="XRefCopy174" localSheetId="17" hidden="1">'[379]Sept 06'!#REF!</definedName>
    <definedName name="XRefCopy174" hidden="1">'[380]Sept 06'!#REF!</definedName>
    <definedName name="XRefCopy174Row" localSheetId="17" hidden="1">#REF!</definedName>
    <definedName name="XRefCopy174Row" localSheetId="7" hidden="1">#REF!</definedName>
    <definedName name="XRefCopy174Row" localSheetId="10" hidden="1">#REF!</definedName>
    <definedName name="XRefCopy174Row" localSheetId="9" hidden="1">#REF!</definedName>
    <definedName name="XRefCopy174Row" localSheetId="6" hidden="1">#REF!</definedName>
    <definedName name="XRefCopy174Row" hidden="1">#REF!</definedName>
    <definedName name="XRefCopy175" localSheetId="17" hidden="1">'[379]Sept 06'!#REF!</definedName>
    <definedName name="XRefCopy175" hidden="1">'[380]Sept 06'!#REF!</definedName>
    <definedName name="XRefCopy175Row" localSheetId="17" hidden="1">#REF!</definedName>
    <definedName name="XRefCopy175Row" localSheetId="7" hidden="1">#REF!</definedName>
    <definedName name="XRefCopy175Row" localSheetId="10" hidden="1">#REF!</definedName>
    <definedName name="XRefCopy175Row" localSheetId="9" hidden="1">#REF!</definedName>
    <definedName name="XRefCopy175Row" localSheetId="6" hidden="1">#REF!</definedName>
    <definedName name="XRefCopy175Row" hidden="1">#REF!</definedName>
    <definedName name="XRefCopy176" localSheetId="17" hidden="1">'[379]Sept 06'!#REF!</definedName>
    <definedName name="XRefCopy176" hidden="1">'[380]Sept 06'!#REF!</definedName>
    <definedName name="XRefCopy176Row" localSheetId="17" hidden="1">#REF!</definedName>
    <definedName name="XRefCopy176Row" localSheetId="7" hidden="1">#REF!</definedName>
    <definedName name="XRefCopy176Row" localSheetId="10" hidden="1">#REF!</definedName>
    <definedName name="XRefCopy176Row" localSheetId="9" hidden="1">#REF!</definedName>
    <definedName name="XRefCopy176Row" localSheetId="6" hidden="1">#REF!</definedName>
    <definedName name="XRefCopy176Row" hidden="1">#REF!</definedName>
    <definedName name="XRefCopy177" localSheetId="17" hidden="1">'[379]Sept 06'!#REF!</definedName>
    <definedName name="XRefCopy177" hidden="1">'[380]Sept 06'!#REF!</definedName>
    <definedName name="XRefCopy177Row" localSheetId="17" hidden="1">#REF!</definedName>
    <definedName name="XRefCopy177Row" localSheetId="7" hidden="1">#REF!</definedName>
    <definedName name="XRefCopy177Row" localSheetId="10" hidden="1">#REF!</definedName>
    <definedName name="XRefCopy177Row" localSheetId="9" hidden="1">#REF!</definedName>
    <definedName name="XRefCopy177Row" localSheetId="6" hidden="1">#REF!</definedName>
    <definedName name="XRefCopy177Row" hidden="1">#REF!</definedName>
    <definedName name="XRefCopy178" localSheetId="17" hidden="1">'[379]Sept 06'!#REF!</definedName>
    <definedName name="XRefCopy178" hidden="1">'[380]Sept 06'!#REF!</definedName>
    <definedName name="XRefCopy178Row" localSheetId="17" hidden="1">#REF!</definedName>
    <definedName name="XRefCopy178Row" localSheetId="7" hidden="1">#REF!</definedName>
    <definedName name="XRefCopy178Row" localSheetId="10" hidden="1">#REF!</definedName>
    <definedName name="XRefCopy178Row" localSheetId="9" hidden="1">#REF!</definedName>
    <definedName name="XRefCopy178Row" localSheetId="6" hidden="1">#REF!</definedName>
    <definedName name="XRefCopy178Row" hidden="1">#REF!</definedName>
    <definedName name="XRefCopy179" localSheetId="17" hidden="1">'[379]Sept 06'!#REF!</definedName>
    <definedName name="XRefCopy179" hidden="1">'[380]Sept 06'!#REF!</definedName>
    <definedName name="XRefCopy179Row" localSheetId="17" hidden="1">#REF!</definedName>
    <definedName name="XRefCopy179Row" localSheetId="7" hidden="1">#REF!</definedName>
    <definedName name="XRefCopy179Row" localSheetId="10" hidden="1">#REF!</definedName>
    <definedName name="XRefCopy179Row" localSheetId="9" hidden="1">#REF!</definedName>
    <definedName name="XRefCopy179Row" localSheetId="6" hidden="1">#REF!</definedName>
    <definedName name="XRefCopy179Row" hidden="1">#REF!</definedName>
    <definedName name="XRefCopy17Row" localSheetId="7" hidden="1">#REF!</definedName>
    <definedName name="XRefCopy17Row" localSheetId="10" hidden="1">#REF!</definedName>
    <definedName name="XRefCopy17Row" localSheetId="9" hidden="1">#REF!</definedName>
    <definedName name="XRefCopy17Row" localSheetId="6" hidden="1">#REF!</definedName>
    <definedName name="XRefCopy17Row" hidden="1">#REF!</definedName>
    <definedName name="XRefCopy18" localSheetId="7" hidden="1">'[381]Annexure-3B '!#REF!</definedName>
    <definedName name="XRefCopy18" localSheetId="10" hidden="1">'[381]Annexure-3B '!#REF!</definedName>
    <definedName name="XRefCopy18" localSheetId="9" hidden="1">'[381]Annexure-3B '!#REF!</definedName>
    <definedName name="XRefCopy18" localSheetId="6" hidden="1">'[381]Annexure-3B '!#REF!</definedName>
    <definedName name="XRefCopy18" hidden="1">#REF!</definedName>
    <definedName name="XRefCopy180" localSheetId="17" hidden="1">'[379]Sept 06'!#REF!</definedName>
    <definedName name="XRefCopy180" hidden="1">'[380]Sept 06'!#REF!</definedName>
    <definedName name="XRefCopy180Row" localSheetId="17" hidden="1">#REF!</definedName>
    <definedName name="XRefCopy180Row" localSheetId="7" hidden="1">#REF!</definedName>
    <definedName name="XRefCopy180Row" localSheetId="10" hidden="1">#REF!</definedName>
    <definedName name="XRefCopy180Row" localSheetId="9" hidden="1">#REF!</definedName>
    <definedName name="XRefCopy180Row" localSheetId="6" hidden="1">#REF!</definedName>
    <definedName name="XRefCopy180Row" hidden="1">#REF!</definedName>
    <definedName name="XRefCopy181" localSheetId="17" hidden="1">'[379]Sept 06'!#REF!</definedName>
    <definedName name="XRefCopy181" hidden="1">'[380]Sept 06'!#REF!</definedName>
    <definedName name="XRefCopy181Row" localSheetId="17" hidden="1">#REF!</definedName>
    <definedName name="XRefCopy181Row" localSheetId="7" hidden="1">#REF!</definedName>
    <definedName name="XRefCopy181Row" localSheetId="10" hidden="1">#REF!</definedName>
    <definedName name="XRefCopy181Row" localSheetId="9" hidden="1">#REF!</definedName>
    <definedName name="XRefCopy181Row" localSheetId="6" hidden="1">#REF!</definedName>
    <definedName name="XRefCopy181Row" hidden="1">#REF!</definedName>
    <definedName name="XRefCopy182" localSheetId="17" hidden="1">'[379]Sept 06'!#REF!</definedName>
    <definedName name="XRefCopy182" hidden="1">'[380]Sept 06'!#REF!</definedName>
    <definedName name="XRefCopy182Row" localSheetId="17" hidden="1">#REF!</definedName>
    <definedName name="XRefCopy182Row" localSheetId="7" hidden="1">#REF!</definedName>
    <definedName name="XRefCopy182Row" localSheetId="10" hidden="1">#REF!</definedName>
    <definedName name="XRefCopy182Row" localSheetId="9" hidden="1">#REF!</definedName>
    <definedName name="XRefCopy182Row" localSheetId="6" hidden="1">#REF!</definedName>
    <definedName name="XRefCopy182Row" hidden="1">#REF!</definedName>
    <definedName name="XRefCopy183" localSheetId="17" hidden="1">'[379]Sept 06'!#REF!</definedName>
    <definedName name="XRefCopy183" hidden="1">'[380]Sept 06'!#REF!</definedName>
    <definedName name="XRefCopy183Row" localSheetId="17" hidden="1">#REF!</definedName>
    <definedName name="XRefCopy183Row" localSheetId="7" hidden="1">#REF!</definedName>
    <definedName name="XRefCopy183Row" localSheetId="10" hidden="1">#REF!</definedName>
    <definedName name="XRefCopy183Row" localSheetId="9" hidden="1">#REF!</definedName>
    <definedName name="XRefCopy183Row" localSheetId="6" hidden="1">#REF!</definedName>
    <definedName name="XRefCopy183Row" hidden="1">#REF!</definedName>
    <definedName name="XRefCopy184" localSheetId="17" hidden="1">'[379]Sept 06'!#REF!</definedName>
    <definedName name="XRefCopy184" hidden="1">'[380]Sept 06'!#REF!</definedName>
    <definedName name="XRefCopy184Row" localSheetId="17" hidden="1">#REF!</definedName>
    <definedName name="XRefCopy184Row" localSheetId="7" hidden="1">#REF!</definedName>
    <definedName name="XRefCopy184Row" localSheetId="10" hidden="1">#REF!</definedName>
    <definedName name="XRefCopy184Row" localSheetId="9" hidden="1">#REF!</definedName>
    <definedName name="XRefCopy184Row" localSheetId="6" hidden="1">#REF!</definedName>
    <definedName name="XRefCopy184Row" hidden="1">#REF!</definedName>
    <definedName name="XRefCopy185" localSheetId="17" hidden="1">'[379]Sept 06'!#REF!</definedName>
    <definedName name="XRefCopy185" hidden="1">'[380]Sept 06'!#REF!</definedName>
    <definedName name="XRefCopy185Row" localSheetId="17" hidden="1">#REF!</definedName>
    <definedName name="XRefCopy185Row" hidden="1">#REF!</definedName>
    <definedName name="XRefCopy186Row" localSheetId="7" hidden="1">#REF!</definedName>
    <definedName name="XRefCopy186Row" localSheetId="10" hidden="1">#REF!</definedName>
    <definedName name="XRefCopy186Row" localSheetId="9" hidden="1">#REF!</definedName>
    <definedName name="XRefCopy186Row" localSheetId="6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" localSheetId="7" hidden="1">'[381]Annexure-3B '!#REF!</definedName>
    <definedName name="XRefCopy19" localSheetId="10" hidden="1">'[381]Annexure-3B '!#REF!</definedName>
    <definedName name="XRefCopy19" localSheetId="9" hidden="1">'[381]Annexure-3B '!#REF!</definedName>
    <definedName name="XRefCopy19" localSheetId="6" hidden="1">'[381]Annexure-3B '!#REF!</definedName>
    <definedName name="XRefCopy19" hidden="1">#REF!</definedName>
    <definedName name="XRefCopy190Row" localSheetId="7" hidden="1">#REF!</definedName>
    <definedName name="XRefCopy190Row" localSheetId="10" hidden="1">#REF!</definedName>
    <definedName name="XRefCopy190Row" localSheetId="9" hidden="1">#REF!</definedName>
    <definedName name="XRefCopy190Row" localSheetId="6" hidden="1">#REF!</definedName>
    <definedName name="XRefCopy190Row" hidden="1">#REF!</definedName>
    <definedName name="XRefCopy191Row" hidden="1">#REF!</definedName>
    <definedName name="XRefCopy192Row" hidden="1">#REF!</definedName>
    <definedName name="XRefCopy193Row" hidden="1">#REF!</definedName>
    <definedName name="XRefCopy194Row" hidden="1">#REF!</definedName>
    <definedName name="XRefCopy195Row" hidden="1">#REF!</definedName>
    <definedName name="XRefCopy196Row" hidden="1">#REF!</definedName>
    <definedName name="XRefCopy197Row" hidden="1">#REF!</definedName>
    <definedName name="XRefCopy198Row" hidden="1">#REF!</definedName>
    <definedName name="XRefCopy19Row" hidden="1">#REF!</definedName>
    <definedName name="XRefCopy1Row" hidden="1">#REF!</definedName>
    <definedName name="XRefCopy2" localSheetId="7" hidden="1">'[374]NETTING OFF-Mar-15'!#REF!</definedName>
    <definedName name="XRefCopy2" localSheetId="10" hidden="1">'[374]NETTING OFF-Mar-15'!#REF!</definedName>
    <definedName name="XRefCopy2" localSheetId="9" hidden="1">'[374]NETTING OFF-Mar-15'!#REF!</definedName>
    <definedName name="XRefCopy2" localSheetId="6" hidden="1">'[374]NETTING OFF-Mar-15'!#REF!</definedName>
    <definedName name="XRefCopy2" hidden="1">[368]blockwise!#REF!</definedName>
    <definedName name="XRefCopy20" localSheetId="17" hidden="1">#REF!</definedName>
    <definedName name="XRefCopy20" localSheetId="7" hidden="1">#REF!</definedName>
    <definedName name="XRefCopy20" localSheetId="10" hidden="1">#REF!</definedName>
    <definedName name="XRefCopy20" localSheetId="9" hidden="1">#REF!</definedName>
    <definedName name="XRefCopy20" localSheetId="6" hidden="1">#REF!</definedName>
    <definedName name="XRefCopy20" hidden="1">#REF!</definedName>
    <definedName name="XRefCopy200Row" hidden="1">#REF!</definedName>
    <definedName name="XRefCopy201Row" hidden="1">#REF!</definedName>
    <definedName name="XRefCopy202Row" hidden="1">#REF!</definedName>
    <definedName name="XRefCopy203Row" hidden="1">#REF!</definedName>
    <definedName name="XRefCopy204Row" hidden="1">#REF!</definedName>
    <definedName name="XRefCopy205Row" hidden="1">#REF!</definedName>
    <definedName name="XRefCopy206Row" hidden="1">#REF!</definedName>
    <definedName name="XRefCopy207Row" hidden="1">#REF!</definedName>
    <definedName name="XRefCopy208Row" hidden="1">#REF!</definedName>
    <definedName name="XRefCopy209Row" hidden="1">#REF!</definedName>
    <definedName name="XRefCopy20Row" localSheetId="7" hidden="1">#REF!</definedName>
    <definedName name="XRefCopy20Row" localSheetId="10" hidden="1">#REF!</definedName>
    <definedName name="XRefCopy20Row" localSheetId="9" hidden="1">#REF!</definedName>
    <definedName name="XRefCopy20Row" localSheetId="6" hidden="1">#REF!</definedName>
    <definedName name="XRefCopy20Row" hidden="1">#REF!</definedName>
    <definedName name="XRefCopy21" hidden="1">#REF!</definedName>
    <definedName name="XRefCopy210Row" hidden="1">#REF!</definedName>
    <definedName name="XRefCopy211Row" hidden="1">#REF!</definedName>
    <definedName name="XRefCopy212Row" hidden="1">#REF!</definedName>
    <definedName name="XRefCopy213Row" hidden="1">#REF!</definedName>
    <definedName name="XRefCopy214Row" hidden="1">#REF!</definedName>
    <definedName name="XRefCopy215Row" hidden="1">#REF!</definedName>
    <definedName name="XRefCopy216Row" hidden="1">#REF!</definedName>
    <definedName name="XRefCopy217Row" hidden="1">#REF!</definedName>
    <definedName name="XRefCopy218Row" hidden="1">#REF!</definedName>
    <definedName name="XRefCopy219Row" hidden="1">#REF!</definedName>
    <definedName name="XRefCopy21Row" hidden="1">#REF!</definedName>
    <definedName name="XRefCopy22" hidden="1">#REF!</definedName>
    <definedName name="XRefCopy220Row" hidden="1">#REF!</definedName>
    <definedName name="XRefCopy221Row" hidden="1">#REF!</definedName>
    <definedName name="XRefCopy222Row" hidden="1">#REF!</definedName>
    <definedName name="XRefCopy223Row" hidden="1">#REF!</definedName>
    <definedName name="XRefCopy224Row" hidden="1">#REF!</definedName>
    <definedName name="XRefCopy225Row" hidden="1">#REF!</definedName>
    <definedName name="XRefCopy22Row" hidden="1">#REF!</definedName>
    <definedName name="XRefCopy23" hidden="1">#REF!</definedName>
    <definedName name="XRefCopy230Row" hidden="1">#REF!</definedName>
    <definedName name="XRefCopy231Row" hidden="1">#REF!</definedName>
    <definedName name="XRefCopy232Row" hidden="1">#REF!</definedName>
    <definedName name="XRefCopy233Row" hidden="1">#REF!</definedName>
    <definedName name="XRefCopy234Row" hidden="1">#REF!</definedName>
    <definedName name="XRefCopy235Row" hidden="1">#REF!</definedName>
    <definedName name="XRefCopy236Row" hidden="1">#REF!</definedName>
    <definedName name="XRefCopy237Row" hidden="1">#REF!</definedName>
    <definedName name="XRefCopy23Row" hidden="1">#REF!</definedName>
    <definedName name="XRefCopy24" hidden="1">#REF!</definedName>
    <definedName name="XRefCopy240Row" hidden="1">#REF!</definedName>
    <definedName name="XRefCopy241Row" hidden="1">#REF!</definedName>
    <definedName name="XRefCopy242Row" hidden="1">#REF!</definedName>
    <definedName name="XRefCopy243Row" hidden="1">#REF!</definedName>
    <definedName name="XRefCopy244Row" hidden="1">#REF!</definedName>
    <definedName name="XRefCopy245Row" hidden="1">#REF!</definedName>
    <definedName name="XRefCopy246Row" hidden="1">#REF!</definedName>
    <definedName name="XRefCopy24Row" hidden="1">#REF!</definedName>
    <definedName name="XRefCopy25" hidden="1">#REF!</definedName>
    <definedName name="XRefCopy254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localSheetId="7" hidden="1">#REF!</definedName>
    <definedName name="XRefCopy3" localSheetId="10" hidden="1">#REF!</definedName>
    <definedName name="XRefCopy3" localSheetId="9" hidden="1">#REF!</definedName>
    <definedName name="XRefCopy3" localSheetId="6" hidden="1">#REF!</definedName>
    <definedName name="XRefCopy3" hidden="1">[368]blockwise!#REF!</definedName>
    <definedName name="XRefCopy30" localSheetId="17" hidden="1">#REF!</definedName>
    <definedName name="XRefCopy30" localSheetId="7" hidden="1">#REF!</definedName>
    <definedName name="XRefCopy30" localSheetId="10" hidden="1">#REF!</definedName>
    <definedName name="XRefCopy30" localSheetId="9" hidden="1">#REF!</definedName>
    <definedName name="XRefCopy30" localSheetId="6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localSheetId="7" hidden="1">#REF!</definedName>
    <definedName name="XRefCopy33Row" localSheetId="10" hidden="1">#REF!</definedName>
    <definedName name="XRefCopy33Row" localSheetId="9" hidden="1">#REF!</definedName>
    <definedName name="XRefCopy33Row" localSheetId="6" hidden="1">#REF!</definedName>
    <definedName name="XRefCopy33Row" hidden="1">[382]XREF!#REF!</definedName>
    <definedName name="XRefCopy34" localSheetId="7" hidden="1">#REF!</definedName>
    <definedName name="XRefCopy34" localSheetId="10" hidden="1">#REF!</definedName>
    <definedName name="XRefCopy34" localSheetId="9" hidden="1">#REF!</definedName>
    <definedName name="XRefCopy34" localSheetId="6" hidden="1">#REF!</definedName>
    <definedName name="XRefCopy34" hidden="1">'[372]Leasehold mprovements'!#REF!</definedName>
    <definedName name="XRefCopy34Row" localSheetId="17" hidden="1">#REF!</definedName>
    <definedName name="XRefCopy34Row" localSheetId="7" hidden="1">#REF!</definedName>
    <definedName name="XRefCopy34Row" localSheetId="10" hidden="1">#REF!</definedName>
    <definedName name="XRefCopy34Row" localSheetId="9" hidden="1">#REF!</definedName>
    <definedName name="XRefCopy34Row" localSheetId="6" hidden="1">#REF!</definedName>
    <definedName name="XRefCopy34Row" hidden="1">#REF!</definedName>
    <definedName name="XRefCopy35" localSheetId="7" hidden="1">#REF!</definedName>
    <definedName name="XRefCopy35" localSheetId="10" hidden="1">#REF!</definedName>
    <definedName name="XRefCopy35" localSheetId="9" hidden="1">#REF!</definedName>
    <definedName name="XRefCopy35" localSheetId="6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localSheetId="7" hidden="1">[383]XREF!#REF!</definedName>
    <definedName name="XRefCopy3Row" localSheetId="10" hidden="1">[383]XREF!#REF!</definedName>
    <definedName name="XRefCopy3Row" localSheetId="9" hidden="1">[383]XREF!#REF!</definedName>
    <definedName name="XRefCopy3Row" localSheetId="6" hidden="1">[383]XREF!#REF!</definedName>
    <definedName name="XRefCopy3Row" hidden="1">#REF!</definedName>
    <definedName name="XRefCopy4" localSheetId="7" hidden="1">#REF!</definedName>
    <definedName name="XRefCopy4" localSheetId="10" hidden="1">#REF!</definedName>
    <definedName name="XRefCopy4" localSheetId="9" hidden="1">#REF!</definedName>
    <definedName name="XRefCopy4" localSheetId="6" hidden="1">#REF!</definedName>
    <definedName name="XRefCopy4" hidden="1">[368]blockwise!#REF!</definedName>
    <definedName name="XRefCopy40" localSheetId="17" hidden="1">#REF!</definedName>
    <definedName name="XRefCopy40" localSheetId="7" hidden="1">#REF!</definedName>
    <definedName name="XRefCopy40" localSheetId="10" hidden="1">#REF!</definedName>
    <definedName name="XRefCopy40" localSheetId="9" hidden="1">#REF!</definedName>
    <definedName name="XRefCopy40" localSheetId="6" hidden="1">#REF!</definedName>
    <definedName name="XRefCopy40" hidden="1">#REF!</definedName>
    <definedName name="XRefCopy40Row" hidden="1">#REF!</definedName>
    <definedName name="XRefCopy41" localSheetId="7" hidden="1">#REF!</definedName>
    <definedName name="XRefCopy41" localSheetId="10" hidden="1">#REF!</definedName>
    <definedName name="XRefCopy41" localSheetId="9" hidden="1">#REF!</definedName>
    <definedName name="XRefCopy41" localSheetId="6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localSheetId="7" hidden="1">#REF!</definedName>
    <definedName name="XRefCopy43Row" localSheetId="10" hidden="1">#REF!</definedName>
    <definedName name="XRefCopy43Row" localSheetId="9" hidden="1">#REF!</definedName>
    <definedName name="XRefCopy43Row" localSheetId="6" hidden="1">#REF!</definedName>
    <definedName name="XRefCopy43Row" hidden="1">[384]XREF!#REF!</definedName>
    <definedName name="XRefCopy44" localSheetId="17" hidden="1">#REF!</definedName>
    <definedName name="XRefCopy44" localSheetId="7" hidden="1">#REF!</definedName>
    <definedName name="XRefCopy44" localSheetId="10" hidden="1">#REF!</definedName>
    <definedName name="XRefCopy44" localSheetId="9" hidden="1">#REF!</definedName>
    <definedName name="XRefCopy44" localSheetId="6" hidden="1">#REF!</definedName>
    <definedName name="XRefCopy44" hidden="1">#REF!</definedName>
    <definedName name="XRefCopy44Row" localSheetId="7" hidden="1">#REF!</definedName>
    <definedName name="XRefCopy44Row" localSheetId="10" hidden="1">#REF!</definedName>
    <definedName name="XRefCopy44Row" localSheetId="9" hidden="1">#REF!</definedName>
    <definedName name="XRefCopy44Row" localSheetId="6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localSheetId="7" hidden="1">#REF!</definedName>
    <definedName name="XRefCopy5" localSheetId="10" hidden="1">#REF!</definedName>
    <definedName name="XRefCopy5" localSheetId="9" hidden="1">#REF!</definedName>
    <definedName name="XRefCopy5" localSheetId="6" hidden="1">#REF!</definedName>
    <definedName name="XRefCopy5" hidden="1">[368]blockwise!#REF!</definedName>
    <definedName name="XRefCopy50" localSheetId="17" hidden="1">#REF!</definedName>
    <definedName name="XRefCopy50" localSheetId="7" hidden="1">#REF!</definedName>
    <definedName name="XRefCopy50" localSheetId="10" hidden="1">#REF!</definedName>
    <definedName name="XRefCopy50" localSheetId="9" hidden="1">#REF!</definedName>
    <definedName name="XRefCopy50" localSheetId="6" hidden="1">#REF!</definedName>
    <definedName name="XRefCopy50" hidden="1">#REF!</definedName>
    <definedName name="XRefCopy50Row" hidden="1">#REF!</definedName>
    <definedName name="XRefCopy51" hidden="1">#REF!</definedName>
    <definedName name="XRefCopy51Row" localSheetId="7" hidden="1">#REF!</definedName>
    <definedName name="XRefCopy51Row" localSheetId="10" hidden="1">#REF!</definedName>
    <definedName name="XRefCopy51Row" localSheetId="9" hidden="1">#REF!</definedName>
    <definedName name="XRefCopy51Row" localSheetId="6" hidden="1">#REF!</definedName>
    <definedName name="XRefCopy51Row" hidden="1">[385]XREF!#REF!</definedName>
    <definedName name="XRefCopy52" localSheetId="17" hidden="1">#REF!</definedName>
    <definedName name="XRefCopy52" hidden="1">#REF!</definedName>
    <definedName name="XRefCopy52Row" localSheetId="7" hidden="1">#REF!</definedName>
    <definedName name="XRefCopy52Row" localSheetId="10" hidden="1">#REF!</definedName>
    <definedName name="XRefCopy52Row" localSheetId="9" hidden="1">#REF!</definedName>
    <definedName name="XRefCopy52Row" localSheetId="6" hidden="1">#REF!</definedName>
    <definedName name="XRefCopy52Row" hidden="1">#REF!</definedName>
    <definedName name="XRefCopy53" hidden="1">#REF!</definedName>
    <definedName name="XRefCopy53Row" localSheetId="7" hidden="1">#REF!</definedName>
    <definedName name="XRefCopy53Row" localSheetId="10" hidden="1">#REF!</definedName>
    <definedName name="XRefCopy53Row" localSheetId="9" hidden="1">#REF!</definedName>
    <definedName name="XRefCopy53Row" localSheetId="6" hidden="1">#REF!</definedName>
    <definedName name="XRefCopy53Row" hidden="1">[385]XREF!#REF!</definedName>
    <definedName name="XRefCopy54" localSheetId="17" hidden="1">#REF!</definedName>
    <definedName name="XRefCopy54" localSheetId="7" hidden="1">#REF!</definedName>
    <definedName name="XRefCopy54" localSheetId="10" hidden="1">#REF!</definedName>
    <definedName name="XRefCopy54" localSheetId="9" hidden="1">#REF!</definedName>
    <definedName name="XRefCopy54" localSheetId="6" hidden="1">#REF!</definedName>
    <definedName name="XRefCopy54" hidden="1">#REF!</definedName>
    <definedName name="XRefCopy54Row" localSheetId="7" hidden="1">#REF!</definedName>
    <definedName name="XRefCopy54Row" localSheetId="10" hidden="1">#REF!</definedName>
    <definedName name="XRefCopy54Row" localSheetId="9" hidden="1">#REF!</definedName>
    <definedName name="XRefCopy54Row" localSheetId="6" hidden="1">#REF!</definedName>
    <definedName name="XRefCopy54Row" hidden="1">#REF!</definedName>
    <definedName name="XRefCopy55" hidden="1">#REF!</definedName>
    <definedName name="XRefCopy55Row" localSheetId="7" hidden="1">#REF!</definedName>
    <definedName name="XRefCopy55Row" localSheetId="10" hidden="1">#REF!</definedName>
    <definedName name="XRefCopy55Row" localSheetId="9" hidden="1">#REF!</definedName>
    <definedName name="XRefCopy55Row" localSheetId="6" hidden="1">#REF!</definedName>
    <definedName name="XRefCopy55Row" hidden="1">[385]XREF!#REF!</definedName>
    <definedName name="XRefCopy56" localSheetId="17" hidden="1">#REF!</definedName>
    <definedName name="XRefCopy56" localSheetId="7" hidden="1">#REF!</definedName>
    <definedName name="XRefCopy56" localSheetId="10" hidden="1">#REF!</definedName>
    <definedName name="XRefCopy56" localSheetId="9" hidden="1">#REF!</definedName>
    <definedName name="XRefCopy56" localSheetId="6" hidden="1">#REF!</definedName>
    <definedName name="XRefCopy56" hidden="1">#REF!</definedName>
    <definedName name="XRefCopy56Row" localSheetId="7" hidden="1">#REF!</definedName>
    <definedName name="XRefCopy56Row" localSheetId="10" hidden="1">#REF!</definedName>
    <definedName name="XRefCopy56Row" localSheetId="9" hidden="1">#REF!</definedName>
    <definedName name="XRefCopy56Row" localSheetId="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localSheetId="7" hidden="1">#REF!</definedName>
    <definedName name="XRefCopy6" localSheetId="10" hidden="1">#REF!</definedName>
    <definedName name="XRefCopy6" localSheetId="9" hidden="1">#REF!</definedName>
    <definedName name="XRefCopy6" localSheetId="6" hidden="1">#REF!</definedName>
    <definedName name="XRefCopy6" hidden="1">[368]blockwise!#REF!</definedName>
    <definedName name="XRefCopy60" localSheetId="17" hidden="1">#REF!</definedName>
    <definedName name="XRefCopy60" localSheetId="7" hidden="1">#REF!</definedName>
    <definedName name="XRefCopy60" localSheetId="10" hidden="1">#REF!</definedName>
    <definedName name="XRefCopy60" localSheetId="9" hidden="1">#REF!</definedName>
    <definedName name="XRefCopy60" localSheetId="6" hidden="1">#REF!</definedName>
    <definedName name="XRefCopy60" hidden="1">#REF!</definedName>
    <definedName name="XRefCopy60Row" localSheetId="7" hidden="1">#REF!</definedName>
    <definedName name="XRefCopy60Row" localSheetId="10" hidden="1">#REF!</definedName>
    <definedName name="XRefCopy60Row" localSheetId="9" hidden="1">#REF!</definedName>
    <definedName name="XRefCopy60Row" localSheetId="6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localSheetId="7" hidden="1">#REF!</definedName>
    <definedName name="XRefCopy7" localSheetId="10" hidden="1">#REF!</definedName>
    <definedName name="XRefCopy7" localSheetId="9" hidden="1">#REF!</definedName>
    <definedName name="XRefCopy7" localSheetId="6" hidden="1">#REF!</definedName>
    <definedName name="XRefCopy7" hidden="1">[368]blockwise!#REF!</definedName>
    <definedName name="XRefCopy70" localSheetId="17" hidden="1">#REF!</definedName>
    <definedName name="XRefCopy70" localSheetId="7" hidden="1">#REF!</definedName>
    <definedName name="XRefCopy70" localSheetId="10" hidden="1">#REF!</definedName>
    <definedName name="XRefCopy70" localSheetId="9" hidden="1">#REF!</definedName>
    <definedName name="XRefCopy70" localSheetId="6" hidden="1">#REF!</definedName>
    <definedName name="XRefCopy70" hidden="1">#REF!</definedName>
    <definedName name="XRefCopy70Row" localSheetId="7" hidden="1">#REF!</definedName>
    <definedName name="XRefCopy70Row" localSheetId="10" hidden="1">#REF!</definedName>
    <definedName name="XRefCopy70Row" localSheetId="9" hidden="1">#REF!</definedName>
    <definedName name="XRefCopy70Row" localSheetId="6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localSheetId="7" hidden="1">#REF!</definedName>
    <definedName name="XRefCopy73Row" localSheetId="10" hidden="1">#REF!</definedName>
    <definedName name="XRefCopy73Row" localSheetId="9" hidden="1">#REF!</definedName>
    <definedName name="XRefCopy73Row" localSheetId="6" hidden="1">#REF!</definedName>
    <definedName name="XRefCopy73Row" hidden="1">[386]XREF!$A$95:$IV$95</definedName>
    <definedName name="XRefCopy74" localSheetId="17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localSheetId="7" hidden="1">#REF!</definedName>
    <definedName name="XRefCopy76" localSheetId="10" hidden="1">#REF!</definedName>
    <definedName name="XRefCopy76" localSheetId="9" hidden="1">#REF!</definedName>
    <definedName name="XRefCopy76" localSheetId="6" hidden="1">#REF!</definedName>
    <definedName name="XRefCopy76" hidden="1">'[372]Leasehold mprovements'!#REF!</definedName>
    <definedName name="XRefCopy76Row" localSheetId="7" hidden="1">#REF!</definedName>
    <definedName name="XRefCopy76Row" localSheetId="10" hidden="1">#REF!</definedName>
    <definedName name="XRefCopy76Row" localSheetId="9" hidden="1">#REF!</definedName>
    <definedName name="XRefCopy76Row" localSheetId="6" hidden="1">#REF!</definedName>
    <definedName name="XRefCopy76Row" hidden="1">[372]XREF!#REF!</definedName>
    <definedName name="XRefCopy77" localSheetId="17" hidden="1">[370]TopSheet!#REF!</definedName>
    <definedName name="XRefCopy77" localSheetId="7" hidden="1">#REF!</definedName>
    <definedName name="XRefCopy77" localSheetId="10" hidden="1">#REF!</definedName>
    <definedName name="XRefCopy77" localSheetId="9" hidden="1">#REF!</definedName>
    <definedName name="XRefCopy77" localSheetId="6" hidden="1">#REF!</definedName>
    <definedName name="XRefCopy77" hidden="1">[371]TopSheet!#REF!</definedName>
    <definedName name="XRefCopy77Row" localSheetId="17" hidden="1">#REF!</definedName>
    <definedName name="XRefCopy77Row" localSheetId="7" hidden="1">#REF!</definedName>
    <definedName name="XRefCopy77Row" localSheetId="10" hidden="1">#REF!</definedName>
    <definedName name="XRefCopy77Row" localSheetId="9" hidden="1">#REF!</definedName>
    <definedName name="XRefCopy77Row" localSheetId="6" hidden="1">#REF!</definedName>
    <definedName name="XRefCopy77Row" hidden="1">#REF!</definedName>
    <definedName name="XRefCopy78" localSheetId="17" hidden="1">[370]TopSheet!#REF!</definedName>
    <definedName name="XRefCopy78" localSheetId="7" hidden="1">#REF!</definedName>
    <definedName name="XRefCopy78" localSheetId="10" hidden="1">#REF!</definedName>
    <definedName name="XRefCopy78" localSheetId="9" hidden="1">#REF!</definedName>
    <definedName name="XRefCopy78" localSheetId="6" hidden="1">#REF!</definedName>
    <definedName name="XRefCopy78" hidden="1">[371]TopSheet!#REF!</definedName>
    <definedName name="XRefCopy78Row" localSheetId="17" hidden="1">#REF!</definedName>
    <definedName name="XRefCopy78Row" hidden="1">#REF!</definedName>
    <definedName name="XRefCopy79" localSheetId="17" hidden="1">[370]TopSheet!#REF!</definedName>
    <definedName name="XRefCopy79" localSheetId="7" hidden="1">#REF!</definedName>
    <definedName name="XRefCopy79" localSheetId="10" hidden="1">#REF!</definedName>
    <definedName name="XRefCopy79" localSheetId="9" hidden="1">#REF!</definedName>
    <definedName name="XRefCopy79" localSheetId="6" hidden="1">#REF!</definedName>
    <definedName name="XRefCopy79" hidden="1">[371]TopSheet!#REF!</definedName>
    <definedName name="XRefCopy79Row" localSheetId="17" hidden="1">#REF!</definedName>
    <definedName name="XRefCopy79Row" hidden="1">#REF!</definedName>
    <definedName name="XRefCopy7Row" localSheetId="7" hidden="1">#REF!</definedName>
    <definedName name="XRefCopy7Row" localSheetId="10" hidden="1">#REF!</definedName>
    <definedName name="XRefCopy7Row" localSheetId="9" hidden="1">#REF!</definedName>
    <definedName name="XRefCopy7Row" localSheetId="6" hidden="1">#REF!</definedName>
    <definedName name="XRefCopy7Row" hidden="1">#REF!</definedName>
    <definedName name="XRefCopy8" localSheetId="7" hidden="1">#REF!</definedName>
    <definedName name="XRefCopy8" localSheetId="10" hidden="1">#REF!</definedName>
    <definedName name="XRefCopy8" localSheetId="9" hidden="1">#REF!</definedName>
    <definedName name="XRefCopy8" localSheetId="6" hidden="1">#REF!</definedName>
    <definedName name="XRefCopy8" hidden="1">[368]blockwise!#REF!</definedName>
    <definedName name="XRefCopy80" localSheetId="17" hidden="1">[370]TopSheet!#REF!</definedName>
    <definedName name="XRefCopy80" localSheetId="7" hidden="1">#REF!</definedName>
    <definedName name="XRefCopy80" localSheetId="10" hidden="1">#REF!</definedName>
    <definedName name="XRefCopy80" localSheetId="9" hidden="1">#REF!</definedName>
    <definedName name="XRefCopy80" localSheetId="6" hidden="1">#REF!</definedName>
    <definedName name="XRefCopy80" hidden="1">[371]TopSheet!#REF!</definedName>
    <definedName name="XRefCopy80Row" localSheetId="7" hidden="1">#REF!</definedName>
    <definedName name="XRefCopy80Row" localSheetId="10" hidden="1">#REF!</definedName>
    <definedName name="XRefCopy80Row" localSheetId="9" hidden="1">#REF!</definedName>
    <definedName name="XRefCopy80Row" localSheetId="6" hidden="1">#REF!</definedName>
    <definedName name="XRefCopy80Row" hidden="1">[385]XREF!#REF!</definedName>
    <definedName name="XRefCopy81" localSheetId="17" hidden="1">[370]TopSheet!#REF!</definedName>
    <definedName name="XRefCopy81" localSheetId="7" hidden="1">#REF!</definedName>
    <definedName name="XRefCopy81" localSheetId="10" hidden="1">#REF!</definedName>
    <definedName name="XRefCopy81" localSheetId="9" hidden="1">#REF!</definedName>
    <definedName name="XRefCopy81" localSheetId="6" hidden="1">#REF!</definedName>
    <definedName name="XRefCopy81" hidden="1">[371]TopSheet!#REF!</definedName>
    <definedName name="XRefCopy81Row" localSheetId="7" hidden="1">#REF!</definedName>
    <definedName name="XRefCopy81Row" localSheetId="10" hidden="1">#REF!</definedName>
    <definedName name="XRefCopy81Row" localSheetId="9" hidden="1">#REF!</definedName>
    <definedName name="XRefCopy81Row" localSheetId="6" hidden="1">#REF!</definedName>
    <definedName name="XRefCopy81Row" hidden="1">[385]XREF!#REF!</definedName>
    <definedName name="XRefCopy82" localSheetId="17" hidden="1">#REF!</definedName>
    <definedName name="XRefCopy82" localSheetId="7" hidden="1">#REF!</definedName>
    <definedName name="XRefCopy82" localSheetId="10" hidden="1">#REF!</definedName>
    <definedName name="XRefCopy82" localSheetId="9" hidden="1">#REF!</definedName>
    <definedName name="XRefCopy82" localSheetId="6" hidden="1">#REF!</definedName>
    <definedName name="XRefCopy82" hidden="1">#REF!</definedName>
    <definedName name="XRefCopy82Row" localSheetId="7" hidden="1">#REF!</definedName>
    <definedName name="XRefCopy82Row" localSheetId="10" hidden="1">#REF!</definedName>
    <definedName name="XRefCopy82Row" localSheetId="9" hidden="1">#REF!</definedName>
    <definedName name="XRefCopy82Row" localSheetId="6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localSheetId="7" hidden="1">#REF!</definedName>
    <definedName name="XRefCopy86Row" localSheetId="10" hidden="1">#REF!</definedName>
    <definedName name="XRefCopy86Row" localSheetId="9" hidden="1">#REF!</definedName>
    <definedName name="XRefCopy86Row" localSheetId="6" hidden="1">#REF!</definedName>
    <definedName name="XRefCopy86Row" hidden="1">[385]XREF!#REF!</definedName>
    <definedName name="XRefCopy87" localSheetId="17" hidden="1">#REF!</definedName>
    <definedName name="XRefCopy87" localSheetId="7" hidden="1">#REF!</definedName>
    <definedName name="XRefCopy87" localSheetId="10" hidden="1">#REF!</definedName>
    <definedName name="XRefCopy87" localSheetId="9" hidden="1">#REF!</definedName>
    <definedName name="XRefCopy87" localSheetId="6" hidden="1">#REF!</definedName>
    <definedName name="XRefCopy87" hidden="1">#REF!</definedName>
    <definedName name="XRefCopy87Row" localSheetId="17" hidden="1">[385]XREF!#REF!</definedName>
    <definedName name="XRefCopy87Row" localSheetId="7" hidden="1">#REF!</definedName>
    <definedName name="XRefCopy87Row" localSheetId="10" hidden="1">#REF!</definedName>
    <definedName name="XRefCopy87Row" localSheetId="9" hidden="1">#REF!</definedName>
    <definedName name="XRefCopy87Row" localSheetId="6" hidden="1">#REF!</definedName>
    <definedName name="XRefCopy87Row" hidden="1">[385]XREF!#REF!</definedName>
    <definedName name="XRefCopy88" localSheetId="17" hidden="1">#REF!</definedName>
    <definedName name="XRefCopy88" localSheetId="7" hidden="1">#REF!</definedName>
    <definedName name="XRefCopy88" localSheetId="10" hidden="1">#REF!</definedName>
    <definedName name="XRefCopy88" localSheetId="9" hidden="1">#REF!</definedName>
    <definedName name="XRefCopy88" localSheetId="6" hidden="1">#REF!</definedName>
    <definedName name="XRefCopy88" hidden="1">#REF!</definedName>
    <definedName name="XRefCopy88Row" localSheetId="7" hidden="1">#REF!</definedName>
    <definedName name="XRefCopy88Row" localSheetId="10" hidden="1">#REF!</definedName>
    <definedName name="XRefCopy88Row" localSheetId="9" hidden="1">#REF!</definedName>
    <definedName name="XRefCopy88Row" localSheetId="6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localSheetId="7" hidden="1">#REF!</definedName>
    <definedName name="XRefCopy9" localSheetId="10" hidden="1">#REF!</definedName>
    <definedName name="XRefCopy9" localSheetId="9" hidden="1">#REF!</definedName>
    <definedName name="XRefCopy9" localSheetId="6" hidden="1">#REF!</definedName>
    <definedName name="XRefCopy9" hidden="1">[368]blockwise!#REF!</definedName>
    <definedName name="XRefCopy90" localSheetId="17" hidden="1">[370]TopSheet!#REF!</definedName>
    <definedName name="XRefCopy90" localSheetId="7" hidden="1">#REF!</definedName>
    <definedName name="XRefCopy90" localSheetId="10" hidden="1">#REF!</definedName>
    <definedName name="XRefCopy90" localSheetId="9" hidden="1">#REF!</definedName>
    <definedName name="XRefCopy90" localSheetId="6" hidden="1">#REF!</definedName>
    <definedName name="XRefCopy90" hidden="1">[371]TopSheet!#REF!</definedName>
    <definedName name="XRefCopy90Row" localSheetId="7" hidden="1">#REF!</definedName>
    <definedName name="XRefCopy90Row" localSheetId="10" hidden="1">#REF!</definedName>
    <definedName name="XRefCopy90Row" localSheetId="9" hidden="1">#REF!</definedName>
    <definedName name="XRefCopy90Row" localSheetId="6" hidden="1">#REF!</definedName>
    <definedName name="XRefCopy90Row" hidden="1">[385]XREF!#REF!</definedName>
    <definedName name="XRefCopy91" localSheetId="17" hidden="1">[370]TopSheet!#REF!</definedName>
    <definedName name="XRefCopy91" localSheetId="7" hidden="1">#REF!</definedName>
    <definedName name="XRefCopy91" localSheetId="10" hidden="1">#REF!</definedName>
    <definedName name="XRefCopy91" localSheetId="9" hidden="1">#REF!</definedName>
    <definedName name="XRefCopy91" localSheetId="6" hidden="1">#REF!</definedName>
    <definedName name="XRefCopy91" hidden="1">[371]TopSheet!#REF!</definedName>
    <definedName name="XRefCopy91Row" localSheetId="17" hidden="1">#REF!</definedName>
    <definedName name="XRefCopy91Row" localSheetId="7" hidden="1">#REF!</definedName>
    <definedName name="XRefCopy91Row" localSheetId="10" hidden="1">#REF!</definedName>
    <definedName name="XRefCopy91Row" localSheetId="9" hidden="1">#REF!</definedName>
    <definedName name="XRefCopy91Row" localSheetId="6" hidden="1">#REF!</definedName>
    <definedName name="XRefCopy91Row" hidden="1">#REF!</definedName>
    <definedName name="XRefCopy92" localSheetId="17" hidden="1">[370]TopSheet!#REF!</definedName>
    <definedName name="XRefCopy92" localSheetId="7" hidden="1">#REF!</definedName>
    <definedName name="XRefCopy92" localSheetId="10" hidden="1">#REF!</definedName>
    <definedName name="XRefCopy92" localSheetId="9" hidden="1">#REF!</definedName>
    <definedName name="XRefCopy92" localSheetId="6" hidden="1">#REF!</definedName>
    <definedName name="XRefCopy92" hidden="1">[371]TopSheet!#REF!</definedName>
    <definedName name="XRefCopy92Row" localSheetId="7" hidden="1">#REF!</definedName>
    <definedName name="XRefCopy92Row" localSheetId="10" hidden="1">#REF!</definedName>
    <definedName name="XRefCopy92Row" localSheetId="9" hidden="1">#REF!</definedName>
    <definedName name="XRefCopy92Row" localSheetId="6" hidden="1">#REF!</definedName>
    <definedName name="XRefCopy92Row" hidden="1">[385]XREF!#REF!</definedName>
    <definedName name="XRefCopy93" localSheetId="17" hidden="1">[370]TopSheet!#REF!</definedName>
    <definedName name="XRefCopy93" localSheetId="7" hidden="1">#REF!</definedName>
    <definedName name="XRefCopy93" localSheetId="10" hidden="1">#REF!</definedName>
    <definedName name="XRefCopy93" localSheetId="9" hidden="1">#REF!</definedName>
    <definedName name="XRefCopy93" localSheetId="6" hidden="1">#REF!</definedName>
    <definedName name="XRefCopy93" hidden="1">[371]TopSheet!#REF!</definedName>
    <definedName name="XRefCopy93Row" localSheetId="7" hidden="1">#REF!</definedName>
    <definedName name="XRefCopy93Row" localSheetId="10" hidden="1">#REF!</definedName>
    <definedName name="XRefCopy93Row" localSheetId="9" hidden="1">#REF!</definedName>
    <definedName name="XRefCopy93Row" localSheetId="6" hidden="1">#REF!</definedName>
    <definedName name="XRefCopy93Row" hidden="1">[385]XREF!#REF!</definedName>
    <definedName name="XRefCopy94" localSheetId="17" hidden="1">[370]TopSheet!#REF!</definedName>
    <definedName name="XRefCopy94" localSheetId="7" hidden="1">#REF!</definedName>
    <definedName name="XRefCopy94" localSheetId="10" hidden="1">#REF!</definedName>
    <definedName name="XRefCopy94" localSheetId="9" hidden="1">#REF!</definedName>
    <definedName name="XRefCopy94" localSheetId="6" hidden="1">#REF!</definedName>
    <definedName name="XRefCopy94" hidden="1">[371]TopSheet!#REF!</definedName>
    <definedName name="XRefCopy94Row" localSheetId="7" hidden="1">#REF!</definedName>
    <definedName name="XRefCopy94Row" localSheetId="10" hidden="1">#REF!</definedName>
    <definedName name="XRefCopy94Row" localSheetId="9" hidden="1">#REF!</definedName>
    <definedName name="XRefCopy94Row" localSheetId="6" hidden="1">#REF!</definedName>
    <definedName name="XRefCopy94Row" hidden="1">[385]XREF!#REF!</definedName>
    <definedName name="XRefCopy95" localSheetId="17" hidden="1">[370]TopSheet!#REF!</definedName>
    <definedName name="XRefCopy95" localSheetId="7" hidden="1">#REF!</definedName>
    <definedName name="XRefCopy95" localSheetId="10" hidden="1">#REF!</definedName>
    <definedName name="XRefCopy95" localSheetId="9" hidden="1">#REF!</definedName>
    <definedName name="XRefCopy95" localSheetId="6" hidden="1">#REF!</definedName>
    <definedName name="XRefCopy95" hidden="1">[371]TopSheet!#REF!</definedName>
    <definedName name="XRefCopy95Row" localSheetId="7" hidden="1">#REF!</definedName>
    <definedName name="XRefCopy95Row" localSheetId="10" hidden="1">#REF!</definedName>
    <definedName name="XRefCopy95Row" localSheetId="9" hidden="1">#REF!</definedName>
    <definedName name="XRefCopy95Row" localSheetId="6" hidden="1">#REF!</definedName>
    <definedName name="XRefCopy95Row" hidden="1">[385]XREF!#REF!</definedName>
    <definedName name="XRefCopy96" localSheetId="17" hidden="1">[370]TopSheet!#REF!</definedName>
    <definedName name="XRefCopy96" localSheetId="7" hidden="1">#REF!</definedName>
    <definedName name="XRefCopy96" localSheetId="10" hidden="1">#REF!</definedName>
    <definedName name="XRefCopy96" localSheetId="9" hidden="1">#REF!</definedName>
    <definedName name="XRefCopy96" localSheetId="6" hidden="1">#REF!</definedName>
    <definedName name="XRefCopy96" hidden="1">[371]TopSheet!#REF!</definedName>
    <definedName name="XRefCopy96Row" localSheetId="7" hidden="1">#REF!</definedName>
    <definedName name="XRefCopy96Row" localSheetId="10" hidden="1">#REF!</definedName>
    <definedName name="XRefCopy96Row" localSheetId="9" hidden="1">#REF!</definedName>
    <definedName name="XRefCopy96Row" localSheetId="6" hidden="1">#REF!</definedName>
    <definedName name="XRefCopy96Row" hidden="1">[385]XREF!#REF!</definedName>
    <definedName name="XRefCopy97" localSheetId="17" hidden="1">[370]TopSheet!#REF!</definedName>
    <definedName name="XRefCopy97" localSheetId="7" hidden="1">#REF!</definedName>
    <definedName name="XRefCopy97" localSheetId="10" hidden="1">#REF!</definedName>
    <definedName name="XRefCopy97" localSheetId="9" hidden="1">#REF!</definedName>
    <definedName name="XRefCopy97" localSheetId="6" hidden="1">#REF!</definedName>
    <definedName name="XRefCopy97" hidden="1">[371]TopSheet!#REF!</definedName>
    <definedName name="XRefCopy97Row" localSheetId="7" hidden="1">#REF!</definedName>
    <definedName name="XRefCopy97Row" localSheetId="10" hidden="1">#REF!</definedName>
    <definedName name="XRefCopy97Row" localSheetId="9" hidden="1">#REF!</definedName>
    <definedName name="XRefCopy97Row" localSheetId="6" hidden="1">#REF!</definedName>
    <definedName name="XRefCopy97Row" hidden="1">[385]XREF!#REF!</definedName>
    <definedName name="XRefCopy98" localSheetId="17" hidden="1">[370]TopSheet!#REF!</definedName>
    <definedName name="XRefCopy98" localSheetId="7" hidden="1">#REF!</definedName>
    <definedName name="XRefCopy98" localSheetId="10" hidden="1">#REF!</definedName>
    <definedName name="XRefCopy98" localSheetId="9" hidden="1">#REF!</definedName>
    <definedName name="XRefCopy98" localSheetId="6" hidden="1">#REF!</definedName>
    <definedName name="XRefCopy98" hidden="1">[371]TopSheet!#REF!</definedName>
    <definedName name="XRefCopy98Row" hidden="1">#REF!</definedName>
    <definedName name="XRefCopy99" localSheetId="17" hidden="1">[370]TopSheet!#REF!</definedName>
    <definedName name="XRefCopy99" hidden="1">[371]TopSheet!#REF!</definedName>
    <definedName name="XRefCopy99Row" hidden="1">#REF!</definedName>
    <definedName name="XRefCopy9Row" localSheetId="17" hidden="1">#REF!</definedName>
    <definedName name="XRefCopy9Row" localSheetId="7" hidden="1">#REF!</definedName>
    <definedName name="XRefCopy9Row" localSheetId="10" hidden="1">#REF!</definedName>
    <definedName name="XRefCopy9Row" localSheetId="9" hidden="1">#REF!</definedName>
    <definedName name="XRefCopy9Row" localSheetId="6" hidden="1">#REF!</definedName>
    <definedName name="XRefCopy9Row" hidden="1">#REF!</definedName>
    <definedName name="XRefCopyRangeCount" localSheetId="7" hidden="1">101</definedName>
    <definedName name="XRefCopyRangeCount" localSheetId="10" hidden="1">101</definedName>
    <definedName name="XRefCopyRangeCount" localSheetId="9" hidden="1">101</definedName>
    <definedName name="XRefCopyRangeCount" localSheetId="6" hidden="1">101</definedName>
    <definedName name="XRefCopyRangeCount" hidden="1">42</definedName>
    <definedName name="XRefPaste1" localSheetId="17" hidden="1">[368]blockwise!#REF!</definedName>
    <definedName name="XRefPaste1" localSheetId="7" hidden="1">#REF!</definedName>
    <definedName name="XRefPaste1" localSheetId="10" hidden="1">#REF!</definedName>
    <definedName name="XRefPaste1" localSheetId="9" hidden="1">#REF!</definedName>
    <definedName name="XRefPaste1" localSheetId="6" hidden="1">#REF!</definedName>
    <definedName name="XRefPaste1" hidden="1">[368]blockwise!#REF!</definedName>
    <definedName name="XRefPaste10" localSheetId="17" hidden="1">[362]DPE!#REF!</definedName>
    <definedName name="XRefPaste10" localSheetId="7" hidden="1">#REF!</definedName>
    <definedName name="XRefPaste10" localSheetId="10" hidden="1">#REF!</definedName>
    <definedName name="XRefPaste10" localSheetId="9" hidden="1">#REF!</definedName>
    <definedName name="XRefPaste10" localSheetId="6" hidden="1">#REF!</definedName>
    <definedName name="XRefPaste10" hidden="1">[363]DPE!#REF!</definedName>
    <definedName name="XRefPaste100" localSheetId="17" hidden="1">#REF!</definedName>
    <definedName name="XRefPaste100" hidden="1">#REF!</definedName>
    <definedName name="XRefPaste100Row" hidden="1">[386]XREF!$A$106:$IV$106</definedName>
    <definedName name="XRefPaste101" localSheetId="17" hidden="1">#REF!</definedName>
    <definedName name="XRefPaste101" hidden="1">#REF!</definedName>
    <definedName name="XRefPaste101Row" hidden="1">[386]XREF!$A$110:$IV$110</definedName>
    <definedName name="XRefPaste102" localSheetId="17" hidden="1">#REF!</definedName>
    <definedName name="XRefPaste102" hidden="1">#REF!</definedName>
    <definedName name="XRefPaste102Row" hidden="1">[386]XREF!$A$114:$IV$114</definedName>
    <definedName name="XRefPaste103" localSheetId="17" hidden="1">#REF!</definedName>
    <definedName name="XRefPaste103" hidden="1">#REF!</definedName>
    <definedName name="XRefPaste103Row" hidden="1">[386]XREF!$A$116:$IV$116</definedName>
    <definedName name="XRefPaste104" localSheetId="17" hidden="1">#REF!</definedName>
    <definedName name="XRefPaste104" hidden="1">#REF!</definedName>
    <definedName name="XRefPaste104Row" hidden="1">[386]XREF!$A$119:$IV$119</definedName>
    <definedName name="XRefPaste105" localSheetId="17" hidden="1">#REF!</definedName>
    <definedName name="XRefPaste105" hidden="1">#REF!</definedName>
    <definedName name="XRefPaste105Row" hidden="1">[386]XREF!$A$122:$IV$122</definedName>
    <definedName name="XRefPaste106" localSheetId="17" hidden="1">#REF!</definedName>
    <definedName name="XRefPaste106" hidden="1">#REF!</definedName>
    <definedName name="XRefPaste106Row" hidden="1">[386]XREF!$A$123:$IV$123</definedName>
    <definedName name="XRefPaste107" localSheetId="17" hidden="1">#REF!</definedName>
    <definedName name="XRefPaste107" hidden="1">#REF!</definedName>
    <definedName name="XRefPaste107Row" hidden="1">[386]XREF!$A$124:$IV$124</definedName>
    <definedName name="XRefPaste108" localSheetId="17" hidden="1">#REF!</definedName>
    <definedName name="XRefPaste108" hidden="1">#REF!</definedName>
    <definedName name="XRefPaste108Row" hidden="1">[386]XREF!$A$132:$IV$132</definedName>
    <definedName name="XRefPaste109" localSheetId="17" hidden="1">#REF!</definedName>
    <definedName name="XRefPaste109" hidden="1">#REF!</definedName>
    <definedName name="XRefPaste109Row" hidden="1">[386]XREF!$A$134:$IV$134</definedName>
    <definedName name="XRefPaste10Row" localSheetId="17" hidden="1">#REF!</definedName>
    <definedName name="XRefPaste10Row" localSheetId="7" hidden="1">[387]XREF!#REF!</definedName>
    <definedName name="XRefPaste10Row" localSheetId="10" hidden="1">[387]XREF!#REF!</definedName>
    <definedName name="XRefPaste10Row" localSheetId="9" hidden="1">[387]XREF!#REF!</definedName>
    <definedName name="XRefPaste10Row" localSheetId="6" hidden="1">[387]XREF!#REF!</definedName>
    <definedName name="XRefPaste10Row" hidden="1">#REF!</definedName>
    <definedName name="XRefPaste11" localSheetId="17" hidden="1">[362]DPE!#REF!</definedName>
    <definedName name="XRefPaste11" localSheetId="7" hidden="1">#REF!</definedName>
    <definedName name="XRefPaste11" localSheetId="10" hidden="1">#REF!</definedName>
    <definedName name="XRefPaste11" localSheetId="9" hidden="1">#REF!</definedName>
    <definedName name="XRefPaste11" localSheetId="6" hidden="1">#REF!</definedName>
    <definedName name="XRefPaste11" hidden="1">[363]DPE!#REF!</definedName>
    <definedName name="XRefPaste110" localSheetId="17" hidden="1">#REF!</definedName>
    <definedName name="XRefPaste110" hidden="1">#REF!</definedName>
    <definedName name="XRefPaste110Row" hidden="1">[386]XREF!$A$135:$IV$135</definedName>
    <definedName name="XRefPaste111" localSheetId="17" hidden="1">#REF!</definedName>
    <definedName name="XRefPaste111" hidden="1">#REF!</definedName>
    <definedName name="XRefPaste111Row" hidden="1">[386]XREF!$A$136:$IV$136</definedName>
    <definedName name="XRefPaste112" localSheetId="17" hidden="1">#REF!</definedName>
    <definedName name="XRefPaste112" hidden="1">#REF!</definedName>
    <definedName name="XRefPaste112Row" hidden="1">[386]XREF!$A$138:$IV$138</definedName>
    <definedName name="XRefPaste113" localSheetId="17" hidden="1">#REF!</definedName>
    <definedName name="XRefPaste113" hidden="1">#REF!</definedName>
    <definedName name="XRefPaste113Row" hidden="1">#REF!</definedName>
    <definedName name="XRefPaste114" localSheetId="17" hidden="1">'[379]Sept 06'!#REF!</definedName>
    <definedName name="XRefPaste114" hidden="1">'[380]Sept 06'!#REF!</definedName>
    <definedName name="XRefPaste114Row" localSheetId="17" hidden="1">#REF!</definedName>
    <definedName name="XRefPaste114Row" hidden="1">#REF!</definedName>
    <definedName name="XRefPaste11Row" localSheetId="7" hidden="1">#REF!</definedName>
    <definedName name="XRefPaste11Row" localSheetId="10" hidden="1">#REF!</definedName>
    <definedName name="XRefPaste11Row" localSheetId="9" hidden="1">#REF!</definedName>
    <definedName name="XRefPaste11Row" localSheetId="6" hidden="1">#REF!</definedName>
    <definedName name="XRefPaste11Row" hidden="1">#REF!</definedName>
    <definedName name="XRefPaste12" localSheetId="7" hidden="1">#REF!</definedName>
    <definedName name="XRefPaste12" localSheetId="10" hidden="1">#REF!</definedName>
    <definedName name="XRefPaste12" localSheetId="9" hidden="1">#REF!</definedName>
    <definedName name="XRefPaste12" localSheetId="6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localSheetId="17" hidden="1">'[362]F &amp; F PY'!#REF!</definedName>
    <definedName name="XRefPaste2" localSheetId="7" hidden="1">#REF!</definedName>
    <definedName name="XRefPaste2" localSheetId="10" hidden="1">#REF!</definedName>
    <definedName name="XRefPaste2" localSheetId="9" hidden="1">#REF!</definedName>
    <definedName name="XRefPaste2" localSheetId="6" hidden="1">#REF!</definedName>
    <definedName name="XRefPaste2" hidden="1">'[363]F &amp; F PY'!#REF!</definedName>
    <definedName name="XRefPaste20" localSheetId="17" hidden="1">#REF!</definedName>
    <definedName name="XRefPaste20" localSheetId="7" hidden="1">#REF!</definedName>
    <definedName name="XRefPaste20" localSheetId="10" hidden="1">#REF!</definedName>
    <definedName name="XRefPaste20" localSheetId="9" hidden="1">#REF!</definedName>
    <definedName name="XRefPaste20" localSheetId="6" hidden="1">#REF!</definedName>
    <definedName name="XRefPaste20" hidden="1">#REF!</definedName>
    <definedName name="XRefPaste20Row" localSheetId="7" hidden="1">#REF!</definedName>
    <definedName name="XRefPaste20Row" localSheetId="10" hidden="1">#REF!</definedName>
    <definedName name="XRefPaste20Row" localSheetId="9" hidden="1">#REF!</definedName>
    <definedName name="XRefPaste20Row" localSheetId="6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[372]XREF!#REF!</definedName>
    <definedName name="XRefPaste27" localSheetId="17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localSheetId="7" hidden="1">[387]XREF!#REF!</definedName>
    <definedName name="XRefPaste29Row" localSheetId="10" hidden="1">[387]XREF!#REF!</definedName>
    <definedName name="XRefPaste29Row" localSheetId="9" hidden="1">[387]XREF!#REF!</definedName>
    <definedName name="XRefPaste29Row" localSheetId="6" hidden="1">[387]XREF!#REF!</definedName>
    <definedName name="XRefPaste29Row" hidden="1">#REF!</definedName>
    <definedName name="XRefPaste2Row" localSheetId="7" hidden="1">[383]XREF!#REF!</definedName>
    <definedName name="XRefPaste2Row" localSheetId="10" hidden="1">[383]XREF!#REF!</definedName>
    <definedName name="XRefPaste2Row" localSheetId="9" hidden="1">[383]XREF!#REF!</definedName>
    <definedName name="XRefPaste2Row" localSheetId="6" hidden="1">[383]XREF!#REF!</definedName>
    <definedName name="XRefPaste2Row" hidden="1">[382]XREF!#REF!</definedName>
    <definedName name="XRefPaste3" localSheetId="17" hidden="1">'[362]F &amp; F PY'!#REF!</definedName>
    <definedName name="XRefPaste3" localSheetId="7" hidden="1">#REF!</definedName>
    <definedName name="XRefPaste3" localSheetId="10" hidden="1">#REF!</definedName>
    <definedName name="XRefPaste3" localSheetId="9" hidden="1">#REF!</definedName>
    <definedName name="XRefPaste3" localSheetId="6" hidden="1">#REF!</definedName>
    <definedName name="XRefPaste3" hidden="1">'[363]F &amp; F PY'!#REF!</definedName>
    <definedName name="XRefPaste30" localSheetId="17" hidden="1">#REF!</definedName>
    <definedName name="XRefPaste30" localSheetId="7" hidden="1">#REF!</definedName>
    <definedName name="XRefPaste30" localSheetId="10" hidden="1">#REF!</definedName>
    <definedName name="XRefPaste30" localSheetId="9" hidden="1">#REF!</definedName>
    <definedName name="XRefPaste30" localSheetId="6" hidden="1">#REF!</definedName>
    <definedName name="XRefPaste30" hidden="1">#REF!</definedName>
    <definedName name="XRefPaste30Row" hidden="1">#REF!</definedName>
    <definedName name="XRefPaste31" hidden="1">#REF!</definedName>
    <definedName name="XRefPaste31Row" localSheetId="7" hidden="1">#REF!</definedName>
    <definedName name="XRefPaste31Row" localSheetId="10" hidden="1">#REF!</definedName>
    <definedName name="XRefPaste31Row" localSheetId="9" hidden="1">#REF!</definedName>
    <definedName name="XRefPaste31Row" localSheetId="6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localSheetId="17" hidden="1">'[362]F &amp; F PY'!#REF!</definedName>
    <definedName name="XRefPaste4" localSheetId="7" hidden="1">#REF!</definedName>
    <definedName name="XRefPaste4" localSheetId="10" hidden="1">#REF!</definedName>
    <definedName name="XRefPaste4" localSheetId="9" hidden="1">#REF!</definedName>
    <definedName name="XRefPaste4" localSheetId="6" hidden="1">#REF!</definedName>
    <definedName name="XRefPaste4" hidden="1">'[363]F &amp; F PY'!#REF!</definedName>
    <definedName name="XRefPaste40" localSheetId="17" hidden="1">#REF!</definedName>
    <definedName name="XRefPaste40" localSheetId="7" hidden="1">#REF!</definedName>
    <definedName name="XRefPaste40" localSheetId="10" hidden="1">#REF!</definedName>
    <definedName name="XRefPaste40" localSheetId="9" hidden="1">#REF!</definedName>
    <definedName name="XRefPaste40" localSheetId="6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#N/A</definedName>
    <definedName name="XRefPaste54Row" localSheetId="17" hidden="1">#REF!</definedName>
    <definedName name="XRefPaste54Row" hidden="1">#REF!</definedName>
    <definedName name="XRefPaste55" hidden="1">#REF!</definedName>
    <definedName name="XRefPaste55Row" hidden="1">#REF!</definedName>
    <definedName name="XRefPaste56" hidden="1">[388]Lead!#REF!</definedName>
    <definedName name="XRefPaste56Row" localSheetId="17" hidden="1">#REF!</definedName>
    <definedName name="XRefPaste56Row" hidden="1">#REF!</definedName>
    <definedName name="XRefPaste57" localSheetId="7" hidden="1">#REF!</definedName>
    <definedName name="XRefPaste57" localSheetId="10" hidden="1">#REF!</definedName>
    <definedName name="XRefPaste57" localSheetId="9" hidden="1">#REF!</definedName>
    <definedName name="XRefPaste57" localSheetId="6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localSheetId="17" hidden="1">[389]XREF!#REF!</definedName>
    <definedName name="XRefPaste5Row" localSheetId="7" hidden="1">#REF!</definedName>
    <definedName name="XRefPaste5Row" localSheetId="10" hidden="1">#REF!</definedName>
    <definedName name="XRefPaste5Row" localSheetId="9" hidden="1">#REF!</definedName>
    <definedName name="XRefPaste5Row" localSheetId="6" hidden="1">#REF!</definedName>
    <definedName name="XRefPaste5Row" hidden="1">[390]XREF!#REF!</definedName>
    <definedName name="XRefPaste6" localSheetId="17" hidden="1">'[362]O Equip.'!#REF!</definedName>
    <definedName name="XRefPaste6" localSheetId="7" hidden="1">#REF!</definedName>
    <definedName name="XRefPaste6" localSheetId="10" hidden="1">#REF!</definedName>
    <definedName name="XRefPaste6" localSheetId="9" hidden="1">#REF!</definedName>
    <definedName name="XRefPaste6" localSheetId="6" hidden="1">#REF!</definedName>
    <definedName name="XRefPaste6" hidden="1">'[363]O Equip.'!#REF!</definedName>
    <definedName name="XRefPaste60" localSheetId="17" hidden="1">#REF!</definedName>
    <definedName name="XRefPaste60" localSheetId="7" hidden="1">#REF!</definedName>
    <definedName name="XRefPaste60" localSheetId="10" hidden="1">#REF!</definedName>
    <definedName name="XRefPaste60" localSheetId="9" hidden="1">#REF!</definedName>
    <definedName name="XRefPaste60" localSheetId="6" hidden="1">#REF!</definedName>
    <definedName name="XRefPaste60" hidden="1">#REF!</definedName>
    <definedName name="XRefPaste60Row" localSheetId="7" hidden="1">#REF!</definedName>
    <definedName name="XRefPaste60Row" localSheetId="10" hidden="1">#REF!</definedName>
    <definedName name="XRefPaste60Row" localSheetId="9" hidden="1">#REF!</definedName>
    <definedName name="XRefPaste60Row" localSheetId="6" hidden="1">#REF!</definedName>
    <definedName name="XRefPaste60Row" hidden="1">#REF!</definedName>
    <definedName name="XRefPaste61" hidden="1">#REF!</definedName>
    <definedName name="XRefPaste61Row" hidden="1">#REF!</definedName>
    <definedName name="XRefPaste62" hidden="1">#REF!</definedName>
    <definedName name="XRefPaste62Row" hidden="1">#REF!</definedName>
    <definedName name="XRefPaste63" localSheetId="7" hidden="1">#REF!</definedName>
    <definedName name="XRefPaste63" localSheetId="10" hidden="1">#REF!</definedName>
    <definedName name="XRefPaste63" localSheetId="9" hidden="1">#REF!</definedName>
    <definedName name="XRefPaste63" localSheetId="6" hidden="1">#REF!</definedName>
    <definedName name="XRefPaste63" hidden="1">[388]Lead!#REF!</definedName>
    <definedName name="XRefPaste63Row" localSheetId="17" hidden="1">#REF!</definedName>
    <definedName name="XRefPaste63Row" localSheetId="7" hidden="1">#REF!</definedName>
    <definedName name="XRefPaste63Row" localSheetId="10" hidden="1">#REF!</definedName>
    <definedName name="XRefPaste63Row" localSheetId="9" hidden="1">#REF!</definedName>
    <definedName name="XRefPaste63Row" localSheetId="6" hidden="1">#REF!</definedName>
    <definedName name="XRefPaste63Row" hidden="1">#REF!</definedName>
    <definedName name="XRefPaste64" localSheetId="17" hidden="1">[388]Lead!#REF!</definedName>
    <definedName name="XRefPaste64" localSheetId="7" hidden="1">#REF!</definedName>
    <definedName name="XRefPaste64" localSheetId="10" hidden="1">#REF!</definedName>
    <definedName name="XRefPaste64" localSheetId="9" hidden="1">#REF!</definedName>
    <definedName name="XRefPaste64" localSheetId="6" hidden="1">#REF!</definedName>
    <definedName name="XRefPaste64" hidden="1">[388]Lead!#REF!</definedName>
    <definedName name="XRefPaste64Row" localSheetId="17" hidden="1">#REF!</definedName>
    <definedName name="XRefPaste64Row" localSheetId="7" hidden="1">#REF!</definedName>
    <definedName name="XRefPaste64Row" localSheetId="10" hidden="1">#REF!</definedName>
    <definedName name="XRefPaste64Row" localSheetId="9" hidden="1">#REF!</definedName>
    <definedName name="XRefPaste64Row" localSheetId="6" hidden="1">#REF!</definedName>
    <definedName name="XRefPaste64Row" hidden="1">#REF!</definedName>
    <definedName name="XRefPaste65" localSheetId="7" hidden="1">#REF!</definedName>
    <definedName name="XRefPaste65" localSheetId="10" hidden="1">#REF!</definedName>
    <definedName name="XRefPaste65" localSheetId="9" hidden="1">#REF!</definedName>
    <definedName name="XRefPaste65" localSheetId="6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localSheetId="17" hidden="1">'[362]O Equip.'!#REF!</definedName>
    <definedName name="XRefPaste7" localSheetId="7" hidden="1">#REF!</definedName>
    <definedName name="XRefPaste7" localSheetId="10" hidden="1">#REF!</definedName>
    <definedName name="XRefPaste7" localSheetId="9" hidden="1">#REF!</definedName>
    <definedName name="XRefPaste7" localSheetId="6" hidden="1">#REF!</definedName>
    <definedName name="XRefPaste7" hidden="1">'[363]O Equip.'!#REF!</definedName>
    <definedName name="XRefPaste70" localSheetId="17" hidden="1">#REF!</definedName>
    <definedName name="XRefPaste70" localSheetId="7" hidden="1">#REF!</definedName>
    <definedName name="XRefPaste70" localSheetId="10" hidden="1">#REF!</definedName>
    <definedName name="XRefPaste70" localSheetId="9" hidden="1">#REF!</definedName>
    <definedName name="XRefPaste70" localSheetId="6" hidden="1">#REF!</definedName>
    <definedName name="XRefPaste70" hidden="1">#REF!</definedName>
    <definedName name="XRefPaste70Row" localSheetId="7" hidden="1">#REF!</definedName>
    <definedName name="XRefPaste70Row" localSheetId="10" hidden="1">#REF!</definedName>
    <definedName name="XRefPaste70Row" localSheetId="9" hidden="1">#REF!</definedName>
    <definedName name="XRefPaste70Row" localSheetId="6" hidden="1">#REF!</definedName>
    <definedName name="XRefPaste70Row" hidden="1">#REF!</definedName>
    <definedName name="XRefPaste71" localSheetId="7" hidden="1">#REF!</definedName>
    <definedName name="XRefPaste71" localSheetId="10" hidden="1">#REF!</definedName>
    <definedName name="XRefPaste71" localSheetId="9" hidden="1">#REF!</definedName>
    <definedName name="XRefPaste71" localSheetId="6" hidden="1">#REF!</definedName>
    <definedName name="XRefPaste71" hidden="1">[388]Lead!#REF!</definedName>
    <definedName name="XRefPaste71Row" localSheetId="17" hidden="1">#REF!</definedName>
    <definedName name="XRefPaste71Row" localSheetId="7" hidden="1">#REF!</definedName>
    <definedName name="XRefPaste71Row" localSheetId="10" hidden="1">#REF!</definedName>
    <definedName name="XRefPaste71Row" localSheetId="9" hidden="1">#REF!</definedName>
    <definedName name="XRefPaste71Row" localSheetId="6" hidden="1">#REF!</definedName>
    <definedName name="XRefPaste71Row" hidden="1">#REF!</definedName>
    <definedName name="XRefPaste72" localSheetId="17" hidden="1">[388]Lead!#REF!</definedName>
    <definedName name="XRefPaste72" localSheetId="7" hidden="1">#REF!</definedName>
    <definedName name="XRefPaste72" localSheetId="10" hidden="1">#REF!</definedName>
    <definedName name="XRefPaste72" localSheetId="9" hidden="1">#REF!</definedName>
    <definedName name="XRefPaste72" localSheetId="6" hidden="1">#REF!</definedName>
    <definedName name="XRefPaste72" hidden="1">[388]Lead!#REF!</definedName>
    <definedName name="XRefPaste72Row" localSheetId="17" hidden="1">#REF!</definedName>
    <definedName name="XRefPaste72Row" localSheetId="7" hidden="1">#REF!</definedName>
    <definedName name="XRefPaste72Row" localSheetId="10" hidden="1">#REF!</definedName>
    <definedName name="XRefPaste72Row" localSheetId="9" hidden="1">#REF!</definedName>
    <definedName name="XRefPaste72Row" localSheetId="6" hidden="1">#REF!</definedName>
    <definedName name="XRefPaste72Row" hidden="1">#REF!</definedName>
    <definedName name="XRefPaste73" localSheetId="7" hidden="1">#REF!</definedName>
    <definedName name="XRefPaste73" localSheetId="10" hidden="1">#REF!</definedName>
    <definedName name="XRefPaste73" localSheetId="9" hidden="1">#REF!</definedName>
    <definedName name="XRefPaste73" localSheetId="6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localSheetId="17" hidden="1">'[362]O Equip.'!#REF!</definedName>
    <definedName name="XRefPaste8" localSheetId="7" hidden="1">#REF!</definedName>
    <definedName name="XRefPaste8" localSheetId="10" hidden="1">#REF!</definedName>
    <definedName name="XRefPaste8" localSheetId="9" hidden="1">#REF!</definedName>
    <definedName name="XRefPaste8" localSheetId="6" hidden="1">#REF!</definedName>
    <definedName name="XRefPaste8" hidden="1">'[363]O Equip.'!#REF!</definedName>
    <definedName name="XRefPaste80" localSheetId="7" hidden="1">#REF!</definedName>
    <definedName name="XRefPaste80" localSheetId="10" hidden="1">#REF!</definedName>
    <definedName name="XRefPaste80" localSheetId="9" hidden="1">#REF!</definedName>
    <definedName name="XRefPaste80" localSheetId="6" hidden="1">#REF!</definedName>
    <definedName name="XRefPaste80" hidden="1">[388]Lead!#REF!</definedName>
    <definedName name="XRefPaste80Row" localSheetId="17" hidden="1">#REF!</definedName>
    <definedName name="XRefPaste80Row" localSheetId="7" hidden="1">#REF!</definedName>
    <definedName name="XRefPaste80Row" localSheetId="10" hidden="1">#REF!</definedName>
    <definedName name="XRefPaste80Row" localSheetId="9" hidden="1">#REF!</definedName>
    <definedName name="XRefPaste80Row" localSheetId="6" hidden="1">#REF!</definedName>
    <definedName name="XRefPaste80Row" hidden="1">#REF!</definedName>
    <definedName name="XRefPaste81" localSheetId="7" hidden="1">#REF!</definedName>
    <definedName name="XRefPaste81" localSheetId="10" hidden="1">#REF!</definedName>
    <definedName name="XRefPaste81" localSheetId="9" hidden="1">#REF!</definedName>
    <definedName name="XRefPaste81" localSheetId="6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" localSheetId="7" hidden="1">#REF!</definedName>
    <definedName name="XRefPaste88" localSheetId="10" hidden="1">#REF!</definedName>
    <definedName name="XRefPaste88" localSheetId="9" hidden="1">#REF!</definedName>
    <definedName name="XRefPaste88" localSheetId="6" hidden="1">#REF!</definedName>
    <definedName name="XRefPaste88" hidden="1">[388]Lead!#REF!</definedName>
    <definedName name="XRefPaste88Row" localSheetId="17" hidden="1">#REF!</definedName>
    <definedName name="XRefPaste88Row" localSheetId="7" hidden="1">#REF!</definedName>
    <definedName name="XRefPaste88Row" localSheetId="10" hidden="1">#REF!</definedName>
    <definedName name="XRefPaste88Row" localSheetId="9" hidden="1">#REF!</definedName>
    <definedName name="XRefPaste88Row" localSheetId="6" hidden="1">#REF!</definedName>
    <definedName name="XRefPaste88Row" hidden="1">#REF!</definedName>
    <definedName name="XRefPaste89" localSheetId="7" hidden="1">#REF!</definedName>
    <definedName name="XRefPaste89" localSheetId="10" hidden="1">#REF!</definedName>
    <definedName name="XRefPaste89" localSheetId="9" hidden="1">#REF!</definedName>
    <definedName name="XRefPaste89" localSheetId="6" hidden="1">#REF!</definedName>
    <definedName name="XRefPaste89" hidden="1">#REF!</definedName>
    <definedName name="XRefPaste89Row" hidden="1">#REF!</definedName>
    <definedName name="XRefPaste8Row" hidden="1">#REF!</definedName>
    <definedName name="XRefPaste9" localSheetId="17" hidden="1">'[362]O Equip.'!#REF!</definedName>
    <definedName name="XRefPaste9" localSheetId="7" hidden="1">#REF!</definedName>
    <definedName name="XRefPaste9" localSheetId="10" hidden="1">#REF!</definedName>
    <definedName name="XRefPaste9" localSheetId="9" hidden="1">#REF!</definedName>
    <definedName name="XRefPaste9" localSheetId="6" hidden="1">#REF!</definedName>
    <definedName name="XRefPaste9" hidden="1">'[363]O Equip.'!#REF!</definedName>
    <definedName name="XRefPaste90" localSheetId="17" hidden="1">#REF!</definedName>
    <definedName name="XRefPaste90" localSheetId="7" hidden="1">#REF!</definedName>
    <definedName name="XRefPaste90" localSheetId="10" hidden="1">#REF!</definedName>
    <definedName name="XRefPaste90" localSheetId="9" hidden="1">#REF!</definedName>
    <definedName name="XRefPaste90" localSheetId="6" hidden="1">#REF!</definedName>
    <definedName name="XRefPaste90" hidden="1">#REF!</definedName>
    <definedName name="XRefPaste90Row" localSheetId="7" hidden="1">#REF!</definedName>
    <definedName name="XRefPaste90Row" localSheetId="10" hidden="1">#REF!</definedName>
    <definedName name="XRefPaste90Row" localSheetId="9" hidden="1">#REF!</definedName>
    <definedName name="XRefPaste90Row" localSheetId="6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#REF!</definedName>
    <definedName name="XRefPaste92Row" hidden="1">#REF!</definedName>
    <definedName name="XRefPaste93" hidden="1">#REF!</definedName>
    <definedName name="XRefPaste93Row" hidden="1">[386]XREF!$A$90:$IV$90</definedName>
    <definedName name="XRefPaste94" localSheetId="17" hidden="1">#REF!</definedName>
    <definedName name="XRefPaste94" hidden="1">#REF!</definedName>
    <definedName name="XRefPaste94Row" hidden="1">[386]XREF!$A$93:$IV$93</definedName>
    <definedName name="XRefPaste95" localSheetId="17" hidden="1">#REF!</definedName>
    <definedName name="XRefPaste95" hidden="1">#REF!</definedName>
    <definedName name="XRefPaste95Row" hidden="1">[386]XREF!$A$97:$IV$97</definedName>
    <definedName name="XRefPaste96" localSheetId="17" hidden="1">#REF!</definedName>
    <definedName name="XRefPaste96" hidden="1">#REF!</definedName>
    <definedName name="XRefPaste96Row" hidden="1">[386]XREF!$A$98:$IV$98</definedName>
    <definedName name="XRefPaste97" localSheetId="17" hidden="1">#REF!</definedName>
    <definedName name="XRefPaste97" hidden="1">#REF!</definedName>
    <definedName name="XRefPaste97Row" hidden="1">[386]XREF!$A$99:$IV$99</definedName>
    <definedName name="XRefPaste98" localSheetId="17" hidden="1">#REF!</definedName>
    <definedName name="XRefPaste98" hidden="1">#REF!</definedName>
    <definedName name="XRefPaste98Row" hidden="1">[386]XREF!$A$101:$IV$101</definedName>
    <definedName name="XRefPaste99" localSheetId="17" hidden="1">#REF!</definedName>
    <definedName name="XRefPaste99" hidden="1">#REF!</definedName>
    <definedName name="XRefPaste99Row" hidden="1">[386]XREF!$A$102:$IV$102</definedName>
    <definedName name="XRefPaste9Row" localSheetId="17" hidden="1">#REF!</definedName>
    <definedName name="XRefPaste9Row" localSheetId="7" hidden="1">#REF!</definedName>
    <definedName name="XRefPaste9Row" localSheetId="10" hidden="1">#REF!</definedName>
    <definedName name="XRefPaste9Row" localSheetId="9" hidden="1">#REF!</definedName>
    <definedName name="XRefPaste9Row" localSheetId="6" hidden="1">#REF!</definedName>
    <definedName name="XRefPaste9Row" hidden="1">#REF!</definedName>
    <definedName name="XRefPasteRangeCount" localSheetId="7" hidden="1">60</definedName>
    <definedName name="XRefPasteRangeCount" localSheetId="10" hidden="1">60</definedName>
    <definedName name="XRefPasteRangeCount" localSheetId="9" hidden="1">60</definedName>
    <definedName name="XRefPasteRangeCount" localSheetId="6" hidden="1">60</definedName>
    <definedName name="XRefPasteRangeCount" hidden="1">11</definedName>
    <definedName name="xss" hidden="1">#REF!</definedName>
    <definedName name="XWU">#REF!</definedName>
    <definedName name="XWW">#N/A</definedName>
    <definedName name="xx">#REF!</definedName>
    <definedName name="ｘｘ" localSheetId="17">#REF!</definedName>
    <definedName name="ｘｘ">#REF!</definedName>
    <definedName name="xxx">'[391]TRIAL BALANCE'!#REF!</definedName>
    <definedName name="xxxx" hidden="1">[392]CE!#REF!</definedName>
    <definedName name="xy" localSheetId="7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" localSheetId="1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" localSheetId="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" localSheetId="6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Z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XYZ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XYZ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XYZ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XYZ" hidden="1">[393]Grouping!$A$1:$A$65536,[393]Grouping!$A$6:$IV$6</definedName>
    <definedName name="xzxzxcxc">#REF!</definedName>
    <definedName name="Y" localSheetId="7">#REF!</definedName>
    <definedName name="Y" localSheetId="10">#REF!</definedName>
    <definedName name="Y" localSheetId="9">#REF!</definedName>
    <definedName name="Y" localSheetId="6">#REF!</definedName>
    <definedName name="y">#N/A</definedName>
    <definedName name="YE">'[72]2. Forecast Drivers'!$D$10</definedName>
    <definedName name="Year">'[72]2. Forecast Drivers'!$E$337:$AD$337</definedName>
    <definedName name="Year_of_Foreclosure">[142]Summary!#REF!</definedName>
    <definedName name="Year1">#REF!</definedName>
    <definedName name="year2011">#REF!</definedName>
    <definedName name="Years">[151]Data!$A$2:$IV$2</definedName>
    <definedName name="YearType">[151]Data!$A$1:$IV$1</definedName>
    <definedName name="yend">[45]INFO!$B$4</definedName>
    <definedName name="YENDP">[45]INFO!$B$5</definedName>
    <definedName name="yes1">[248]Input!$B$162</definedName>
    <definedName name="yes10">[248]Input!$K$162</definedName>
    <definedName name="yes2">[248]Input!$C$162</definedName>
    <definedName name="yes3">[248]Input!$D$162</definedName>
    <definedName name="yes4">[248]Input!$E$162</definedName>
    <definedName name="yes5">[248]Input!$F$162</definedName>
    <definedName name="yes6">[248]Input!$G$162</definedName>
    <definedName name="yes7">[248]Input!$H$162</definedName>
    <definedName name="yes8">[248]Input!$I$162</definedName>
    <definedName name="yes9">[248]Input!$J$162</definedName>
    <definedName name="YESNO" localSheetId="17">#REF!</definedName>
    <definedName name="YESNO">#REF!</definedName>
    <definedName name="YesNoNA">[32]Sheet1!$A$1:$A$3</definedName>
    <definedName name="YGJDG">#N/A</definedName>
    <definedName name="ygshjshua">#REF!</definedName>
    <definedName name="YIE" localSheetId="17">'[138]Yield-COB'!$B$4</definedName>
    <definedName name="YIE">'[139]Yield-COB'!$B$4</definedName>
    <definedName name="YOSOUOQL" localSheetId="17">#REF!</definedName>
    <definedName name="YOSOUOQL">#REF!</definedName>
    <definedName name="Yr0days">#REF!</definedName>
    <definedName name="Yr1_Months_of_opn">'[132]NLD - Assum'!$B$11</definedName>
    <definedName name="Yr1_R">[142]Rollup!#REF!</definedName>
    <definedName name="Yr10_R">[142]Rollup!#REF!</definedName>
    <definedName name="yr1999.BusLossOthThanSpecLossCF">[46]CFL!$F$3</definedName>
    <definedName name="yr1999.HPLossCF">[46]CFL!$E$3</definedName>
    <definedName name="yr1999.LTCGLossCF">[46]CFL!$J$3</definedName>
    <definedName name="yr1999.STCGLossCF">[46]CFL!$I$3</definedName>
    <definedName name="Yr2_R">[142]Rollup!#REF!</definedName>
    <definedName name="yr2000.BusLossOthThanSpecLossCF1">[46]CFL!$F$4</definedName>
    <definedName name="yr2000.HPLossCF1">[46]CFL!$E$4</definedName>
    <definedName name="yr2000.LossFrmSpecBusCF1">[46]CFL!$G$4</definedName>
    <definedName name="yr2000.LTCGLossCF1">[46]CFL!$J$4</definedName>
    <definedName name="yr2000.STCGLossCF1">[46]CFL!$I$4</definedName>
    <definedName name="yr2001.BusLossOthThanSpecLossCF2">[46]CFL!$F$5</definedName>
    <definedName name="yr2001.HPLossCF2">[46]CFL!$E$5</definedName>
    <definedName name="yr2001.LossFrmSpecBusCF2">[46]CFL!$G$5</definedName>
    <definedName name="yr2001.LTCGLossCF2">[46]CFL!$J$5</definedName>
    <definedName name="yr2001.STCGLossCF2">[46]CFL!$I$5</definedName>
    <definedName name="yr2002.BusLossOthThanSpecLossCF3">[46]CFL!$F$6</definedName>
    <definedName name="yr2002.HPLossCF3">[46]CFL!$E$6</definedName>
    <definedName name="yr2002.LossFrmSpecBusCF3">[46]CFL!$G$6</definedName>
    <definedName name="yr2002.LTCGLossCF3">[46]CFL!$J$6</definedName>
    <definedName name="yr2002.STCGLossCF3">[46]CFL!$I$6</definedName>
    <definedName name="yr2003.BusLossOthThanSpecLossCF4">[46]CFL!$F$7</definedName>
    <definedName name="yr2003.HPLossCF4">[46]CFL!$E$7</definedName>
    <definedName name="yr2003.LossFrmSpecBusCF4">[46]CFL!$G$7</definedName>
    <definedName name="yr2003.LTCGLossCF4">[46]CFL!$J$7</definedName>
    <definedName name="yr2003.OthSrcLossRaceHorseCF4">[46]CFL!$L$7</definedName>
    <definedName name="yr2003.STCGLossCF4">[46]CFL!$I$7</definedName>
    <definedName name="yr2004.BusLossOthThanSpecLossCF5">[46]CFL!$F$8</definedName>
    <definedName name="yr2004.HPLossCF5">[46]CFL!$E$8</definedName>
    <definedName name="yr2004.LossFrmSpecBusCF5">[46]CFL!$G$8</definedName>
    <definedName name="yr2004.LTCGLossCF5">[46]CFL!$J$8</definedName>
    <definedName name="yr2004.OthSrcLossRaceHorseCF5">[46]CFL!$L$8</definedName>
    <definedName name="yr2004.STCGLossCF5">[46]CFL!$I$8</definedName>
    <definedName name="yr2005.BusLossOthThanSpecLossCF6">[46]CFL!$F$9</definedName>
    <definedName name="yr2005.HPLossCF6">[46]CFL!$E$9</definedName>
    <definedName name="yr2005.LossFrmSpecBusCF6">[46]CFL!$G$9</definedName>
    <definedName name="yr2005.LTCGLossCF6">[46]CFL!$J$9</definedName>
    <definedName name="yr2005.OthSrcLossRaceHorseCF6">[46]CFL!$L$9</definedName>
    <definedName name="yr2005.STCGLossCF6">[46]CFL!$I$9</definedName>
    <definedName name="yr2006.BusLossOthThanSpecLossCF7">[46]CFL!$F$10</definedName>
    <definedName name="yr2006.HPLossCF7">[46]CFL!$E$10</definedName>
    <definedName name="yr2006.LossFrmSpecBusCF7">[46]CFL!$G$10</definedName>
    <definedName name="yr2006.LossFrmSpecifiedBusCF7">[46]CFL!$H$10</definedName>
    <definedName name="yr2006.LTCGLossCF7">[46]CFL!$J$10</definedName>
    <definedName name="yr2006.OthSrcLossRaceHorseCF7">[46]CFL!$L$10</definedName>
    <definedName name="yr2006.STCGLossCF7">[46]CFL!$I$10</definedName>
    <definedName name="Yr3_R">[142]Rollup!#REF!</definedName>
    <definedName name="Yr4_R">[142]Rollup!#REF!</definedName>
    <definedName name="Yr5_R">[142]Rollup!#REF!</definedName>
    <definedName name="Yr6_R">[142]Rollup!#REF!</definedName>
    <definedName name="Yr7_R">[142]Rollup!#REF!</definedName>
    <definedName name="Yr8_R">[142]Rollup!#REF!</definedName>
    <definedName name="Yr9_R">[142]Rollup!#REF!</definedName>
    <definedName name="YSTable">'[134]YS-Bud'!$A$11:$Y$133</definedName>
    <definedName name="YTD">#REF!</definedName>
    <definedName name="YTDma" localSheetId="17">#REF!</definedName>
    <definedName name="YTDma">#REF!</definedName>
    <definedName name="yui" localSheetId="17">'[132]Capex-fixed'!#REF!</definedName>
    <definedName name="yui">'[132]Capex-fixed'!#REF!</definedName>
    <definedName name="Z" localSheetId="7">#REF!</definedName>
    <definedName name="Z" localSheetId="10">#REF!</definedName>
    <definedName name="Z" localSheetId="9">#REF!</definedName>
    <definedName name="Z" localSheetId="6">#REF!</definedName>
    <definedName name="Z">#N/A</definedName>
    <definedName name="Z_0185ADC1_3830_11D3_88E4_00104B2D4E50_.wvu.FilterData" localSheetId="17" hidden="1">#REF!</definedName>
    <definedName name="Z_0185ADC1_3830_11D3_88E4_00104B2D4E50_.wvu.FilterData" hidden="1">#REF!</definedName>
    <definedName name="Z_0185ADC2_3830_11D3_88E4_00104B2D4E50_.wvu.FilterData" hidden="1">#REF!</definedName>
    <definedName name="Z_020243C4_4FC9_11D3_88E5_00104B2D4E50_.wvu.FilterData" hidden="1">#REF!</definedName>
    <definedName name="Z_020243C5_4FC9_11D3_88E5_00104B2D4E50_.wvu.FilterData" hidden="1">#REF!</definedName>
    <definedName name="Z_020243D6_4FC9_11D3_88E5_00104B2D4E50_.wvu.FilterData" hidden="1">#REF!</definedName>
    <definedName name="Z_020243D9_4FC9_11D3_88E5_00104B2D4E50_.wvu.FilterData" hidden="1">#REF!</definedName>
    <definedName name="Z_14975FFC_4F72_4AAC_B05A_7E3F2538B3AD_.wvu.FilterData" hidden="1">#REF!</definedName>
    <definedName name="Z_18E867C2_363F_11D3_B384_00104B203064_.wvu.Cols" hidden="1">#REF!</definedName>
    <definedName name="Z_18E867C2_363F_11D3_B384_00104B203064_.wvu.FilterData" hidden="1">#REF!</definedName>
    <definedName name="Z_18E867C6_363F_11D3_B384_00104B203064_.wvu.FilterData" hidden="1">#REF!</definedName>
    <definedName name="Z_1A3E9F40_4FCC_11D2_A7FF_0060971217C0_.wvu.PrintArea" hidden="1">#REF!</definedName>
    <definedName name="Z_1A3E9F40_4FCC_11D2_A7FF_0060971217C0_.wvu.PrintTitles" hidden="1">#REF!</definedName>
    <definedName name="Z_2529F30F_675A_11D3_88E6_00104B2D4E50_.wvu.FilterData" hidden="1">#REF!</definedName>
    <definedName name="Z_2F0BD9A2_457D_11D2_8EE8_0060971217D4_.wvu.PrintArea" hidden="1">#REF!</definedName>
    <definedName name="Z_2F0BD9A2_457D_11D2_8EE8_0060971217D4_.wvu.PrintTitles" hidden="1">#REF!</definedName>
    <definedName name="Z_37C90060_2018_11D3_9FEA_008048EE1BB3_.wvu.Cols" hidden="1">#REF!</definedName>
    <definedName name="Z_37C90060_2018_11D3_9FEA_008048EE1BB3_.wvu.FilterData" hidden="1">#REF!</definedName>
    <definedName name="Z_37C90061_2018_11D3_9FEA_008048EE1BB3_.wvu.FilterData" hidden="1">#REF!</definedName>
    <definedName name="Z_37C90063_2018_11D3_9FEA_008048EE1BB3_.wvu.FilterData" hidden="1">#REF!</definedName>
    <definedName name="Z_3AB84060_44C7_11D2_8EE8_0060971217D4_.wvu.PrintArea" hidden="1">#REF!</definedName>
    <definedName name="Z_3AB84060_44C7_11D2_8EE8_0060971217D4_.wvu.PrintTitles" hidden="1">#REF!</definedName>
    <definedName name="Z_40BD8C62_D3AE_11D2_BB99_006097121403_.wvu.Cols" hidden="1">#REF!,#REF!,#REF!,#REF!,#REF!,#REF!</definedName>
    <definedName name="Z_40BD8C62_D3AE_11D2_BB99_006097121403_.wvu.FilterData" hidden="1">#REF!</definedName>
    <definedName name="Z_40BD8C62_D3AE_11D2_BB99_006097121403_.wvu.PrintArea" hidden="1">#REF!</definedName>
    <definedName name="Z_42082262_47C5_4083_A75E_526FAD58A78A_.wvu.Rows" hidden="1">#REF!,#REF!,#REF!,#REF!,#REF!,#REF!</definedName>
    <definedName name="Z_42177D60_3622_11D3_B2D2_008048EE2662_.wvu.FilterData" hidden="1">#REF!</definedName>
    <definedName name="Z_42CB23D9_FE0D_4360_B7CD_56A3AF127F7C_.wvu.Rows" hidden="1">#REF!,#REF!,#REF!,#REF!,#REF!,#REF!</definedName>
    <definedName name="Z_47AE1863_C7DD_11D6_BE51_0050BA324F5C_.wvu.PrintTitles" hidden="1">#REF!</definedName>
    <definedName name="Z_53D5D240_D3BC_11D2_B7DD_000001014838_.wvu.Cols" hidden="1">#REF!,#REF!,#REF!,#REF!,#REF!,#REF!,#REF!</definedName>
    <definedName name="Z_53D5D240_D3BC_11D2_B7DD_000001014838_.wvu.FilterData" hidden="1">#REF!</definedName>
    <definedName name="Z_5F72E90E_5306_4453_8ECA_43061516744D_.wvu.Rows" hidden="1">#REF!,#REF!,#REF!,#REF!,#REF!,#REF!</definedName>
    <definedName name="Z_7268092C_48A6_11D6_BF00_0048545546A4_.wvu.PrintArea" hidden="1">#REF!</definedName>
    <definedName name="Z_7268092C_48A6_11D6_BF00_0048545546A4_.wvu.Rows" hidden="1">#REF!,#REF!,#REF!,#REF!,#REF!,#REF!</definedName>
    <definedName name="Z_746852D3_BFD6_47E8_9DA9_56CF052FA174_.wvu.Rows" hidden="1">#REF!</definedName>
    <definedName name="Z_7CC30400_52D6_11D2_91E6_0060971217D4_.wvu.PrintArea" hidden="1">#REF!</definedName>
    <definedName name="Z_7CC30400_52D6_11D2_91E6_0060971217D4_.wvu.PrintTitles" hidden="1">#REF!</definedName>
    <definedName name="Z_87846904_F246_11D2_88E4_00104B2D4E50_.wvu.PrintTitles" localSheetId="17" hidden="1">#REF!,#REF!</definedName>
    <definedName name="Z_87846904_F246_11D2_88E4_00104B2D4E50_.wvu.PrintTitles" hidden="1">#REF!,#REF!</definedName>
    <definedName name="Z_95199381_509B_11D2_A368_00001C3AD7D3_.wvu.PrintArea" hidden="1">#REF!</definedName>
    <definedName name="Z_95199381_509B_11D2_A368_00001C3AD7D3_.wvu.PrintTitles" hidden="1">#REF!</definedName>
    <definedName name="Z_9C36B7A0_8E17_11D3_B2D2_008048EE2662_.wvu.Rows" localSheetId="17" hidden="1">#REF!,#REF!,#REF!</definedName>
    <definedName name="Z_9C36B7A0_8E17_11D3_B2D2_008048EE2662_.wvu.Rows" hidden="1">#REF!,#REF!,#REF!</definedName>
    <definedName name="Z_A1FB87D3_2893_43D1_8E7A_26B23B8067F7_.wvu.FilterData" hidden="1">#REF!</definedName>
    <definedName name="Z_A3876EF3_8056_414D_9895_185A0A47AC3D_.wvu.Rows" hidden="1">#REF!,#REF!,#REF!,#REF!,#REF!,#REF!</definedName>
    <definedName name="Z_AF67EA27_37A9_11D3_88E4_00104B2D4E50_.wvu.FilterData" localSheetId="17" hidden="1">#REF!</definedName>
    <definedName name="Z_AF67EA27_37A9_11D3_88E4_00104B2D4E50_.wvu.FilterData" hidden="1">#REF!</definedName>
    <definedName name="Z_BF010B80_D537_11D2_8F10_000001014271_.wvu.Cols" hidden="1">#REF!,#REF!,#REF!,#REF!,#REF!,#REF!,#REF!</definedName>
    <definedName name="Z_C2C0FF43_603F_11D2_A368_00001C3AD7D3_.wvu.PrintArea" hidden="1">#REF!</definedName>
    <definedName name="Z_C2C0FF43_603F_11D2_A368_00001C3AD7D3_.wvu.PrintTitles" hidden="1">#REF!</definedName>
    <definedName name="Z_CC26C000_67A6_11D3_B801_444553540000_.wvu.FilterData" hidden="1">#REF!</definedName>
    <definedName name="Z_D068BBA0_44C0_11D2_8EE8_0060971217D4_.wvu.Cols" hidden="1">#REF!,#REF!,#REF!,#REF!</definedName>
    <definedName name="Z_D068BBA0_44C0_11D2_8EE8_0060971217D4_.wvu.PrintArea" hidden="1">#REF!</definedName>
    <definedName name="Z_D068BBA0_44C0_11D2_8EE8_0060971217D4_.wvu.PrintTitles" hidden="1">#REF!</definedName>
    <definedName name="Z_D840F8B1_668B_11D3_88E6_00104B2D4E50_.wvu.FilterData" hidden="1">#REF!</definedName>
    <definedName name="Z_DE54EB4E_7288_4CBC_B1F8_54C2468A83E6_.wvu.Cols" hidden="1">#REF!,#REF!</definedName>
    <definedName name="Z_DE54EB4E_7288_4CBC_B1F8_54C2468A83E6_.wvu.PrintArea" hidden="1">#REF!</definedName>
    <definedName name="Z_DE54EB4E_7288_4CBC_B1F8_54C2468A83E6_.wvu.Rows" hidden="1">#REF!,#REF!,#REF!,#REF!</definedName>
    <definedName name="Z_F0339D6F_2232_11D3_88E4_00104B2D4E50_.wvu.FilterData" hidden="1">#REF!</definedName>
    <definedName name="Z_F3F2DB71_7CF8_11D4_AF24_0080AD91B2FE_.wvu.Rows" hidden="1">#REF!,#REF!,#REF!,#REF!,#REF!,#REF!</definedName>
    <definedName name="z_Group">#REF!</definedName>
    <definedName name="z_Jikko">#REF!</definedName>
    <definedName name="zbhh">#REF!</definedName>
    <definedName name="zcx" localSheetId="7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" localSheetId="10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" localSheetId="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" localSheetId="0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" localSheetId="6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cx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entai" localSheetId="17">[241]全体!$A$1:$N$2</definedName>
    <definedName name="Zentai">[242]全体!$A$1:$N$2</definedName>
    <definedName name="zep" localSheetId="7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ep" localSheetId="1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ep" localSheetId="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ep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ep" localSheetId="6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ep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insen1_3">#REF!</definedName>
    <definedName name="Zinsen4_5">#REF!</definedName>
    <definedName name="Zinsen6_7">#REF!</definedName>
    <definedName name="Zinsen8up">#REF!</definedName>
    <definedName name="zx" localSheetId="7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x" localSheetId="10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x" localSheetId="1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x" localSheetId="0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x" localSheetId="6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x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z">[394]ecc_res!#REF!</definedName>
    <definedName name="zzxxx" localSheetId="1">#REF!,#REF!</definedName>
    <definedName name="zzxxx" localSheetId="0">#REF!,#REF!</definedName>
    <definedName name="zzxxx">#REF!,#REF!</definedName>
    <definedName name="ZZZ" localSheetId="17">CMA!ZZZ</definedName>
    <definedName name="ZZZ" localSheetId="7">#REF!</definedName>
    <definedName name="ZZZ" localSheetId="10">#REF!</definedName>
    <definedName name="ZZZ" localSheetId="1">Historical!ZZZ</definedName>
    <definedName name="ZZZ" localSheetId="0">Projected!ZZZ</definedName>
    <definedName name="ZZZ" localSheetId="9">#REF!</definedName>
    <definedName name="ZZZ" localSheetId="6">#REF!</definedName>
    <definedName name="ZZZ">ZZZ</definedName>
    <definedName name="zzzzzzzzzzzz" localSheetId="7" hidden="1">{#N/A,#N/A,FALSE,"COVER.XLS";#N/A,#N/A,FALSE,"RACT1.XLS";#N/A,#N/A,FALSE,"RACT2.XLS";#N/A,#N/A,FALSE,"ECCMP";#N/A,#N/A,FALSE,"WELDER.XLS"}</definedName>
    <definedName name="zzzzzzzzzzzz" localSheetId="10" hidden="1">{#N/A,#N/A,FALSE,"COVER.XLS";#N/A,#N/A,FALSE,"RACT1.XLS";#N/A,#N/A,FALSE,"RACT2.XLS";#N/A,#N/A,FALSE,"ECCMP";#N/A,#N/A,FALSE,"WELDER.XLS"}</definedName>
    <definedName name="zzzzzzzzzzzz" localSheetId="1" hidden="1">{#N/A,#N/A,FALSE,"COVER.XLS";#N/A,#N/A,FALSE,"RACT1.XLS";#N/A,#N/A,FALSE,"RACT2.XLS";#N/A,#N/A,FALSE,"ECCMP";#N/A,#N/A,FALSE,"WELDER.XLS"}</definedName>
    <definedName name="zzzzzzzzzzzz" localSheetId="0" hidden="1">{#N/A,#N/A,FALSE,"COVER.XLS";#N/A,#N/A,FALSE,"RACT1.XLS";#N/A,#N/A,FALSE,"RACT2.XLS";#N/A,#N/A,FALSE,"ECCMP";#N/A,#N/A,FALSE,"WELDER.XLS"}</definedName>
    <definedName name="zzzzzzzzzzzz" localSheetId="6" hidden="1">{#N/A,#N/A,FALSE,"COVER.XLS";#N/A,#N/A,FALSE,"RACT1.XLS";#N/A,#N/A,FALSE,"RACT2.XLS";#N/A,#N/A,FALSE,"ECCMP";#N/A,#N/A,FALSE,"WELDER.XLS"}</definedName>
    <definedName name="zzzzzzzzzzzz" hidden="1">{#N/A,#N/A,FALSE,"COVER.XLS";#N/A,#N/A,FALSE,"RACT1.XLS";#N/A,#N/A,FALSE,"RACT2.XLS";#N/A,#N/A,FALSE,"ECCMP";#N/A,#N/A,FALSE,"WELDER.XLS"}</definedName>
    <definedName name="あ" localSheetId="17">#REF!</definedName>
    <definedName name="あ">#REF!</definedName>
    <definedName name="あＳ">#REF!</definedName>
    <definedName name="あああ">#REF!</definedName>
    <definedName name="ああああ">#REF!</definedName>
    <definedName name="ああああああ">#REF!</definedName>
    <definedName name="ｻﾏﾘｰ表ﾌﾟﾘﾝﾄｴﾘｱ">#REF!</definedName>
    <definedName name="しがぎんﾘｰｽ">#REF!</definedName>
    <definedName name="ｼﾞｬｲﾛｻﾎﾟｰﾄ">#REF!</definedName>
    <definedName name="ｼﾞｬﾊﾟﾝｽﾎﾟｰﾂﾁｬﾝﾈﾙ" localSheetId="17">[236]国内work!#REF!</definedName>
    <definedName name="ｼﾞｬﾊﾟﾝｽﾎﾟｰﾂﾁｬﾝﾈﾙ">[237]国内work!#REF!</definedName>
    <definedName name="ｽｶｲﾏｰｸｴｱﾗｲﾝｽﾞ" localSheetId="17">[236]国内work!#REF!</definedName>
    <definedName name="ｽｶｲﾏｰｸｴｱﾗｲﾝｽﾞ">[237]国内work!#REF!</definedName>
    <definedName name="ｾｶﾞ･ﾘｰｽ" localSheetId="17">#REF!</definedName>
    <definedName name="ｾｶﾞ･ﾘｰｽ">#REF!</definedName>
    <definedName name="せとぎんﾘｰｽ">#REF!</definedName>
    <definedName name="その他">#REF!</definedName>
    <definedName name="とりぎんﾘｰｽ">#REF!</definedName>
    <definedName name="ﾆｺﾏｰﾄﾊｳｼﾞﾝｸﾞ">#REF!</definedName>
    <definedName name="ﾆﾁﾒﾝ・ﾃﾞｰﾀ_ｼｽﾃﾑ">#REF!</definedName>
    <definedName name="ﾆｯｾｲ_ﾘｰｽ">#REF!</definedName>
    <definedName name="ふんどし0308" localSheetId="17">'[395]1'!$A$1:$Q$785</definedName>
    <definedName name="ふんどし0308">'[396]1'!$A$1:$Q$785</definedName>
    <definedName name="ﾍﾟｶﾞｻｽ_ﾘｰｽ" localSheetId="17">#REF!</definedName>
    <definedName name="ﾍﾟｶﾞｻｽ_ﾘｰｽ">#REF!</definedName>
    <definedName name="みなとﾘｰｽ">#REF!</definedName>
    <definedName name="ﾗﾝｷﾝｸﾞ20億超集計0406">#REF!</definedName>
    <definedName name="ﾚﾝﾀｶｰ中国">#REF!</definedName>
    <definedName name="ﾚﾝﾀｶｰ北陸">#REF!</definedName>
    <definedName name="中銀ﾘｰｽ">#REF!</definedName>
    <definedName name="佐川ﾘｰｽ">#REF!</definedName>
    <definedName name="再ﾘｽ34期">#REF!</definedName>
    <definedName name="再ﾘｽ35期">#REF!</definedName>
    <definedName name="再ﾘｽ36期">#REF!</definedName>
    <definedName name="再ﾘｽ36期A" localSheetId="17">[397]再ﾘｰｽ収益!#REF!</definedName>
    <definedName name="再ﾘｽ36期A">[398]再ﾘｰｽ収益!#REF!</definedName>
    <definedName name="再ﾘｽ36期B" localSheetId="17">[397]再ﾘｰｽ収益!#REF!</definedName>
    <definedName name="再ﾘｽ36期B">[398]再ﾘｰｽ収益!#REF!</definedName>
    <definedName name="利息34期B">[399]利息連結!#REF!</definedName>
    <definedName name="利息35期B">[399]利息連結!#REF!</definedName>
    <definedName name="利息36期A" localSheetId="17">[397]利息連結!#REF!</definedName>
    <definedName name="利息36期A">[398]利息連結!#REF!</definedName>
    <definedName name="利息36期B" localSheetId="17">[397]利息連結!#REF!</definedName>
    <definedName name="利息36期B">[398]利息連結!#REF!</definedName>
    <definedName name="前月" localSheetId="17">#REF!</definedName>
    <definedName name="前月">#REF!</definedName>
    <definedName name="前期AR">#REF!</definedName>
    <definedName name="北銀ﾘｰｽ">#REF!</definedName>
    <definedName name="単位千円">#REF!</definedName>
    <definedName name="印刷">#REF!</definedName>
    <definedName name="収益34期A">#REF!</definedName>
    <definedName name="収益34期B">#REF!</definedName>
    <definedName name="収益35期A">#REF!</definedName>
    <definedName name="収益35期B">#REF!</definedName>
    <definedName name="収益36期A">#REF!</definedName>
    <definedName name="収益36期B">#REF!</definedName>
    <definedName name="営業収益34期">#REF!</definedName>
    <definedName name="営業収益35期">#REF!</definedName>
    <definedName name="営業収益36期">#REF!</definedName>
    <definedName name="回収予定年月">#REF!</definedName>
    <definedName name="国1">#REF!</definedName>
    <definedName name="増減表の売却益と評価損" localSheetId="17">[400]Sheet1!$J$3:$O$23</definedName>
    <definedName name="増減表の売却益と評価損">[401]Sheet1!$J$3:$O$23</definedName>
    <definedName name="小田さん用" localSheetId="17">#REF!</definedName>
    <definedName name="小田さん用">#REF!</definedName>
    <definedName name="山口ｷｬﾋﾟﾀﾙ" localSheetId="17">[236]国内work!#REF!</definedName>
    <definedName name="山口ｷｬﾋﾟﾀﾙ">[237]国内work!#REF!</definedName>
    <definedName name="山口ﾘｰｽ" localSheetId="17">#REF!</definedName>
    <definedName name="山口ﾘｰｽ">#REF!</definedName>
    <definedName name="山口抵当証券">#REF!</definedName>
    <definedName name="当月" localSheetId="17">#REF!</definedName>
    <definedName name="当月">#REF!</definedName>
    <definedName name="徳銀ｵﾘｯｸｽ">#REF!</definedName>
    <definedName name="手数34期">#REF!</definedName>
    <definedName name="手数34期B">[399]受取手数料!#REF!</definedName>
    <definedName name="手数35期" localSheetId="17">#REF!</definedName>
    <definedName name="手数35期">#REF!</definedName>
    <definedName name="手数35期B" localSheetId="17">[399]受取手数料!#REF!</definedName>
    <definedName name="手数35期B">[399]受取手数料!#REF!</definedName>
    <definedName name="手数36期" localSheetId="17">#REF!</definedName>
    <definedName name="手数36期">#REF!</definedName>
    <definedName name="手数36期A" localSheetId="17">[397]受取手数料!#REF!</definedName>
    <definedName name="手数36期A">[398]受取手数料!#REF!</definedName>
    <definedName name="手数36期B" localSheetId="17">[397]受取手数料!#REF!</definedName>
    <definedName name="手数36期B">[398]受取手数料!#REF!</definedName>
    <definedName name="投資有価証券の科目内訳資料記入" localSheetId="17">#REF!</definedName>
    <definedName name="投資有価証券の科目内訳資料記入">#REF!</definedName>
    <definedName name="日立造船ﾋﾞｼﾞﾈｽ_ｸﾚｼﾞｯﾄ">#REF!</definedName>
    <definedName name="明細Ａ_８">#REF!</definedName>
    <definedName name="時価算出の方法について概略をご">#REF!</definedName>
    <definedName name="有価証券残高明細0309">#REF!</definedName>
    <definedName name="未着分見積" localSheetId="17">[236]AFFI内訳!#REF!</definedName>
    <definedName name="未着分見積">[237]AFFI内訳!#REF!</definedName>
    <definedName name="東営１部" localSheetId="17">#REF!</definedName>
    <definedName name="東営１部">#REF!</definedName>
    <definedName name="東営２部">#REF!</definedName>
    <definedName name="東営３部">#REF!</definedName>
    <definedName name="東営４部">#REF!</definedName>
    <definedName name="東営５部">#REF!</definedName>
    <definedName name="東営６部">#REF!</definedName>
    <definedName name="東営７部">#REF!</definedName>
    <definedName name="東営８部">#REF!</definedName>
    <definedName name="東営９部">#REF!</definedName>
    <definedName name="栗林ﾘｰｽ">#REF!</definedName>
    <definedName name="検索データ領域">#REF!</definedName>
    <definedName name="検索借方">#REF!</definedName>
    <definedName name="検索勘定科目">#REF!</definedName>
    <definedName name="検索組織名">#REF!</definedName>
    <definedName name="検索貸方">#REF!</definedName>
    <definedName name="残年数TABLE">#REF!</definedName>
    <definedName name="残高34期A">#REF!</definedName>
    <definedName name="残高34期B">#REF!</definedName>
    <definedName name="残高35期A">#REF!</definedName>
    <definedName name="残高35期B">#REF!</definedName>
    <definedName name="残高36期A">#REF!</definedName>
    <definedName name="残高36期B">#REF!</definedName>
    <definedName name="泉銀総合ﾘｰｽ">#REF!</definedName>
    <definedName name="注意">#REF!</definedName>
    <definedName name="用途一覧">#REF!</definedName>
    <definedName name="発生34期A">#REF!</definedName>
    <definedName name="発生34期B">#REF!</definedName>
    <definedName name="発生35期A">#REF!</definedName>
    <definedName name="発生35期B">#REF!</definedName>
    <definedName name="発生36期A" localSheetId="17">[397]発生連結!#REF!</definedName>
    <definedName name="発生36期A">[398]発生連結!#REF!</definedName>
    <definedName name="発生36期B" localSheetId="17">[397]発生連結!#REF!</definedName>
    <definedName name="発生36期B">[398]発生連結!#REF!</definedName>
    <definedName name="発行済株式数" localSheetId="17">[402]関連会社明細!$AB$17:$AB$78</definedName>
    <definedName name="発行済株式数">[403]関連会社明細!$AB$17:$AB$78</definedName>
    <definedName name="百五ﾘｰｽ" localSheetId="17">#REF!</definedName>
    <definedName name="百五ﾘｰｽ">#REF!</definedName>
    <definedName name="科目3_AMOUNT1" localSheetId="17">[404]売却可能公債!#REF!</definedName>
    <definedName name="科目3_AMOUNT1">[405]売却可能公債!#REF!</definedName>
    <definedName name="科目9_ACCOUNT" localSheetId="17">#REF!</definedName>
    <definedName name="科目9_ACCOUNT">#REF!</definedName>
    <definedName name="科目9_ACCOUNT1">#REF!</definedName>
    <definedName name="科目9_AMOUNT">#REF!</definedName>
    <definedName name="科目9_AMOUNT1">#REF!</definedName>
    <definedName name="科目9_OPTION">#REF!</definedName>
    <definedName name="科目9_OPTION1">#REF!</definedName>
    <definedName name="税引前利益" localSheetId="17">'[406]3部提出用累計'!#REF!</definedName>
    <definedName name="税引前利益">'[407]3部提出用累計'!#REF!</definedName>
    <definedName name="総括表" localSheetId="17">#REF!</definedName>
    <definedName name="総括表">#REF!</definedName>
    <definedName name="繰入36期A" localSheetId="17">[397]繰入連結!#REF!</definedName>
    <definedName name="繰入36期A">[398]繰入連結!#REF!</definedName>
    <definedName name="繰入36期B" localSheetId="17">[397]繰入連結!#REF!</definedName>
    <definedName name="繰入36期B">[398]繰入連結!#REF!</definedName>
    <definedName name="背部" localSheetId="17">CMA!背部</definedName>
    <definedName name="背部" localSheetId="1">Historical!背部</definedName>
    <definedName name="背部" localSheetId="0">Projected!背部</definedName>
    <definedName name="背部">背部</definedName>
    <definedName name="脚注11_ACCOUNT" localSheetId="17">#REF!</definedName>
    <definedName name="脚注11_ACCOUNT" localSheetId="1">#REF!</definedName>
    <definedName name="脚注11_ACCOUNT" localSheetId="0">#REF!</definedName>
    <definedName name="脚注11_ACCOUNT">#REF!</definedName>
    <definedName name="脚注11_ACCOUNT1" localSheetId="1">#REF!</definedName>
    <definedName name="脚注11_ACCOUNT1" localSheetId="0">#REF!</definedName>
    <definedName name="脚注11_ACCOUNT1">#REF!</definedName>
    <definedName name="脚注11_AMOUNT">#REF!</definedName>
    <definedName name="脚注11_AMOUNT1">#REF!</definedName>
    <definedName name="脚注11_OPTION">#REF!</definedName>
    <definedName name="脚注11_OPTION1">#REF!</definedName>
    <definedName name="脚注12_ACCOUNT1">#REF!</definedName>
    <definedName name="脚注12_AMOUNT1">#REF!</definedName>
    <definedName name="脚注12_OPTION1">#REF!</definedName>
    <definedName name="脚注16_ACCOUNT">#REF!</definedName>
    <definedName name="脚注16_ACCOUNT1">#REF!</definedName>
    <definedName name="脚注16_AMOUNT">#REF!</definedName>
    <definedName name="脚注16_AMOUNT1">#REF!</definedName>
    <definedName name="脚注16_OPTION">#REF!</definedName>
    <definedName name="脚注16_OPTION1">#REF!</definedName>
    <definedName name="脚注3_ACCOUNT">#REF!</definedName>
    <definedName name="脚注3_AMOUNT">#REF!</definedName>
    <definedName name="脚注3_OPTION">#REF!</definedName>
    <definedName name="脚注5_ACCOUNT">#REF!</definedName>
    <definedName name="脚注5_ACCOUNT1">#REF!</definedName>
    <definedName name="脚注5_AMOUNT">#REF!</definedName>
    <definedName name="脚注5_AMOUNT1">#REF!</definedName>
    <definedName name="脚注5_OPTION">#REF!</definedName>
    <definedName name="脚注5_OPTION1">#REF!</definedName>
    <definedName name="薬源">#REF!</definedName>
    <definedName name="諸原価" localSheetId="17">'[406]3部提出用累計'!#REF!</definedName>
    <definedName name="諸原価">'[407]3部提出用累計'!#REF!</definedName>
    <definedName name="諸原価34期">[399]諸原価連結!#REF!</definedName>
    <definedName name="諸原価34期B">[399]諸原価連結!#REF!</definedName>
    <definedName name="諸原価35期">[399]諸原価連結!#REF!</definedName>
    <definedName name="諸原価35期B">[399]諸原価連結!#REF!</definedName>
    <definedName name="諸原価36期">[399]諸原価連結!#REF!</definedName>
    <definedName name="諸原価36期A" localSheetId="17">[397]諸原価連結!#REF!</definedName>
    <definedName name="諸原価36期A">[398]諸原価連結!#REF!</definedName>
    <definedName name="諸原価36期B" localSheetId="17">[397]諸原価連結!#REF!</definedName>
    <definedName name="諸原価36期B">[398]諸原価連結!#REF!</definedName>
    <definedName name="貢献利益" localSheetId="17">[408]四半期毎MICﾃﾞｰﾀ転記!$B$4:$C$319</definedName>
    <definedName name="貢献利益">[409]四半期毎MICﾃﾞｰﾀ転記!$B$4:$C$319</definedName>
    <definedName name="販管34期B" localSheetId="17">[410]単体SGA!#REF!</definedName>
    <definedName name="販管34期B">[410]単体SGA!#REF!</definedName>
    <definedName name="販管35期B" localSheetId="17">[410]単体SGA!#REF!</definedName>
    <definedName name="販管35期B">[410]単体SGA!#REF!</definedName>
    <definedName name="販管36期A" localSheetId="17">[397]販管連結!#REF!</definedName>
    <definedName name="販管36期A">[398]販管連結!#REF!</definedName>
    <definedName name="販管36期B" localSheetId="17">[397]販管連結!#REF!</definedName>
    <definedName name="販管36期B">[398]販管連結!#REF!</definedName>
    <definedName name="販管費" localSheetId="17">'[406]3部提出用累計'!#REF!</definedName>
    <definedName name="販管費">'[407]3部提出用累計'!#REF!</definedName>
    <definedName name="貸倒" localSheetId="17">'[406]3部提出用累計'!#REF!</definedName>
    <definedName name="貸倒">'[407]3部提出用累計'!#REF!</definedName>
    <definedName name="貸倒HEAD" localSheetId="17">#REF!</definedName>
    <definedName name="貸倒HEAD">#REF!</definedName>
    <definedName name="貸引増減表前期">#REF!</definedName>
    <definedName name="資産平残" localSheetId="17">'[406]3部提出用累計'!#REF!</definedName>
    <definedName name="資産平残">'[407]3部提出用累計'!#REF!</definedName>
    <definedName name="資産平残34期" localSheetId="17">[397]平残連結!#REF!</definedName>
    <definedName name="資産平残34期">[398]平残連結!#REF!</definedName>
    <definedName name="資産平残35期" localSheetId="17">[397]平残連結!#REF!</definedName>
    <definedName name="資産平残35期">[398]平残連結!#REF!</definedName>
    <definedName name="資産平残36期" localSheetId="17">[397]平残連結!#REF!</definedName>
    <definedName name="資産平残36期">[398]平残連結!#REF!</definedName>
    <definedName name="配賦.box2_select" localSheetId="5">[411]!配賦.box2_select</definedName>
    <definedName name="配賦.box2_select" localSheetId="0">[411]!配賦.box2_select</definedName>
    <definedName name="配賦.box2_select">[411]!配賦.box2_select</definedName>
    <definedName name="配賦.OptionChk1" localSheetId="5">[411]!配賦.OptionChk1</definedName>
    <definedName name="配賦.OptionChk1" localSheetId="0">[411]!配賦.OptionChk1</definedName>
    <definedName name="配賦.OptionChk1">[411]!配賦.OptionChk1</definedName>
    <definedName name="配賦.OptionChk2" localSheetId="5">[411]!配賦.OptionChk2</definedName>
    <definedName name="配賦.OptionChk2" localSheetId="0">[411]!配賦.OptionChk2</definedName>
    <definedName name="配賦.OptionChk2">[411]!配賦.OptionChk2</definedName>
    <definedName name="配賦.OptionChk3" localSheetId="5">[411]!配賦.OptionChk3</definedName>
    <definedName name="配賦.OptionChk3" localSheetId="0">[411]!配賦.OptionChk3</definedName>
    <definedName name="配賦.OptionChk3">[411]!配賦.OptionChk3</definedName>
    <definedName name="配賦DB_Module.box2_select" localSheetId="17">CMA!配賦DB_Module.box2_select</definedName>
    <definedName name="配賦DB_Module.box2_select" localSheetId="1">Historical!配賦DB_Module.box2_select</definedName>
    <definedName name="配賦DB_Module.box2_select" localSheetId="0">Projected!配賦DB_Module.box2_select</definedName>
    <definedName name="配賦DB_Module.box2_select">配賦DB_Module.box2_select</definedName>
    <definedName name="配賦DB_Module.OptionChk1" localSheetId="17">CMA!配賦DB_Module.OptionChk1</definedName>
    <definedName name="配賦DB_Module.OptionChk1" localSheetId="1">Historical!配賦DB_Module.OptionChk1</definedName>
    <definedName name="配賦DB_Module.OptionChk1" localSheetId="0">Projected!配賦DB_Module.OptionChk1</definedName>
    <definedName name="配賦DB_Module.OptionChk1">配賦DB_Module.OptionChk1</definedName>
    <definedName name="配賦DB_Module.OptionChk2" localSheetId="17">CMA!配賦DB_Module.OptionChk2</definedName>
    <definedName name="配賦DB_Module.OptionChk2" localSheetId="1">Historical!配賦DB_Module.OptionChk2</definedName>
    <definedName name="配賦DB_Module.OptionChk2" localSheetId="0">Projected!配賦DB_Module.OptionChk2</definedName>
    <definedName name="配賦DB_Module.OptionChk2">配賦DB_Module.OptionChk2</definedName>
    <definedName name="配賦DB_Module.OptionChk3" localSheetId="17">CMA!配賦DB_Module.OptionChk3</definedName>
    <definedName name="配賦DB_Module.OptionChk3" localSheetId="1">Historical!配賦DB_Module.OptionChk3</definedName>
    <definedName name="配賦DB_Module.OptionChk3" localSheetId="0">Projected!配賦DB_Module.OptionChk3</definedName>
    <definedName name="配賦DB_Module.OptionChk3">配賦DB_Module.OptionChk3</definedName>
    <definedName name="配賦EX_Module.Haifu_Execute" localSheetId="17">CMA!配賦EX_Module.Haifu_Execute</definedName>
    <definedName name="配賦EX_Module.Haifu_Execute" localSheetId="1">Historical!配賦EX_Module.Haifu_Execute</definedName>
    <definedName name="配賦EX_Module.Haifu_Execute" localSheetId="0">Projected!配賦EX_Module.Haifu_Execute</definedName>
    <definedName name="配賦EX_Module.Haifu_Execute">配賦EX_Module.Haifu_Execute</definedName>
    <definedName name="配賦EX_Module.Haifu_NumberEdit" localSheetId="17">CMA!配賦EX_Module.Haifu_NumberEdit</definedName>
    <definedName name="配賦EX_Module.Haifu_NumberEdit" localSheetId="1">Historical!配賦EX_Module.Haifu_NumberEdit</definedName>
    <definedName name="配賦EX_Module.Haifu_NumberEdit" localSheetId="0">Projected!配賦EX_Module.Haifu_NumberEdit</definedName>
    <definedName name="配賦EX_Module.Haifu_NumberEdit">配賦EX_Module.Haifu_NumberEdit</definedName>
    <definedName name="間接所有" localSheetId="17">[402]関連会社明細!$BB$14:$BU$14</definedName>
    <definedName name="間接所有">[403]関連会社明細!$BB$14:$BU$14</definedName>
    <definedName name="項___目" localSheetId="17">#REF!</definedName>
    <definedName name="項___目">#REF!</definedName>
    <definedName name="香川銀ﾘｰｽ">#REF!</definedName>
  </definedNames>
  <calcPr calcId="191029"/>
</workbook>
</file>

<file path=xl/calcChain.xml><?xml version="1.0" encoding="utf-8"?>
<calcChain xmlns="http://schemas.openxmlformats.org/spreadsheetml/2006/main">
  <c r="K6" i="3" l="1"/>
  <c r="C22" i="26"/>
  <c r="X11" i="1"/>
  <c r="T22" i="31"/>
  <c r="O3" i="23"/>
  <c r="P3" i="23"/>
  <c r="Q3" i="23"/>
  <c r="R3" i="23"/>
  <c r="S3" i="23"/>
  <c r="T3" i="23"/>
  <c r="U3" i="23"/>
  <c r="V3" i="23"/>
  <c r="W3" i="23"/>
  <c r="X3" i="23"/>
  <c r="Y3" i="23"/>
  <c r="Z3" i="23"/>
  <c r="AA3" i="23"/>
  <c r="AE3" i="23"/>
  <c r="C31" i="4"/>
  <c r="C12" i="25"/>
  <c r="F30" i="32"/>
  <c r="C33" i="32"/>
  <c r="M18" i="32"/>
  <c r="M17" i="32"/>
  <c r="P16" i="32" s="1"/>
  <c r="G31" i="32"/>
  <c r="H31" i="32" s="1"/>
  <c r="G32" i="32" s="1"/>
  <c r="G30" i="32"/>
  <c r="D30" i="32"/>
  <c r="C30" i="32"/>
  <c r="E30" i="32" s="1"/>
  <c r="D28" i="32"/>
  <c r="C28" i="32"/>
  <c r="M15" i="32"/>
  <c r="M16" i="32" s="1"/>
  <c r="N16" i="32"/>
  <c r="O10" i="3"/>
  <c r="N10" i="3"/>
  <c r="M10" i="3"/>
  <c r="L10" i="3"/>
  <c r="D30" i="4"/>
  <c r="T10" i="3" s="1"/>
  <c r="K21" i="29"/>
  <c r="L21" i="29"/>
  <c r="L16" i="29"/>
  <c r="L11" i="29"/>
  <c r="K11" i="29"/>
  <c r="N14" i="23"/>
  <c r="N2" i="23"/>
  <c r="T26" i="26"/>
  <c r="L12" i="1"/>
  <c r="M12" i="1" s="1"/>
  <c r="N12" i="1" s="1"/>
  <c r="O12" i="1" s="1"/>
  <c r="P12" i="1" s="1"/>
  <c r="Q12" i="1" s="1"/>
  <c r="R12" i="1" s="1"/>
  <c r="S12" i="1" s="1"/>
  <c r="T12" i="1" s="1"/>
  <c r="U12" i="1" s="1"/>
  <c r="V12" i="1" s="1"/>
  <c r="W12" i="1" s="1"/>
  <c r="X12" i="1" s="1"/>
  <c r="Y12" i="1" s="1"/>
  <c r="Z12" i="1" s="1"/>
  <c r="K12" i="1"/>
  <c r="L11" i="1"/>
  <c r="K11" i="1"/>
  <c r="D8" i="32"/>
  <c r="E8" i="32"/>
  <c r="F8" i="32"/>
  <c r="C8" i="32"/>
  <c r="M14" i="23"/>
  <c r="M16" i="23" s="1"/>
  <c r="K16" i="23"/>
  <c r="L16" i="23"/>
  <c r="Q10" i="3" l="1"/>
  <c r="S10" i="3"/>
  <c r="R10" i="3"/>
  <c r="P10" i="3"/>
  <c r="J32" i="32"/>
  <c r="M11" i="1"/>
  <c r="N11" i="1" s="1"/>
  <c r="B7" i="31"/>
  <c r="B14" i="31"/>
  <c r="B15" i="31" s="1"/>
  <c r="D31" i="4"/>
  <c r="E31" i="4" s="1"/>
  <c r="F31" i="4" s="1"/>
  <c r="G31" i="4" s="1"/>
  <c r="H31" i="4" s="1"/>
  <c r="AB3" i="3"/>
  <c r="AA3" i="3"/>
  <c r="H4" i="1"/>
  <c r="H3" i="1"/>
  <c r="O14" i="23"/>
  <c r="P14" i="23" s="1"/>
  <c r="Q14" i="23" s="1"/>
  <c r="R14" i="23" s="1"/>
  <c r="S14" i="23" s="1"/>
  <c r="T14" i="23" s="1"/>
  <c r="U14" i="23" s="1"/>
  <c r="V14" i="23" s="1"/>
  <c r="W14" i="23" s="1"/>
  <c r="X14" i="23" s="1"/>
  <c r="Y14" i="23" s="1"/>
  <c r="Z14" i="23" s="1"/>
  <c r="AA14" i="23" s="1"/>
  <c r="AB14" i="23" s="1"/>
  <c r="AC14" i="23" s="1"/>
  <c r="AD14" i="23" s="1"/>
  <c r="AE14" i="23" s="1"/>
  <c r="E16" i="26" l="1"/>
  <c r="D16" i="26"/>
  <c r="J9" i="30"/>
  <c r="I2" i="30"/>
  <c r="F22" i="31"/>
  <c r="G22" i="31"/>
  <c r="H22" i="31"/>
  <c r="I22" i="31"/>
  <c r="J22" i="31"/>
  <c r="K22" i="31"/>
  <c r="L22" i="31"/>
  <c r="M22" i="31"/>
  <c r="N22" i="31"/>
  <c r="O22" i="31"/>
  <c r="P22" i="31"/>
  <c r="Q22" i="31"/>
  <c r="R22" i="31"/>
  <c r="S22" i="31"/>
  <c r="U22" i="31"/>
  <c r="V22" i="31"/>
  <c r="E22" i="31"/>
  <c r="O5" i="23" l="1"/>
  <c r="P5" i="23" s="1"/>
  <c r="Q5" i="23" s="1"/>
  <c r="O21" i="23"/>
  <c r="P21" i="23" s="1"/>
  <c r="Q21" i="23" s="1"/>
  <c r="R21" i="23" s="1"/>
  <c r="S21" i="23" s="1"/>
  <c r="T21" i="23" s="1"/>
  <c r="U21" i="23" s="1"/>
  <c r="V21" i="23" s="1"/>
  <c r="W21" i="23" s="1"/>
  <c r="X21" i="23" s="1"/>
  <c r="Y21" i="23" s="1"/>
  <c r="Z21" i="23" s="1"/>
  <c r="AA21" i="23" s="1"/>
  <c r="AB21" i="23" s="1"/>
  <c r="AC21" i="23" s="1"/>
  <c r="AD21" i="23" s="1"/>
  <c r="AE21" i="23" s="1"/>
  <c r="O25" i="23"/>
  <c r="P25" i="23" s="1"/>
  <c r="O17" i="23"/>
  <c r="P17" i="23" s="1"/>
  <c r="Q17" i="23" s="1"/>
  <c r="R17" i="23" s="1"/>
  <c r="S17" i="23" s="1"/>
  <c r="T17" i="23" s="1"/>
  <c r="U17" i="23" s="1"/>
  <c r="V17" i="23" s="1"/>
  <c r="W17" i="23" s="1"/>
  <c r="X17" i="23" s="1"/>
  <c r="Y17" i="23" s="1"/>
  <c r="Z17" i="23" s="1"/>
  <c r="AA17" i="23" s="1"/>
  <c r="AB17" i="23" s="1"/>
  <c r="AC17" i="23" s="1"/>
  <c r="AD17" i="23" s="1"/>
  <c r="AE17" i="23" s="1"/>
  <c r="O11" i="1"/>
  <c r="P11" i="1" s="1"/>
  <c r="W10" i="1"/>
  <c r="X10" i="1"/>
  <c r="Y10" i="1"/>
  <c r="Z10" i="1"/>
  <c r="S10" i="1"/>
  <c r="T10" i="1"/>
  <c r="U10" i="1"/>
  <c r="V10" i="1"/>
  <c r="O10" i="1"/>
  <c r="P10" i="1"/>
  <c r="Q10" i="1"/>
  <c r="R10" i="1"/>
  <c r="M10" i="1"/>
  <c r="N10" i="1"/>
  <c r="L10" i="1"/>
  <c r="J19" i="30"/>
  <c r="C31" i="3"/>
  <c r="D31" i="3"/>
  <c r="F31" i="3" s="1"/>
  <c r="G31" i="3" s="1"/>
  <c r="H31" i="3"/>
  <c r="I31" i="3" s="1"/>
  <c r="L5" i="3"/>
  <c r="K5" i="3"/>
  <c r="O19" i="23"/>
  <c r="F11" i="31" s="1"/>
  <c r="O29" i="23"/>
  <c r="F16" i="31" s="1"/>
  <c r="M5" i="3"/>
  <c r="N5" i="3"/>
  <c r="O5" i="3"/>
  <c r="P5" i="3"/>
  <c r="E30" i="4"/>
  <c r="Q5" i="3"/>
  <c r="R5" i="3"/>
  <c r="S5" i="3"/>
  <c r="T5" i="3"/>
  <c r="U5" i="3"/>
  <c r="V5" i="3"/>
  <c r="W5" i="3"/>
  <c r="X5" i="3"/>
  <c r="Y5" i="3"/>
  <c r="Z5" i="3"/>
  <c r="AA5" i="3"/>
  <c r="AB1" i="3"/>
  <c r="AC32" i="3" s="1"/>
  <c r="D114" i="2"/>
  <c r="E114" i="2"/>
  <c r="C7" i="7"/>
  <c r="C8" i="7"/>
  <c r="C11" i="7"/>
  <c r="E4" i="7"/>
  <c r="F4" i="7"/>
  <c r="F11" i="7"/>
  <c r="B35" i="7"/>
  <c r="C42" i="3"/>
  <c r="D42" i="3" s="1"/>
  <c r="F42" i="3" s="1"/>
  <c r="G42" i="3" s="1"/>
  <c r="H42" i="3"/>
  <c r="I42" i="3" s="1"/>
  <c r="J42" i="3" s="1"/>
  <c r="K42" i="3"/>
  <c r="L42" i="3" s="1"/>
  <c r="C2" i="3"/>
  <c r="D2" i="3"/>
  <c r="F2" i="3"/>
  <c r="G2" i="3" s="1"/>
  <c r="H2" i="3" s="1"/>
  <c r="I2" i="3" s="1"/>
  <c r="J2" i="3" s="1"/>
  <c r="K2" i="3"/>
  <c r="L2" i="3" s="1"/>
  <c r="M2" i="3" s="1"/>
  <c r="N2" i="3" s="1"/>
  <c r="O2" i="3" s="1"/>
  <c r="P2" i="3" s="1"/>
  <c r="Q2" i="3" s="1"/>
  <c r="R2" i="3" s="1"/>
  <c r="C46" i="3"/>
  <c r="D46" i="3"/>
  <c r="F46" i="3"/>
  <c r="G46" i="3" s="1"/>
  <c r="H46" i="3" s="1"/>
  <c r="I46" i="3" s="1"/>
  <c r="J46" i="3" s="1"/>
  <c r="K46" i="3" s="1"/>
  <c r="L46" i="3" s="1"/>
  <c r="M46" i="3" s="1"/>
  <c r="N46" i="3" s="1"/>
  <c r="O46" i="3" s="1"/>
  <c r="P46" i="3" s="1"/>
  <c r="Q46" i="3" s="1"/>
  <c r="R46" i="3" s="1"/>
  <c r="S46" i="3" s="1"/>
  <c r="T46" i="3" s="1"/>
  <c r="U46" i="3" s="1"/>
  <c r="V46" i="3" s="1"/>
  <c r="W46" i="3" s="1"/>
  <c r="X46" i="3" s="1"/>
  <c r="Y46" i="3" s="1"/>
  <c r="Z46" i="3" s="1"/>
  <c r="AA46" i="3" s="1"/>
  <c r="AB46" i="3" s="1"/>
  <c r="C47" i="3"/>
  <c r="F47" i="3"/>
  <c r="G47" i="3" s="1"/>
  <c r="H47" i="3" s="1"/>
  <c r="I47" i="3" s="1"/>
  <c r="J47" i="3"/>
  <c r="K47" i="3" s="1"/>
  <c r="L47" i="3" s="1"/>
  <c r="L38" i="3"/>
  <c r="L39" i="3"/>
  <c r="C16" i="3"/>
  <c r="D16" i="3"/>
  <c r="F16" i="3"/>
  <c r="G16" i="3" s="1"/>
  <c r="H16" i="3" s="1"/>
  <c r="I16" i="3" s="1"/>
  <c r="J16" i="3"/>
  <c r="K16" i="3"/>
  <c r="L16" i="3" s="1"/>
  <c r="L17" i="3" s="1"/>
  <c r="C20" i="3"/>
  <c r="D20" i="3"/>
  <c r="F20" i="3"/>
  <c r="G20" i="3" s="1"/>
  <c r="H20" i="3" s="1"/>
  <c r="I20" i="3" s="1"/>
  <c r="J20" i="3"/>
  <c r="K20" i="3" s="1"/>
  <c r="L20" i="3" s="1"/>
  <c r="M20" i="3" s="1"/>
  <c r="N20" i="3" s="1"/>
  <c r="O20" i="3" s="1"/>
  <c r="P20" i="3" s="1"/>
  <c r="Q20" i="3" s="1"/>
  <c r="R20" i="3" s="1"/>
  <c r="S20" i="3" s="1"/>
  <c r="T20" i="3" s="1"/>
  <c r="U20" i="3" s="1"/>
  <c r="V20" i="3" s="1"/>
  <c r="W20" i="3" s="1"/>
  <c r="X20" i="3" s="1"/>
  <c r="Y20" i="3" s="1"/>
  <c r="Z20" i="3" s="1"/>
  <c r="AA20" i="3" s="1"/>
  <c r="C21" i="3"/>
  <c r="D21" i="3"/>
  <c r="F21" i="3"/>
  <c r="G21" i="3" s="1"/>
  <c r="H21" i="3" s="1"/>
  <c r="I21" i="3" s="1"/>
  <c r="J21" i="3" s="1"/>
  <c r="K21" i="3" s="1"/>
  <c r="L21" i="3" s="1"/>
  <c r="M21" i="3" s="1"/>
  <c r="N21" i="3" s="1"/>
  <c r="O21" i="3" s="1"/>
  <c r="P21" i="3" s="1"/>
  <c r="Q21" i="3" s="1"/>
  <c r="R21" i="3" s="1"/>
  <c r="S21" i="3" s="1"/>
  <c r="L12" i="3"/>
  <c r="L13" i="3"/>
  <c r="C51" i="3"/>
  <c r="D51" i="3" s="1"/>
  <c r="C25" i="3"/>
  <c r="D25" i="3" s="1"/>
  <c r="F25" i="3" s="1"/>
  <c r="G25" i="3"/>
  <c r="H25" i="3" s="1"/>
  <c r="I25" i="3" s="1"/>
  <c r="J25" i="3" s="1"/>
  <c r="K25" i="3" s="1"/>
  <c r="B38" i="1"/>
  <c r="F5" i="3"/>
  <c r="O9" i="2"/>
  <c r="N10" i="2"/>
  <c r="O10" i="2"/>
  <c r="N11" i="2"/>
  <c r="O11" i="2"/>
  <c r="N13" i="2"/>
  <c r="O13" i="2"/>
  <c r="N15" i="2"/>
  <c r="O15" i="2"/>
  <c r="O16" i="2"/>
  <c r="B15" i="7"/>
  <c r="F15" i="7"/>
  <c r="G15" i="7"/>
  <c r="H15" i="7"/>
  <c r="I15" i="7"/>
  <c r="J15" i="7"/>
  <c r="K15" i="7"/>
  <c r="L15" i="7"/>
  <c r="M15" i="7"/>
  <c r="M36" i="7"/>
  <c r="M47" i="3"/>
  <c r="N47" i="3" s="1"/>
  <c r="O47" i="3" s="1"/>
  <c r="P47" i="3" s="1"/>
  <c r="Q47" i="3" s="1"/>
  <c r="R47" i="3" s="1"/>
  <c r="S47" i="3" s="1"/>
  <c r="T47" i="3" s="1"/>
  <c r="U47" i="3" s="1"/>
  <c r="V47" i="3" s="1"/>
  <c r="M38" i="3"/>
  <c r="M39" i="3"/>
  <c r="M16" i="3"/>
  <c r="M12" i="3"/>
  <c r="M13" i="3"/>
  <c r="P9" i="2"/>
  <c r="P10" i="2"/>
  <c r="P11" i="2"/>
  <c r="P13" i="2"/>
  <c r="P15" i="2"/>
  <c r="P16" i="2"/>
  <c r="N15" i="7"/>
  <c r="N36" i="7"/>
  <c r="N12" i="3"/>
  <c r="N13" i="3"/>
  <c r="N38" i="3"/>
  <c r="N39" i="3"/>
  <c r="Q9" i="2"/>
  <c r="Q10" i="2"/>
  <c r="Q11" i="2"/>
  <c r="Q13" i="2"/>
  <c r="Q15" i="2"/>
  <c r="Q16" i="2"/>
  <c r="O15" i="7"/>
  <c r="O36" i="7"/>
  <c r="O12" i="3"/>
  <c r="O13" i="3"/>
  <c r="O38" i="3"/>
  <c r="O39" i="3"/>
  <c r="R9" i="2"/>
  <c r="R10" i="2"/>
  <c r="R11" i="2"/>
  <c r="R13" i="2"/>
  <c r="R15" i="2"/>
  <c r="R16" i="2"/>
  <c r="P15" i="7"/>
  <c r="P36" i="7"/>
  <c r="P12" i="3"/>
  <c r="P13" i="3"/>
  <c r="P38" i="3"/>
  <c r="P39" i="3"/>
  <c r="S9" i="2"/>
  <c r="S10" i="2"/>
  <c r="S11" i="2"/>
  <c r="S13" i="2"/>
  <c r="S15" i="2"/>
  <c r="S16" i="2"/>
  <c r="Q15" i="7"/>
  <c r="Q36" i="7"/>
  <c r="Q12" i="3"/>
  <c r="Q13" i="3"/>
  <c r="Q38" i="3"/>
  <c r="Q39" i="3"/>
  <c r="T9" i="2"/>
  <c r="T10" i="2"/>
  <c r="T11" i="2"/>
  <c r="T13" i="2"/>
  <c r="T15" i="2"/>
  <c r="T16" i="2"/>
  <c r="K43" i="3"/>
  <c r="K38" i="3"/>
  <c r="K39" i="3"/>
  <c r="K17" i="3"/>
  <c r="K12" i="3"/>
  <c r="K13" i="3"/>
  <c r="N9" i="2"/>
  <c r="N16" i="2"/>
  <c r="R15" i="7"/>
  <c r="B36" i="7"/>
  <c r="R12" i="3"/>
  <c r="R13" i="3"/>
  <c r="R38" i="3"/>
  <c r="R39" i="3"/>
  <c r="U9" i="2"/>
  <c r="U10" i="2"/>
  <c r="U11" i="2"/>
  <c r="U13" i="2"/>
  <c r="U15" i="2"/>
  <c r="U16" i="2"/>
  <c r="S15" i="7"/>
  <c r="S12" i="3"/>
  <c r="S13" i="3"/>
  <c r="S2" i="3"/>
  <c r="T2" i="3" s="1"/>
  <c r="U2" i="3" s="1"/>
  <c r="V2" i="3" s="1"/>
  <c r="W2" i="3" s="1"/>
  <c r="X2" i="3" s="1"/>
  <c r="Y2" i="3" s="1"/>
  <c r="Z2" i="3" s="1"/>
  <c r="AA2" i="3" s="1"/>
  <c r="AB2" i="3" s="1"/>
  <c r="S38" i="3"/>
  <c r="S39" i="3"/>
  <c r="V9" i="2"/>
  <c r="V10" i="2"/>
  <c r="V11" i="2"/>
  <c r="V13" i="2"/>
  <c r="V15" i="2"/>
  <c r="V16" i="2"/>
  <c r="T15" i="7"/>
  <c r="T12" i="3"/>
  <c r="T13" i="3"/>
  <c r="T21" i="3"/>
  <c r="U21" i="3" s="1"/>
  <c r="V21" i="3" s="1"/>
  <c r="W21" i="3" s="1"/>
  <c r="X21" i="3" s="1"/>
  <c r="Y21" i="3" s="1"/>
  <c r="Z21" i="3" s="1"/>
  <c r="AA21" i="3" s="1"/>
  <c r="T38" i="3"/>
  <c r="T39" i="3"/>
  <c r="W9" i="2"/>
  <c r="W10" i="2"/>
  <c r="W11" i="2"/>
  <c r="W13" i="2"/>
  <c r="W15" i="2"/>
  <c r="W16" i="2"/>
  <c r="U15" i="7"/>
  <c r="U12" i="3"/>
  <c r="U13" i="3"/>
  <c r="U38" i="3"/>
  <c r="U39" i="3"/>
  <c r="X9" i="2"/>
  <c r="X10" i="2"/>
  <c r="X11" i="2"/>
  <c r="X13" i="2"/>
  <c r="X15" i="2"/>
  <c r="X16" i="2"/>
  <c r="V15" i="7"/>
  <c r="V12" i="3"/>
  <c r="V13" i="3"/>
  <c r="V38" i="3"/>
  <c r="V39" i="3"/>
  <c r="Y9" i="2"/>
  <c r="Y10" i="2"/>
  <c r="Y11" i="2"/>
  <c r="Y13" i="2"/>
  <c r="Y15" i="2"/>
  <c r="Y16" i="2"/>
  <c r="W15" i="7"/>
  <c r="W12" i="3"/>
  <c r="W13" i="3"/>
  <c r="W47" i="3"/>
  <c r="X47" i="3" s="1"/>
  <c r="Y47" i="3" s="1"/>
  <c r="Z47" i="3" s="1"/>
  <c r="W38" i="3"/>
  <c r="W39" i="3"/>
  <c r="Z9" i="2"/>
  <c r="Z10" i="2"/>
  <c r="Z11" i="2"/>
  <c r="Z13" i="2"/>
  <c r="Z15" i="2"/>
  <c r="Z16" i="2"/>
  <c r="X15" i="7"/>
  <c r="X12" i="3"/>
  <c r="X13" i="3"/>
  <c r="X38" i="3"/>
  <c r="X39" i="3"/>
  <c r="AA9" i="2"/>
  <c r="AA10" i="2"/>
  <c r="AA11" i="2"/>
  <c r="AA13" i="2"/>
  <c r="AA15" i="2"/>
  <c r="AA16" i="2"/>
  <c r="Y15" i="7"/>
  <c r="Y12" i="3"/>
  <c r="Y13" i="3"/>
  <c r="Y38" i="3"/>
  <c r="Y39" i="3"/>
  <c r="AB9" i="2"/>
  <c r="AB10" i="2"/>
  <c r="AB11" i="2"/>
  <c r="AB13" i="2"/>
  <c r="AB15" i="2"/>
  <c r="AB16" i="2"/>
  <c r="Z15" i="7"/>
  <c r="Z12" i="3"/>
  <c r="Z13" i="3"/>
  <c r="Z38" i="3"/>
  <c r="Z39" i="3"/>
  <c r="AC9" i="2"/>
  <c r="AC10" i="2"/>
  <c r="AC11" i="2"/>
  <c r="AC13" i="2"/>
  <c r="AC15" i="2"/>
  <c r="AC16" i="2"/>
  <c r="AA15" i="7"/>
  <c r="AA12" i="3"/>
  <c r="AA13" i="3"/>
  <c r="AA47" i="3"/>
  <c r="AB47" i="3" s="1"/>
  <c r="AA38" i="3"/>
  <c r="AA39" i="3"/>
  <c r="AD9" i="2"/>
  <c r="AD10" i="2"/>
  <c r="AD11" i="2"/>
  <c r="AD13" i="2"/>
  <c r="AD15" i="2"/>
  <c r="AD16" i="2"/>
  <c r="AB15" i="7"/>
  <c r="AB38" i="3"/>
  <c r="AB39" i="3"/>
  <c r="AE9" i="2"/>
  <c r="AE10" i="2"/>
  <c r="AE11" i="2"/>
  <c r="AE13" i="2"/>
  <c r="AE15" i="2"/>
  <c r="AE16" i="2"/>
  <c r="AC15" i="7"/>
  <c r="E9" i="31"/>
  <c r="B9" i="31" s="1"/>
  <c r="L36" i="7"/>
  <c r="E10" i="31"/>
  <c r="E11" i="31"/>
  <c r="E12" i="31"/>
  <c r="E14" i="31"/>
  <c r="E16" i="31"/>
  <c r="E17" i="31"/>
  <c r="B7" i="1"/>
  <c r="B1" i="3"/>
  <c r="C1" i="3" s="1"/>
  <c r="D1" i="3" s="1"/>
  <c r="I10" i="23"/>
  <c r="J10" i="23"/>
  <c r="K10" i="23"/>
  <c r="L10" i="23"/>
  <c r="L11" i="23" s="1"/>
  <c r="M10" i="23"/>
  <c r="N12" i="23"/>
  <c r="O12" i="23" s="1"/>
  <c r="I18" i="23"/>
  <c r="J18" i="23"/>
  <c r="K18" i="23"/>
  <c r="L18" i="23"/>
  <c r="M18" i="23"/>
  <c r="B18" i="23" s="1"/>
  <c r="I21" i="23"/>
  <c r="I14" i="23" s="1"/>
  <c r="I15" i="23" s="1"/>
  <c r="J21" i="23"/>
  <c r="J14" i="23" s="1"/>
  <c r="K21" i="23"/>
  <c r="K14" i="23" s="1"/>
  <c r="K15" i="23" s="1"/>
  <c r="L21" i="23"/>
  <c r="L14" i="23" s="1"/>
  <c r="L15" i="23" s="1"/>
  <c r="M21" i="23"/>
  <c r="O23" i="23"/>
  <c r="P23" i="23" s="1"/>
  <c r="G13" i="31" s="1"/>
  <c r="I26" i="23"/>
  <c r="J26" i="23"/>
  <c r="K26" i="23"/>
  <c r="L26" i="23"/>
  <c r="M26" i="23"/>
  <c r="O27" i="23"/>
  <c r="P27" i="23" s="1"/>
  <c r="I30" i="23"/>
  <c r="J30" i="23"/>
  <c r="K30" i="23"/>
  <c r="L30" i="23"/>
  <c r="M30" i="23"/>
  <c r="D4" i="1"/>
  <c r="E14" i="27"/>
  <c r="F14" i="27"/>
  <c r="G14" i="27"/>
  <c r="B16" i="27"/>
  <c r="G17" i="27"/>
  <c r="E22" i="27"/>
  <c r="F22" i="27"/>
  <c r="G22" i="27"/>
  <c r="B24" i="27"/>
  <c r="G25" i="27"/>
  <c r="E32" i="27"/>
  <c r="B113" i="27"/>
  <c r="B114" i="27"/>
  <c r="C116" i="27"/>
  <c r="E33" i="27"/>
  <c r="E34" i="27"/>
  <c r="F32" i="27"/>
  <c r="G32" i="27"/>
  <c r="B34" i="27"/>
  <c r="G35" i="27"/>
  <c r="E42" i="27"/>
  <c r="E43" i="27"/>
  <c r="E44" i="27"/>
  <c r="F42" i="27"/>
  <c r="G42" i="27"/>
  <c r="B44" i="27"/>
  <c r="G45" i="27"/>
  <c r="E5" i="27"/>
  <c r="F5" i="27"/>
  <c r="G5" i="27"/>
  <c r="G11" i="27"/>
  <c r="F17" i="27"/>
  <c r="E17" i="27"/>
  <c r="E19" i="27"/>
  <c r="F19" i="27"/>
  <c r="G19" i="27"/>
  <c r="G20" i="27"/>
  <c r="F25" i="27"/>
  <c r="E25" i="27"/>
  <c r="E27" i="27"/>
  <c r="F27" i="27"/>
  <c r="G27" i="27"/>
  <c r="G28" i="27"/>
  <c r="G29" i="27"/>
  <c r="E35" i="27"/>
  <c r="D38" i="27"/>
  <c r="E36" i="27"/>
  <c r="E37" i="27"/>
  <c r="F35" i="27"/>
  <c r="F37" i="27"/>
  <c r="G37" i="27"/>
  <c r="G38" i="27"/>
  <c r="G39" i="27"/>
  <c r="E45" i="27"/>
  <c r="D48" i="27"/>
  <c r="E46" i="27"/>
  <c r="E47" i="27"/>
  <c r="F45" i="27"/>
  <c r="F47" i="27"/>
  <c r="G47" i="27"/>
  <c r="G48" i="27"/>
  <c r="G49" i="27"/>
  <c r="E52" i="27"/>
  <c r="F52" i="27"/>
  <c r="F53" i="27"/>
  <c r="F54" i="27"/>
  <c r="G52" i="27"/>
  <c r="B54" i="27"/>
  <c r="G55" i="27"/>
  <c r="E55" i="27"/>
  <c r="E57" i="27"/>
  <c r="F55" i="27"/>
  <c r="E58" i="27"/>
  <c r="F56" i="27"/>
  <c r="F57" i="27"/>
  <c r="G57" i="27"/>
  <c r="G58" i="27"/>
  <c r="G59" i="27"/>
  <c r="E62" i="27"/>
  <c r="F62" i="27"/>
  <c r="G62" i="27"/>
  <c r="E67" i="27"/>
  <c r="F67" i="27"/>
  <c r="G67" i="27"/>
  <c r="G68" i="27"/>
  <c r="G69" i="27"/>
  <c r="E72" i="27"/>
  <c r="F72" i="27"/>
  <c r="F73" i="27"/>
  <c r="F74" i="27"/>
  <c r="G72" i="27"/>
  <c r="G75" i="27"/>
  <c r="E75" i="27"/>
  <c r="E77" i="27"/>
  <c r="F75" i="27"/>
  <c r="E78" i="27"/>
  <c r="F76" i="27"/>
  <c r="F77" i="27"/>
  <c r="G77" i="27"/>
  <c r="G78" i="27"/>
  <c r="G79" i="27"/>
  <c r="E81" i="27"/>
  <c r="F81" i="27"/>
  <c r="G81" i="27"/>
  <c r="E86" i="27"/>
  <c r="F86" i="27"/>
  <c r="G86" i="27"/>
  <c r="G87" i="27"/>
  <c r="G88" i="27"/>
  <c r="E90" i="27"/>
  <c r="E91" i="27"/>
  <c r="E92" i="27"/>
  <c r="F90" i="27"/>
  <c r="G90" i="27"/>
  <c r="G93" i="27"/>
  <c r="E93" i="27"/>
  <c r="D96" i="27"/>
  <c r="E94" i="27"/>
  <c r="E95" i="27"/>
  <c r="F93" i="27"/>
  <c r="F95" i="27"/>
  <c r="G95" i="27"/>
  <c r="G96" i="27"/>
  <c r="G97" i="27"/>
  <c r="G101" i="27"/>
  <c r="E11" i="26"/>
  <c r="G20" i="31"/>
  <c r="H14" i="27"/>
  <c r="H17" i="27"/>
  <c r="H22" i="27"/>
  <c r="H25" i="27"/>
  <c r="H32" i="27"/>
  <c r="H35" i="27"/>
  <c r="H42" i="27"/>
  <c r="H45" i="27"/>
  <c r="H5" i="27"/>
  <c r="H11" i="27"/>
  <c r="H19" i="27"/>
  <c r="H20" i="27"/>
  <c r="H27" i="27"/>
  <c r="H28" i="27"/>
  <c r="H29" i="27"/>
  <c r="H37" i="27"/>
  <c r="H38" i="27"/>
  <c r="H39" i="27"/>
  <c r="H47" i="27"/>
  <c r="H48" i="27"/>
  <c r="H49" i="27"/>
  <c r="H52" i="27"/>
  <c r="H55" i="27"/>
  <c r="H57" i="27"/>
  <c r="H58" i="27"/>
  <c r="H59" i="27"/>
  <c r="H62" i="27"/>
  <c r="H67" i="27"/>
  <c r="H68" i="27"/>
  <c r="H69" i="27"/>
  <c r="H72" i="27"/>
  <c r="H75" i="27"/>
  <c r="H77" i="27"/>
  <c r="H78" i="27"/>
  <c r="H79" i="27"/>
  <c r="H81" i="27"/>
  <c r="H86" i="27"/>
  <c r="H87" i="27"/>
  <c r="H88" i="27"/>
  <c r="H90" i="27"/>
  <c r="H93" i="27"/>
  <c r="H95" i="27"/>
  <c r="H96" i="27"/>
  <c r="H97" i="27"/>
  <c r="H101" i="27"/>
  <c r="F11" i="26"/>
  <c r="H20" i="31"/>
  <c r="I14" i="27"/>
  <c r="I17" i="27"/>
  <c r="I22" i="27"/>
  <c r="I25" i="27"/>
  <c r="I32" i="27"/>
  <c r="I35" i="27"/>
  <c r="I42" i="27"/>
  <c r="I45" i="27"/>
  <c r="I5" i="27"/>
  <c r="I11" i="27"/>
  <c r="I19" i="27"/>
  <c r="I20" i="27"/>
  <c r="I27" i="27"/>
  <c r="I28" i="27"/>
  <c r="I29" i="27"/>
  <c r="I37" i="27"/>
  <c r="I38" i="27"/>
  <c r="I39" i="27"/>
  <c r="I47" i="27"/>
  <c r="I48" i="27"/>
  <c r="I49" i="27"/>
  <c r="I52" i="27"/>
  <c r="I53" i="27"/>
  <c r="I54" i="27"/>
  <c r="I55" i="27"/>
  <c r="I56" i="27"/>
  <c r="I57" i="27"/>
  <c r="I58" i="27"/>
  <c r="I59" i="27"/>
  <c r="I62" i="27"/>
  <c r="I67" i="27"/>
  <c r="I68" i="27"/>
  <c r="I69" i="27"/>
  <c r="I72" i="27"/>
  <c r="I75" i="27"/>
  <c r="I77" i="27"/>
  <c r="I78" i="27"/>
  <c r="I79" i="27"/>
  <c r="I81" i="27"/>
  <c r="I86" i="27"/>
  <c r="I87" i="27"/>
  <c r="I88" i="27"/>
  <c r="I90" i="27"/>
  <c r="I91" i="27"/>
  <c r="I92" i="27"/>
  <c r="I93" i="27"/>
  <c r="I94" i="27"/>
  <c r="I95" i="27"/>
  <c r="I96" i="27"/>
  <c r="I97" i="27"/>
  <c r="I101" i="27"/>
  <c r="G11" i="26"/>
  <c r="I20" i="31"/>
  <c r="J14" i="27"/>
  <c r="J17" i="27"/>
  <c r="J22" i="27"/>
  <c r="J25" i="27"/>
  <c r="J32" i="27"/>
  <c r="J35" i="27"/>
  <c r="J42" i="27"/>
  <c r="J45" i="27"/>
  <c r="J5" i="27"/>
  <c r="J11" i="27"/>
  <c r="J19" i="27"/>
  <c r="J20" i="27"/>
  <c r="J27" i="27"/>
  <c r="J28" i="27"/>
  <c r="J29" i="27"/>
  <c r="J33" i="27"/>
  <c r="J34" i="27"/>
  <c r="J36" i="27"/>
  <c r="J37" i="27"/>
  <c r="J38" i="27"/>
  <c r="J39" i="27"/>
  <c r="J43" i="27"/>
  <c r="J44" i="27"/>
  <c r="J46" i="27"/>
  <c r="J47" i="27"/>
  <c r="J48" i="27"/>
  <c r="J49" i="27"/>
  <c r="J52" i="27"/>
  <c r="J55" i="27"/>
  <c r="J57" i="27"/>
  <c r="J58" i="27"/>
  <c r="J59" i="27"/>
  <c r="J62" i="27"/>
  <c r="J67" i="27"/>
  <c r="J68" i="27"/>
  <c r="J69" i="27"/>
  <c r="J72" i="27"/>
  <c r="J75" i="27"/>
  <c r="J77" i="27"/>
  <c r="J78" i="27"/>
  <c r="J79" i="27"/>
  <c r="J81" i="27"/>
  <c r="J84" i="27"/>
  <c r="J86" i="27"/>
  <c r="J87" i="27"/>
  <c r="J88" i="27"/>
  <c r="J90" i="27"/>
  <c r="J93" i="27"/>
  <c r="J95" i="27"/>
  <c r="J96" i="27"/>
  <c r="J97" i="27"/>
  <c r="J101" i="27"/>
  <c r="H11" i="26"/>
  <c r="J20" i="31" s="1"/>
  <c r="K14" i="27"/>
  <c r="K17" i="27"/>
  <c r="K22" i="27"/>
  <c r="K25" i="27"/>
  <c r="K32" i="27"/>
  <c r="K35" i="27"/>
  <c r="K42" i="27"/>
  <c r="K45" i="27"/>
  <c r="K5" i="27"/>
  <c r="K11" i="27"/>
  <c r="K19" i="27"/>
  <c r="K20" i="27"/>
  <c r="K27" i="27"/>
  <c r="K28" i="27"/>
  <c r="K29" i="27"/>
  <c r="K37" i="27"/>
  <c r="K38" i="27"/>
  <c r="K39" i="27"/>
  <c r="K47" i="27"/>
  <c r="K48" i="27"/>
  <c r="K49" i="27"/>
  <c r="K52" i="27"/>
  <c r="K55" i="27"/>
  <c r="K57" i="27"/>
  <c r="K58" i="27"/>
  <c r="K59" i="27"/>
  <c r="K62" i="27"/>
  <c r="K67" i="27"/>
  <c r="K68" i="27"/>
  <c r="K69" i="27"/>
  <c r="K72" i="27"/>
  <c r="K75" i="27"/>
  <c r="K77" i="27"/>
  <c r="K78" i="27"/>
  <c r="K79" i="27"/>
  <c r="K81" i="27"/>
  <c r="K84" i="27"/>
  <c r="K86" i="27"/>
  <c r="K87" i="27"/>
  <c r="K88" i="27"/>
  <c r="K90" i="27"/>
  <c r="K93" i="27"/>
  <c r="K95" i="27"/>
  <c r="K96" i="27"/>
  <c r="K97" i="27"/>
  <c r="K101" i="27"/>
  <c r="I11" i="26"/>
  <c r="K20" i="31" s="1"/>
  <c r="L14" i="27"/>
  <c r="L17" i="27"/>
  <c r="L22" i="27"/>
  <c r="L25" i="27"/>
  <c r="L32" i="27"/>
  <c r="L35" i="27"/>
  <c r="L42" i="27"/>
  <c r="L45" i="27"/>
  <c r="L5" i="27"/>
  <c r="L11" i="27"/>
  <c r="L19" i="27"/>
  <c r="L20" i="27"/>
  <c r="L27" i="27"/>
  <c r="L28" i="27"/>
  <c r="L29" i="27"/>
  <c r="L37" i="27"/>
  <c r="L38" i="27"/>
  <c r="L39" i="27"/>
  <c r="L47" i="27"/>
  <c r="L48" i="27"/>
  <c r="L49" i="27"/>
  <c r="L52" i="27"/>
  <c r="L53" i="27"/>
  <c r="L54" i="27"/>
  <c r="L55" i="27"/>
  <c r="L56" i="27"/>
  <c r="L57" i="27"/>
  <c r="L58" i="27"/>
  <c r="L59" i="27"/>
  <c r="L62" i="27"/>
  <c r="L67" i="27"/>
  <c r="L68" i="27"/>
  <c r="L69" i="27"/>
  <c r="L72" i="27"/>
  <c r="L75" i="27"/>
  <c r="L77" i="27"/>
  <c r="L78" i="27"/>
  <c r="L79" i="27"/>
  <c r="L81" i="27"/>
  <c r="L84" i="27"/>
  <c r="L86" i="27"/>
  <c r="L87" i="27"/>
  <c r="L88" i="27"/>
  <c r="L90" i="27"/>
  <c r="L93" i="27"/>
  <c r="L95" i="27"/>
  <c r="L96" i="27"/>
  <c r="L97" i="27"/>
  <c r="L101" i="27"/>
  <c r="J11" i="26"/>
  <c r="L20" i="31"/>
  <c r="M14" i="27"/>
  <c r="M17" i="27"/>
  <c r="M22" i="27"/>
  <c r="M25" i="27"/>
  <c r="M32" i="27"/>
  <c r="M35" i="27"/>
  <c r="M42" i="27"/>
  <c r="M45" i="27"/>
  <c r="M5" i="27"/>
  <c r="M11" i="27"/>
  <c r="M19" i="27"/>
  <c r="M20" i="27"/>
  <c r="M27" i="27"/>
  <c r="M28" i="27"/>
  <c r="M29" i="27"/>
  <c r="M37" i="27"/>
  <c r="M38" i="27"/>
  <c r="M39" i="27"/>
  <c r="M47" i="27"/>
  <c r="M48" i="27"/>
  <c r="M49" i="27"/>
  <c r="M52" i="27"/>
  <c r="M55" i="27"/>
  <c r="M57" i="27"/>
  <c r="M58" i="27"/>
  <c r="M59" i="27"/>
  <c r="M62" i="27"/>
  <c r="M67" i="27"/>
  <c r="M68" i="27"/>
  <c r="M69" i="27"/>
  <c r="M72" i="27"/>
  <c r="M75" i="27"/>
  <c r="M77" i="27"/>
  <c r="M78" i="27"/>
  <c r="M79" i="27"/>
  <c r="M81" i="27"/>
  <c r="M84" i="27"/>
  <c r="M86" i="27"/>
  <c r="M87" i="27"/>
  <c r="M88" i="27"/>
  <c r="M90" i="27"/>
  <c r="M91" i="27"/>
  <c r="M92" i="27"/>
  <c r="M93" i="27"/>
  <c r="M94" i="27"/>
  <c r="M95" i="27"/>
  <c r="M96" i="27"/>
  <c r="M97" i="27"/>
  <c r="M101" i="27"/>
  <c r="K11" i="26"/>
  <c r="M20" i="31"/>
  <c r="N14" i="27"/>
  <c r="N17" i="27"/>
  <c r="N22" i="27"/>
  <c r="N25" i="27"/>
  <c r="N32" i="27"/>
  <c r="N35" i="27"/>
  <c r="N42" i="27"/>
  <c r="N45" i="27"/>
  <c r="N5" i="27"/>
  <c r="N11" i="27"/>
  <c r="N19" i="27"/>
  <c r="N20" i="27"/>
  <c r="N27" i="27"/>
  <c r="N28" i="27"/>
  <c r="N29" i="27"/>
  <c r="N37" i="27"/>
  <c r="N38" i="27"/>
  <c r="N39" i="27"/>
  <c r="N47" i="27"/>
  <c r="N48" i="27"/>
  <c r="N49" i="27"/>
  <c r="N52" i="27"/>
  <c r="N55" i="27"/>
  <c r="N57" i="27"/>
  <c r="N58" i="27"/>
  <c r="N59" i="27"/>
  <c r="N62" i="27"/>
  <c r="N67" i="27"/>
  <c r="N68" i="27"/>
  <c r="N69" i="27"/>
  <c r="N72" i="27"/>
  <c r="N73" i="27"/>
  <c r="N74" i="27"/>
  <c r="N75" i="27"/>
  <c r="N76" i="27"/>
  <c r="N77" i="27"/>
  <c r="N78" i="27"/>
  <c r="N79" i="27"/>
  <c r="N81" i="27"/>
  <c r="N84" i="27"/>
  <c r="N86" i="27"/>
  <c r="N87" i="27"/>
  <c r="N88" i="27"/>
  <c r="N90" i="27"/>
  <c r="N93" i="27"/>
  <c r="N95" i="27"/>
  <c r="N96" i="27"/>
  <c r="N97" i="27"/>
  <c r="N101" i="27"/>
  <c r="L11" i="26"/>
  <c r="N20" i="31" s="1"/>
  <c r="O14" i="27"/>
  <c r="O17" i="27"/>
  <c r="O22" i="27"/>
  <c r="O25" i="27"/>
  <c r="O32" i="27"/>
  <c r="O35" i="27"/>
  <c r="O42" i="27"/>
  <c r="O45" i="27"/>
  <c r="O5" i="27"/>
  <c r="O11" i="27"/>
  <c r="O19" i="27"/>
  <c r="O20" i="27"/>
  <c r="O27" i="27"/>
  <c r="O28" i="27"/>
  <c r="O29" i="27"/>
  <c r="O33" i="27"/>
  <c r="O34" i="27"/>
  <c r="O36" i="27"/>
  <c r="O37" i="27"/>
  <c r="O38" i="27"/>
  <c r="O39" i="27"/>
  <c r="O43" i="27"/>
  <c r="O44" i="27"/>
  <c r="O46" i="27"/>
  <c r="O47" i="27"/>
  <c r="O48" i="27"/>
  <c r="O49" i="27"/>
  <c r="O52" i="27"/>
  <c r="O53" i="27"/>
  <c r="O54" i="27"/>
  <c r="O55" i="27"/>
  <c r="O56" i="27"/>
  <c r="O57" i="27"/>
  <c r="O58" i="27"/>
  <c r="O59" i="27"/>
  <c r="O62" i="27"/>
  <c r="O67" i="27"/>
  <c r="O68" i="27"/>
  <c r="O69" i="27"/>
  <c r="O72" i="27"/>
  <c r="O75" i="27"/>
  <c r="O77" i="27"/>
  <c r="O78" i="27"/>
  <c r="O79" i="27"/>
  <c r="O81" i="27"/>
  <c r="O84" i="27"/>
  <c r="O86" i="27"/>
  <c r="O87" i="27"/>
  <c r="O88" i="27"/>
  <c r="O90" i="27"/>
  <c r="O93" i="27"/>
  <c r="O95" i="27"/>
  <c r="O96" i="27"/>
  <c r="O97" i="27"/>
  <c r="O101" i="27"/>
  <c r="M11" i="26"/>
  <c r="O20" i="31"/>
  <c r="P14" i="27"/>
  <c r="P17" i="27"/>
  <c r="P22" i="27"/>
  <c r="P25" i="27"/>
  <c r="P32" i="27"/>
  <c r="P35" i="27"/>
  <c r="P42" i="27"/>
  <c r="P45" i="27"/>
  <c r="P5" i="27"/>
  <c r="P11" i="27"/>
  <c r="P19" i="27"/>
  <c r="P20" i="27"/>
  <c r="P27" i="27"/>
  <c r="P28" i="27"/>
  <c r="P29" i="27"/>
  <c r="P37" i="27"/>
  <c r="P38" i="27"/>
  <c r="P39" i="27"/>
  <c r="P47" i="27"/>
  <c r="P48" i="27"/>
  <c r="P49" i="27"/>
  <c r="P52" i="27"/>
  <c r="P55" i="27"/>
  <c r="P57" i="27"/>
  <c r="P58" i="27"/>
  <c r="P59" i="27"/>
  <c r="P62" i="27"/>
  <c r="P67" i="27"/>
  <c r="P68" i="27"/>
  <c r="P69" i="27"/>
  <c r="P72" i="27"/>
  <c r="P75" i="27"/>
  <c r="P77" i="27"/>
  <c r="P78" i="27"/>
  <c r="P79" i="27"/>
  <c r="P81" i="27"/>
  <c r="P84" i="27"/>
  <c r="P86" i="27"/>
  <c r="P87" i="27"/>
  <c r="P88" i="27"/>
  <c r="P90" i="27"/>
  <c r="P93" i="27"/>
  <c r="P95" i="27"/>
  <c r="P96" i="27"/>
  <c r="P97" i="27"/>
  <c r="P101" i="27"/>
  <c r="N11" i="26"/>
  <c r="P20" i="31"/>
  <c r="Q14" i="27"/>
  <c r="Q17" i="27"/>
  <c r="Q22" i="27"/>
  <c r="Q25" i="27"/>
  <c r="Q32" i="27"/>
  <c r="Q35" i="27"/>
  <c r="Q42" i="27"/>
  <c r="Q45" i="27"/>
  <c r="Q5" i="27"/>
  <c r="Q11" i="27"/>
  <c r="Q19" i="27"/>
  <c r="Q20" i="27"/>
  <c r="Q27" i="27"/>
  <c r="Q28" i="27"/>
  <c r="Q29" i="27"/>
  <c r="Q37" i="27"/>
  <c r="Q38" i="27"/>
  <c r="Q39" i="27"/>
  <c r="Q47" i="27"/>
  <c r="Q48" i="27"/>
  <c r="Q49" i="27"/>
  <c r="Q52" i="27"/>
  <c r="Q55" i="27"/>
  <c r="Q57" i="27"/>
  <c r="Q58" i="27"/>
  <c r="Q59" i="27"/>
  <c r="Q62" i="27"/>
  <c r="Q67" i="27"/>
  <c r="Q68" i="27"/>
  <c r="Q69" i="27"/>
  <c r="Q72" i="27"/>
  <c r="Q75" i="27"/>
  <c r="Q77" i="27"/>
  <c r="Q78" i="27"/>
  <c r="Q79" i="27"/>
  <c r="Q81" i="27"/>
  <c r="Q84" i="27"/>
  <c r="Q86" i="27"/>
  <c r="Q87" i="27"/>
  <c r="Q88" i="27"/>
  <c r="Q90" i="27"/>
  <c r="Q91" i="27"/>
  <c r="Q92" i="27"/>
  <c r="Q93" i="27"/>
  <c r="Q94" i="27"/>
  <c r="Q95" i="27"/>
  <c r="Q96" i="27"/>
  <c r="Q97" i="27"/>
  <c r="Q101" i="27"/>
  <c r="O11" i="26"/>
  <c r="Q20" i="31"/>
  <c r="R14" i="27"/>
  <c r="R17" i="27"/>
  <c r="R22" i="27"/>
  <c r="R25" i="27"/>
  <c r="R32" i="27"/>
  <c r="R35" i="27"/>
  <c r="R42" i="27"/>
  <c r="R45" i="27"/>
  <c r="R5" i="27"/>
  <c r="R11" i="27"/>
  <c r="R19" i="27"/>
  <c r="R20" i="27"/>
  <c r="R27" i="27"/>
  <c r="R28" i="27"/>
  <c r="R29" i="27"/>
  <c r="R37" i="27"/>
  <c r="R38" i="27"/>
  <c r="R39" i="27"/>
  <c r="R47" i="27"/>
  <c r="R48" i="27"/>
  <c r="R49" i="27"/>
  <c r="R52" i="27"/>
  <c r="R53" i="27"/>
  <c r="R54" i="27"/>
  <c r="R55" i="27"/>
  <c r="R56" i="27"/>
  <c r="R57" i="27"/>
  <c r="R58" i="27"/>
  <c r="R59" i="27"/>
  <c r="R62" i="27"/>
  <c r="R67" i="27"/>
  <c r="R68" i="27"/>
  <c r="R69" i="27"/>
  <c r="R72" i="27"/>
  <c r="R75" i="27"/>
  <c r="R77" i="27"/>
  <c r="R78" i="27"/>
  <c r="R79" i="27"/>
  <c r="R81" i="27"/>
  <c r="R84" i="27"/>
  <c r="R86" i="27"/>
  <c r="R87" i="27"/>
  <c r="R88" i="27"/>
  <c r="R90" i="27"/>
  <c r="R93" i="27"/>
  <c r="R95" i="27"/>
  <c r="R96" i="27"/>
  <c r="R97" i="27"/>
  <c r="R101" i="27"/>
  <c r="P11" i="26"/>
  <c r="R20" i="31" s="1"/>
  <c r="S14" i="27"/>
  <c r="S17" i="27"/>
  <c r="S22" i="27"/>
  <c r="S25" i="27"/>
  <c r="S32" i="27"/>
  <c r="S35" i="27"/>
  <c r="S42" i="27"/>
  <c r="S45" i="27"/>
  <c r="S5" i="27"/>
  <c r="S11" i="27"/>
  <c r="S19" i="27"/>
  <c r="S20" i="27"/>
  <c r="S27" i="27"/>
  <c r="S28" i="27"/>
  <c r="S29" i="27"/>
  <c r="S37" i="27"/>
  <c r="S38" i="27"/>
  <c r="S39" i="27"/>
  <c r="S47" i="27"/>
  <c r="S48" i="27"/>
  <c r="S49" i="27"/>
  <c r="S52" i="27"/>
  <c r="S55" i="27"/>
  <c r="S57" i="27"/>
  <c r="S58" i="27"/>
  <c r="S59" i="27"/>
  <c r="S62" i="27"/>
  <c r="S67" i="27"/>
  <c r="S68" i="27"/>
  <c r="S69" i="27"/>
  <c r="S72" i="27"/>
  <c r="S75" i="27"/>
  <c r="S77" i="27"/>
  <c r="S78" i="27"/>
  <c r="S79" i="27"/>
  <c r="S81" i="27"/>
  <c r="S86" i="27"/>
  <c r="S87" i="27"/>
  <c r="S88" i="27"/>
  <c r="S90" i="27"/>
  <c r="S93" i="27"/>
  <c r="S95" i="27"/>
  <c r="S96" i="27"/>
  <c r="S97" i="27"/>
  <c r="S101" i="27"/>
  <c r="Q11" i="26"/>
  <c r="Q15" i="26" s="1"/>
  <c r="S20" i="31"/>
  <c r="T14" i="27"/>
  <c r="T17" i="27"/>
  <c r="T22" i="27"/>
  <c r="T25" i="27"/>
  <c r="T32" i="27"/>
  <c r="T35" i="27"/>
  <c r="T42" i="27"/>
  <c r="T45" i="27"/>
  <c r="T5" i="27"/>
  <c r="T11" i="27"/>
  <c r="T19" i="27"/>
  <c r="T20" i="27"/>
  <c r="T27" i="27"/>
  <c r="T28" i="27"/>
  <c r="T29" i="27"/>
  <c r="T33" i="27"/>
  <c r="T34" i="27"/>
  <c r="T36" i="27"/>
  <c r="T37" i="27"/>
  <c r="T38" i="27"/>
  <c r="T39" i="27"/>
  <c r="T43" i="27"/>
  <c r="T44" i="27"/>
  <c r="T46" i="27"/>
  <c r="T47" i="27"/>
  <c r="T48" i="27"/>
  <c r="T49" i="27"/>
  <c r="T52" i="27"/>
  <c r="T55" i="27"/>
  <c r="T57" i="27"/>
  <c r="T58" i="27"/>
  <c r="T59" i="27"/>
  <c r="T62" i="27"/>
  <c r="T67" i="27"/>
  <c r="T68" i="27"/>
  <c r="T69" i="27"/>
  <c r="T72" i="27"/>
  <c r="T75" i="27"/>
  <c r="T77" i="27"/>
  <c r="T78" i="27"/>
  <c r="T79" i="27"/>
  <c r="T81" i="27"/>
  <c r="T86" i="27"/>
  <c r="T87" i="27"/>
  <c r="T88" i="27"/>
  <c r="T90" i="27"/>
  <c r="T93" i="27"/>
  <c r="T95" i="27"/>
  <c r="T96" i="27"/>
  <c r="T97" i="27"/>
  <c r="T101" i="27"/>
  <c r="R11" i="26"/>
  <c r="T20" i="31" s="1"/>
  <c r="U14" i="27"/>
  <c r="U17" i="27"/>
  <c r="U22" i="27"/>
  <c r="U25" i="27"/>
  <c r="U32" i="27"/>
  <c r="U35" i="27"/>
  <c r="U42" i="27"/>
  <c r="U45" i="27"/>
  <c r="U5" i="27"/>
  <c r="U11" i="27"/>
  <c r="U19" i="27"/>
  <c r="U20" i="27"/>
  <c r="U27" i="27"/>
  <c r="U28" i="27"/>
  <c r="U29" i="27"/>
  <c r="U37" i="27"/>
  <c r="U38" i="27"/>
  <c r="U39" i="27"/>
  <c r="U47" i="27"/>
  <c r="U48" i="27"/>
  <c r="U49" i="27"/>
  <c r="U52" i="27"/>
  <c r="U53" i="27"/>
  <c r="U54" i="27"/>
  <c r="U55" i="27"/>
  <c r="U56" i="27"/>
  <c r="U57" i="27"/>
  <c r="U58" i="27"/>
  <c r="U59" i="27"/>
  <c r="U62" i="27"/>
  <c r="U67" i="27"/>
  <c r="U68" i="27"/>
  <c r="U69" i="27"/>
  <c r="U72" i="27"/>
  <c r="U75" i="27"/>
  <c r="U77" i="27"/>
  <c r="U78" i="27"/>
  <c r="U79" i="27"/>
  <c r="U81" i="27"/>
  <c r="U86" i="27"/>
  <c r="U87" i="27"/>
  <c r="U88" i="27"/>
  <c r="U90" i="27"/>
  <c r="U91" i="27"/>
  <c r="U92" i="27"/>
  <c r="U93" i="27"/>
  <c r="U94" i="27"/>
  <c r="U95" i="27"/>
  <c r="U96" i="27"/>
  <c r="U97" i="27"/>
  <c r="U101" i="27"/>
  <c r="S11" i="26"/>
  <c r="U20" i="31" s="1"/>
  <c r="V14" i="27"/>
  <c r="V17" i="27"/>
  <c r="V22" i="27"/>
  <c r="V25" i="27"/>
  <c r="V32" i="27"/>
  <c r="V35" i="27"/>
  <c r="V42" i="27"/>
  <c r="V45" i="27"/>
  <c r="V5" i="27"/>
  <c r="V11" i="27"/>
  <c r="V19" i="27"/>
  <c r="V20" i="27"/>
  <c r="V27" i="27"/>
  <c r="V28" i="27"/>
  <c r="V29" i="27"/>
  <c r="V37" i="27"/>
  <c r="V38" i="27"/>
  <c r="V39" i="27"/>
  <c r="V47" i="27"/>
  <c r="V48" i="27"/>
  <c r="V49" i="27"/>
  <c r="V52" i="27"/>
  <c r="V55" i="27"/>
  <c r="V57" i="27"/>
  <c r="V58" i="27"/>
  <c r="V59" i="27"/>
  <c r="V62" i="27"/>
  <c r="V67" i="27"/>
  <c r="V68" i="27"/>
  <c r="V69" i="27"/>
  <c r="V72" i="27"/>
  <c r="V75" i="27"/>
  <c r="V77" i="27"/>
  <c r="V78" i="27"/>
  <c r="V79" i="27"/>
  <c r="V81" i="27"/>
  <c r="V86" i="27"/>
  <c r="V87" i="27"/>
  <c r="V88" i="27"/>
  <c r="V90" i="27"/>
  <c r="V93" i="27"/>
  <c r="V95" i="27"/>
  <c r="V96" i="27"/>
  <c r="V97" i="27"/>
  <c r="V101" i="27"/>
  <c r="T11" i="26"/>
  <c r="V20" i="31" s="1"/>
  <c r="C1" i="7"/>
  <c r="D1" i="7"/>
  <c r="E1" i="7"/>
  <c r="G1" i="7"/>
  <c r="H1" i="7"/>
  <c r="I1" i="7"/>
  <c r="J1" i="7"/>
  <c r="K1" i="7"/>
  <c r="L1" i="7"/>
  <c r="M1" i="7"/>
  <c r="N1" i="7"/>
  <c r="C72" i="1"/>
  <c r="N85" i="23"/>
  <c r="N129" i="23" s="1"/>
  <c r="O85" i="23"/>
  <c r="O90" i="23" s="1"/>
  <c r="P85" i="23"/>
  <c r="B72" i="1"/>
  <c r="C5" i="7"/>
  <c r="E110" i="2"/>
  <c r="B120" i="1"/>
  <c r="B121" i="1"/>
  <c r="C122" i="1"/>
  <c r="D122" i="1"/>
  <c r="D3" i="7"/>
  <c r="D5" i="7" s="1"/>
  <c r="B12" i="7"/>
  <c r="B75" i="1"/>
  <c r="B19" i="1"/>
  <c r="B34" i="1"/>
  <c r="B40" i="1"/>
  <c r="M11" i="2"/>
  <c r="N12" i="2"/>
  <c r="O12" i="2"/>
  <c r="P12" i="2"/>
  <c r="N14" i="2"/>
  <c r="O14" i="2"/>
  <c r="P14" i="2"/>
  <c r="B79" i="1"/>
  <c r="B78" i="1"/>
  <c r="F1" i="7"/>
  <c r="O1" i="7"/>
  <c r="Q85" i="23"/>
  <c r="Q90" i="23" s="1"/>
  <c r="Q12" i="2"/>
  <c r="Q14" i="2"/>
  <c r="P1" i="7"/>
  <c r="R85" i="23"/>
  <c r="R90" i="23" s="1"/>
  <c r="B73" i="1"/>
  <c r="R12" i="2"/>
  <c r="R14" i="2"/>
  <c r="Q1" i="7"/>
  <c r="S85" i="23"/>
  <c r="S90" i="23" s="1"/>
  <c r="S12" i="2"/>
  <c r="S14" i="2"/>
  <c r="R1" i="7"/>
  <c r="T85" i="23"/>
  <c r="T180" i="23" s="1"/>
  <c r="T12" i="2"/>
  <c r="T14" i="2"/>
  <c r="M16" i="2"/>
  <c r="M17" i="2"/>
  <c r="M18" i="2"/>
  <c r="M22" i="2"/>
  <c r="M25" i="2"/>
  <c r="K16" i="7"/>
  <c r="K17" i="7"/>
  <c r="L11" i="2"/>
  <c r="L16" i="2"/>
  <c r="L17" i="2"/>
  <c r="L18" i="2"/>
  <c r="L22" i="2"/>
  <c r="L25" i="2"/>
  <c r="J16" i="7"/>
  <c r="J17" i="7"/>
  <c r="K11" i="2"/>
  <c r="K16" i="2"/>
  <c r="K17" i="2"/>
  <c r="K18" i="2"/>
  <c r="K22" i="2"/>
  <c r="K25" i="2"/>
  <c r="I16" i="7"/>
  <c r="I17" i="7"/>
  <c r="J11" i="2"/>
  <c r="J16" i="2"/>
  <c r="J17" i="2"/>
  <c r="J18" i="2"/>
  <c r="J22" i="2"/>
  <c r="J25" i="2"/>
  <c r="H16" i="7"/>
  <c r="H17" i="7"/>
  <c r="I11" i="2"/>
  <c r="I16" i="2"/>
  <c r="I17" i="2"/>
  <c r="I18" i="2"/>
  <c r="I22" i="2"/>
  <c r="I25" i="2"/>
  <c r="G16" i="7"/>
  <c r="G17" i="7"/>
  <c r="H11" i="2"/>
  <c r="H16" i="2"/>
  <c r="H17" i="2"/>
  <c r="H18" i="2"/>
  <c r="H22" i="2"/>
  <c r="H25" i="2"/>
  <c r="F16" i="7"/>
  <c r="F17" i="7"/>
  <c r="S1" i="7"/>
  <c r="U85" i="23"/>
  <c r="U180" i="23" s="1"/>
  <c r="U12" i="2"/>
  <c r="U14" i="2"/>
  <c r="T1" i="7"/>
  <c r="V85" i="23"/>
  <c r="V180" i="23" s="1"/>
  <c r="V12" i="2"/>
  <c r="V14" i="2"/>
  <c r="U1" i="7"/>
  <c r="W85" i="23"/>
  <c r="W90" i="23" s="1"/>
  <c r="W12" i="2"/>
  <c r="W14" i="2"/>
  <c r="V1" i="7"/>
  <c r="X85" i="23"/>
  <c r="X90" i="23" s="1"/>
  <c r="X12" i="2"/>
  <c r="X14" i="2"/>
  <c r="W1" i="7"/>
  <c r="Y85" i="23"/>
  <c r="Y180" i="23" s="1"/>
  <c r="Y12" i="2"/>
  <c r="Y14" i="2"/>
  <c r="X1" i="7"/>
  <c r="Z85" i="23"/>
  <c r="Z180" i="23" s="1"/>
  <c r="Z12" i="2"/>
  <c r="Z14" i="2"/>
  <c r="Y1" i="7"/>
  <c r="AA85" i="23"/>
  <c r="AA180" i="23" s="1"/>
  <c r="AA12" i="2"/>
  <c r="AA14" i="2"/>
  <c r="Z1" i="7"/>
  <c r="AB85" i="23"/>
  <c r="AB90" i="23" s="1"/>
  <c r="AB12" i="2"/>
  <c r="AB14" i="2"/>
  <c r="AA1" i="7"/>
  <c r="AC85" i="23"/>
  <c r="AC180" i="23" s="1"/>
  <c r="AC12" i="2"/>
  <c r="AC14" i="2"/>
  <c r="AB1" i="7"/>
  <c r="AD85" i="23"/>
  <c r="AD180" i="23" s="1"/>
  <c r="D3" i="1"/>
  <c r="AD12" i="2"/>
  <c r="AD14" i="2"/>
  <c r="AC1" i="7"/>
  <c r="AE85" i="23"/>
  <c r="AE180" i="23" s="1"/>
  <c r="AE12" i="2"/>
  <c r="AE14" i="2"/>
  <c r="F4" i="31"/>
  <c r="E4" i="31"/>
  <c r="F101" i="27"/>
  <c r="D11" i="26"/>
  <c r="F20" i="31" s="1"/>
  <c r="E8" i="31"/>
  <c r="E13" i="31"/>
  <c r="E15" i="31"/>
  <c r="E101" i="27"/>
  <c r="C11" i="26"/>
  <c r="E20" i="31"/>
  <c r="F8" i="25"/>
  <c r="D23" i="26"/>
  <c r="E23" i="26" s="1"/>
  <c r="F23" i="26" s="1"/>
  <c r="G23" i="26" s="1"/>
  <c r="H23" i="26" s="1"/>
  <c r="I23" i="26" s="1"/>
  <c r="J23" i="26" s="1"/>
  <c r="K23" i="26" s="1"/>
  <c r="L23" i="26" s="1"/>
  <c r="M23" i="26" s="1"/>
  <c r="N23" i="26" s="1"/>
  <c r="O23" i="26" s="1"/>
  <c r="P23" i="26" s="1"/>
  <c r="Q23" i="26" s="1"/>
  <c r="R23" i="26" s="1"/>
  <c r="S23" i="26" s="1"/>
  <c r="T23" i="26" s="1"/>
  <c r="I14" i="25"/>
  <c r="J13" i="25"/>
  <c r="H14" i="25"/>
  <c r="J14" i="25"/>
  <c r="C21" i="26"/>
  <c r="C24" i="26"/>
  <c r="D24" i="26" s="1"/>
  <c r="E24" i="26" s="1"/>
  <c r="F24" i="26" s="1"/>
  <c r="G24" i="26" s="1"/>
  <c r="H24" i="26" s="1"/>
  <c r="I24" i="26" s="1"/>
  <c r="J24" i="26" s="1"/>
  <c r="K24" i="26" s="1"/>
  <c r="L24" i="26" s="1"/>
  <c r="M24" i="26" s="1"/>
  <c r="N24" i="26" s="1"/>
  <c r="O24" i="26" s="1"/>
  <c r="P24" i="26" s="1"/>
  <c r="Q24" i="26" s="1"/>
  <c r="R24" i="26" s="1"/>
  <c r="S24" i="26" s="1"/>
  <c r="T24" i="26" s="1"/>
  <c r="C15" i="26"/>
  <c r="J9" i="29"/>
  <c r="D30" i="29" s="1"/>
  <c r="J14" i="29"/>
  <c r="J19" i="29"/>
  <c r="E99" i="27"/>
  <c r="C16" i="26"/>
  <c r="E27" i="29"/>
  <c r="E26" i="29"/>
  <c r="F99" i="27"/>
  <c r="C42" i="26"/>
  <c r="E15" i="26"/>
  <c r="F27" i="29"/>
  <c r="F26" i="29"/>
  <c r="G99" i="27"/>
  <c r="F15" i="26"/>
  <c r="G27" i="29"/>
  <c r="G26" i="29"/>
  <c r="H99" i="27"/>
  <c r="F16" i="26"/>
  <c r="G15" i="26"/>
  <c r="H27" i="29"/>
  <c r="H26" i="29"/>
  <c r="I99" i="27"/>
  <c r="G16" i="26"/>
  <c r="I27" i="29"/>
  <c r="I26" i="29"/>
  <c r="J99" i="27"/>
  <c r="H16" i="26"/>
  <c r="J27" i="29"/>
  <c r="J26" i="29"/>
  <c r="K99" i="27"/>
  <c r="I16" i="26"/>
  <c r="J15" i="26"/>
  <c r="K27" i="29"/>
  <c r="K26" i="29"/>
  <c r="L99" i="27"/>
  <c r="J16" i="26"/>
  <c r="K15" i="26"/>
  <c r="L27" i="29"/>
  <c r="L26" i="29"/>
  <c r="M99" i="27"/>
  <c r="K16" i="26"/>
  <c r="L15" i="26"/>
  <c r="M27" i="29"/>
  <c r="M26" i="29"/>
  <c r="N99" i="27"/>
  <c r="L16" i="26"/>
  <c r="M15" i="26"/>
  <c r="N27" i="29"/>
  <c r="N26" i="29"/>
  <c r="O99" i="27"/>
  <c r="M16" i="26"/>
  <c r="N15" i="26"/>
  <c r="O27" i="29"/>
  <c r="O26" i="29"/>
  <c r="P99" i="27"/>
  <c r="N16" i="26"/>
  <c r="O15" i="26"/>
  <c r="P27" i="29"/>
  <c r="P26" i="29"/>
  <c r="Q99" i="27"/>
  <c r="O16" i="26"/>
  <c r="Q27" i="29"/>
  <c r="Q26" i="29"/>
  <c r="R99" i="27"/>
  <c r="P16" i="26"/>
  <c r="R27" i="29"/>
  <c r="R26" i="29"/>
  <c r="S99" i="27"/>
  <c r="Q16" i="26"/>
  <c r="S27" i="29"/>
  <c r="S26" i="29"/>
  <c r="T99" i="27"/>
  <c r="R16" i="26"/>
  <c r="S15" i="26"/>
  <c r="T27" i="29"/>
  <c r="T26" i="29"/>
  <c r="U99" i="27"/>
  <c r="S16" i="26"/>
  <c r="U27" i="29"/>
  <c r="U26" i="29"/>
  <c r="V99" i="27"/>
  <c r="T16" i="26"/>
  <c r="V102" i="27"/>
  <c r="B9" i="26"/>
  <c r="B8" i="26"/>
  <c r="B7" i="26"/>
  <c r="B89" i="1"/>
  <c r="B1" i="21"/>
  <c r="D1" i="21"/>
  <c r="D3" i="21"/>
  <c r="D109" i="21"/>
  <c r="E109" i="21"/>
  <c r="F109" i="21"/>
  <c r="G109" i="21"/>
  <c r="H109" i="21"/>
  <c r="I109" i="21"/>
  <c r="J109" i="21"/>
  <c r="K109" i="21"/>
  <c r="E1" i="21"/>
  <c r="E3" i="21"/>
  <c r="F1" i="21"/>
  <c r="F3" i="21"/>
  <c r="G1" i="21"/>
  <c r="G3" i="21"/>
  <c r="H1" i="21"/>
  <c r="H3" i="21"/>
  <c r="I1" i="21"/>
  <c r="I3" i="21"/>
  <c r="J1" i="21"/>
  <c r="J3" i="21"/>
  <c r="K1" i="21"/>
  <c r="K3" i="21"/>
  <c r="L1" i="21"/>
  <c r="L3" i="21"/>
  <c r="M1" i="21"/>
  <c r="M3" i="21"/>
  <c r="N1" i="21"/>
  <c r="N3" i="21"/>
  <c r="O1" i="21"/>
  <c r="O3" i="21"/>
  <c r="P1" i="21"/>
  <c r="P3" i="21"/>
  <c r="Q1" i="21"/>
  <c r="Q3" i="21"/>
  <c r="R1" i="21"/>
  <c r="R3" i="21"/>
  <c r="S1" i="21"/>
  <c r="S3" i="21"/>
  <c r="T1" i="21"/>
  <c r="T3" i="21"/>
  <c r="U1" i="21"/>
  <c r="U3" i="21"/>
  <c r="V1" i="21"/>
  <c r="V3" i="21"/>
  <c r="W1" i="21"/>
  <c r="W3" i="21"/>
  <c r="X1" i="21"/>
  <c r="X3" i="21"/>
  <c r="Y1" i="21"/>
  <c r="Y3" i="21"/>
  <c r="Z1" i="21"/>
  <c r="Z3" i="21"/>
  <c r="AA1" i="21"/>
  <c r="AA3" i="21"/>
  <c r="AB1" i="21"/>
  <c r="AB3" i="21"/>
  <c r="AC1" i="21"/>
  <c r="AC3" i="21"/>
  <c r="AD1" i="21"/>
  <c r="AD3" i="21"/>
  <c r="AE1" i="21"/>
  <c r="AE3" i="21"/>
  <c r="AF1" i="21"/>
  <c r="AF3" i="21"/>
  <c r="AG1" i="21"/>
  <c r="AG3" i="21"/>
  <c r="AH1" i="21"/>
  <c r="AH3" i="21"/>
  <c r="AI1" i="21"/>
  <c r="AI3" i="21"/>
  <c r="AJ1" i="21"/>
  <c r="AJ3" i="21"/>
  <c r="AK1" i="21"/>
  <c r="AK3" i="21"/>
  <c r="AL1" i="21"/>
  <c r="AL3" i="21"/>
  <c r="AM1" i="21"/>
  <c r="AM3" i="21"/>
  <c r="AN1" i="21"/>
  <c r="AN3" i="21"/>
  <c r="AO1" i="21"/>
  <c r="AO3" i="21"/>
  <c r="AP1" i="21"/>
  <c r="AP3" i="21"/>
  <c r="AQ1" i="21"/>
  <c r="AQ3" i="21"/>
  <c r="AR1" i="21"/>
  <c r="AR3" i="21"/>
  <c r="AS1" i="21"/>
  <c r="AS3" i="21"/>
  <c r="AT1" i="21"/>
  <c r="AT3" i="21"/>
  <c r="AU1" i="21"/>
  <c r="AU3" i="21"/>
  <c r="AV1" i="21"/>
  <c r="AV3" i="21"/>
  <c r="AW1" i="21"/>
  <c r="AW3" i="21"/>
  <c r="AX1" i="21"/>
  <c r="AX3" i="21"/>
  <c r="AY1" i="21"/>
  <c r="AY3" i="21"/>
  <c r="AZ1" i="21"/>
  <c r="AZ3" i="21"/>
  <c r="BA1" i="21"/>
  <c r="BA3" i="21"/>
  <c r="BB1" i="21"/>
  <c r="BB3" i="21"/>
  <c r="BC1" i="21"/>
  <c r="BC3" i="21"/>
  <c r="BD1" i="21"/>
  <c r="BD3" i="21"/>
  <c r="BE1" i="21"/>
  <c r="BE3" i="21"/>
  <c r="BF1" i="21"/>
  <c r="BF3" i="21"/>
  <c r="BG1" i="21"/>
  <c r="BG3" i="21"/>
  <c r="BH1" i="21"/>
  <c r="BH3" i="21"/>
  <c r="BI1" i="21"/>
  <c r="BI3" i="21"/>
  <c r="BJ1" i="21"/>
  <c r="BJ3" i="21"/>
  <c r="BK1" i="21"/>
  <c r="BK3" i="21"/>
  <c r="BL1" i="21"/>
  <c r="BL3" i="21"/>
  <c r="BM1" i="21"/>
  <c r="BM3" i="21"/>
  <c r="BN1" i="21"/>
  <c r="BN3" i="21"/>
  <c r="BO1" i="21"/>
  <c r="BO3" i="21"/>
  <c r="BP1" i="21"/>
  <c r="BP3" i="21"/>
  <c r="BQ1" i="21"/>
  <c r="BQ3" i="21"/>
  <c r="BR1" i="21"/>
  <c r="BR3" i="21"/>
  <c r="BS1" i="21"/>
  <c r="BS3" i="21"/>
  <c r="BT1" i="21"/>
  <c r="BT3" i="21"/>
  <c r="BU1" i="21"/>
  <c r="BU3" i="21"/>
  <c r="BV1" i="21"/>
  <c r="BV3" i="21"/>
  <c r="BW1" i="21"/>
  <c r="BW3" i="21"/>
  <c r="BX1" i="21"/>
  <c r="BX3" i="21"/>
  <c r="BY1" i="21"/>
  <c r="BY3" i="21"/>
  <c r="BZ1" i="21"/>
  <c r="BZ3" i="21"/>
  <c r="CA1" i="21"/>
  <c r="CA3" i="21"/>
  <c r="CB1" i="21"/>
  <c r="CB3" i="21"/>
  <c r="CC1" i="21"/>
  <c r="CC3" i="21"/>
  <c r="CD1" i="21"/>
  <c r="CD3" i="21"/>
  <c r="CE1" i="21"/>
  <c r="CE3" i="21"/>
  <c r="CF1" i="21"/>
  <c r="CF3" i="21"/>
  <c r="CG1" i="21"/>
  <c r="CG3" i="21"/>
  <c r="CH1" i="21"/>
  <c r="CH3" i="21"/>
  <c r="CI1" i="21"/>
  <c r="CI3" i="21"/>
  <c r="CJ1" i="21"/>
  <c r="CJ3" i="21"/>
  <c r="CK1" i="21"/>
  <c r="CK3" i="21"/>
  <c r="CL1" i="21"/>
  <c r="CL3" i="21"/>
  <c r="CM1" i="21"/>
  <c r="CM3" i="21"/>
  <c r="CN1" i="21"/>
  <c r="CN3" i="21"/>
  <c r="CO1" i="21"/>
  <c r="CO3" i="21"/>
  <c r="CP1" i="21"/>
  <c r="CP3" i="21"/>
  <c r="CQ1" i="21"/>
  <c r="CQ3" i="21"/>
  <c r="CR1" i="21"/>
  <c r="CR3" i="21"/>
  <c r="CS1" i="21"/>
  <c r="CS3" i="21"/>
  <c r="CT1" i="21"/>
  <c r="CT3" i="21"/>
  <c r="CU1" i="21"/>
  <c r="CU3" i="21"/>
  <c r="CV1" i="21"/>
  <c r="CV3" i="21"/>
  <c r="CW1" i="21"/>
  <c r="CW3" i="21"/>
  <c r="CX1" i="21"/>
  <c r="CX3" i="21"/>
  <c r="CY1" i="21"/>
  <c r="CY3" i="21"/>
  <c r="CZ1" i="21"/>
  <c r="CZ3" i="21"/>
  <c r="DA1" i="21"/>
  <c r="DA3" i="21"/>
  <c r="DB1" i="21"/>
  <c r="DB3" i="21"/>
  <c r="DC1" i="21"/>
  <c r="DC3" i="21"/>
  <c r="DD1" i="21"/>
  <c r="DD3" i="21"/>
  <c r="DE1" i="21"/>
  <c r="DE3" i="21"/>
  <c r="DF1" i="21"/>
  <c r="DF3" i="21"/>
  <c r="DG1" i="21"/>
  <c r="DG3" i="21"/>
  <c r="DH1" i="21"/>
  <c r="DH3" i="21"/>
  <c r="DI1" i="21"/>
  <c r="DI3" i="21"/>
  <c r="DJ1" i="21"/>
  <c r="DJ3" i="21"/>
  <c r="DK1" i="21"/>
  <c r="DK3" i="21"/>
  <c r="DL1" i="21"/>
  <c r="DL3" i="21"/>
  <c r="DM1" i="21"/>
  <c r="DM3" i="21"/>
  <c r="DN1" i="21"/>
  <c r="DN3" i="21"/>
  <c r="DO1" i="21"/>
  <c r="DO3" i="21"/>
  <c r="DP1" i="21"/>
  <c r="DP3" i="21"/>
  <c r="DQ1" i="21"/>
  <c r="DQ3" i="21"/>
  <c r="DR1" i="21"/>
  <c r="DR3" i="21"/>
  <c r="DS1" i="21"/>
  <c r="DS3" i="21"/>
  <c r="DT1" i="21"/>
  <c r="DT3" i="21"/>
  <c r="DU1" i="21"/>
  <c r="DU3" i="21"/>
  <c r="DV1" i="21"/>
  <c r="DV3" i="21"/>
  <c r="DW1" i="21"/>
  <c r="DW3" i="21"/>
  <c r="DX1" i="21"/>
  <c r="DX3" i="21"/>
  <c r="DY1" i="21"/>
  <c r="DY3" i="21"/>
  <c r="DZ1" i="21"/>
  <c r="DZ3" i="21"/>
  <c r="EA1" i="21"/>
  <c r="EA3" i="21"/>
  <c r="EB1" i="21"/>
  <c r="EB3" i="21"/>
  <c r="EC1" i="21"/>
  <c r="EC3" i="21"/>
  <c r="ED1" i="21"/>
  <c r="ED3" i="21"/>
  <c r="EE1" i="21"/>
  <c r="EE3" i="21"/>
  <c r="EF1" i="21"/>
  <c r="EF3" i="21"/>
  <c r="EG1" i="21"/>
  <c r="EG3" i="21"/>
  <c r="EH1" i="21"/>
  <c r="EH3" i="21"/>
  <c r="EI1" i="21"/>
  <c r="EI3" i="21"/>
  <c r="EJ1" i="21"/>
  <c r="EJ3" i="21"/>
  <c r="EK1" i="21"/>
  <c r="EK3" i="21"/>
  <c r="EL1" i="21"/>
  <c r="EL3" i="21"/>
  <c r="EM1" i="21"/>
  <c r="EM3" i="21"/>
  <c r="EN1" i="21"/>
  <c r="EN3" i="21"/>
  <c r="EO1" i="21"/>
  <c r="EO3" i="21"/>
  <c r="EP1" i="21"/>
  <c r="EP3" i="21"/>
  <c r="EQ1" i="21"/>
  <c r="EQ3" i="21"/>
  <c r="ER1" i="21"/>
  <c r="ER3" i="21"/>
  <c r="ES1" i="21"/>
  <c r="ES3" i="21"/>
  <c r="ET1" i="21"/>
  <c r="ET3" i="21"/>
  <c r="EU1" i="21"/>
  <c r="EU3" i="21"/>
  <c r="EV1" i="21"/>
  <c r="EV3" i="21"/>
  <c r="EW1" i="21"/>
  <c r="EW3" i="21"/>
  <c r="EX1" i="21"/>
  <c r="EX3" i="21"/>
  <c r="EY1" i="21"/>
  <c r="EY3" i="21"/>
  <c r="EZ1" i="21"/>
  <c r="EZ3" i="21"/>
  <c r="FA1" i="21"/>
  <c r="FA3" i="21"/>
  <c r="FB1" i="21"/>
  <c r="FB3" i="21"/>
  <c r="FC1" i="21"/>
  <c r="FC3" i="21"/>
  <c r="FD1" i="21"/>
  <c r="FD3" i="21"/>
  <c r="FE1" i="21"/>
  <c r="FE3" i="21"/>
  <c r="FF1" i="21"/>
  <c r="FF3" i="21"/>
  <c r="FG1" i="21"/>
  <c r="FG3" i="21"/>
  <c r="FH1" i="21"/>
  <c r="FH3" i="21"/>
  <c r="FI1" i="21"/>
  <c r="FI3" i="21"/>
  <c r="FJ1" i="21"/>
  <c r="FJ3" i="21"/>
  <c r="FK1" i="21"/>
  <c r="FK3" i="21"/>
  <c r="FL1" i="21"/>
  <c r="FL3" i="21"/>
  <c r="FM1" i="21"/>
  <c r="FM3" i="21"/>
  <c r="FN1" i="21"/>
  <c r="FN3" i="21"/>
  <c r="FO1" i="21"/>
  <c r="FO3" i="21"/>
  <c r="FP1" i="21"/>
  <c r="FP3" i="21"/>
  <c r="FQ1" i="21"/>
  <c r="FQ3" i="21"/>
  <c r="FR1" i="21"/>
  <c r="FR3" i="21"/>
  <c r="FS1" i="21"/>
  <c r="FS3" i="21"/>
  <c r="FT1" i="21"/>
  <c r="FT3" i="21"/>
  <c r="FU1" i="21"/>
  <c r="FU3" i="21"/>
  <c r="FV1" i="21"/>
  <c r="FV3" i="21"/>
  <c r="FW1" i="21"/>
  <c r="FW3" i="21"/>
  <c r="FX1" i="21"/>
  <c r="FX3" i="21"/>
  <c r="FY1" i="21"/>
  <c r="FY3" i="21"/>
  <c r="FZ1" i="21"/>
  <c r="FZ3" i="21"/>
  <c r="GA1" i="21"/>
  <c r="GA3" i="21"/>
  <c r="GB1" i="21"/>
  <c r="GB3" i="21"/>
  <c r="GC1" i="21"/>
  <c r="GC3" i="21"/>
  <c r="GD1" i="21"/>
  <c r="GD3" i="21"/>
  <c r="GE1" i="21"/>
  <c r="GE3" i="21"/>
  <c r="GF1" i="21"/>
  <c r="GF3" i="21"/>
  <c r="GG1" i="21"/>
  <c r="GG3" i="21"/>
  <c r="GH1" i="21"/>
  <c r="GH3" i="21"/>
  <c r="GI1" i="21"/>
  <c r="GI3" i="21"/>
  <c r="GJ1" i="21"/>
  <c r="GJ3" i="21"/>
  <c r="GK1" i="21"/>
  <c r="GK3" i="21"/>
  <c r="GL1" i="21"/>
  <c r="GL3" i="21"/>
  <c r="GM1" i="21"/>
  <c r="GM3" i="21"/>
  <c r="GN1" i="21"/>
  <c r="GN3" i="21"/>
  <c r="GO1" i="21"/>
  <c r="GO3" i="21"/>
  <c r="GP1" i="21"/>
  <c r="GP3" i="21"/>
  <c r="GQ1" i="21"/>
  <c r="GQ3" i="21"/>
  <c r="GR1" i="21"/>
  <c r="GR3" i="21"/>
  <c r="GS1" i="21"/>
  <c r="GS3" i="21"/>
  <c r="GT1" i="21"/>
  <c r="GT3" i="21"/>
  <c r="GU1" i="21"/>
  <c r="GU3" i="21"/>
  <c r="GV1" i="21"/>
  <c r="GV3" i="21"/>
  <c r="GW1" i="21"/>
  <c r="GW3" i="21"/>
  <c r="GX1" i="21"/>
  <c r="GX3" i="21"/>
  <c r="GY1" i="21"/>
  <c r="GY3" i="21"/>
  <c r="GZ1" i="21"/>
  <c r="GZ3" i="21"/>
  <c r="HA1" i="21"/>
  <c r="HA3" i="21"/>
  <c r="HB1" i="21"/>
  <c r="HB3" i="21"/>
  <c r="HC1" i="21"/>
  <c r="HC3" i="21"/>
  <c r="HD1" i="21"/>
  <c r="HD3" i="21"/>
  <c r="HE1" i="21"/>
  <c r="HE3" i="21"/>
  <c r="HF1" i="21"/>
  <c r="HF3" i="21"/>
  <c r="HG1" i="21"/>
  <c r="HG3" i="21"/>
  <c r="HH1" i="21"/>
  <c r="HH3" i="21"/>
  <c r="HI1" i="21"/>
  <c r="HI3" i="21"/>
  <c r="HJ1" i="21"/>
  <c r="HJ3" i="21"/>
  <c r="HK1" i="21"/>
  <c r="HK3" i="21"/>
  <c r="HL1" i="21"/>
  <c r="HL3" i="21"/>
  <c r="HM1" i="21"/>
  <c r="HM3" i="21"/>
  <c r="HN1" i="21"/>
  <c r="HN3" i="21"/>
  <c r="HO1" i="21"/>
  <c r="HO3" i="21"/>
  <c r="HP1" i="21"/>
  <c r="HP3" i="21"/>
  <c r="HQ1" i="21"/>
  <c r="HQ3" i="21"/>
  <c r="HR1" i="21"/>
  <c r="HR3" i="21"/>
  <c r="HS1" i="21"/>
  <c r="HS3" i="21"/>
  <c r="HT1" i="21"/>
  <c r="HT3" i="21"/>
  <c r="HU1" i="21"/>
  <c r="HU3" i="21"/>
  <c r="HV1" i="21"/>
  <c r="HV3" i="21"/>
  <c r="HW1" i="21"/>
  <c r="HW3" i="21"/>
  <c r="HX1" i="21"/>
  <c r="HX3" i="21"/>
  <c r="HY1" i="21"/>
  <c r="HY3" i="21"/>
  <c r="HZ1" i="21"/>
  <c r="HZ3" i="21"/>
  <c r="IA1" i="21"/>
  <c r="IA3" i="21"/>
  <c r="IB1" i="21"/>
  <c r="IB3" i="21"/>
  <c r="IC1" i="21"/>
  <c r="IC3" i="21"/>
  <c r="ID1" i="21"/>
  <c r="ID3" i="21"/>
  <c r="IE1" i="21"/>
  <c r="IE3" i="21"/>
  <c r="IF1" i="21"/>
  <c r="IF3" i="21"/>
  <c r="IG1" i="21"/>
  <c r="IG3" i="21"/>
  <c r="IH1" i="21"/>
  <c r="IH3" i="21"/>
  <c r="II1" i="21"/>
  <c r="II3" i="21"/>
  <c r="IJ1" i="21"/>
  <c r="IJ3" i="21"/>
  <c r="IK1" i="21"/>
  <c r="IK3" i="21"/>
  <c r="IL1" i="21"/>
  <c r="IL3" i="21"/>
  <c r="IM1" i="21"/>
  <c r="IM3" i="21"/>
  <c r="IN1" i="21"/>
  <c r="IN3" i="21"/>
  <c r="IO1" i="21"/>
  <c r="IO3" i="21"/>
  <c r="IP1" i="21"/>
  <c r="IP3" i="21"/>
  <c r="IQ1" i="21"/>
  <c r="IQ3" i="21"/>
  <c r="IR1" i="21"/>
  <c r="IR3" i="21"/>
  <c r="IS1" i="21"/>
  <c r="IS3" i="21"/>
  <c r="IT1" i="21"/>
  <c r="IT3" i="21"/>
  <c r="IU1" i="21"/>
  <c r="IU3" i="21"/>
  <c r="IV1" i="21"/>
  <c r="IV3" i="21"/>
  <c r="IW1" i="21"/>
  <c r="IW3" i="21"/>
  <c r="IX1" i="21"/>
  <c r="IX3" i="21"/>
  <c r="IY1" i="21"/>
  <c r="IY3" i="21"/>
  <c r="IZ1" i="21"/>
  <c r="IZ3" i="21"/>
  <c r="JA1" i="21"/>
  <c r="JA3" i="21"/>
  <c r="JB1" i="21"/>
  <c r="JB3" i="21"/>
  <c r="JC1" i="21"/>
  <c r="JC3" i="21"/>
  <c r="JD1" i="21"/>
  <c r="JD3" i="21"/>
  <c r="JE1" i="21"/>
  <c r="JE3" i="21"/>
  <c r="JF1" i="21"/>
  <c r="JF3" i="21"/>
  <c r="JG1" i="21"/>
  <c r="JG3" i="21"/>
  <c r="JH1" i="21"/>
  <c r="JH3" i="21"/>
  <c r="JI1" i="21"/>
  <c r="JI3" i="21"/>
  <c r="JJ1" i="21"/>
  <c r="JJ3" i="21"/>
  <c r="JK1" i="21"/>
  <c r="JK3" i="21"/>
  <c r="JL1" i="21"/>
  <c r="JL3" i="21"/>
  <c r="JM1" i="21"/>
  <c r="JM3" i="21"/>
  <c r="JN1" i="21"/>
  <c r="JN3" i="21"/>
  <c r="JO1" i="21"/>
  <c r="JO3" i="21"/>
  <c r="JP1" i="21"/>
  <c r="JP3" i="21"/>
  <c r="JQ1" i="21"/>
  <c r="JQ3" i="21"/>
  <c r="JR1" i="21"/>
  <c r="JR3" i="21"/>
  <c r="JS1" i="21"/>
  <c r="JS3" i="21"/>
  <c r="JT1" i="21"/>
  <c r="JT3" i="21"/>
  <c r="JU1" i="21"/>
  <c r="JU3" i="21"/>
  <c r="D96" i="21"/>
  <c r="C88" i="1"/>
  <c r="D88" i="1"/>
  <c r="D97" i="21"/>
  <c r="B100" i="21"/>
  <c r="D100" i="21"/>
  <c r="B138" i="1"/>
  <c r="C142" i="1"/>
  <c r="B124" i="1"/>
  <c r="B125" i="1"/>
  <c r="C144" i="1"/>
  <c r="C141" i="1"/>
  <c r="C145" i="1"/>
  <c r="B94" i="21"/>
  <c r="B91" i="1"/>
  <c r="B93" i="1"/>
  <c r="B95" i="1"/>
  <c r="B96" i="1"/>
  <c r="D6" i="21"/>
  <c r="B97" i="1"/>
  <c r="B98" i="1"/>
  <c r="E6" i="21"/>
  <c r="F6" i="21"/>
  <c r="G6" i="21"/>
  <c r="H6" i="21"/>
  <c r="I6" i="21"/>
  <c r="J6" i="21"/>
  <c r="K6" i="21"/>
  <c r="L6" i="21"/>
  <c r="M6" i="21"/>
  <c r="N6" i="21"/>
  <c r="O6" i="21"/>
  <c r="P6" i="21"/>
  <c r="Q6" i="21"/>
  <c r="R6" i="21"/>
  <c r="S6" i="21"/>
  <c r="T6" i="21"/>
  <c r="U6" i="21"/>
  <c r="V6" i="21"/>
  <c r="W6" i="21"/>
  <c r="X6" i="21"/>
  <c r="Y6" i="21"/>
  <c r="Z6" i="21"/>
  <c r="AA6" i="21"/>
  <c r="AB6" i="21"/>
  <c r="AC6" i="21"/>
  <c r="AD6" i="21"/>
  <c r="AE6" i="21"/>
  <c r="AF6" i="21"/>
  <c r="AG6" i="21"/>
  <c r="AH6" i="21"/>
  <c r="AI6" i="21"/>
  <c r="AJ6" i="21"/>
  <c r="AK6" i="21"/>
  <c r="AL6" i="21"/>
  <c r="AM6" i="21"/>
  <c r="AN6" i="21"/>
  <c r="AO6" i="21"/>
  <c r="AP6" i="21"/>
  <c r="AQ6" i="21"/>
  <c r="AR6" i="21"/>
  <c r="AS6" i="21"/>
  <c r="AT6" i="21"/>
  <c r="AU6" i="21"/>
  <c r="AV6" i="21"/>
  <c r="AW6" i="21"/>
  <c r="AX6" i="21"/>
  <c r="AY6" i="21"/>
  <c r="AZ6" i="21"/>
  <c r="BA6" i="21"/>
  <c r="BB6" i="21"/>
  <c r="BC6" i="21"/>
  <c r="BD6" i="21"/>
  <c r="BE6" i="21"/>
  <c r="BF6" i="21"/>
  <c r="BG6" i="21"/>
  <c r="BH6" i="21"/>
  <c r="BI6" i="21"/>
  <c r="BJ6" i="21"/>
  <c r="BK6" i="21"/>
  <c r="BL6" i="21"/>
  <c r="BM6" i="21"/>
  <c r="BN6" i="21"/>
  <c r="BO6" i="21"/>
  <c r="BP6" i="21"/>
  <c r="BQ6" i="21"/>
  <c r="BR6" i="21"/>
  <c r="BS6" i="21"/>
  <c r="BT6" i="21"/>
  <c r="BU6" i="21"/>
  <c r="BV6" i="21"/>
  <c r="BW6" i="21"/>
  <c r="BX6" i="21"/>
  <c r="BY6" i="21"/>
  <c r="BZ6" i="21"/>
  <c r="CA6" i="21"/>
  <c r="CB6" i="21"/>
  <c r="CC6" i="21"/>
  <c r="CD6" i="21"/>
  <c r="CE6" i="21"/>
  <c r="CF6" i="21"/>
  <c r="CG6" i="21"/>
  <c r="CH6" i="21"/>
  <c r="CI6" i="21"/>
  <c r="CJ6" i="21"/>
  <c r="CK6" i="21"/>
  <c r="CL6" i="21"/>
  <c r="CM6" i="21"/>
  <c r="CN6" i="21"/>
  <c r="CO6" i="21"/>
  <c r="CP6" i="21"/>
  <c r="CQ6" i="21"/>
  <c r="CR6" i="21"/>
  <c r="CS6" i="21"/>
  <c r="CT6" i="21"/>
  <c r="CU6" i="21"/>
  <c r="CV6" i="21"/>
  <c r="CW6" i="21"/>
  <c r="CX6" i="21"/>
  <c r="CY6" i="21"/>
  <c r="CZ6" i="21"/>
  <c r="DA6" i="21"/>
  <c r="DB6" i="21"/>
  <c r="DC6" i="21"/>
  <c r="DD6" i="21"/>
  <c r="DE6" i="21"/>
  <c r="DF6" i="21"/>
  <c r="DG6" i="21"/>
  <c r="DH6" i="21"/>
  <c r="DI6" i="21"/>
  <c r="DJ6" i="21"/>
  <c r="DK6" i="21"/>
  <c r="DL6" i="21"/>
  <c r="DM6" i="21"/>
  <c r="DN6" i="21"/>
  <c r="DO6" i="21"/>
  <c r="DP6" i="21"/>
  <c r="DQ6" i="21"/>
  <c r="DR6" i="21"/>
  <c r="DS6" i="21"/>
  <c r="DT6" i="21"/>
  <c r="DU6" i="21"/>
  <c r="DV6" i="21"/>
  <c r="DW6" i="21"/>
  <c r="DX6" i="21"/>
  <c r="DY6" i="21"/>
  <c r="DZ6" i="21"/>
  <c r="EA6" i="21"/>
  <c r="EB6" i="21"/>
  <c r="EC6" i="21"/>
  <c r="ED6" i="21"/>
  <c r="EE6" i="21"/>
  <c r="EF6" i="21"/>
  <c r="EG6" i="21"/>
  <c r="EH6" i="21"/>
  <c r="EI6" i="21"/>
  <c r="EJ6" i="21"/>
  <c r="EK6" i="21"/>
  <c r="EL6" i="21"/>
  <c r="EM6" i="21"/>
  <c r="EN6" i="21"/>
  <c r="EO6" i="21"/>
  <c r="EP6" i="21"/>
  <c r="EQ6" i="21"/>
  <c r="ER6" i="21"/>
  <c r="ES6" i="21"/>
  <c r="ET6" i="21"/>
  <c r="EU6" i="21"/>
  <c r="EV6" i="21"/>
  <c r="EW6" i="21"/>
  <c r="EX6" i="21"/>
  <c r="EY6" i="21"/>
  <c r="EZ6" i="21"/>
  <c r="FA6" i="21"/>
  <c r="FB6" i="21"/>
  <c r="FC6" i="21"/>
  <c r="FD6" i="21"/>
  <c r="FE6" i="21"/>
  <c r="FF6" i="21"/>
  <c r="FG6" i="21"/>
  <c r="FH6" i="21"/>
  <c r="FI6" i="21"/>
  <c r="FJ6" i="21"/>
  <c r="FK6" i="21"/>
  <c r="FL6" i="21"/>
  <c r="FM6" i="21"/>
  <c r="FN6" i="21"/>
  <c r="FO6" i="21"/>
  <c r="FP6" i="21"/>
  <c r="FQ6" i="21"/>
  <c r="FR6" i="21"/>
  <c r="FS6" i="21"/>
  <c r="FT6" i="21"/>
  <c r="FU6" i="21"/>
  <c r="FV6" i="21"/>
  <c r="FW6" i="21"/>
  <c r="FX6" i="21"/>
  <c r="FY6" i="21"/>
  <c r="FZ6" i="21"/>
  <c r="GA6" i="21"/>
  <c r="GB6" i="21"/>
  <c r="GC6" i="21"/>
  <c r="GD6" i="21"/>
  <c r="GE6" i="21"/>
  <c r="GF6" i="21"/>
  <c r="GG6" i="21"/>
  <c r="GH6" i="21"/>
  <c r="GI6" i="21"/>
  <c r="GJ6" i="21"/>
  <c r="GK6" i="21"/>
  <c r="GL6" i="21"/>
  <c r="GM6" i="21"/>
  <c r="GN6" i="21"/>
  <c r="GO6" i="21"/>
  <c r="GP6" i="21"/>
  <c r="GQ6" i="21"/>
  <c r="GR6" i="21"/>
  <c r="GS6" i="21"/>
  <c r="GT6" i="21"/>
  <c r="GU6" i="21"/>
  <c r="GV6" i="21"/>
  <c r="GW6" i="21"/>
  <c r="GX6" i="21"/>
  <c r="GY6" i="21"/>
  <c r="GZ6" i="21"/>
  <c r="HA6" i="21"/>
  <c r="HB6" i="21"/>
  <c r="HC6" i="21"/>
  <c r="HD6" i="21"/>
  <c r="HE6" i="21"/>
  <c r="HF6" i="21"/>
  <c r="HG6" i="21"/>
  <c r="HH6" i="21"/>
  <c r="HI6" i="21"/>
  <c r="HJ6" i="21"/>
  <c r="HK6" i="21"/>
  <c r="HL6" i="21"/>
  <c r="HM6" i="21"/>
  <c r="HN6" i="21"/>
  <c r="HO6" i="21"/>
  <c r="HP6" i="21"/>
  <c r="HQ6" i="21"/>
  <c r="HR6" i="21"/>
  <c r="HS6" i="21"/>
  <c r="HT6" i="21"/>
  <c r="HU6" i="21"/>
  <c r="HV6" i="21"/>
  <c r="HW6" i="21"/>
  <c r="HX6" i="21"/>
  <c r="HY6" i="21"/>
  <c r="HZ6" i="21"/>
  <c r="IA6" i="21"/>
  <c r="IB6" i="21"/>
  <c r="IC6" i="21"/>
  <c r="ID6" i="21"/>
  <c r="IE6" i="21"/>
  <c r="IF6" i="21"/>
  <c r="IG6" i="21"/>
  <c r="IH6" i="21"/>
  <c r="II6" i="21"/>
  <c r="IJ6" i="21"/>
  <c r="IK6" i="21"/>
  <c r="IL6" i="21"/>
  <c r="IM6" i="21"/>
  <c r="IN6" i="21"/>
  <c r="IO6" i="21"/>
  <c r="IP6" i="21"/>
  <c r="IQ6" i="21"/>
  <c r="IR6" i="21"/>
  <c r="IS6" i="21"/>
  <c r="IT6" i="21"/>
  <c r="IU6" i="21"/>
  <c r="IV6" i="21"/>
  <c r="IW6" i="21"/>
  <c r="IX6" i="21"/>
  <c r="IY6" i="21"/>
  <c r="IZ6" i="21"/>
  <c r="JA6" i="21"/>
  <c r="JB6" i="21"/>
  <c r="JC6" i="21"/>
  <c r="JD6" i="21"/>
  <c r="JE6" i="21"/>
  <c r="JF6" i="21"/>
  <c r="JG6" i="21"/>
  <c r="JH6" i="21"/>
  <c r="JI6" i="21"/>
  <c r="JJ6" i="21"/>
  <c r="JK6" i="21"/>
  <c r="JL6" i="21"/>
  <c r="JM6" i="21"/>
  <c r="JN6" i="21"/>
  <c r="JO6" i="21"/>
  <c r="JP6" i="21"/>
  <c r="JQ6" i="21"/>
  <c r="JR6" i="21"/>
  <c r="JS6" i="21"/>
  <c r="JT6" i="21"/>
  <c r="JU6" i="21"/>
  <c r="D7" i="21"/>
  <c r="E7" i="21"/>
  <c r="F7" i="21"/>
  <c r="G7" i="21"/>
  <c r="H7" i="21"/>
  <c r="I7" i="21"/>
  <c r="J7" i="21"/>
  <c r="K7" i="21"/>
  <c r="L7" i="21"/>
  <c r="M7" i="21"/>
  <c r="N7" i="21"/>
  <c r="O7" i="21"/>
  <c r="P7" i="21"/>
  <c r="Q7" i="21"/>
  <c r="R7" i="21"/>
  <c r="S7" i="21"/>
  <c r="T7" i="21"/>
  <c r="U7" i="21"/>
  <c r="V7" i="21"/>
  <c r="W7" i="21"/>
  <c r="X7" i="21"/>
  <c r="Y7" i="21"/>
  <c r="Z7" i="21"/>
  <c r="AA7" i="21"/>
  <c r="AB7" i="21"/>
  <c r="AC7" i="21"/>
  <c r="AD7" i="21"/>
  <c r="AE7" i="21"/>
  <c r="AF7" i="21"/>
  <c r="AG7" i="21"/>
  <c r="AH7" i="21"/>
  <c r="AI7" i="21"/>
  <c r="AJ7" i="21"/>
  <c r="AK7" i="21"/>
  <c r="AL7" i="21"/>
  <c r="AM7" i="21"/>
  <c r="AN7" i="21"/>
  <c r="AO7" i="21"/>
  <c r="AP7" i="21"/>
  <c r="AQ7" i="21"/>
  <c r="AR7" i="21"/>
  <c r="AS7" i="21"/>
  <c r="AT7" i="21"/>
  <c r="AU7" i="21"/>
  <c r="AV7" i="21"/>
  <c r="AW7" i="21"/>
  <c r="AX7" i="21"/>
  <c r="AY7" i="21"/>
  <c r="AZ7" i="21"/>
  <c r="BA7" i="21"/>
  <c r="BB7" i="21"/>
  <c r="BC7" i="21"/>
  <c r="BD7" i="21"/>
  <c r="BE7" i="21"/>
  <c r="BF7" i="21"/>
  <c r="BG7" i="21"/>
  <c r="BH7" i="21"/>
  <c r="BI7" i="21"/>
  <c r="BJ7" i="21"/>
  <c r="BK7" i="21"/>
  <c r="BL7" i="21"/>
  <c r="BM7" i="21"/>
  <c r="BN7" i="21"/>
  <c r="BO7" i="21"/>
  <c r="BP7" i="21"/>
  <c r="BQ7" i="21"/>
  <c r="BR7" i="21"/>
  <c r="BS7" i="21"/>
  <c r="BT7" i="21"/>
  <c r="BU7" i="21"/>
  <c r="BV7" i="21"/>
  <c r="BW7" i="21"/>
  <c r="BX7" i="21"/>
  <c r="BY7" i="21"/>
  <c r="BZ7" i="21"/>
  <c r="CA7" i="21"/>
  <c r="CB7" i="21"/>
  <c r="CC7" i="21"/>
  <c r="CD7" i="21"/>
  <c r="CE7" i="21"/>
  <c r="CF7" i="21"/>
  <c r="CG7" i="21"/>
  <c r="CH7" i="21"/>
  <c r="CI7" i="21"/>
  <c r="CJ7" i="21"/>
  <c r="CK7" i="21"/>
  <c r="CL7" i="21"/>
  <c r="CM7" i="21"/>
  <c r="CN7" i="21"/>
  <c r="CO7" i="21"/>
  <c r="CP7" i="21"/>
  <c r="CQ7" i="21"/>
  <c r="CR7" i="21"/>
  <c r="CS7" i="21"/>
  <c r="CT7" i="21"/>
  <c r="CU7" i="21"/>
  <c r="CV7" i="21"/>
  <c r="CW7" i="21"/>
  <c r="CX7" i="21"/>
  <c r="CY7" i="21"/>
  <c r="CZ7" i="21"/>
  <c r="DA7" i="21"/>
  <c r="DB7" i="21"/>
  <c r="DC7" i="21"/>
  <c r="DD7" i="21"/>
  <c r="DE7" i="21"/>
  <c r="DF7" i="21"/>
  <c r="DG7" i="21"/>
  <c r="DH7" i="21"/>
  <c r="DI7" i="21"/>
  <c r="DJ7" i="21"/>
  <c r="DK7" i="21"/>
  <c r="DL7" i="21"/>
  <c r="DM7" i="21"/>
  <c r="DN7" i="21"/>
  <c r="DO7" i="21"/>
  <c r="DP7" i="21"/>
  <c r="DQ7" i="21"/>
  <c r="DR7" i="21"/>
  <c r="DS7" i="21"/>
  <c r="DT7" i="21"/>
  <c r="DU7" i="21"/>
  <c r="DV7" i="21"/>
  <c r="DW7" i="21"/>
  <c r="DX7" i="21"/>
  <c r="DY7" i="21"/>
  <c r="DZ7" i="21"/>
  <c r="EA7" i="21"/>
  <c r="EB7" i="21"/>
  <c r="EC7" i="21"/>
  <c r="ED7" i="21"/>
  <c r="EE7" i="21"/>
  <c r="EF7" i="21"/>
  <c r="EG7" i="21"/>
  <c r="EH7" i="21"/>
  <c r="EI7" i="21"/>
  <c r="EJ7" i="21"/>
  <c r="EK7" i="21"/>
  <c r="EL7" i="21"/>
  <c r="EM7" i="21"/>
  <c r="EN7" i="21"/>
  <c r="EO7" i="21"/>
  <c r="EP7" i="21"/>
  <c r="EQ7" i="21"/>
  <c r="ER7" i="21"/>
  <c r="ES7" i="21"/>
  <c r="ET7" i="21"/>
  <c r="EU7" i="21"/>
  <c r="EV7" i="21"/>
  <c r="EW7" i="21"/>
  <c r="EX7" i="21"/>
  <c r="EY7" i="21"/>
  <c r="EZ7" i="21"/>
  <c r="FA7" i="21"/>
  <c r="FB7" i="21"/>
  <c r="FC7" i="21"/>
  <c r="FD7" i="21"/>
  <c r="FE7" i="21"/>
  <c r="FF7" i="21"/>
  <c r="FG7" i="21"/>
  <c r="FH7" i="21"/>
  <c r="FI7" i="21"/>
  <c r="FJ7" i="21"/>
  <c r="FK7" i="21"/>
  <c r="FL7" i="21"/>
  <c r="FM7" i="21"/>
  <c r="FN7" i="21"/>
  <c r="FO7" i="21"/>
  <c r="FP7" i="21"/>
  <c r="FQ7" i="21"/>
  <c r="FR7" i="21"/>
  <c r="FS7" i="21"/>
  <c r="FT7" i="21"/>
  <c r="FU7" i="21"/>
  <c r="FV7" i="21"/>
  <c r="FW7" i="21"/>
  <c r="FX7" i="21"/>
  <c r="FY7" i="21"/>
  <c r="FZ7" i="21"/>
  <c r="GA7" i="21"/>
  <c r="GB7" i="21"/>
  <c r="GC7" i="21"/>
  <c r="GD7" i="21"/>
  <c r="GE7" i="21"/>
  <c r="GF7" i="21"/>
  <c r="GG7" i="21"/>
  <c r="GH7" i="21"/>
  <c r="GI7" i="21"/>
  <c r="GJ7" i="21"/>
  <c r="GK7" i="21"/>
  <c r="GL7" i="21"/>
  <c r="GM7" i="21"/>
  <c r="GN7" i="21"/>
  <c r="GO7" i="21"/>
  <c r="GP7" i="21"/>
  <c r="GQ7" i="21"/>
  <c r="GR7" i="21"/>
  <c r="GS7" i="21"/>
  <c r="GT7" i="21"/>
  <c r="GU7" i="21"/>
  <c r="GV7" i="21"/>
  <c r="GW7" i="21"/>
  <c r="GX7" i="21"/>
  <c r="GY7" i="21"/>
  <c r="GZ7" i="21"/>
  <c r="HA7" i="21"/>
  <c r="HB7" i="21"/>
  <c r="HC7" i="21"/>
  <c r="HD7" i="21"/>
  <c r="HE7" i="21"/>
  <c r="HF7" i="21"/>
  <c r="HG7" i="21"/>
  <c r="HH7" i="21"/>
  <c r="HI7" i="21"/>
  <c r="HJ7" i="21"/>
  <c r="HK7" i="21"/>
  <c r="HL7" i="21"/>
  <c r="HM7" i="21"/>
  <c r="HN7" i="21"/>
  <c r="HO7" i="21"/>
  <c r="HP7" i="21"/>
  <c r="HQ7" i="21"/>
  <c r="HR7" i="21"/>
  <c r="HS7" i="21"/>
  <c r="HT7" i="21"/>
  <c r="HU7" i="21"/>
  <c r="HV7" i="21"/>
  <c r="HW7" i="21"/>
  <c r="HX7" i="21"/>
  <c r="HY7" i="21"/>
  <c r="HZ7" i="21"/>
  <c r="IA7" i="21"/>
  <c r="IB7" i="21"/>
  <c r="IC7" i="21"/>
  <c r="ID7" i="21"/>
  <c r="IE7" i="21"/>
  <c r="IF7" i="21"/>
  <c r="IG7" i="21"/>
  <c r="IH7" i="21"/>
  <c r="II7" i="21"/>
  <c r="IJ7" i="21"/>
  <c r="IK7" i="21"/>
  <c r="IL7" i="21"/>
  <c r="IM7" i="21"/>
  <c r="IN7" i="21"/>
  <c r="IO7" i="21"/>
  <c r="IP7" i="21"/>
  <c r="IQ7" i="21"/>
  <c r="IR7" i="21"/>
  <c r="IS7" i="21"/>
  <c r="IT7" i="21"/>
  <c r="IU7" i="21"/>
  <c r="IV7" i="21"/>
  <c r="IW7" i="21"/>
  <c r="IX7" i="21"/>
  <c r="IY7" i="21"/>
  <c r="IZ7" i="21"/>
  <c r="JA7" i="21"/>
  <c r="JB7" i="21"/>
  <c r="JC7" i="21"/>
  <c r="JD7" i="21"/>
  <c r="JE7" i="21"/>
  <c r="JF7" i="21"/>
  <c r="JG7" i="21"/>
  <c r="JH7" i="21"/>
  <c r="JI7" i="21"/>
  <c r="JJ7" i="21"/>
  <c r="JK7" i="21"/>
  <c r="JL7" i="21"/>
  <c r="JM7" i="21"/>
  <c r="JN7" i="21"/>
  <c r="JO7" i="21"/>
  <c r="JP7" i="21"/>
  <c r="JQ7" i="21"/>
  <c r="JR7" i="21"/>
  <c r="JS7" i="21"/>
  <c r="JT7" i="21"/>
  <c r="JU7" i="21"/>
  <c r="D9" i="21"/>
  <c r="D10" i="21"/>
  <c r="D98" i="21"/>
  <c r="D99" i="21"/>
  <c r="E96" i="21"/>
  <c r="E97" i="21"/>
  <c r="E100" i="21"/>
  <c r="E9" i="21"/>
  <c r="E10" i="21"/>
  <c r="E98" i="21"/>
  <c r="E99" i="21"/>
  <c r="F96" i="21"/>
  <c r="F97" i="21"/>
  <c r="F100" i="21"/>
  <c r="F9" i="21"/>
  <c r="F10" i="21"/>
  <c r="F98" i="21"/>
  <c r="F99" i="21"/>
  <c r="G96" i="21"/>
  <c r="G97" i="21"/>
  <c r="G100" i="21"/>
  <c r="G9" i="21"/>
  <c r="G10" i="21"/>
  <c r="G98" i="21"/>
  <c r="G99" i="21"/>
  <c r="H96" i="21"/>
  <c r="H97" i="21"/>
  <c r="H100" i="21"/>
  <c r="H9" i="21"/>
  <c r="H10" i="21"/>
  <c r="H98" i="21"/>
  <c r="H99" i="21"/>
  <c r="I96" i="21"/>
  <c r="I97" i="21"/>
  <c r="I100" i="21"/>
  <c r="I9" i="21"/>
  <c r="I10" i="21"/>
  <c r="I98" i="21"/>
  <c r="I99" i="21"/>
  <c r="J96" i="21"/>
  <c r="J97" i="21"/>
  <c r="J100" i="21"/>
  <c r="J9" i="21"/>
  <c r="J10" i="21"/>
  <c r="J98" i="21"/>
  <c r="J99" i="21"/>
  <c r="K96" i="21"/>
  <c r="K97" i="21"/>
  <c r="K100" i="21"/>
  <c r="K9" i="21"/>
  <c r="K10" i="21"/>
  <c r="K98" i="21"/>
  <c r="K99" i="21"/>
  <c r="L96" i="21"/>
  <c r="L97" i="21"/>
  <c r="L100" i="21"/>
  <c r="L9" i="21"/>
  <c r="L10" i="21"/>
  <c r="L98" i="21"/>
  <c r="L99" i="21"/>
  <c r="M96" i="21"/>
  <c r="M97" i="21"/>
  <c r="M100" i="21"/>
  <c r="M9" i="21"/>
  <c r="M10" i="21"/>
  <c r="M98" i="21"/>
  <c r="M99" i="21"/>
  <c r="N96" i="21"/>
  <c r="N97" i="21"/>
  <c r="N100" i="21"/>
  <c r="N9" i="21"/>
  <c r="N10" i="21"/>
  <c r="N98" i="21"/>
  <c r="N99" i="21"/>
  <c r="O96" i="21"/>
  <c r="O97" i="21"/>
  <c r="O100" i="21"/>
  <c r="O9" i="21"/>
  <c r="O10" i="21"/>
  <c r="O98" i="21"/>
  <c r="O99" i="21"/>
  <c r="P96" i="21"/>
  <c r="P97" i="21"/>
  <c r="P100" i="21"/>
  <c r="P9" i="21"/>
  <c r="P10" i="21"/>
  <c r="P98" i="21"/>
  <c r="P99" i="21"/>
  <c r="Q96" i="21"/>
  <c r="Q97" i="21"/>
  <c r="Q100" i="21"/>
  <c r="Q9" i="21"/>
  <c r="Q10" i="21"/>
  <c r="Q98" i="21"/>
  <c r="Q99" i="21"/>
  <c r="R96" i="21"/>
  <c r="R97" i="21"/>
  <c r="R100" i="21"/>
  <c r="R9" i="21"/>
  <c r="R10" i="21"/>
  <c r="R98" i="21"/>
  <c r="R99" i="21"/>
  <c r="S96" i="21"/>
  <c r="S97" i="21"/>
  <c r="S100" i="21"/>
  <c r="S9" i="21"/>
  <c r="S10" i="21"/>
  <c r="S98" i="21"/>
  <c r="S99" i="21"/>
  <c r="T96" i="21"/>
  <c r="T97" i="21"/>
  <c r="T100" i="21"/>
  <c r="T9" i="21"/>
  <c r="T10" i="21"/>
  <c r="T98" i="21"/>
  <c r="T99" i="21"/>
  <c r="U96" i="21"/>
  <c r="U97" i="21"/>
  <c r="U100" i="21"/>
  <c r="U9" i="21"/>
  <c r="U10" i="21"/>
  <c r="U98" i="21"/>
  <c r="U99" i="21"/>
  <c r="V96" i="21"/>
  <c r="V97" i="21"/>
  <c r="V100" i="21"/>
  <c r="V9" i="21"/>
  <c r="V10" i="21"/>
  <c r="V98" i="21"/>
  <c r="V99" i="21"/>
  <c r="W96" i="21"/>
  <c r="W97" i="21"/>
  <c r="W100" i="21"/>
  <c r="W9" i="21"/>
  <c r="W10" i="21"/>
  <c r="W98" i="21"/>
  <c r="W99" i="21"/>
  <c r="X96" i="21"/>
  <c r="X97" i="21"/>
  <c r="X100" i="21"/>
  <c r="X9" i="21"/>
  <c r="X10" i="21"/>
  <c r="X98" i="21"/>
  <c r="X99" i="21"/>
  <c r="Y96" i="21"/>
  <c r="Y97" i="21"/>
  <c r="Y100" i="21"/>
  <c r="Y9" i="21"/>
  <c r="Y10" i="21"/>
  <c r="Y98" i="21"/>
  <c r="Y99" i="21"/>
  <c r="Z96" i="21"/>
  <c r="Z97" i="21"/>
  <c r="Z100" i="21"/>
  <c r="Z9" i="21"/>
  <c r="Z10" i="21"/>
  <c r="Z98" i="21"/>
  <c r="Z99" i="21"/>
  <c r="AA96" i="21"/>
  <c r="AA97" i="21"/>
  <c r="AA100" i="21"/>
  <c r="AA9" i="21"/>
  <c r="AA10" i="21"/>
  <c r="AA98" i="21"/>
  <c r="AA99" i="21"/>
  <c r="AB96" i="21"/>
  <c r="AB97" i="21"/>
  <c r="AB100" i="21"/>
  <c r="AB9" i="21"/>
  <c r="D42" i="21"/>
  <c r="E42" i="21"/>
  <c r="F42" i="21"/>
  <c r="G42" i="21"/>
  <c r="H42" i="21"/>
  <c r="I42" i="21"/>
  <c r="J42" i="21"/>
  <c r="K42" i="21"/>
  <c r="L42" i="21"/>
  <c r="M42" i="21"/>
  <c r="N42" i="21"/>
  <c r="O42" i="21"/>
  <c r="P42" i="21"/>
  <c r="Q42" i="21"/>
  <c r="R42" i="21"/>
  <c r="S42" i="21"/>
  <c r="T42" i="21"/>
  <c r="U42" i="21"/>
  <c r="V42" i="21"/>
  <c r="W42" i="21"/>
  <c r="X42" i="21"/>
  <c r="Y42" i="21"/>
  <c r="Z42" i="21"/>
  <c r="AA42" i="21"/>
  <c r="W43" i="21"/>
  <c r="X43" i="21"/>
  <c r="Y43" i="21"/>
  <c r="Z43" i="21"/>
  <c r="AA43" i="21"/>
  <c r="B43" i="21"/>
  <c r="D44" i="21"/>
  <c r="E44" i="21"/>
  <c r="AC9" i="21"/>
  <c r="AD9" i="21"/>
  <c r="AE9" i="21"/>
  <c r="AF9" i="21"/>
  <c r="AG9" i="21"/>
  <c r="AH9" i="21"/>
  <c r="AI9" i="21"/>
  <c r="AJ9" i="21"/>
  <c r="AK9" i="21"/>
  <c r="AL9" i="21"/>
  <c r="AM9" i="21"/>
  <c r="AN9" i="21"/>
  <c r="AO9" i="21"/>
  <c r="AP9" i="21"/>
  <c r="AQ9" i="21"/>
  <c r="AR9" i="21"/>
  <c r="AS9" i="21"/>
  <c r="AT9" i="21"/>
  <c r="AU9" i="21"/>
  <c r="AV9" i="21"/>
  <c r="AW9" i="21"/>
  <c r="AX9" i="21"/>
  <c r="AY9" i="21"/>
  <c r="AZ9" i="21"/>
  <c r="BA9" i="21"/>
  <c r="BB9" i="21"/>
  <c r="BC9" i="21"/>
  <c r="BD9" i="21"/>
  <c r="BE9" i="21"/>
  <c r="BF9" i="21"/>
  <c r="BG9" i="21"/>
  <c r="BH9" i="21"/>
  <c r="BI9" i="21"/>
  <c r="BJ9" i="21"/>
  <c r="BK9" i="21"/>
  <c r="BL9" i="21"/>
  <c r="BM9" i="21"/>
  <c r="BN9" i="21"/>
  <c r="BO9" i="21"/>
  <c r="BP9" i="21"/>
  <c r="BQ9" i="21"/>
  <c r="BR9" i="21"/>
  <c r="BS9" i="21"/>
  <c r="BT9" i="21"/>
  <c r="BU9" i="21"/>
  <c r="BV9" i="21"/>
  <c r="BW9" i="21"/>
  <c r="BX9" i="21"/>
  <c r="BY9" i="21"/>
  <c r="BZ9" i="21"/>
  <c r="CA9" i="21"/>
  <c r="CB9" i="21"/>
  <c r="CC9" i="21"/>
  <c r="CD9" i="21"/>
  <c r="CE9" i="21"/>
  <c r="CF9" i="21"/>
  <c r="CG9" i="21"/>
  <c r="CH9" i="21"/>
  <c r="CI9" i="21"/>
  <c r="CJ9" i="21"/>
  <c r="CK9" i="21"/>
  <c r="CL9" i="21"/>
  <c r="CM9" i="21"/>
  <c r="CN9" i="21"/>
  <c r="CO9" i="21"/>
  <c r="CP9" i="21"/>
  <c r="CQ9" i="21"/>
  <c r="CR9" i="21"/>
  <c r="CS9" i="21"/>
  <c r="CT9" i="21"/>
  <c r="CU9" i="21"/>
  <c r="CV9" i="21"/>
  <c r="CW9" i="21"/>
  <c r="CX9" i="21"/>
  <c r="CY9" i="21"/>
  <c r="CZ9" i="21"/>
  <c r="DA9" i="21"/>
  <c r="DB9" i="21"/>
  <c r="DC9" i="21"/>
  <c r="DD9" i="21"/>
  <c r="DE9" i="21"/>
  <c r="DF9" i="21"/>
  <c r="DG9" i="21"/>
  <c r="DH9" i="21"/>
  <c r="DI9" i="21"/>
  <c r="DJ9" i="21"/>
  <c r="DK9" i="21"/>
  <c r="DL9" i="21"/>
  <c r="DM9" i="21"/>
  <c r="DN9" i="21"/>
  <c r="DO9" i="21"/>
  <c r="DP9" i="21"/>
  <c r="DQ9" i="21"/>
  <c r="DR9" i="21"/>
  <c r="DS9" i="21"/>
  <c r="DT9" i="21"/>
  <c r="DU9" i="21"/>
  <c r="DV9" i="21"/>
  <c r="DW9" i="21"/>
  <c r="DX9" i="21"/>
  <c r="DY9" i="21"/>
  <c r="DZ9" i="21"/>
  <c r="EA9" i="21"/>
  <c r="EB9" i="21"/>
  <c r="EC9" i="21"/>
  <c r="ED9" i="21"/>
  <c r="EE9" i="21"/>
  <c r="EF9" i="21"/>
  <c r="EG9" i="21"/>
  <c r="EH9" i="21"/>
  <c r="EI9" i="21"/>
  <c r="EJ9" i="21"/>
  <c r="EK9" i="21"/>
  <c r="EL9" i="21"/>
  <c r="EM9" i="21"/>
  <c r="EN9" i="21"/>
  <c r="EO9" i="21"/>
  <c r="EP9" i="21"/>
  <c r="EQ9" i="21"/>
  <c r="ER9" i="21"/>
  <c r="ES9" i="21"/>
  <c r="ET9" i="21"/>
  <c r="EU9" i="21"/>
  <c r="EV9" i="21"/>
  <c r="EW9" i="21"/>
  <c r="EX9" i="21"/>
  <c r="EY9" i="21"/>
  <c r="EZ9" i="21"/>
  <c r="FA9" i="21"/>
  <c r="FB9" i="21"/>
  <c r="FC9" i="21"/>
  <c r="FD9" i="21"/>
  <c r="FE9" i="21"/>
  <c r="FF9" i="21"/>
  <c r="FG9" i="21"/>
  <c r="FH9" i="21"/>
  <c r="FI9" i="21"/>
  <c r="FJ9" i="21"/>
  <c r="FK9" i="21"/>
  <c r="FL9" i="21"/>
  <c r="FM9" i="21"/>
  <c r="FN9" i="21"/>
  <c r="FO9" i="21"/>
  <c r="FP9" i="21"/>
  <c r="FQ9" i="21"/>
  <c r="FR9" i="21"/>
  <c r="FS9" i="21"/>
  <c r="FT9" i="21"/>
  <c r="FU9" i="21"/>
  <c r="FV9" i="21"/>
  <c r="FW9" i="21"/>
  <c r="FX9" i="21"/>
  <c r="FY9" i="21"/>
  <c r="FZ9" i="21"/>
  <c r="GA9" i="21"/>
  <c r="GB9" i="21"/>
  <c r="GC9" i="21"/>
  <c r="GD9" i="21"/>
  <c r="GE9" i="21"/>
  <c r="GF9" i="21"/>
  <c r="GG9" i="21"/>
  <c r="GH9" i="21"/>
  <c r="GI9" i="21"/>
  <c r="GJ9" i="21"/>
  <c r="GK9" i="21"/>
  <c r="GL9" i="21"/>
  <c r="GM9" i="21"/>
  <c r="GN9" i="21"/>
  <c r="GO9" i="21"/>
  <c r="GP9" i="21"/>
  <c r="GQ9" i="21"/>
  <c r="GR9" i="21"/>
  <c r="GS9" i="21"/>
  <c r="GT9" i="21"/>
  <c r="GU9" i="21"/>
  <c r="GV9" i="21"/>
  <c r="GW9" i="21"/>
  <c r="GX9" i="21"/>
  <c r="GY9" i="21"/>
  <c r="GZ9" i="21"/>
  <c r="HA9" i="21"/>
  <c r="HB9" i="21"/>
  <c r="HC9" i="21"/>
  <c r="HD9" i="21"/>
  <c r="HE9" i="21"/>
  <c r="HF9" i="21"/>
  <c r="HG9" i="21"/>
  <c r="HH9" i="21"/>
  <c r="HI9" i="21"/>
  <c r="HJ9" i="21"/>
  <c r="HK9" i="21"/>
  <c r="HL9" i="21"/>
  <c r="HM9" i="21"/>
  <c r="HN9" i="21"/>
  <c r="HO9" i="21"/>
  <c r="HP9" i="21"/>
  <c r="HQ9" i="21"/>
  <c r="HR9" i="21"/>
  <c r="HS9" i="21"/>
  <c r="HT9" i="21"/>
  <c r="HU9" i="21"/>
  <c r="HV9" i="21"/>
  <c r="HW9" i="21"/>
  <c r="HX9" i="21"/>
  <c r="HY9" i="21"/>
  <c r="HZ9" i="21"/>
  <c r="IA9" i="21"/>
  <c r="IB9" i="21"/>
  <c r="IC9" i="21"/>
  <c r="ID9" i="21"/>
  <c r="IE9" i="21"/>
  <c r="IF9" i="21"/>
  <c r="IG9" i="21"/>
  <c r="IH9" i="21"/>
  <c r="II9" i="21"/>
  <c r="IJ9" i="21"/>
  <c r="IK9" i="21"/>
  <c r="IL9" i="21"/>
  <c r="IM9" i="21"/>
  <c r="IN9" i="21"/>
  <c r="IO9" i="21"/>
  <c r="IP9" i="21"/>
  <c r="IQ9" i="21"/>
  <c r="IR9" i="21"/>
  <c r="IS9" i="21"/>
  <c r="IT9" i="21"/>
  <c r="IU9" i="21"/>
  <c r="IV9" i="21"/>
  <c r="IW9" i="21"/>
  <c r="IX9" i="21"/>
  <c r="IY9" i="21"/>
  <c r="IZ9" i="21"/>
  <c r="JA9" i="21"/>
  <c r="JB9" i="21"/>
  <c r="JC9" i="21"/>
  <c r="JD9" i="21"/>
  <c r="JE9" i="21"/>
  <c r="JF9" i="21"/>
  <c r="JG9" i="21"/>
  <c r="JH9" i="21"/>
  <c r="JI9" i="21"/>
  <c r="JJ9" i="21"/>
  <c r="JK9" i="21"/>
  <c r="JL9" i="21"/>
  <c r="JM9" i="21"/>
  <c r="JN9" i="21"/>
  <c r="JO9" i="21"/>
  <c r="JP9" i="21"/>
  <c r="JQ9" i="21"/>
  <c r="JR9" i="21"/>
  <c r="JS9" i="21"/>
  <c r="JT9" i="21"/>
  <c r="JU9" i="21"/>
  <c r="F44" i="21"/>
  <c r="G44" i="21"/>
  <c r="H44" i="21"/>
  <c r="I44" i="21"/>
  <c r="J44" i="21"/>
  <c r="K44" i="21"/>
  <c r="L44" i="21"/>
  <c r="M44" i="21"/>
  <c r="N44" i="21"/>
  <c r="O44" i="21"/>
  <c r="P44" i="21"/>
  <c r="Q44" i="21"/>
  <c r="R44" i="21"/>
  <c r="S44" i="21"/>
  <c r="T44" i="21"/>
  <c r="U44" i="21"/>
  <c r="V44" i="21"/>
  <c r="W44" i="21"/>
  <c r="X44" i="21"/>
  <c r="Y44" i="21"/>
  <c r="Z44" i="21"/>
  <c r="AA44" i="21"/>
  <c r="B44" i="21"/>
  <c r="AB10" i="21"/>
  <c r="AB98" i="21"/>
  <c r="AB99" i="21"/>
  <c r="AC96" i="21"/>
  <c r="AC97" i="21"/>
  <c r="AC100" i="21"/>
  <c r="AC10" i="21"/>
  <c r="AC98" i="21"/>
  <c r="AC99" i="21"/>
  <c r="AD96" i="21"/>
  <c r="AD97" i="21"/>
  <c r="AD100" i="21"/>
  <c r="AD10" i="21"/>
  <c r="AD98" i="21"/>
  <c r="AD99" i="21"/>
  <c r="AE96" i="21"/>
  <c r="AE97" i="21"/>
  <c r="AE100" i="21"/>
  <c r="AE10" i="21"/>
  <c r="AE98" i="21"/>
  <c r="AE99" i="21"/>
  <c r="AF96" i="21"/>
  <c r="AF97" i="21"/>
  <c r="AF100" i="21"/>
  <c r="AF10" i="21"/>
  <c r="AF98" i="21"/>
  <c r="AF99" i="21"/>
  <c r="AG96" i="21"/>
  <c r="AG97" i="21"/>
  <c r="AG100" i="21"/>
  <c r="AG10" i="21"/>
  <c r="AG98" i="21"/>
  <c r="AG99" i="21"/>
  <c r="AH96" i="21"/>
  <c r="AH97" i="21"/>
  <c r="AH100" i="21"/>
  <c r="AH10" i="21"/>
  <c r="AH98" i="21"/>
  <c r="AH99" i="21"/>
  <c r="AI96" i="21"/>
  <c r="AI97" i="21"/>
  <c r="AI100" i="21"/>
  <c r="AI10" i="21"/>
  <c r="AI98" i="21"/>
  <c r="AI99" i="21"/>
  <c r="AJ96" i="21"/>
  <c r="AJ97" i="21"/>
  <c r="AJ100" i="21"/>
  <c r="AJ10" i="21"/>
  <c r="AJ98" i="21"/>
  <c r="AJ99" i="21"/>
  <c r="AK96" i="21"/>
  <c r="AK97" i="21"/>
  <c r="AK100" i="21"/>
  <c r="AK10" i="21"/>
  <c r="AK98" i="21"/>
  <c r="AK99" i="21"/>
  <c r="AL96" i="21"/>
  <c r="AL97" i="21"/>
  <c r="AL100" i="21"/>
  <c r="AL10" i="21"/>
  <c r="AL98" i="21"/>
  <c r="AL99" i="21"/>
  <c r="AM96" i="21"/>
  <c r="AM97" i="21"/>
  <c r="AM100" i="21"/>
  <c r="AM10" i="21"/>
  <c r="AM98" i="21"/>
  <c r="AM99" i="21"/>
  <c r="AN96" i="21"/>
  <c r="AN97" i="21"/>
  <c r="AN100" i="21"/>
  <c r="AN10" i="21"/>
  <c r="AN98" i="21"/>
  <c r="AN99" i="21"/>
  <c r="AO96" i="21"/>
  <c r="AO97" i="21"/>
  <c r="AO100" i="21"/>
  <c r="AO10" i="21"/>
  <c r="AO98" i="21"/>
  <c r="AO99" i="21"/>
  <c r="AP96" i="21"/>
  <c r="AP97" i="21"/>
  <c r="AP100" i="21"/>
  <c r="AP10" i="21"/>
  <c r="AP98" i="21"/>
  <c r="AP99" i="21"/>
  <c r="AQ96" i="21"/>
  <c r="AQ97" i="21"/>
  <c r="AQ100" i="21"/>
  <c r="AQ10" i="21"/>
  <c r="AQ98" i="21"/>
  <c r="AQ99" i="21"/>
  <c r="AR96" i="21"/>
  <c r="AR97" i="21"/>
  <c r="AR100" i="21"/>
  <c r="AR10" i="21"/>
  <c r="AR98" i="21"/>
  <c r="AR99" i="21"/>
  <c r="AS96" i="21"/>
  <c r="AS97" i="21"/>
  <c r="AS100" i="21"/>
  <c r="AS10" i="21"/>
  <c r="AS98" i="21"/>
  <c r="AS99" i="21"/>
  <c r="AT96" i="21"/>
  <c r="AT97" i="21"/>
  <c r="AT100" i="21"/>
  <c r="AT10" i="21"/>
  <c r="AT98" i="21"/>
  <c r="AT99" i="21"/>
  <c r="AU96" i="21"/>
  <c r="AU97" i="21"/>
  <c r="AU100" i="21"/>
  <c r="AU10" i="21"/>
  <c r="AU98" i="21"/>
  <c r="AU99" i="21"/>
  <c r="AV96" i="21"/>
  <c r="AV97" i="21"/>
  <c r="AV100" i="21"/>
  <c r="AV10" i="21"/>
  <c r="AV98" i="21"/>
  <c r="AV99" i="21"/>
  <c r="AW96" i="21"/>
  <c r="AW97" i="21"/>
  <c r="AW100" i="21"/>
  <c r="AW10" i="21"/>
  <c r="AW98" i="21"/>
  <c r="AW99" i="21"/>
  <c r="AX96" i="21"/>
  <c r="AX97" i="21"/>
  <c r="AX100" i="21"/>
  <c r="AX10" i="21"/>
  <c r="AX98" i="21"/>
  <c r="AX99" i="21"/>
  <c r="AY96" i="21"/>
  <c r="AY97" i="21"/>
  <c r="AY100" i="21"/>
  <c r="AY10" i="21"/>
  <c r="AY98" i="21"/>
  <c r="AY99" i="21"/>
  <c r="AZ96" i="21"/>
  <c r="AZ97" i="21"/>
  <c r="AZ100" i="21"/>
  <c r="AZ10" i="21"/>
  <c r="AZ98" i="21"/>
  <c r="AZ99" i="21"/>
  <c r="BA96" i="21"/>
  <c r="BA97" i="21"/>
  <c r="BA100" i="21"/>
  <c r="BA10" i="21"/>
  <c r="BA98" i="21"/>
  <c r="BA99" i="21"/>
  <c r="BB96" i="21"/>
  <c r="BB97" i="21"/>
  <c r="BB100" i="21"/>
  <c r="BB10" i="21"/>
  <c r="BB98" i="21"/>
  <c r="BB99" i="21"/>
  <c r="BC96" i="21"/>
  <c r="BC97" i="21"/>
  <c r="BC100" i="21"/>
  <c r="BC10" i="21"/>
  <c r="BC98" i="21"/>
  <c r="BC99" i="21"/>
  <c r="BD96" i="21"/>
  <c r="BD97" i="21"/>
  <c r="BD100" i="21"/>
  <c r="BD10" i="21"/>
  <c r="BD98" i="21"/>
  <c r="BD99" i="21"/>
  <c r="BE96" i="21"/>
  <c r="BE97" i="21"/>
  <c r="BE100" i="21"/>
  <c r="BE10" i="21"/>
  <c r="BE98" i="21"/>
  <c r="BE99" i="21"/>
  <c r="BF96" i="21"/>
  <c r="BF97" i="21"/>
  <c r="BF100" i="21"/>
  <c r="BF10" i="21"/>
  <c r="BF98" i="21"/>
  <c r="BF99" i="21"/>
  <c r="BG96" i="21"/>
  <c r="BG97" i="21"/>
  <c r="BG100" i="21"/>
  <c r="BG10" i="21"/>
  <c r="BG98" i="21"/>
  <c r="BG99" i="21"/>
  <c r="BH96" i="21"/>
  <c r="BH97" i="21"/>
  <c r="BH100" i="21"/>
  <c r="BH10" i="21"/>
  <c r="BH98" i="21"/>
  <c r="BH99" i="21"/>
  <c r="BI96" i="21"/>
  <c r="BI97" i="21"/>
  <c r="BI100" i="21"/>
  <c r="BI10" i="21"/>
  <c r="BI98" i="21"/>
  <c r="BI99" i="21"/>
  <c r="BJ96" i="21"/>
  <c r="BJ97" i="21"/>
  <c r="BJ100" i="21"/>
  <c r="BJ10" i="21"/>
  <c r="BJ98" i="21"/>
  <c r="BJ99" i="21"/>
  <c r="BK96" i="21"/>
  <c r="BK97" i="21"/>
  <c r="BK100" i="21"/>
  <c r="BK10" i="21"/>
  <c r="BK98" i="21"/>
  <c r="BK99" i="21"/>
  <c r="BL96" i="21"/>
  <c r="BL97" i="21"/>
  <c r="BL100" i="21"/>
  <c r="BL10" i="21"/>
  <c r="BL98" i="21"/>
  <c r="BL99" i="21"/>
  <c r="BM96" i="21"/>
  <c r="BM97" i="21"/>
  <c r="BM100" i="21"/>
  <c r="BM10" i="21"/>
  <c r="BM98" i="21"/>
  <c r="BM99" i="21"/>
  <c r="BN96" i="21"/>
  <c r="BN97" i="21"/>
  <c r="BN100" i="21"/>
  <c r="BN10" i="21"/>
  <c r="BN98" i="21"/>
  <c r="BN99" i="21"/>
  <c r="BO96" i="21"/>
  <c r="BO97" i="21"/>
  <c r="BO100" i="21"/>
  <c r="BO10" i="21"/>
  <c r="BO98" i="21"/>
  <c r="BO99" i="21"/>
  <c r="BP96" i="21"/>
  <c r="BP97" i="21"/>
  <c r="BP100" i="21"/>
  <c r="BP10" i="21"/>
  <c r="BP98" i="21"/>
  <c r="BP99" i="21"/>
  <c r="BQ96" i="21"/>
  <c r="BQ97" i="21"/>
  <c r="BQ100" i="21"/>
  <c r="BQ10" i="21"/>
  <c r="BQ98" i="21"/>
  <c r="BQ99" i="21"/>
  <c r="BR96" i="21"/>
  <c r="BR97" i="21"/>
  <c r="BR100" i="21"/>
  <c r="BR10" i="21"/>
  <c r="BR98" i="21"/>
  <c r="BR99" i="21"/>
  <c r="BS96" i="21"/>
  <c r="BS97" i="21"/>
  <c r="BS100" i="21"/>
  <c r="BS10" i="21"/>
  <c r="BS98" i="21"/>
  <c r="BS99" i="21"/>
  <c r="BT96" i="21"/>
  <c r="BT97" i="21"/>
  <c r="BT100" i="21"/>
  <c r="BT10" i="21"/>
  <c r="BT98" i="21"/>
  <c r="BT99" i="21"/>
  <c r="BU96" i="21"/>
  <c r="BU97" i="21"/>
  <c r="BU100" i="21"/>
  <c r="BU10" i="21"/>
  <c r="BU98" i="21"/>
  <c r="BU99" i="21"/>
  <c r="BV96" i="21"/>
  <c r="BV97" i="21"/>
  <c r="BV100" i="21"/>
  <c r="BV10" i="21"/>
  <c r="BV98" i="21"/>
  <c r="BV99" i="21"/>
  <c r="BW96" i="21"/>
  <c r="BW97" i="21"/>
  <c r="BW100" i="21"/>
  <c r="BW10" i="21"/>
  <c r="BW98" i="21"/>
  <c r="BW99" i="21"/>
  <c r="BX96" i="21"/>
  <c r="BX97" i="21"/>
  <c r="BX100" i="21"/>
  <c r="BX10" i="21"/>
  <c r="BX98" i="21"/>
  <c r="BX99" i="21"/>
  <c r="BY96" i="21"/>
  <c r="BY97" i="21"/>
  <c r="BY100" i="21"/>
  <c r="BY10" i="21"/>
  <c r="BY98" i="21"/>
  <c r="BY99" i="21"/>
  <c r="BZ96" i="21"/>
  <c r="BZ97" i="21"/>
  <c r="BZ100" i="21"/>
  <c r="BZ10" i="21"/>
  <c r="BZ98" i="21"/>
  <c r="BZ99" i="21"/>
  <c r="CA96" i="21"/>
  <c r="CA97" i="21"/>
  <c r="CA100" i="21"/>
  <c r="CA10" i="21"/>
  <c r="CA98" i="21"/>
  <c r="CA99" i="21"/>
  <c r="CB96" i="21"/>
  <c r="CB97" i="21"/>
  <c r="CB100" i="21"/>
  <c r="CB10" i="21"/>
  <c r="CB98" i="21"/>
  <c r="CB99" i="21"/>
  <c r="CC96" i="21"/>
  <c r="CC97" i="21"/>
  <c r="CC100" i="21"/>
  <c r="CC10" i="21"/>
  <c r="CC98" i="21"/>
  <c r="CC99" i="21"/>
  <c r="CD96" i="21"/>
  <c r="CD97" i="21"/>
  <c r="CD100" i="21"/>
  <c r="CD10" i="21"/>
  <c r="CD98" i="21"/>
  <c r="CD99" i="21"/>
  <c r="CE96" i="21"/>
  <c r="CE97" i="21"/>
  <c r="CE100" i="21"/>
  <c r="CE10" i="21"/>
  <c r="CE98" i="21"/>
  <c r="CE99" i="21"/>
  <c r="CF96" i="21"/>
  <c r="CF97" i="21"/>
  <c r="CF100" i="21"/>
  <c r="CF10" i="21"/>
  <c r="CF98" i="21"/>
  <c r="CF99" i="21"/>
  <c r="CG96" i="21"/>
  <c r="CG97" i="21"/>
  <c r="CG100" i="21"/>
  <c r="CG10" i="21"/>
  <c r="CG98" i="21"/>
  <c r="CG99" i="21"/>
  <c r="CH96" i="21"/>
  <c r="CH97" i="21"/>
  <c r="CH100" i="21"/>
  <c r="CH10" i="21"/>
  <c r="CH98" i="21"/>
  <c r="CH99" i="21"/>
  <c r="CI96" i="21"/>
  <c r="CI97" i="21"/>
  <c r="CI100" i="21"/>
  <c r="CI10" i="21"/>
  <c r="CI98" i="21"/>
  <c r="CI99" i="21"/>
  <c r="CJ96" i="21"/>
  <c r="CJ97" i="21"/>
  <c r="CJ100" i="21"/>
  <c r="CJ10" i="21"/>
  <c r="CJ98" i="21"/>
  <c r="CJ99" i="21"/>
  <c r="CK96" i="21"/>
  <c r="CK97" i="21"/>
  <c r="CK100" i="21"/>
  <c r="CK10" i="21"/>
  <c r="CK98" i="21"/>
  <c r="CK99" i="21"/>
  <c r="CL96" i="21"/>
  <c r="CL97" i="21"/>
  <c r="CL100" i="21"/>
  <c r="CL10" i="21"/>
  <c r="CL98" i="21"/>
  <c r="CL99" i="21"/>
  <c r="CM96" i="21"/>
  <c r="CM97" i="21"/>
  <c r="CM100" i="21"/>
  <c r="CM10" i="21"/>
  <c r="CM98" i="21"/>
  <c r="CM99" i="21"/>
  <c r="CN96" i="21"/>
  <c r="CN97" i="21"/>
  <c r="CN100" i="21"/>
  <c r="CN10" i="21"/>
  <c r="CN98" i="21"/>
  <c r="CN99" i="21"/>
  <c r="CO96" i="21"/>
  <c r="CO97" i="21"/>
  <c r="CO100" i="21"/>
  <c r="CO10" i="21"/>
  <c r="CO98" i="21"/>
  <c r="CO99" i="21"/>
  <c r="CP96" i="21"/>
  <c r="CP97" i="21"/>
  <c r="CP100" i="21"/>
  <c r="CP10" i="21"/>
  <c r="CP98" i="21"/>
  <c r="CP99" i="21"/>
  <c r="CQ96" i="21"/>
  <c r="CQ97" i="21"/>
  <c r="CQ100" i="21"/>
  <c r="CQ10" i="21"/>
  <c r="CQ98" i="21"/>
  <c r="CQ99" i="21"/>
  <c r="CR96" i="21"/>
  <c r="CR97" i="21"/>
  <c r="CR100" i="21"/>
  <c r="CR10" i="21"/>
  <c r="CR98" i="21"/>
  <c r="CR99" i="21"/>
  <c r="CS96" i="21"/>
  <c r="CS97" i="21"/>
  <c r="CS100" i="21"/>
  <c r="CS10" i="21"/>
  <c r="CS98" i="21"/>
  <c r="CS99" i="21"/>
  <c r="CT96" i="21"/>
  <c r="CT97" i="21"/>
  <c r="CT100" i="21"/>
  <c r="CT10" i="21"/>
  <c r="CT98" i="21"/>
  <c r="CT99" i="21"/>
  <c r="CU96" i="21"/>
  <c r="CU97" i="21"/>
  <c r="CU100" i="21"/>
  <c r="CU10" i="21"/>
  <c r="CU98" i="21"/>
  <c r="CU99" i="21"/>
  <c r="CV96" i="21"/>
  <c r="CV97" i="21"/>
  <c r="CV100" i="21"/>
  <c r="CV10" i="21"/>
  <c r="CV98" i="21"/>
  <c r="CV99" i="21"/>
  <c r="CW96" i="21"/>
  <c r="CW97" i="21"/>
  <c r="CW100" i="21"/>
  <c r="CW10" i="21"/>
  <c r="CW98" i="21"/>
  <c r="CW99" i="21"/>
  <c r="CX96" i="21"/>
  <c r="CX97" i="21"/>
  <c r="CX100" i="21"/>
  <c r="CX10" i="21"/>
  <c r="CX98" i="21"/>
  <c r="CX99" i="21"/>
  <c r="CY96" i="21"/>
  <c r="CY97" i="21"/>
  <c r="CY100" i="21"/>
  <c r="CY10" i="21"/>
  <c r="CY98" i="21"/>
  <c r="CY99" i="21"/>
  <c r="CZ96" i="21"/>
  <c r="CZ97" i="21"/>
  <c r="CZ100" i="21"/>
  <c r="CZ10" i="21"/>
  <c r="CZ98" i="21"/>
  <c r="CZ99" i="21"/>
  <c r="DA96" i="21"/>
  <c r="DA97" i="21"/>
  <c r="DA100" i="21"/>
  <c r="DA10" i="21"/>
  <c r="DA98" i="21"/>
  <c r="DA99" i="21"/>
  <c r="DB96" i="21"/>
  <c r="DB97" i="21"/>
  <c r="DB100" i="21"/>
  <c r="DB10" i="21"/>
  <c r="DB98" i="21"/>
  <c r="DB99" i="21"/>
  <c r="DC96" i="21"/>
  <c r="DC97" i="21"/>
  <c r="DC100" i="21"/>
  <c r="DC10" i="21"/>
  <c r="DC98" i="21"/>
  <c r="DC99" i="21"/>
  <c r="DD96" i="21"/>
  <c r="DD97" i="21"/>
  <c r="DD100" i="21"/>
  <c r="DD10" i="21"/>
  <c r="DD98" i="21"/>
  <c r="DD99" i="21"/>
  <c r="DE96" i="21"/>
  <c r="DE97" i="21"/>
  <c r="DE100" i="21"/>
  <c r="DE10" i="21"/>
  <c r="DE98" i="21"/>
  <c r="DE99" i="21"/>
  <c r="DF96" i="21"/>
  <c r="DF97" i="21"/>
  <c r="DF100" i="21"/>
  <c r="DF10" i="21"/>
  <c r="DF98" i="21"/>
  <c r="DF99" i="21"/>
  <c r="DG96" i="21"/>
  <c r="DG97" i="21"/>
  <c r="DG100" i="21"/>
  <c r="DG10" i="21"/>
  <c r="DG98" i="21"/>
  <c r="DG99" i="21"/>
  <c r="DH96" i="21"/>
  <c r="DH97" i="21"/>
  <c r="DH100" i="21"/>
  <c r="DH10" i="21"/>
  <c r="DH98" i="21"/>
  <c r="DH99" i="21"/>
  <c r="DI96" i="21"/>
  <c r="DI97" i="21"/>
  <c r="DI100" i="21"/>
  <c r="DI10" i="21"/>
  <c r="DI98" i="21"/>
  <c r="DI99" i="21"/>
  <c r="DJ96" i="21"/>
  <c r="DJ97" i="21"/>
  <c r="DJ100" i="21"/>
  <c r="DJ10" i="21"/>
  <c r="DJ98" i="21"/>
  <c r="DJ99" i="21"/>
  <c r="DK96" i="21"/>
  <c r="DK97" i="21"/>
  <c r="DK100" i="21"/>
  <c r="DK10" i="21"/>
  <c r="DK98" i="21"/>
  <c r="DK99" i="21"/>
  <c r="DL96" i="21"/>
  <c r="DL97" i="21"/>
  <c r="DL100" i="21"/>
  <c r="DL10" i="21"/>
  <c r="DL98" i="21"/>
  <c r="DL99" i="21"/>
  <c r="DM96" i="21"/>
  <c r="DM97" i="21"/>
  <c r="DM100" i="21"/>
  <c r="DM10" i="21"/>
  <c r="DM98" i="21"/>
  <c r="DM99" i="21"/>
  <c r="DN96" i="21"/>
  <c r="DN97" i="21"/>
  <c r="DN100" i="21"/>
  <c r="DN10" i="21"/>
  <c r="DN98" i="21"/>
  <c r="DN99" i="21"/>
  <c r="DO96" i="21"/>
  <c r="DO97" i="21"/>
  <c r="DO100" i="21"/>
  <c r="DO10" i="21"/>
  <c r="DO98" i="21"/>
  <c r="DO99" i="21"/>
  <c r="DP96" i="21"/>
  <c r="DP97" i="21"/>
  <c r="DP100" i="21"/>
  <c r="DP10" i="21"/>
  <c r="DP98" i="21"/>
  <c r="DP99" i="21"/>
  <c r="DQ96" i="21"/>
  <c r="DQ97" i="21"/>
  <c r="DQ100" i="21"/>
  <c r="DQ10" i="21"/>
  <c r="DQ98" i="21"/>
  <c r="DQ99" i="21"/>
  <c r="DR96" i="21"/>
  <c r="DR97" i="21"/>
  <c r="DR100" i="21"/>
  <c r="DR10" i="21"/>
  <c r="DR98" i="21"/>
  <c r="DR99" i="21"/>
  <c r="DS96" i="21"/>
  <c r="DS97" i="21"/>
  <c r="DS100" i="21"/>
  <c r="DS10" i="21"/>
  <c r="DS98" i="21"/>
  <c r="DS99" i="21"/>
  <c r="DT96" i="21"/>
  <c r="DT97" i="21"/>
  <c r="DT100" i="21"/>
  <c r="DT10" i="21"/>
  <c r="DT98" i="21"/>
  <c r="DT99" i="21"/>
  <c r="DU96" i="21"/>
  <c r="DU97" i="21"/>
  <c r="DU100" i="21"/>
  <c r="DU10" i="21"/>
  <c r="DU98" i="21"/>
  <c r="DU99" i="21"/>
  <c r="DV96" i="21"/>
  <c r="DV97" i="21"/>
  <c r="DV100" i="21"/>
  <c r="DV10" i="21"/>
  <c r="DV98" i="21"/>
  <c r="DV99" i="21"/>
  <c r="DW96" i="21"/>
  <c r="DW97" i="21"/>
  <c r="DW100" i="21"/>
  <c r="DW10" i="21"/>
  <c r="DW98" i="21"/>
  <c r="DW99" i="21"/>
  <c r="DX96" i="21"/>
  <c r="DX97" i="21"/>
  <c r="DX100" i="21"/>
  <c r="DX10" i="21"/>
  <c r="DX98" i="21"/>
  <c r="DX99" i="21"/>
  <c r="DY96" i="21"/>
  <c r="DY97" i="21"/>
  <c r="DY100" i="21"/>
  <c r="DY10" i="21"/>
  <c r="DY98" i="21"/>
  <c r="DY99" i="21"/>
  <c r="DZ96" i="21"/>
  <c r="DZ97" i="21"/>
  <c r="DZ100" i="21"/>
  <c r="DZ10" i="21"/>
  <c r="DZ98" i="21"/>
  <c r="DZ99" i="21"/>
  <c r="EA96" i="21"/>
  <c r="EA97" i="21"/>
  <c r="EA100" i="21"/>
  <c r="EA10" i="21"/>
  <c r="EA98" i="21"/>
  <c r="EA99" i="21"/>
  <c r="EB96" i="21"/>
  <c r="EB97" i="21"/>
  <c r="EB100" i="21"/>
  <c r="EB10" i="21"/>
  <c r="EB98" i="21"/>
  <c r="EB99" i="21"/>
  <c r="EC96" i="21"/>
  <c r="EC97" i="21"/>
  <c r="EC100" i="21"/>
  <c r="EC10" i="21"/>
  <c r="EC98" i="21"/>
  <c r="EC99" i="21"/>
  <c r="ED96" i="21"/>
  <c r="ED97" i="21"/>
  <c r="ED100" i="21"/>
  <c r="ED10" i="21"/>
  <c r="ED98" i="21"/>
  <c r="ED99" i="21"/>
  <c r="EE96" i="21"/>
  <c r="EE97" i="21"/>
  <c r="EE100" i="21"/>
  <c r="EE10" i="21"/>
  <c r="EE98" i="21"/>
  <c r="EE99" i="21"/>
  <c r="EF96" i="21"/>
  <c r="EF97" i="21"/>
  <c r="EF100" i="21"/>
  <c r="EF10" i="21"/>
  <c r="EF98" i="21"/>
  <c r="EF99" i="21"/>
  <c r="EG96" i="21"/>
  <c r="EG97" i="21"/>
  <c r="EG100" i="21"/>
  <c r="EG10" i="21"/>
  <c r="EG98" i="21"/>
  <c r="EG99" i="21"/>
  <c r="EH96" i="21"/>
  <c r="EH97" i="21"/>
  <c r="EH100" i="21"/>
  <c r="EH10" i="21"/>
  <c r="EH98" i="21"/>
  <c r="EH99" i="21"/>
  <c r="EI96" i="21"/>
  <c r="EI97" i="21"/>
  <c r="EI100" i="21"/>
  <c r="EI10" i="21"/>
  <c r="EI98" i="21"/>
  <c r="EI99" i="21"/>
  <c r="EJ96" i="21"/>
  <c r="EJ97" i="21"/>
  <c r="EJ100" i="21"/>
  <c r="EJ10" i="21"/>
  <c r="EJ98" i="21"/>
  <c r="EJ99" i="21"/>
  <c r="EK96" i="21"/>
  <c r="EK97" i="21"/>
  <c r="EK100" i="21"/>
  <c r="EK10" i="21"/>
  <c r="EK98" i="21"/>
  <c r="EK99" i="21"/>
  <c r="EL96" i="21"/>
  <c r="EL97" i="21"/>
  <c r="EL100" i="21"/>
  <c r="EL10" i="21"/>
  <c r="EL98" i="21"/>
  <c r="EL99" i="21"/>
  <c r="EM96" i="21"/>
  <c r="EM97" i="21"/>
  <c r="EM100" i="21"/>
  <c r="EM10" i="21"/>
  <c r="EM98" i="21"/>
  <c r="EM99" i="21"/>
  <c r="EN96" i="21"/>
  <c r="EN97" i="21"/>
  <c r="EN100" i="21"/>
  <c r="EN10" i="21"/>
  <c r="EN98" i="21"/>
  <c r="EN99" i="21"/>
  <c r="EO96" i="21"/>
  <c r="EO97" i="21"/>
  <c r="EO100" i="21"/>
  <c r="EO10" i="21"/>
  <c r="EO98" i="21"/>
  <c r="EO99" i="21"/>
  <c r="EP96" i="21"/>
  <c r="EP97" i="21"/>
  <c r="EP100" i="21"/>
  <c r="EP10" i="21"/>
  <c r="EP98" i="21"/>
  <c r="EP99" i="21"/>
  <c r="EQ96" i="21"/>
  <c r="EQ97" i="21"/>
  <c r="EQ100" i="21"/>
  <c r="EQ10" i="21"/>
  <c r="EQ98" i="21"/>
  <c r="EQ99" i="21"/>
  <c r="ER96" i="21"/>
  <c r="ER97" i="21"/>
  <c r="ER100" i="21"/>
  <c r="ER10" i="21"/>
  <c r="ER98" i="21"/>
  <c r="ER99" i="21"/>
  <c r="ES96" i="21"/>
  <c r="ES97" i="21"/>
  <c r="ES100" i="21"/>
  <c r="ES10" i="21"/>
  <c r="ES98" i="21"/>
  <c r="ES99" i="21"/>
  <c r="ET96" i="21"/>
  <c r="ET97" i="21"/>
  <c r="ET100" i="21"/>
  <c r="ET10" i="21"/>
  <c r="ET98" i="21"/>
  <c r="ET99" i="21"/>
  <c r="EU96" i="21"/>
  <c r="EU97" i="21"/>
  <c r="EU100" i="21"/>
  <c r="EU10" i="21"/>
  <c r="EU98" i="21"/>
  <c r="EU99" i="21"/>
  <c r="EV96" i="21"/>
  <c r="EV97" i="21"/>
  <c r="EV100" i="21"/>
  <c r="EV10" i="21"/>
  <c r="EV98" i="21"/>
  <c r="EV99" i="21"/>
  <c r="EW96" i="21"/>
  <c r="EW97" i="21"/>
  <c r="EW100" i="21"/>
  <c r="EW10" i="21"/>
  <c r="EW98" i="21"/>
  <c r="EW99" i="21"/>
  <c r="EX96" i="21"/>
  <c r="EX97" i="21"/>
  <c r="EX100" i="21"/>
  <c r="EX10" i="21"/>
  <c r="EX98" i="21"/>
  <c r="EX99" i="21"/>
  <c r="EY96" i="21"/>
  <c r="EY97" i="21"/>
  <c r="EY100" i="21"/>
  <c r="EY10" i="21"/>
  <c r="EY98" i="21"/>
  <c r="EY99" i="21"/>
  <c r="EZ96" i="21"/>
  <c r="EZ97" i="21"/>
  <c r="EZ100" i="21"/>
  <c r="EZ10" i="21"/>
  <c r="EZ98" i="21"/>
  <c r="EZ99" i="21"/>
  <c r="FA96" i="21"/>
  <c r="FA97" i="21"/>
  <c r="FA100" i="21"/>
  <c r="FA10" i="21"/>
  <c r="FA98" i="21"/>
  <c r="FA99" i="21"/>
  <c r="FB96" i="21"/>
  <c r="FB97" i="21"/>
  <c r="FB100" i="21"/>
  <c r="FB10" i="21"/>
  <c r="FB98" i="21"/>
  <c r="FB99" i="21"/>
  <c r="FC96" i="21"/>
  <c r="FC97" i="21"/>
  <c r="FC100" i="21"/>
  <c r="FC10" i="21"/>
  <c r="FC98" i="21"/>
  <c r="FC99" i="21"/>
  <c r="FD96" i="21"/>
  <c r="FD97" i="21"/>
  <c r="FD100" i="21"/>
  <c r="FD10" i="21"/>
  <c r="FD98" i="21"/>
  <c r="FD99" i="21"/>
  <c r="FE96" i="21"/>
  <c r="FE97" i="21"/>
  <c r="FE100" i="21"/>
  <c r="FE10" i="21"/>
  <c r="FE98" i="21"/>
  <c r="FE99" i="21"/>
  <c r="FF96" i="21"/>
  <c r="FF97" i="21"/>
  <c r="FF100" i="21"/>
  <c r="FF10" i="21"/>
  <c r="FF98" i="21"/>
  <c r="FF99" i="21"/>
  <c r="FG96" i="21"/>
  <c r="FG97" i="21"/>
  <c r="FG100" i="21"/>
  <c r="FG10" i="21"/>
  <c r="FG98" i="21"/>
  <c r="FG99" i="21"/>
  <c r="FH96" i="21"/>
  <c r="FH97" i="21"/>
  <c r="FH100" i="21"/>
  <c r="FH10" i="21"/>
  <c r="FH98" i="21"/>
  <c r="FH99" i="21"/>
  <c r="FI96" i="21"/>
  <c r="FI97" i="21"/>
  <c r="FI100" i="21"/>
  <c r="FI10" i="21"/>
  <c r="FI98" i="21"/>
  <c r="FI99" i="21"/>
  <c r="FJ96" i="21"/>
  <c r="FJ97" i="21"/>
  <c r="FJ100" i="21"/>
  <c r="FJ10" i="21"/>
  <c r="FJ98" i="21"/>
  <c r="FJ99" i="21"/>
  <c r="FK96" i="21"/>
  <c r="FK97" i="21"/>
  <c r="FK100" i="21"/>
  <c r="FK10" i="21"/>
  <c r="FK98" i="21"/>
  <c r="FK99" i="21"/>
  <c r="FL96" i="21"/>
  <c r="FL97" i="21"/>
  <c r="FL100" i="21"/>
  <c r="FL10" i="21"/>
  <c r="FL98" i="21"/>
  <c r="FL99" i="21"/>
  <c r="FM96" i="21"/>
  <c r="FM97" i="21"/>
  <c r="FM100" i="21"/>
  <c r="FM10" i="21"/>
  <c r="FM98" i="21"/>
  <c r="FM99" i="21"/>
  <c r="FN96" i="21"/>
  <c r="FN97" i="21"/>
  <c r="FN100" i="21"/>
  <c r="FN10" i="21"/>
  <c r="FN98" i="21"/>
  <c r="FN99" i="21"/>
  <c r="FO96" i="21"/>
  <c r="FO97" i="21"/>
  <c r="FO100" i="21"/>
  <c r="FO10" i="21"/>
  <c r="FO98" i="21"/>
  <c r="FO99" i="21"/>
  <c r="FP96" i="21"/>
  <c r="FP97" i="21"/>
  <c r="FP100" i="21"/>
  <c r="FP10" i="21"/>
  <c r="FP98" i="21"/>
  <c r="FP99" i="21"/>
  <c r="FQ96" i="21"/>
  <c r="FQ97" i="21"/>
  <c r="FQ100" i="21"/>
  <c r="FQ10" i="21"/>
  <c r="FQ98" i="21"/>
  <c r="FQ99" i="21"/>
  <c r="FR96" i="21"/>
  <c r="FR97" i="21"/>
  <c r="FR100" i="21"/>
  <c r="FR10" i="21"/>
  <c r="FR98" i="21"/>
  <c r="FR99" i="21"/>
  <c r="FS96" i="21"/>
  <c r="FS97" i="21"/>
  <c r="FS100" i="21"/>
  <c r="FS10" i="21"/>
  <c r="FS98" i="21"/>
  <c r="FS99" i="21"/>
  <c r="FT96" i="21"/>
  <c r="FT97" i="21"/>
  <c r="FT100" i="21"/>
  <c r="FT10" i="21"/>
  <c r="FT98" i="21"/>
  <c r="FT99" i="21"/>
  <c r="FU96" i="21"/>
  <c r="FU97" i="21"/>
  <c r="FU100" i="21"/>
  <c r="FU10" i="21"/>
  <c r="FU98" i="21"/>
  <c r="FU99" i="21"/>
  <c r="FV96" i="21"/>
  <c r="FV97" i="21"/>
  <c r="FV100" i="21"/>
  <c r="FV10" i="21"/>
  <c r="FV98" i="21"/>
  <c r="FV99" i="21"/>
  <c r="FW96" i="21"/>
  <c r="FW97" i="21"/>
  <c r="FW100" i="21"/>
  <c r="FW10" i="21"/>
  <c r="FW98" i="21"/>
  <c r="FW99" i="21"/>
  <c r="FX96" i="21"/>
  <c r="FX97" i="21"/>
  <c r="FX100" i="21"/>
  <c r="FX10" i="21"/>
  <c r="FX98" i="21"/>
  <c r="FX99" i="21"/>
  <c r="FY96" i="21"/>
  <c r="FY97" i="21"/>
  <c r="FY100" i="21"/>
  <c r="FY10" i="21"/>
  <c r="FY98" i="21"/>
  <c r="FY99" i="21"/>
  <c r="FZ96" i="21"/>
  <c r="FZ97" i="21"/>
  <c r="FZ100" i="21"/>
  <c r="FZ10" i="21"/>
  <c r="FZ98" i="21"/>
  <c r="FZ99" i="21"/>
  <c r="GA96" i="21"/>
  <c r="GA97" i="21"/>
  <c r="GA100" i="21"/>
  <c r="GA10" i="21"/>
  <c r="GA98" i="21"/>
  <c r="GA99" i="21"/>
  <c r="GB96" i="21"/>
  <c r="GB97" i="21"/>
  <c r="GB100" i="21"/>
  <c r="GB10" i="21"/>
  <c r="GB98" i="21"/>
  <c r="GB99" i="21"/>
  <c r="GC96" i="21"/>
  <c r="GC97" i="21"/>
  <c r="GC100" i="21"/>
  <c r="GC10" i="21"/>
  <c r="GC98" i="21"/>
  <c r="GC99" i="21"/>
  <c r="GD96" i="21"/>
  <c r="GD97" i="21"/>
  <c r="GD100" i="21"/>
  <c r="GD10" i="21"/>
  <c r="GD98" i="21"/>
  <c r="GD99" i="21"/>
  <c r="GE96" i="21"/>
  <c r="GE97" i="21"/>
  <c r="GE100" i="21"/>
  <c r="GE10" i="21"/>
  <c r="GE98" i="21"/>
  <c r="GE99" i="21"/>
  <c r="GF96" i="21"/>
  <c r="GF97" i="21"/>
  <c r="GF100" i="21"/>
  <c r="GF10" i="21"/>
  <c r="GF98" i="21"/>
  <c r="GF99" i="21"/>
  <c r="GG96" i="21"/>
  <c r="GG97" i="21"/>
  <c r="GG100" i="21"/>
  <c r="GG10" i="21"/>
  <c r="GG98" i="21"/>
  <c r="GG99" i="21"/>
  <c r="GH96" i="21"/>
  <c r="GH97" i="21"/>
  <c r="GH100" i="21"/>
  <c r="GH10" i="21"/>
  <c r="GH98" i="21"/>
  <c r="GH99" i="21"/>
  <c r="GI96" i="21"/>
  <c r="GI97" i="21"/>
  <c r="GI100" i="21"/>
  <c r="GI10" i="21"/>
  <c r="GI98" i="21"/>
  <c r="GI99" i="21"/>
  <c r="GJ96" i="21"/>
  <c r="GJ97" i="21"/>
  <c r="GJ100" i="21"/>
  <c r="GJ10" i="21"/>
  <c r="GJ98" i="21"/>
  <c r="GJ99" i="21"/>
  <c r="GK96" i="21"/>
  <c r="GK97" i="21"/>
  <c r="GK100" i="21"/>
  <c r="GK10" i="21"/>
  <c r="GK98" i="21"/>
  <c r="GK99" i="21"/>
  <c r="GL96" i="21"/>
  <c r="GL97" i="21"/>
  <c r="GL100" i="21"/>
  <c r="GL10" i="21"/>
  <c r="GL98" i="21"/>
  <c r="GL99" i="21"/>
  <c r="GM96" i="21"/>
  <c r="GM97" i="21"/>
  <c r="GM100" i="21"/>
  <c r="GM10" i="21"/>
  <c r="GM98" i="21"/>
  <c r="GM99" i="21"/>
  <c r="GN96" i="21"/>
  <c r="GN97" i="21"/>
  <c r="GN100" i="21"/>
  <c r="GN10" i="21"/>
  <c r="GN98" i="21"/>
  <c r="GN99" i="21"/>
  <c r="GO96" i="21"/>
  <c r="GO97" i="21"/>
  <c r="GO100" i="21"/>
  <c r="GO10" i="21"/>
  <c r="GO98" i="21"/>
  <c r="GO99" i="21"/>
  <c r="GP96" i="21"/>
  <c r="GP97" i="21"/>
  <c r="GP100" i="21"/>
  <c r="GP10" i="21"/>
  <c r="GP98" i="21"/>
  <c r="GP99" i="21"/>
  <c r="GQ96" i="21"/>
  <c r="GQ97" i="21"/>
  <c r="GQ100" i="21"/>
  <c r="GQ10" i="21"/>
  <c r="GQ98" i="21"/>
  <c r="GQ99" i="21"/>
  <c r="GR96" i="21"/>
  <c r="GR97" i="21"/>
  <c r="GR100" i="21"/>
  <c r="GR10" i="21"/>
  <c r="GR98" i="21"/>
  <c r="GR99" i="21"/>
  <c r="GS96" i="21"/>
  <c r="GS97" i="21"/>
  <c r="GS100" i="21"/>
  <c r="GS10" i="21"/>
  <c r="GS98" i="21"/>
  <c r="GS99" i="21"/>
  <c r="GT96" i="21"/>
  <c r="GT97" i="21"/>
  <c r="GT100" i="21"/>
  <c r="GT10" i="21"/>
  <c r="GT98" i="21"/>
  <c r="GT99" i="21"/>
  <c r="GU96" i="21"/>
  <c r="GU97" i="21"/>
  <c r="GU100" i="21"/>
  <c r="GU10" i="21"/>
  <c r="GU98" i="21"/>
  <c r="GU99" i="21"/>
  <c r="GV96" i="21"/>
  <c r="GV97" i="21"/>
  <c r="GV100" i="21"/>
  <c r="GV10" i="21"/>
  <c r="GV98" i="21"/>
  <c r="GV99" i="21"/>
  <c r="GW96" i="21"/>
  <c r="GW97" i="21"/>
  <c r="GW100" i="21"/>
  <c r="GW10" i="21"/>
  <c r="GW98" i="21"/>
  <c r="GW99" i="21"/>
  <c r="GX96" i="21"/>
  <c r="GX97" i="21"/>
  <c r="GX100" i="21"/>
  <c r="GX10" i="21"/>
  <c r="GX98" i="21"/>
  <c r="GX99" i="21"/>
  <c r="GY96" i="21"/>
  <c r="GY97" i="21"/>
  <c r="GY100" i="21"/>
  <c r="GY10" i="21"/>
  <c r="GY98" i="21"/>
  <c r="GY99" i="21"/>
  <c r="GZ96" i="21"/>
  <c r="GZ97" i="21"/>
  <c r="GZ100" i="21"/>
  <c r="GZ10" i="21"/>
  <c r="GZ98" i="21"/>
  <c r="GZ99" i="21"/>
  <c r="HA96" i="21"/>
  <c r="HA97" i="21"/>
  <c r="HA100" i="21"/>
  <c r="HA10" i="21"/>
  <c r="HA98" i="21"/>
  <c r="HA99" i="21"/>
  <c r="HB96" i="21"/>
  <c r="HB97" i="21"/>
  <c r="HB100" i="21"/>
  <c r="HB10" i="21"/>
  <c r="HB98" i="21"/>
  <c r="HB99" i="21"/>
  <c r="HC96" i="21"/>
  <c r="HC97" i="21"/>
  <c r="HC100" i="21"/>
  <c r="HC10" i="21"/>
  <c r="HC98" i="21"/>
  <c r="HC99" i="21"/>
  <c r="HD96" i="21"/>
  <c r="HD97" i="21"/>
  <c r="HD100" i="21"/>
  <c r="HD10" i="21"/>
  <c r="HD98" i="21"/>
  <c r="HD99" i="21"/>
  <c r="HE96" i="21"/>
  <c r="HE97" i="21"/>
  <c r="HE100" i="21"/>
  <c r="HE10" i="21"/>
  <c r="HE98" i="21"/>
  <c r="HE99" i="21"/>
  <c r="HF96" i="21"/>
  <c r="HF97" i="21"/>
  <c r="HF100" i="21"/>
  <c r="HF10" i="21"/>
  <c r="HF98" i="21"/>
  <c r="HF99" i="21"/>
  <c r="HG96" i="21"/>
  <c r="HG97" i="21"/>
  <c r="HG100" i="21"/>
  <c r="HG10" i="21"/>
  <c r="HG98" i="21"/>
  <c r="HG99" i="21"/>
  <c r="HH96" i="21"/>
  <c r="HH97" i="21"/>
  <c r="HH100" i="21"/>
  <c r="HH10" i="21"/>
  <c r="HH98" i="21"/>
  <c r="HH99" i="21"/>
  <c r="HI96" i="21"/>
  <c r="HI97" i="21"/>
  <c r="HI100" i="21"/>
  <c r="HI10" i="21"/>
  <c r="HI98" i="21"/>
  <c r="HI99" i="21"/>
  <c r="HJ96" i="21"/>
  <c r="HJ97" i="21"/>
  <c r="HJ100" i="21"/>
  <c r="HJ10" i="21"/>
  <c r="HJ98" i="21"/>
  <c r="HJ99" i="21"/>
  <c r="HK96" i="21"/>
  <c r="HK97" i="21"/>
  <c r="HK100" i="21"/>
  <c r="HK10" i="21"/>
  <c r="HK98" i="21"/>
  <c r="HK99" i="21"/>
  <c r="HL96" i="21"/>
  <c r="HL97" i="21"/>
  <c r="HL100" i="21"/>
  <c r="HL10" i="21"/>
  <c r="HL98" i="21"/>
  <c r="HL99" i="21"/>
  <c r="HM96" i="21"/>
  <c r="HM97" i="21"/>
  <c r="HM100" i="21"/>
  <c r="HM10" i="21"/>
  <c r="HM98" i="21"/>
  <c r="HM99" i="21"/>
  <c r="HN96" i="21"/>
  <c r="HN97" i="21"/>
  <c r="HN100" i="21"/>
  <c r="HN10" i="21"/>
  <c r="HN98" i="21"/>
  <c r="HN99" i="21"/>
  <c r="HO96" i="21"/>
  <c r="HO97" i="21"/>
  <c r="HO100" i="21"/>
  <c r="HO10" i="21"/>
  <c r="HO98" i="21"/>
  <c r="HO99" i="21"/>
  <c r="HP96" i="21"/>
  <c r="HP97" i="21"/>
  <c r="HP100" i="21"/>
  <c r="HP10" i="21"/>
  <c r="HP98" i="21"/>
  <c r="HP99" i="21"/>
  <c r="HQ96" i="21"/>
  <c r="HQ97" i="21"/>
  <c r="HQ100" i="21"/>
  <c r="HQ10" i="21"/>
  <c r="HQ98" i="21"/>
  <c r="HQ99" i="21"/>
  <c r="HR96" i="21"/>
  <c r="HR97" i="21"/>
  <c r="HR100" i="21"/>
  <c r="HR10" i="21"/>
  <c r="HR98" i="21"/>
  <c r="HR99" i="21"/>
  <c r="HS96" i="21"/>
  <c r="HS97" i="21"/>
  <c r="HS100" i="21"/>
  <c r="HS10" i="21"/>
  <c r="HS98" i="21"/>
  <c r="HS99" i="21"/>
  <c r="HT96" i="21"/>
  <c r="HT97" i="21"/>
  <c r="HT100" i="21"/>
  <c r="HT10" i="21"/>
  <c r="HT98" i="21"/>
  <c r="HT99" i="21"/>
  <c r="HU96" i="21"/>
  <c r="HU97" i="21"/>
  <c r="HU100" i="21"/>
  <c r="HU10" i="21"/>
  <c r="HU98" i="21"/>
  <c r="HU99" i="21"/>
  <c r="HV96" i="21"/>
  <c r="HV97" i="21"/>
  <c r="HV100" i="21"/>
  <c r="HV10" i="21"/>
  <c r="HV98" i="21"/>
  <c r="HV99" i="21"/>
  <c r="HW96" i="21"/>
  <c r="HW97" i="21"/>
  <c r="HW100" i="21"/>
  <c r="HW10" i="21"/>
  <c r="HW98" i="21"/>
  <c r="HW99" i="21"/>
  <c r="HX96" i="21"/>
  <c r="HX97" i="21"/>
  <c r="HX100" i="21"/>
  <c r="HX10" i="21"/>
  <c r="HX98" i="21"/>
  <c r="HX99" i="21"/>
  <c r="HY96" i="21"/>
  <c r="HY97" i="21"/>
  <c r="HY100" i="21"/>
  <c r="HY10" i="21"/>
  <c r="HY98" i="21"/>
  <c r="HY99" i="21"/>
  <c r="HZ96" i="21"/>
  <c r="HZ97" i="21"/>
  <c r="HZ100" i="21"/>
  <c r="HZ10" i="21"/>
  <c r="HZ98" i="21"/>
  <c r="HZ99" i="21"/>
  <c r="IA96" i="21"/>
  <c r="IA97" i="21"/>
  <c r="IA100" i="21"/>
  <c r="IA10" i="21"/>
  <c r="IA98" i="21"/>
  <c r="IA99" i="21"/>
  <c r="IB96" i="21"/>
  <c r="IB97" i="21"/>
  <c r="IB100" i="21"/>
  <c r="IB10" i="21"/>
  <c r="IB98" i="21"/>
  <c r="IB99" i="21"/>
  <c r="IC96" i="21"/>
  <c r="IC97" i="21"/>
  <c r="IC100" i="21"/>
  <c r="IC10" i="21"/>
  <c r="IC98" i="21"/>
  <c r="IC99" i="21"/>
  <c r="ID96" i="21"/>
  <c r="ID97" i="21"/>
  <c r="ID100" i="21"/>
  <c r="ID10" i="21"/>
  <c r="ID98" i="21"/>
  <c r="ID99" i="21"/>
  <c r="IE96" i="21"/>
  <c r="IE97" i="21"/>
  <c r="IE100" i="21"/>
  <c r="IE10" i="21"/>
  <c r="IE98" i="21"/>
  <c r="IE99" i="21"/>
  <c r="IF96" i="21"/>
  <c r="IF97" i="21"/>
  <c r="IF100" i="21"/>
  <c r="IF10" i="21"/>
  <c r="IF98" i="21"/>
  <c r="IF99" i="21"/>
  <c r="IG96" i="21"/>
  <c r="IG97" i="21"/>
  <c r="IG100" i="21"/>
  <c r="IG10" i="21"/>
  <c r="IG98" i="21"/>
  <c r="IG99" i="21"/>
  <c r="IH96" i="21"/>
  <c r="IH97" i="21"/>
  <c r="IH100" i="21"/>
  <c r="IH10" i="21"/>
  <c r="IH98" i="21"/>
  <c r="IH99" i="21"/>
  <c r="II96" i="21"/>
  <c r="II97" i="21"/>
  <c r="II100" i="21"/>
  <c r="II10" i="21"/>
  <c r="II98" i="21"/>
  <c r="II99" i="21"/>
  <c r="IJ96" i="21"/>
  <c r="IJ97" i="21"/>
  <c r="IJ100" i="21"/>
  <c r="IJ10" i="21"/>
  <c r="IJ98" i="21"/>
  <c r="IJ99" i="21"/>
  <c r="IK96" i="21"/>
  <c r="IK97" i="21"/>
  <c r="IK100" i="21"/>
  <c r="IK10" i="21"/>
  <c r="IK98" i="21"/>
  <c r="IK99" i="21"/>
  <c r="IL96" i="21"/>
  <c r="IL97" i="21"/>
  <c r="IL100" i="21"/>
  <c r="IL10" i="21"/>
  <c r="IL98" i="21"/>
  <c r="IL99" i="21"/>
  <c r="IM96" i="21"/>
  <c r="IM97" i="21"/>
  <c r="IM100" i="21"/>
  <c r="IM10" i="21"/>
  <c r="IM98" i="21"/>
  <c r="IM99" i="21"/>
  <c r="IN96" i="21"/>
  <c r="IN97" i="21"/>
  <c r="IN100" i="21"/>
  <c r="IN10" i="21"/>
  <c r="IN98" i="21"/>
  <c r="IN99" i="21"/>
  <c r="IO96" i="21"/>
  <c r="IO97" i="21"/>
  <c r="IO100" i="21"/>
  <c r="IO10" i="21"/>
  <c r="IO98" i="21"/>
  <c r="IO99" i="21"/>
  <c r="IP96" i="21"/>
  <c r="IP97" i="21"/>
  <c r="IP100" i="21"/>
  <c r="IP10" i="21"/>
  <c r="IP98" i="21"/>
  <c r="IP99" i="21"/>
  <c r="IQ96" i="21"/>
  <c r="IQ97" i="21"/>
  <c r="IQ100" i="21"/>
  <c r="IQ10" i="21"/>
  <c r="IQ98" i="21"/>
  <c r="IQ99" i="21"/>
  <c r="IR96" i="21"/>
  <c r="IR97" i="21"/>
  <c r="IR100" i="21"/>
  <c r="IR10" i="21"/>
  <c r="IR98" i="21"/>
  <c r="IR99" i="21"/>
  <c r="IS96" i="21"/>
  <c r="IS97" i="21"/>
  <c r="IS100" i="21"/>
  <c r="IS10" i="21"/>
  <c r="IS98" i="21"/>
  <c r="IS99" i="21"/>
  <c r="IT96" i="21"/>
  <c r="IT97" i="21"/>
  <c r="IT100" i="21"/>
  <c r="IT10" i="21"/>
  <c r="IT98" i="21"/>
  <c r="IT99" i="21"/>
  <c r="IU96" i="21"/>
  <c r="IU97" i="21"/>
  <c r="IU100" i="21"/>
  <c r="IU10" i="21"/>
  <c r="IU98" i="21"/>
  <c r="IU99" i="21"/>
  <c r="IV96" i="21"/>
  <c r="IV97" i="21"/>
  <c r="IV100" i="21"/>
  <c r="IV10" i="21"/>
  <c r="IV98" i="21"/>
  <c r="IV99" i="21"/>
  <c r="IW96" i="21"/>
  <c r="IW97" i="21"/>
  <c r="IW100" i="21"/>
  <c r="IW10" i="21"/>
  <c r="IW98" i="21"/>
  <c r="IW99" i="21"/>
  <c r="IX96" i="21"/>
  <c r="IX97" i="21"/>
  <c r="IX100" i="21"/>
  <c r="IX10" i="21"/>
  <c r="IX98" i="21"/>
  <c r="IX99" i="21"/>
  <c r="IY96" i="21"/>
  <c r="IY97" i="21"/>
  <c r="IY100" i="21"/>
  <c r="IY10" i="21"/>
  <c r="IY98" i="21"/>
  <c r="IY99" i="21"/>
  <c r="IZ96" i="21"/>
  <c r="IZ97" i="21"/>
  <c r="IZ100" i="21"/>
  <c r="IZ10" i="21"/>
  <c r="IZ98" i="21"/>
  <c r="IZ99" i="21"/>
  <c r="JA96" i="21"/>
  <c r="JA97" i="21"/>
  <c r="JA100" i="21"/>
  <c r="JA10" i="21"/>
  <c r="JA98" i="21"/>
  <c r="JA99" i="21"/>
  <c r="JB96" i="21"/>
  <c r="JB97" i="21"/>
  <c r="JB100" i="21"/>
  <c r="JB10" i="21"/>
  <c r="JB98" i="21"/>
  <c r="JB99" i="21"/>
  <c r="JC96" i="21"/>
  <c r="JC97" i="21"/>
  <c r="JC100" i="21"/>
  <c r="JC10" i="21"/>
  <c r="JC98" i="21"/>
  <c r="JC99" i="21"/>
  <c r="JD96" i="21"/>
  <c r="JD97" i="21"/>
  <c r="JD100" i="21"/>
  <c r="JD10" i="21"/>
  <c r="JD98" i="21"/>
  <c r="JD99" i="21"/>
  <c r="JE96" i="21"/>
  <c r="JE97" i="21"/>
  <c r="JE100" i="21"/>
  <c r="JE10" i="21"/>
  <c r="JE98" i="21"/>
  <c r="JE99" i="21"/>
  <c r="JF96" i="21"/>
  <c r="JF97" i="21"/>
  <c r="JF100" i="21"/>
  <c r="JF10" i="21"/>
  <c r="JF98" i="21"/>
  <c r="JF99" i="21"/>
  <c r="JG96" i="21"/>
  <c r="JG97" i="21"/>
  <c r="JG100" i="21"/>
  <c r="JG10" i="21"/>
  <c r="JG98" i="21"/>
  <c r="JG99" i="21"/>
  <c r="JH96" i="21"/>
  <c r="JH97" i="21"/>
  <c r="JH100" i="21"/>
  <c r="JH10" i="21"/>
  <c r="JH98" i="21"/>
  <c r="JH99" i="21"/>
  <c r="JI96" i="21"/>
  <c r="JI97" i="21"/>
  <c r="JI100" i="21"/>
  <c r="JI10" i="21"/>
  <c r="JI98" i="21"/>
  <c r="JI99" i="21"/>
  <c r="JJ96" i="21"/>
  <c r="JJ97" i="21"/>
  <c r="JJ100" i="21"/>
  <c r="JJ10" i="21"/>
  <c r="JJ98" i="21"/>
  <c r="JJ99" i="21"/>
  <c r="JK96" i="21"/>
  <c r="JK97" i="21"/>
  <c r="JK100" i="21"/>
  <c r="JK10" i="21"/>
  <c r="JK98" i="21"/>
  <c r="JK99" i="21"/>
  <c r="JL96" i="21"/>
  <c r="JL97" i="21"/>
  <c r="JL100" i="21"/>
  <c r="JL10" i="21"/>
  <c r="JL98" i="21"/>
  <c r="JL99" i="21"/>
  <c r="JM96" i="21"/>
  <c r="JM97" i="21"/>
  <c r="JM100" i="21"/>
  <c r="JM10" i="21"/>
  <c r="JM98" i="21"/>
  <c r="JM99" i="21"/>
  <c r="JN96" i="21"/>
  <c r="JN97" i="21"/>
  <c r="JN100" i="21"/>
  <c r="JN10" i="21"/>
  <c r="JN98" i="21"/>
  <c r="JN99" i="21"/>
  <c r="JO96" i="21"/>
  <c r="JO97" i="21"/>
  <c r="JO100" i="21"/>
  <c r="JO10" i="21"/>
  <c r="JO98" i="21"/>
  <c r="JO99" i="21"/>
  <c r="JP96" i="21"/>
  <c r="JP97" i="21"/>
  <c r="JP100" i="21"/>
  <c r="JP10" i="21"/>
  <c r="JP98" i="21"/>
  <c r="JP99" i="21"/>
  <c r="JQ96" i="21"/>
  <c r="JQ97" i="21"/>
  <c r="JQ100" i="21"/>
  <c r="JQ10" i="21"/>
  <c r="JQ98" i="21"/>
  <c r="JQ99" i="21"/>
  <c r="JR96" i="21"/>
  <c r="JR97" i="21"/>
  <c r="JR100" i="21"/>
  <c r="JR10" i="21"/>
  <c r="JR98" i="21"/>
  <c r="JR99" i="21"/>
  <c r="JS96" i="21"/>
  <c r="JS97" i="21"/>
  <c r="JS100" i="21"/>
  <c r="JS10" i="21"/>
  <c r="JS98" i="21"/>
  <c r="JS99" i="21"/>
  <c r="JT96" i="21"/>
  <c r="JT97" i="21"/>
  <c r="JT100" i="21"/>
  <c r="JT10" i="21"/>
  <c r="JT98" i="21"/>
  <c r="JT99" i="21"/>
  <c r="JU96" i="21"/>
  <c r="JU97" i="21"/>
  <c r="JU100" i="21"/>
  <c r="K114" i="21"/>
  <c r="L109" i="21"/>
  <c r="L114" i="21"/>
  <c r="M109" i="21"/>
  <c r="M114" i="21"/>
  <c r="N109" i="21"/>
  <c r="N114" i="21"/>
  <c r="O109" i="21"/>
  <c r="O114" i="21"/>
  <c r="P109" i="21"/>
  <c r="P114" i="21"/>
  <c r="Q109" i="21"/>
  <c r="Q114" i="21"/>
  <c r="R109" i="21"/>
  <c r="R114" i="21"/>
  <c r="S109" i="21"/>
  <c r="S114" i="21"/>
  <c r="T109" i="21"/>
  <c r="T114" i="21"/>
  <c r="U109" i="21"/>
  <c r="U114" i="21"/>
  <c r="V109" i="21"/>
  <c r="V114" i="21"/>
  <c r="W109" i="21"/>
  <c r="W114" i="21"/>
  <c r="X109" i="21"/>
  <c r="X114" i="21"/>
  <c r="Y109" i="21"/>
  <c r="Y114" i="21"/>
  <c r="Z109" i="21"/>
  <c r="Z114" i="21"/>
  <c r="AA109" i="21"/>
  <c r="AA114" i="21"/>
  <c r="N48" i="23"/>
  <c r="O48" i="23" s="1"/>
  <c r="J114" i="21"/>
  <c r="E2" i="30"/>
  <c r="F2" i="30"/>
  <c r="G2" i="30"/>
  <c r="H2" i="30"/>
  <c r="F5" i="30"/>
  <c r="E5" i="30"/>
  <c r="F32" i="30"/>
  <c r="G5" i="30"/>
  <c r="G32" i="30"/>
  <c r="H5" i="30"/>
  <c r="H32" i="30"/>
  <c r="I5" i="30"/>
  <c r="I32" i="30"/>
  <c r="D5" i="30"/>
  <c r="E32" i="30"/>
  <c r="E12" i="30"/>
  <c r="E17" i="30"/>
  <c r="E18" i="30"/>
  <c r="E19" i="30"/>
  <c r="E21" i="30"/>
  <c r="E23" i="30"/>
  <c r="E24" i="30"/>
  <c r="E25" i="30" s="1"/>
  <c r="F12" i="30"/>
  <c r="F17" i="30"/>
  <c r="F18" i="30"/>
  <c r="F19" i="30"/>
  <c r="F21" i="30"/>
  <c r="F23" i="30"/>
  <c r="F24" i="30"/>
  <c r="F25" i="30" s="1"/>
  <c r="G12" i="30"/>
  <c r="G17" i="30"/>
  <c r="G18" i="30"/>
  <c r="G19" i="30"/>
  <c r="G21" i="30"/>
  <c r="G23" i="30"/>
  <c r="G25" i="30"/>
  <c r="G31" i="30"/>
  <c r="H12" i="30"/>
  <c r="H17" i="30"/>
  <c r="H18" i="30"/>
  <c r="H19" i="30"/>
  <c r="H21" i="30"/>
  <c r="H23" i="30"/>
  <c r="H25" i="30"/>
  <c r="H31" i="30"/>
  <c r="I12" i="30"/>
  <c r="I17" i="30"/>
  <c r="I18" i="30"/>
  <c r="I19" i="30"/>
  <c r="I21" i="30"/>
  <c r="I23" i="30"/>
  <c r="I25" i="30"/>
  <c r="I31" i="30"/>
  <c r="D12" i="30"/>
  <c r="D17" i="30"/>
  <c r="D18" i="30"/>
  <c r="D19" i="30"/>
  <c r="D21" i="30"/>
  <c r="D23" i="30"/>
  <c r="D24" i="30"/>
  <c r="D25" i="30" s="1"/>
  <c r="E30" i="30"/>
  <c r="F30" i="30"/>
  <c r="G30" i="30"/>
  <c r="H30" i="30"/>
  <c r="I30" i="30"/>
  <c r="D30" i="30"/>
  <c r="E29" i="30"/>
  <c r="F29" i="30"/>
  <c r="G29" i="30"/>
  <c r="H29" i="30"/>
  <c r="I29" i="30"/>
  <c r="D29" i="30"/>
  <c r="I27" i="30"/>
  <c r="H27" i="30"/>
  <c r="G27" i="30"/>
  <c r="K4" i="23"/>
  <c r="L6" i="23" s="1"/>
  <c r="J4" i="23"/>
  <c r="J6" i="23" s="1"/>
  <c r="L4" i="23"/>
  <c r="M4" i="23"/>
  <c r="I4" i="23"/>
  <c r="C104" i="23"/>
  <c r="D104" i="23"/>
  <c r="E104" i="23"/>
  <c r="F104" i="23"/>
  <c r="B104" i="23"/>
  <c r="C55" i="23"/>
  <c r="D55" i="23"/>
  <c r="E55" i="23"/>
  <c r="F55" i="23"/>
  <c r="B55" i="23"/>
  <c r="C54" i="23"/>
  <c r="D54" i="23"/>
  <c r="E54" i="23"/>
  <c r="F54" i="23"/>
  <c r="B54" i="23"/>
  <c r="I24" i="23"/>
  <c r="J24" i="23"/>
  <c r="K24" i="23"/>
  <c r="L24" i="23"/>
  <c r="M24" i="23"/>
  <c r="E18" i="25"/>
  <c r="E20" i="27"/>
  <c r="E11" i="27"/>
  <c r="E28" i="27"/>
  <c r="E38" i="27"/>
  <c r="E48" i="27"/>
  <c r="E29" i="27"/>
  <c r="E39" i="27"/>
  <c r="E49" i="27"/>
  <c r="E59" i="27"/>
  <c r="E68" i="27"/>
  <c r="E69" i="27"/>
  <c r="E79" i="27"/>
  <c r="E87" i="27"/>
  <c r="E88" i="27"/>
  <c r="E96" i="27"/>
  <c r="E97" i="27"/>
  <c r="E102" i="27"/>
  <c r="F20" i="27"/>
  <c r="F11" i="27"/>
  <c r="F28" i="27"/>
  <c r="F38" i="27"/>
  <c r="F48" i="27"/>
  <c r="F29" i="27"/>
  <c r="F39" i="27"/>
  <c r="F49" i="27"/>
  <c r="F58" i="27"/>
  <c r="F59" i="27"/>
  <c r="F68" i="27"/>
  <c r="F69" i="27"/>
  <c r="F78" i="27"/>
  <c r="F79" i="27"/>
  <c r="F87" i="27"/>
  <c r="F88" i="27"/>
  <c r="F96" i="27"/>
  <c r="F97" i="27"/>
  <c r="F102" i="27"/>
  <c r="G102" i="27"/>
  <c r="H102" i="27"/>
  <c r="I102" i="27"/>
  <c r="J102" i="27"/>
  <c r="K102" i="27"/>
  <c r="L102" i="27"/>
  <c r="M102" i="27"/>
  <c r="N102" i="27"/>
  <c r="O102" i="27"/>
  <c r="P102" i="27"/>
  <c r="Q102" i="27"/>
  <c r="R102" i="27"/>
  <c r="S102" i="27"/>
  <c r="T102" i="27"/>
  <c r="U102" i="27"/>
  <c r="D11" i="27"/>
  <c r="D20" i="27"/>
  <c r="D28" i="27"/>
  <c r="D58" i="27"/>
  <c r="D29" i="27"/>
  <c r="D39" i="27"/>
  <c r="D49" i="27"/>
  <c r="D59" i="27"/>
  <c r="D68" i="27"/>
  <c r="D69" i="27"/>
  <c r="D78" i="27"/>
  <c r="D79" i="27"/>
  <c r="D87" i="27"/>
  <c r="D88" i="27"/>
  <c r="D97" i="27"/>
  <c r="D99" i="27"/>
  <c r="D102" i="27"/>
  <c r="E7" i="24"/>
  <c r="C19" i="25"/>
  <c r="C20" i="25"/>
  <c r="D18" i="25"/>
  <c r="E19" i="25"/>
  <c r="E20" i="25"/>
  <c r="E22" i="25" s="1"/>
  <c r="D19" i="25"/>
  <c r="E9" i="29"/>
  <c r="E14" i="29"/>
  <c r="E19" i="29"/>
  <c r="F9" i="29"/>
  <c r="F14" i="29"/>
  <c r="F19" i="29"/>
  <c r="G9" i="29"/>
  <c r="G14" i="29"/>
  <c r="G19" i="29"/>
  <c r="H9" i="29"/>
  <c r="H14" i="29"/>
  <c r="H19" i="29"/>
  <c r="H23" i="29" s="1"/>
  <c r="I9" i="29"/>
  <c r="I14" i="29"/>
  <c r="I19" i="29"/>
  <c r="F15" i="29"/>
  <c r="F20" i="29" s="1"/>
  <c r="E7" i="29"/>
  <c r="F7" i="29"/>
  <c r="F6" i="29"/>
  <c r="G15" i="29"/>
  <c r="G20" i="29" s="1"/>
  <c r="G7" i="29"/>
  <c r="G6" i="29"/>
  <c r="H15" i="29"/>
  <c r="H20" i="29" s="1"/>
  <c r="H7" i="29"/>
  <c r="H6" i="29"/>
  <c r="I15" i="29"/>
  <c r="I20" i="29" s="1"/>
  <c r="I7" i="29"/>
  <c r="I6" i="29"/>
  <c r="J15" i="29"/>
  <c r="J20" i="29" s="1"/>
  <c r="J7" i="29"/>
  <c r="J6" i="29"/>
  <c r="D19" i="29"/>
  <c r="E15" i="29"/>
  <c r="E20" i="29" s="1"/>
  <c r="D14" i="29"/>
  <c r="E16" i="29" s="1"/>
  <c r="F10" i="29"/>
  <c r="G10" i="29"/>
  <c r="H10" i="29"/>
  <c r="I10" i="29"/>
  <c r="J10" i="29"/>
  <c r="E10" i="29"/>
  <c r="D10" i="29"/>
  <c r="D9" i="29"/>
  <c r="E6" i="29"/>
  <c r="D6" i="29"/>
  <c r="D36" i="29"/>
  <c r="E3" i="27"/>
  <c r="F3" i="27"/>
  <c r="G3" i="27"/>
  <c r="H3" i="27"/>
  <c r="I3" i="27"/>
  <c r="J3" i="27"/>
  <c r="J1" i="27"/>
  <c r="K3" i="27"/>
  <c r="K1" i="27"/>
  <c r="L3" i="27"/>
  <c r="L1" i="27"/>
  <c r="M3" i="27"/>
  <c r="M1" i="27"/>
  <c r="N3" i="27"/>
  <c r="N1" i="27"/>
  <c r="O3" i="27"/>
  <c r="O1" i="27"/>
  <c r="P3" i="27"/>
  <c r="P1" i="27"/>
  <c r="Q3" i="27"/>
  <c r="Q1" i="27"/>
  <c r="R3" i="27"/>
  <c r="R1" i="27"/>
  <c r="S3" i="27"/>
  <c r="S1" i="27"/>
  <c r="T3" i="27"/>
  <c r="T1" i="27"/>
  <c r="U3" i="27"/>
  <c r="U1" i="27"/>
  <c r="V3" i="27"/>
  <c r="V1" i="27"/>
  <c r="D100" i="27"/>
  <c r="J100" i="27"/>
  <c r="K100" i="27"/>
  <c r="L100" i="27"/>
  <c r="M100" i="27"/>
  <c r="N100" i="27"/>
  <c r="O100" i="27"/>
  <c r="P100" i="27"/>
  <c r="Q100" i="27"/>
  <c r="R100" i="27"/>
  <c r="S100" i="27"/>
  <c r="T100" i="27"/>
  <c r="U100" i="27"/>
  <c r="V100" i="27"/>
  <c r="D101" i="27"/>
  <c r="M112" i="27"/>
  <c r="L112" i="27"/>
  <c r="K112" i="27"/>
  <c r="J112" i="27"/>
  <c r="I112" i="27"/>
  <c r="H112" i="27"/>
  <c r="G112" i="27"/>
  <c r="F112" i="27"/>
  <c r="E112" i="27"/>
  <c r="D112" i="27"/>
  <c r="C112" i="27"/>
  <c r="B74" i="27"/>
  <c r="B64" i="27"/>
  <c r="I100" i="27"/>
  <c r="H100" i="27"/>
  <c r="G100" i="27"/>
  <c r="F100" i="27"/>
  <c r="E100" i="27"/>
  <c r="B92" i="27"/>
  <c r="B83" i="27"/>
  <c r="D1" i="27"/>
  <c r="E1" i="27"/>
  <c r="F1" i="27"/>
  <c r="G1" i="27"/>
  <c r="H1" i="27"/>
  <c r="I1" i="27"/>
  <c r="B2" i="27"/>
  <c r="G3" i="7"/>
  <c r="G6" i="7" s="1"/>
  <c r="H3" i="7"/>
  <c r="H6" i="7" s="1"/>
  <c r="I3" i="7"/>
  <c r="J3" i="7"/>
  <c r="J6" i="7" s="1"/>
  <c r="K3" i="7"/>
  <c r="K5" i="7" s="1"/>
  <c r="F3" i="7"/>
  <c r="E3" i="7"/>
  <c r="D6" i="26"/>
  <c r="E6" i="26"/>
  <c r="F6" i="26" s="1"/>
  <c r="G6" i="26" s="1"/>
  <c r="H6" i="26" s="1"/>
  <c r="I6" i="26" s="1"/>
  <c r="J6" i="26" s="1"/>
  <c r="K6" i="26" s="1"/>
  <c r="L6" i="26" s="1"/>
  <c r="M6" i="26" s="1"/>
  <c r="N6" i="26" s="1"/>
  <c r="O6" i="26" s="1"/>
  <c r="P6" i="26" s="1"/>
  <c r="Q6" i="26" s="1"/>
  <c r="R6" i="26" s="1"/>
  <c r="S6" i="26" s="1"/>
  <c r="T6" i="26" s="1"/>
  <c r="C59" i="26"/>
  <c r="C57" i="26"/>
  <c r="F56" i="26"/>
  <c r="D56" i="26"/>
  <c r="D37" i="26"/>
  <c r="C16" i="24"/>
  <c r="D13" i="24"/>
  <c r="D16" i="24"/>
  <c r="E13" i="24"/>
  <c r="E14" i="24"/>
  <c r="E16" i="24"/>
  <c r="F13" i="24"/>
  <c r="F14" i="24"/>
  <c r="F16" i="24"/>
  <c r="G13" i="24"/>
  <c r="G14" i="24"/>
  <c r="G16" i="24"/>
  <c r="H13" i="24"/>
  <c r="H14" i="24"/>
  <c r="H16" i="24"/>
  <c r="I13" i="24"/>
  <c r="I14" i="24"/>
  <c r="I16" i="24"/>
  <c r="J13" i="24"/>
  <c r="J14" i="24"/>
  <c r="J16" i="24"/>
  <c r="K13" i="24"/>
  <c r="K14" i="24"/>
  <c r="K16" i="24"/>
  <c r="L13" i="24"/>
  <c r="L14" i="24"/>
  <c r="L16" i="24"/>
  <c r="M13" i="24"/>
  <c r="M14" i="24"/>
  <c r="M16" i="24"/>
  <c r="N13" i="24"/>
  <c r="N14" i="24"/>
  <c r="N16" i="24"/>
  <c r="O13" i="24"/>
  <c r="O14" i="24"/>
  <c r="O16" i="24"/>
  <c r="P13" i="24"/>
  <c r="P14" i="24"/>
  <c r="P16" i="24"/>
  <c r="Q13" i="24"/>
  <c r="Q14" i="24"/>
  <c r="Q16" i="24"/>
  <c r="R13" i="24"/>
  <c r="R14" i="24"/>
  <c r="R16" i="24"/>
  <c r="S13" i="24"/>
  <c r="S14" i="24"/>
  <c r="S16" i="24"/>
  <c r="T13" i="24"/>
  <c r="T14" i="24"/>
  <c r="T16" i="24"/>
  <c r="U13" i="24"/>
  <c r="U14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U16" i="24"/>
  <c r="F15" i="24"/>
  <c r="E15" i="24"/>
  <c r="J31" i="23"/>
  <c r="J32" i="23" s="1"/>
  <c r="K31" i="23"/>
  <c r="K32" i="23" s="1"/>
  <c r="L31" i="23"/>
  <c r="L32" i="23" s="1"/>
  <c r="M31" i="23"/>
  <c r="M32" i="23" s="1"/>
  <c r="I31" i="23"/>
  <c r="I32" i="23" s="1"/>
  <c r="M28" i="23"/>
  <c r="J28" i="23"/>
  <c r="K28" i="23"/>
  <c r="L28" i="23"/>
  <c r="I28" i="23"/>
  <c r="J20" i="23"/>
  <c r="K20" i="23"/>
  <c r="L20" i="23"/>
  <c r="M20" i="23"/>
  <c r="I20" i="23"/>
  <c r="J15" i="23"/>
  <c r="M15" i="23"/>
  <c r="K13" i="23"/>
  <c r="L13" i="23"/>
  <c r="M13" i="23"/>
  <c r="J13" i="23"/>
  <c r="I13" i="23"/>
  <c r="I8" i="23"/>
  <c r="J8" i="23"/>
  <c r="K8" i="23"/>
  <c r="L8" i="23"/>
  <c r="M8" i="23"/>
  <c r="D20" i="21"/>
  <c r="B103" i="1"/>
  <c r="B104" i="1"/>
  <c r="B105" i="1"/>
  <c r="D4" i="21"/>
  <c r="D5" i="21"/>
  <c r="B107" i="1"/>
  <c r="D23" i="21"/>
  <c r="E20" i="21"/>
  <c r="T20" i="21"/>
  <c r="U20" i="21"/>
  <c r="V20" i="21"/>
  <c r="W20" i="21"/>
  <c r="X20" i="21"/>
  <c r="Y20" i="21"/>
  <c r="Z20" i="21"/>
  <c r="AA20" i="21"/>
  <c r="AB20" i="21"/>
  <c r="AC20" i="21"/>
  <c r="AD20" i="21"/>
  <c r="AE20" i="21"/>
  <c r="AF20" i="21"/>
  <c r="AG20" i="21"/>
  <c r="AH20" i="21"/>
  <c r="AI20" i="21"/>
  <c r="AJ20" i="21"/>
  <c r="AK20" i="21"/>
  <c r="AL20" i="21"/>
  <c r="AM20" i="21"/>
  <c r="AN20" i="21"/>
  <c r="AO20" i="21"/>
  <c r="AP20" i="21"/>
  <c r="AQ20" i="21"/>
  <c r="AR20" i="21"/>
  <c r="AS20" i="21"/>
  <c r="AT20" i="21"/>
  <c r="AU20" i="21"/>
  <c r="AV20" i="21"/>
  <c r="AW20" i="21"/>
  <c r="AX20" i="21"/>
  <c r="AY20" i="21"/>
  <c r="AZ20" i="21"/>
  <c r="BA20" i="21"/>
  <c r="BB20" i="21"/>
  <c r="BC20" i="21"/>
  <c r="BD20" i="21"/>
  <c r="BE20" i="21"/>
  <c r="BF20" i="21"/>
  <c r="BG20" i="21"/>
  <c r="BH20" i="21"/>
  <c r="BI20" i="21"/>
  <c r="BJ20" i="21"/>
  <c r="BK20" i="21"/>
  <c r="BL20" i="21"/>
  <c r="BM20" i="21"/>
  <c r="BN20" i="21"/>
  <c r="BO20" i="21"/>
  <c r="BP20" i="21"/>
  <c r="BQ20" i="21"/>
  <c r="BR20" i="21"/>
  <c r="BS20" i="21"/>
  <c r="BT20" i="21"/>
  <c r="BU20" i="21"/>
  <c r="BV20" i="21"/>
  <c r="BW20" i="21"/>
  <c r="BX20" i="21"/>
  <c r="BY20" i="21"/>
  <c r="BZ20" i="21"/>
  <c r="CA20" i="21"/>
  <c r="CB20" i="21"/>
  <c r="CC20" i="21"/>
  <c r="CD20" i="21"/>
  <c r="CE20" i="21"/>
  <c r="CF20" i="21"/>
  <c r="CG20" i="21"/>
  <c r="CH20" i="21"/>
  <c r="CI20" i="21"/>
  <c r="CJ20" i="21"/>
  <c r="CK20" i="21"/>
  <c r="CL20" i="21"/>
  <c r="CM20" i="21"/>
  <c r="CN20" i="21"/>
  <c r="CO20" i="21"/>
  <c r="CP20" i="21"/>
  <c r="CQ20" i="21"/>
  <c r="CR20" i="21"/>
  <c r="CS20" i="21"/>
  <c r="CT20" i="21"/>
  <c r="CU20" i="21"/>
  <c r="CV20" i="21"/>
  <c r="CW20" i="21"/>
  <c r="CX20" i="21"/>
  <c r="CY20" i="21"/>
  <c r="CZ20" i="21"/>
  <c r="DA20" i="21"/>
  <c r="DB20" i="21"/>
  <c r="DC20" i="21"/>
  <c r="DD20" i="21"/>
  <c r="DE20" i="21"/>
  <c r="DF20" i="21"/>
  <c r="DG20" i="21"/>
  <c r="DH20" i="21"/>
  <c r="DI20" i="21"/>
  <c r="DJ20" i="21"/>
  <c r="DK20" i="21"/>
  <c r="DL20" i="21"/>
  <c r="DM20" i="21"/>
  <c r="DN20" i="21"/>
  <c r="DO20" i="21"/>
  <c r="DP20" i="21"/>
  <c r="DQ20" i="21"/>
  <c r="DR20" i="21"/>
  <c r="DS20" i="21"/>
  <c r="DT20" i="21"/>
  <c r="DU20" i="21"/>
  <c r="DV20" i="21"/>
  <c r="DW20" i="21"/>
  <c r="DX20" i="21"/>
  <c r="DY20" i="21"/>
  <c r="DZ20" i="21"/>
  <c r="EA20" i="21"/>
  <c r="EB20" i="21"/>
  <c r="EC20" i="21"/>
  <c r="ED20" i="21"/>
  <c r="EE20" i="21"/>
  <c r="EF20" i="21"/>
  <c r="EG20" i="21"/>
  <c r="EH20" i="21"/>
  <c r="EI20" i="21"/>
  <c r="EJ20" i="21"/>
  <c r="EK20" i="21"/>
  <c r="EL20" i="21"/>
  <c r="EM20" i="21"/>
  <c r="EN20" i="21"/>
  <c r="EO20" i="21"/>
  <c r="EP20" i="21"/>
  <c r="EQ20" i="21"/>
  <c r="ER20" i="21"/>
  <c r="ES20" i="21"/>
  <c r="ET20" i="21"/>
  <c r="EU20" i="21"/>
  <c r="EV20" i="21"/>
  <c r="EW20" i="21"/>
  <c r="EX20" i="21"/>
  <c r="EY20" i="21"/>
  <c r="EZ20" i="21"/>
  <c r="FA20" i="21"/>
  <c r="FB20" i="21"/>
  <c r="FC20" i="21"/>
  <c r="FD20" i="21"/>
  <c r="FE20" i="21"/>
  <c r="FF20" i="21"/>
  <c r="FG20" i="21"/>
  <c r="FH20" i="21"/>
  <c r="FI20" i="21"/>
  <c r="FJ20" i="21"/>
  <c r="FK20" i="21"/>
  <c r="FL20" i="21"/>
  <c r="FM20" i="21"/>
  <c r="D2" i="21"/>
  <c r="E2" i="21"/>
  <c r="F2" i="21"/>
  <c r="G2" i="21"/>
  <c r="H2" i="21"/>
  <c r="I2" i="21"/>
  <c r="J2" i="21"/>
  <c r="K2" i="21"/>
  <c r="L2" i="21"/>
  <c r="M2" i="21"/>
  <c r="N2" i="21"/>
  <c r="O2" i="21"/>
  <c r="E4" i="21"/>
  <c r="F4" i="21"/>
  <c r="G4" i="21"/>
  <c r="H4" i="21"/>
  <c r="I4" i="21"/>
  <c r="J4" i="21"/>
  <c r="K4" i="21"/>
  <c r="L4" i="21"/>
  <c r="M4" i="21"/>
  <c r="N4" i="21"/>
  <c r="O4" i="21"/>
  <c r="E5" i="21"/>
  <c r="F5" i="21"/>
  <c r="G5" i="21"/>
  <c r="H5" i="21"/>
  <c r="I5" i="21"/>
  <c r="J5" i="21"/>
  <c r="K5" i="21"/>
  <c r="L5" i="21"/>
  <c r="M5" i="21"/>
  <c r="N5" i="21"/>
  <c r="O5" i="21"/>
  <c r="B85" i="1"/>
  <c r="D12" i="21"/>
  <c r="D15" i="21"/>
  <c r="D16" i="21"/>
  <c r="E12" i="21"/>
  <c r="E15" i="21"/>
  <c r="E16" i="21"/>
  <c r="F12" i="21"/>
  <c r="F15" i="21"/>
  <c r="F16" i="21"/>
  <c r="G12" i="21"/>
  <c r="G15" i="21"/>
  <c r="G16" i="21"/>
  <c r="H12" i="21"/>
  <c r="H15" i="21"/>
  <c r="H16" i="21"/>
  <c r="I12" i="21"/>
  <c r="I15" i="21"/>
  <c r="I16" i="21"/>
  <c r="J12" i="21"/>
  <c r="J15" i="21"/>
  <c r="J16" i="21"/>
  <c r="K12" i="21"/>
  <c r="K15" i="21"/>
  <c r="K16" i="21"/>
  <c r="L12" i="21"/>
  <c r="L15" i="21"/>
  <c r="L16" i="21"/>
  <c r="M12" i="21"/>
  <c r="M15" i="21"/>
  <c r="M16" i="21"/>
  <c r="N12" i="21"/>
  <c r="N15" i="21"/>
  <c r="N16" i="21"/>
  <c r="O12" i="21"/>
  <c r="O15" i="21"/>
  <c r="O16" i="21"/>
  <c r="D25" i="21"/>
  <c r="E25" i="21"/>
  <c r="F25" i="21"/>
  <c r="G25" i="21"/>
  <c r="H25" i="21"/>
  <c r="I25" i="21"/>
  <c r="J25" i="21"/>
  <c r="K25" i="21"/>
  <c r="L25" i="21"/>
  <c r="M25" i="21"/>
  <c r="N25" i="21"/>
  <c r="O25" i="21"/>
  <c r="D26" i="21"/>
  <c r="P2" i="21"/>
  <c r="B17" i="21"/>
  <c r="B86" i="1"/>
  <c r="B88" i="1"/>
  <c r="Q2" i="21"/>
  <c r="R2" i="21"/>
  <c r="S2" i="21"/>
  <c r="T2" i="21"/>
  <c r="U2" i="21"/>
  <c r="V2" i="21"/>
  <c r="W2" i="21"/>
  <c r="X2" i="21"/>
  <c r="Y2" i="21"/>
  <c r="Z2" i="21"/>
  <c r="AA2" i="21"/>
  <c r="AB2" i="21"/>
  <c r="AC2" i="21"/>
  <c r="AD2" i="21"/>
  <c r="AE2" i="21"/>
  <c r="AF2" i="21"/>
  <c r="AG2" i="21"/>
  <c r="AH2" i="21"/>
  <c r="AI2" i="21"/>
  <c r="AJ2" i="21"/>
  <c r="AK2" i="21"/>
  <c r="AL2" i="21"/>
  <c r="AM2" i="21"/>
  <c r="AN2" i="21"/>
  <c r="AO2" i="21"/>
  <c r="AP2" i="21"/>
  <c r="AQ2" i="21"/>
  <c r="AR2" i="21"/>
  <c r="AS2" i="21"/>
  <c r="AT2" i="21"/>
  <c r="AU2" i="21"/>
  <c r="AV2" i="21"/>
  <c r="AW2" i="21"/>
  <c r="AX2" i="21"/>
  <c r="AY2" i="21"/>
  <c r="AZ2" i="21"/>
  <c r="BA2" i="21"/>
  <c r="BB2" i="21"/>
  <c r="BC2" i="21"/>
  <c r="BD2" i="21"/>
  <c r="BE2" i="21"/>
  <c r="BF2" i="21"/>
  <c r="BG2" i="21"/>
  <c r="BH2" i="21"/>
  <c r="BI2" i="21"/>
  <c r="BJ2" i="21"/>
  <c r="BK2" i="21"/>
  <c r="BL2" i="21"/>
  <c r="BM2" i="21"/>
  <c r="BN2" i="21"/>
  <c r="BO2" i="21"/>
  <c r="BP2" i="21"/>
  <c r="BQ2" i="21"/>
  <c r="BR2" i="21"/>
  <c r="BS2" i="21"/>
  <c r="BT2" i="21"/>
  <c r="BU2" i="21"/>
  <c r="BV2" i="21"/>
  <c r="BW2" i="21"/>
  <c r="BX2" i="21"/>
  <c r="BY2" i="21"/>
  <c r="BZ2" i="21"/>
  <c r="CA2" i="21"/>
  <c r="CB2" i="21"/>
  <c r="CC2" i="21"/>
  <c r="CD2" i="21"/>
  <c r="CE2" i="21"/>
  <c r="CF2" i="21"/>
  <c r="CG2" i="21"/>
  <c r="CH2" i="21"/>
  <c r="CI2" i="21"/>
  <c r="CJ2" i="21"/>
  <c r="CK2" i="21"/>
  <c r="CL2" i="21"/>
  <c r="CM2" i="21"/>
  <c r="CN2" i="21"/>
  <c r="CO2" i="21"/>
  <c r="CP2" i="21"/>
  <c r="CQ2" i="21"/>
  <c r="CR2" i="21"/>
  <c r="CS2" i="21"/>
  <c r="CT2" i="21"/>
  <c r="CU2" i="21"/>
  <c r="CV2" i="21"/>
  <c r="CW2" i="21"/>
  <c r="CX2" i="21"/>
  <c r="CY2" i="21"/>
  <c r="CZ2" i="21"/>
  <c r="DA2" i="21"/>
  <c r="DB2" i="21"/>
  <c r="DC2" i="21"/>
  <c r="DD2" i="21"/>
  <c r="DE2" i="21"/>
  <c r="DF2" i="21"/>
  <c r="DG2" i="21"/>
  <c r="DH2" i="21"/>
  <c r="DI2" i="21"/>
  <c r="DJ2" i="21"/>
  <c r="DK2" i="21"/>
  <c r="DL2" i="21"/>
  <c r="DM2" i="21"/>
  <c r="DN2" i="21"/>
  <c r="DO2" i="21"/>
  <c r="DP2" i="21"/>
  <c r="DQ2" i="21"/>
  <c r="DR2" i="21"/>
  <c r="DS2" i="21"/>
  <c r="DT2" i="21"/>
  <c r="DU2" i="21"/>
  <c r="DV2" i="21"/>
  <c r="DW2" i="21"/>
  <c r="DX2" i="21"/>
  <c r="DY2" i="21"/>
  <c r="DZ2" i="21"/>
  <c r="EA2" i="21"/>
  <c r="EB2" i="21"/>
  <c r="EC2" i="21"/>
  <c r="ED2" i="21"/>
  <c r="EE2" i="21"/>
  <c r="EF2" i="21"/>
  <c r="EG2" i="21"/>
  <c r="EH2" i="21"/>
  <c r="EI2" i="21"/>
  <c r="EJ2" i="21"/>
  <c r="EK2" i="21"/>
  <c r="EL2" i="21"/>
  <c r="EM2" i="21"/>
  <c r="EN2" i="21"/>
  <c r="EO2" i="21"/>
  <c r="EP2" i="21"/>
  <c r="EQ2" i="21"/>
  <c r="ER2" i="21"/>
  <c r="ES2" i="21"/>
  <c r="ET2" i="21"/>
  <c r="EU2" i="21"/>
  <c r="EV2" i="21"/>
  <c r="EW2" i="21"/>
  <c r="EX2" i="21"/>
  <c r="EY2" i="21"/>
  <c r="EZ2" i="21"/>
  <c r="FA2" i="21"/>
  <c r="FB2" i="21"/>
  <c r="FC2" i="21"/>
  <c r="FD2" i="21"/>
  <c r="FE2" i="21"/>
  <c r="FF2" i="21"/>
  <c r="FG2" i="21"/>
  <c r="FH2" i="21"/>
  <c r="FI2" i="21"/>
  <c r="FJ2" i="21"/>
  <c r="FK2" i="21"/>
  <c r="FL2" i="21"/>
  <c r="FM2" i="21"/>
  <c r="FN2" i="21"/>
  <c r="FO2" i="21"/>
  <c r="FP2" i="21"/>
  <c r="FQ2" i="21"/>
  <c r="FR2" i="21"/>
  <c r="FS2" i="21"/>
  <c r="FT2" i="21"/>
  <c r="FU2" i="21"/>
  <c r="FV2" i="21"/>
  <c r="FW2" i="21"/>
  <c r="FX2" i="21"/>
  <c r="FY2" i="21"/>
  <c r="FZ2" i="21"/>
  <c r="GA2" i="21"/>
  <c r="GB2" i="21"/>
  <c r="GC2" i="21"/>
  <c r="GD2" i="21"/>
  <c r="GE2" i="21"/>
  <c r="GF2" i="21"/>
  <c r="GG2" i="21"/>
  <c r="GH2" i="21"/>
  <c r="GI2" i="21"/>
  <c r="GJ2" i="21"/>
  <c r="GK2" i="21"/>
  <c r="GL2" i="21"/>
  <c r="GM2" i="21"/>
  <c r="GN2" i="21"/>
  <c r="GO2" i="21"/>
  <c r="GP2" i="21"/>
  <c r="GQ2" i="21"/>
  <c r="GR2" i="21"/>
  <c r="GS2" i="21"/>
  <c r="GT2" i="21"/>
  <c r="GU2" i="21"/>
  <c r="GV2" i="21"/>
  <c r="GW2" i="21"/>
  <c r="GX2" i="21"/>
  <c r="GY2" i="21"/>
  <c r="GZ2" i="21"/>
  <c r="HA2" i="21"/>
  <c r="HB2" i="21"/>
  <c r="HC2" i="21"/>
  <c r="HD2" i="21"/>
  <c r="HE2" i="21"/>
  <c r="HF2" i="21"/>
  <c r="HG2" i="21"/>
  <c r="HH2" i="21"/>
  <c r="HI2" i="21"/>
  <c r="HJ2" i="21"/>
  <c r="HK2" i="21"/>
  <c r="HL2" i="21"/>
  <c r="HM2" i="21"/>
  <c r="HN2" i="21"/>
  <c r="HO2" i="21"/>
  <c r="HP2" i="21"/>
  <c r="HQ2" i="21"/>
  <c r="HR2" i="21"/>
  <c r="HS2" i="21"/>
  <c r="HT2" i="21"/>
  <c r="HU2" i="21"/>
  <c r="HV2" i="21"/>
  <c r="HW2" i="21"/>
  <c r="HX2" i="21"/>
  <c r="HY2" i="21"/>
  <c r="HZ2" i="21"/>
  <c r="IA2" i="21"/>
  <c r="IB2" i="21"/>
  <c r="IC2" i="21"/>
  <c r="ID2" i="21"/>
  <c r="IE2" i="21"/>
  <c r="IF2" i="21"/>
  <c r="IG2" i="21"/>
  <c r="IH2" i="21"/>
  <c r="II2" i="21"/>
  <c r="IJ2" i="21"/>
  <c r="IK2" i="21"/>
  <c r="IL2" i="21"/>
  <c r="IM2" i="21"/>
  <c r="IN2" i="21"/>
  <c r="IO2" i="21"/>
  <c r="IP2" i="21"/>
  <c r="IQ2" i="21"/>
  <c r="IR2" i="21"/>
  <c r="IS2" i="21"/>
  <c r="IT2" i="21"/>
  <c r="IU2" i="21"/>
  <c r="IV2" i="21"/>
  <c r="IW2" i="21"/>
  <c r="IX2" i="21"/>
  <c r="IY2" i="21"/>
  <c r="IZ2" i="21"/>
  <c r="JA2" i="21"/>
  <c r="JB2" i="21"/>
  <c r="JC2" i="21"/>
  <c r="JD2" i="21"/>
  <c r="JE2" i="21"/>
  <c r="JF2" i="21"/>
  <c r="JG2" i="21"/>
  <c r="JH2" i="21"/>
  <c r="JI2" i="21"/>
  <c r="JJ2" i="21"/>
  <c r="JK2" i="21"/>
  <c r="JL2" i="21"/>
  <c r="JM2" i="21"/>
  <c r="JN2" i="21"/>
  <c r="JO2" i="21"/>
  <c r="JP2" i="21"/>
  <c r="JQ2" i="21"/>
  <c r="JR2" i="21"/>
  <c r="JS2" i="21"/>
  <c r="JT2" i="21"/>
  <c r="JU2" i="21"/>
  <c r="FN20" i="21"/>
  <c r="FO20" i="21"/>
  <c r="FP20" i="21"/>
  <c r="FQ20" i="21"/>
  <c r="FR20" i="21"/>
  <c r="FS20" i="21"/>
  <c r="FT20" i="21"/>
  <c r="FU20" i="21"/>
  <c r="FV20" i="21"/>
  <c r="FW20" i="21"/>
  <c r="FX20" i="21"/>
  <c r="FY20" i="21"/>
  <c r="FZ20" i="21"/>
  <c r="GA20" i="21"/>
  <c r="GB20" i="21"/>
  <c r="GC20" i="21"/>
  <c r="GD20" i="21"/>
  <c r="GE20" i="21"/>
  <c r="GF20" i="21"/>
  <c r="GG20" i="21"/>
  <c r="GH20" i="21"/>
  <c r="GI20" i="21"/>
  <c r="GJ20" i="21"/>
  <c r="GK20" i="21"/>
  <c r="GL20" i="21"/>
  <c r="GM20" i="21"/>
  <c r="GN20" i="21"/>
  <c r="GO20" i="21"/>
  <c r="GP20" i="21"/>
  <c r="GQ20" i="21"/>
  <c r="GR20" i="21"/>
  <c r="GS20" i="21"/>
  <c r="GT20" i="21"/>
  <c r="GU20" i="21"/>
  <c r="GV20" i="21"/>
  <c r="GW20" i="21"/>
  <c r="GX20" i="21"/>
  <c r="GY20" i="21"/>
  <c r="GZ20" i="21"/>
  <c r="HA20" i="21"/>
  <c r="HB20" i="21"/>
  <c r="HC20" i="21"/>
  <c r="HD20" i="21"/>
  <c r="HE20" i="21"/>
  <c r="HF20" i="21"/>
  <c r="HG20" i="21"/>
  <c r="HH20" i="21"/>
  <c r="HI20" i="21"/>
  <c r="HJ20" i="21"/>
  <c r="HK20" i="21"/>
  <c r="HL20" i="21"/>
  <c r="HM20" i="21"/>
  <c r="HN20" i="21"/>
  <c r="HO20" i="21"/>
  <c r="HP20" i="21"/>
  <c r="HQ20" i="21"/>
  <c r="HR20" i="21"/>
  <c r="HS20" i="21"/>
  <c r="HT20" i="21"/>
  <c r="HU20" i="21"/>
  <c r="HV20" i="21"/>
  <c r="HW20" i="21"/>
  <c r="HX20" i="21"/>
  <c r="HY20" i="21"/>
  <c r="HZ20" i="21"/>
  <c r="IA20" i="21"/>
  <c r="IB20" i="21"/>
  <c r="IC20" i="21"/>
  <c r="ID20" i="21"/>
  <c r="IE20" i="21"/>
  <c r="IF20" i="21"/>
  <c r="IG20" i="21"/>
  <c r="IH20" i="21"/>
  <c r="II20" i="21"/>
  <c r="IJ20" i="21"/>
  <c r="IK20" i="21"/>
  <c r="IL20" i="21"/>
  <c r="IM20" i="21"/>
  <c r="IN20" i="21"/>
  <c r="IO20" i="21"/>
  <c r="IP20" i="21"/>
  <c r="IQ20" i="21"/>
  <c r="IR20" i="21"/>
  <c r="IS20" i="21"/>
  <c r="IT20" i="21"/>
  <c r="IU20" i="21"/>
  <c r="IV20" i="21"/>
  <c r="IW20" i="21"/>
  <c r="IX20" i="21"/>
  <c r="IY20" i="21"/>
  <c r="IZ20" i="21"/>
  <c r="JA20" i="21"/>
  <c r="JB20" i="21"/>
  <c r="JC20" i="21"/>
  <c r="JD20" i="21"/>
  <c r="JE20" i="21"/>
  <c r="JF20" i="21"/>
  <c r="JG20" i="21"/>
  <c r="JH20" i="21"/>
  <c r="JI20" i="21"/>
  <c r="JJ20" i="21"/>
  <c r="JK20" i="21"/>
  <c r="JL20" i="21"/>
  <c r="JM20" i="21"/>
  <c r="JN20" i="21"/>
  <c r="JO20" i="21"/>
  <c r="JP20" i="21"/>
  <c r="JQ20" i="21"/>
  <c r="JR20" i="21"/>
  <c r="JS20" i="21"/>
  <c r="JT20" i="21"/>
  <c r="JU20" i="21"/>
  <c r="J27" i="21"/>
  <c r="K27" i="21"/>
  <c r="L27" i="21"/>
  <c r="M27" i="21"/>
  <c r="N27" i="21"/>
  <c r="O27" i="21"/>
  <c r="D32" i="21"/>
  <c r="E32" i="21"/>
  <c r="F32" i="21"/>
  <c r="G32" i="21"/>
  <c r="H32" i="21"/>
  <c r="I32" i="21"/>
  <c r="J32" i="21"/>
  <c r="K32" i="21"/>
  <c r="L32" i="21"/>
  <c r="M32" i="21"/>
  <c r="N32" i="21"/>
  <c r="O32" i="21"/>
  <c r="D33" i="21"/>
  <c r="F34" i="21"/>
  <c r="G34" i="21"/>
  <c r="H34" i="21"/>
  <c r="I34" i="21"/>
  <c r="J34" i="21"/>
  <c r="K34" i="21"/>
  <c r="L34" i="21"/>
  <c r="M34" i="21"/>
  <c r="N34" i="21"/>
  <c r="O34" i="21"/>
  <c r="F35" i="7"/>
  <c r="G35" i="7"/>
  <c r="H36" i="7"/>
  <c r="H37" i="7" s="1"/>
  <c r="H35" i="7"/>
  <c r="K27" i="2"/>
  <c r="K29" i="2"/>
  <c r="K31" i="2"/>
  <c r="G46" i="21"/>
  <c r="L27" i="2"/>
  <c r="H61" i="21"/>
  <c r="L28" i="2"/>
  <c r="L29" i="2"/>
  <c r="L31" i="2"/>
  <c r="H46" i="21"/>
  <c r="M27" i="2"/>
  <c r="I61" i="21"/>
  <c r="M28" i="2"/>
  <c r="M29" i="2"/>
  <c r="M31" i="2"/>
  <c r="I46" i="21"/>
  <c r="D47" i="21"/>
  <c r="E47" i="21"/>
  <c r="F47" i="21"/>
  <c r="G47" i="21"/>
  <c r="H47" i="21"/>
  <c r="I47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E106" i="2"/>
  <c r="C11" i="9"/>
  <c r="B110" i="1"/>
  <c r="B108" i="1"/>
  <c r="B59" i="21"/>
  <c r="B2" i="9"/>
  <c r="F2" i="9"/>
  <c r="B3" i="9"/>
  <c r="F3" i="9"/>
  <c r="B4" i="9"/>
  <c r="F4" i="9"/>
  <c r="B5" i="9"/>
  <c r="F5" i="9"/>
  <c r="B6" i="9"/>
  <c r="F6" i="9"/>
  <c r="B7" i="9"/>
  <c r="F28" i="9"/>
  <c r="F29" i="9"/>
  <c r="F30" i="9"/>
  <c r="F32" i="9"/>
  <c r="F7" i="9"/>
  <c r="F8" i="9"/>
  <c r="B9" i="9"/>
  <c r="F9" i="9"/>
  <c r="F10" i="9"/>
  <c r="B11" i="9"/>
  <c r="F11" i="9"/>
  <c r="H53" i="2"/>
  <c r="H54" i="2"/>
  <c r="C3" i="9"/>
  <c r="H47" i="2"/>
  <c r="C4" i="9"/>
  <c r="H48" i="2"/>
  <c r="C2" i="9"/>
  <c r="H49" i="2"/>
  <c r="C5" i="9"/>
  <c r="H50" i="2"/>
  <c r="C6" i="9"/>
  <c r="H51" i="2"/>
  <c r="H46" i="2"/>
  <c r="H62" i="2"/>
  <c r="G2" i="9"/>
  <c r="G3" i="9"/>
  <c r="G4" i="9"/>
  <c r="G5" i="9"/>
  <c r="G6" i="9"/>
  <c r="G28" i="9"/>
  <c r="G29" i="9"/>
  <c r="G30" i="9"/>
  <c r="G32" i="9"/>
  <c r="G7" i="9"/>
  <c r="G8" i="9"/>
  <c r="G9" i="9"/>
  <c r="G10" i="9"/>
  <c r="G11" i="9"/>
  <c r="I53" i="2"/>
  <c r="I54" i="2"/>
  <c r="I47" i="2"/>
  <c r="I48" i="2"/>
  <c r="I49" i="2"/>
  <c r="I50" i="2"/>
  <c r="I51" i="2"/>
  <c r="I46" i="2"/>
  <c r="H2" i="9"/>
  <c r="H3" i="9"/>
  <c r="H4" i="9"/>
  <c r="H5" i="9"/>
  <c r="H6" i="9"/>
  <c r="H28" i="9"/>
  <c r="H29" i="9"/>
  <c r="H30" i="9"/>
  <c r="H32" i="9"/>
  <c r="H7" i="9"/>
  <c r="H8" i="9"/>
  <c r="H9" i="9"/>
  <c r="H10" i="9"/>
  <c r="H11" i="9"/>
  <c r="J53" i="2"/>
  <c r="J54" i="2"/>
  <c r="J47" i="2"/>
  <c r="J48" i="2"/>
  <c r="J49" i="2"/>
  <c r="J50" i="2"/>
  <c r="J51" i="2"/>
  <c r="J46" i="2"/>
  <c r="L45" i="2"/>
  <c r="J2" i="9"/>
  <c r="J3" i="9"/>
  <c r="J4" i="9"/>
  <c r="J5" i="9"/>
  <c r="J6" i="9"/>
  <c r="J28" i="9"/>
  <c r="J29" i="9"/>
  <c r="I29" i="9"/>
  <c r="J30" i="9"/>
  <c r="J32" i="9"/>
  <c r="J7" i="9"/>
  <c r="J8" i="9"/>
  <c r="J9" i="9"/>
  <c r="J10" i="9"/>
  <c r="J11" i="9"/>
  <c r="I2" i="9"/>
  <c r="I3" i="9"/>
  <c r="I4" i="9"/>
  <c r="I5" i="9"/>
  <c r="I6" i="9"/>
  <c r="I28" i="9"/>
  <c r="I30" i="9"/>
  <c r="I32" i="9"/>
  <c r="I7" i="9"/>
  <c r="I8" i="9"/>
  <c r="I9" i="9"/>
  <c r="I10" i="9"/>
  <c r="I11" i="9"/>
  <c r="L53" i="2"/>
  <c r="L54" i="2"/>
  <c r="L47" i="2"/>
  <c r="L48" i="2"/>
  <c r="L49" i="2"/>
  <c r="L50" i="2"/>
  <c r="L51" i="2"/>
  <c r="L46" i="2"/>
  <c r="L56" i="2"/>
  <c r="M45" i="2"/>
  <c r="K2" i="9"/>
  <c r="K3" i="9"/>
  <c r="K4" i="9"/>
  <c r="K5" i="9"/>
  <c r="K6" i="9"/>
  <c r="K28" i="9"/>
  <c r="K29" i="9"/>
  <c r="K30" i="9"/>
  <c r="K32" i="9"/>
  <c r="K7" i="9"/>
  <c r="K8" i="9"/>
  <c r="K9" i="9"/>
  <c r="K10" i="9"/>
  <c r="K11" i="9"/>
  <c r="M53" i="2"/>
  <c r="M54" i="2"/>
  <c r="M47" i="2"/>
  <c r="M48" i="2"/>
  <c r="M49" i="2"/>
  <c r="M50" i="2"/>
  <c r="M51" i="2"/>
  <c r="M46" i="2"/>
  <c r="M56" i="2"/>
  <c r="L30" i="9"/>
  <c r="D66" i="21"/>
  <c r="D78" i="21"/>
  <c r="E78" i="21"/>
  <c r="F78" i="21"/>
  <c r="G78" i="21"/>
  <c r="H78" i="21"/>
  <c r="I78" i="21"/>
  <c r="J78" i="21"/>
  <c r="K78" i="21"/>
  <c r="L78" i="21"/>
  <c r="M78" i="21"/>
  <c r="N78" i="21"/>
  <c r="O78" i="21"/>
  <c r="D79" i="21"/>
  <c r="B116" i="1"/>
  <c r="D80" i="21"/>
  <c r="D81" i="21"/>
  <c r="D82" i="21"/>
  <c r="D83" i="21"/>
  <c r="E79" i="21"/>
  <c r="E80" i="21"/>
  <c r="E81" i="21"/>
  <c r="E82" i="21"/>
  <c r="E83" i="21"/>
  <c r="F79" i="21"/>
  <c r="F80" i="21"/>
  <c r="F81" i="21"/>
  <c r="F82" i="21"/>
  <c r="F83" i="21"/>
  <c r="G79" i="21"/>
  <c r="G80" i="21"/>
  <c r="G81" i="21"/>
  <c r="G82" i="21"/>
  <c r="G83" i="21"/>
  <c r="H79" i="21"/>
  <c r="H80" i="21"/>
  <c r="H81" i="21"/>
  <c r="H82" i="21"/>
  <c r="H83" i="21"/>
  <c r="I79" i="21"/>
  <c r="I80" i="21"/>
  <c r="I81" i="21"/>
  <c r="I82" i="21"/>
  <c r="I83" i="21"/>
  <c r="J79" i="21"/>
  <c r="J80" i="21"/>
  <c r="J81" i="21"/>
  <c r="J82" i="21"/>
  <c r="J83" i="21"/>
  <c r="K79" i="21"/>
  <c r="K80" i="21"/>
  <c r="K81" i="21"/>
  <c r="K82" i="21"/>
  <c r="K83" i="21"/>
  <c r="L79" i="21"/>
  <c r="P25" i="21"/>
  <c r="D84" i="21"/>
  <c r="E84" i="21"/>
  <c r="F84" i="21"/>
  <c r="G84" i="21"/>
  <c r="H84" i="21"/>
  <c r="I84" i="21"/>
  <c r="J84" i="21"/>
  <c r="K84" i="21"/>
  <c r="D86" i="21"/>
  <c r="E86" i="21"/>
  <c r="F86" i="21"/>
  <c r="G86" i="21"/>
  <c r="H86" i="21"/>
  <c r="I86" i="21"/>
  <c r="J86" i="21"/>
  <c r="K86" i="21"/>
  <c r="L86" i="21"/>
  <c r="M86" i="21"/>
  <c r="N86" i="21"/>
  <c r="O86" i="21"/>
  <c r="D87" i="21"/>
  <c r="P78" i="21"/>
  <c r="Q78" i="21"/>
  <c r="R78" i="21"/>
  <c r="S78" i="21"/>
  <c r="T78" i="21"/>
  <c r="U78" i="21"/>
  <c r="V78" i="21"/>
  <c r="W78" i="21"/>
  <c r="X78" i="21"/>
  <c r="Y78" i="21"/>
  <c r="Z78" i="21"/>
  <c r="AA78" i="21"/>
  <c r="AB78" i="21"/>
  <c r="AC78" i="21"/>
  <c r="AD78" i="21"/>
  <c r="AE78" i="21"/>
  <c r="AF78" i="21"/>
  <c r="AG78" i="21"/>
  <c r="AH78" i="21"/>
  <c r="AI78" i="21"/>
  <c r="AJ78" i="21"/>
  <c r="AK78" i="21"/>
  <c r="AL78" i="21"/>
  <c r="AM78" i="21"/>
  <c r="AN78" i="21"/>
  <c r="AO78" i="21"/>
  <c r="AP78" i="21"/>
  <c r="AQ78" i="21"/>
  <c r="AR78" i="21"/>
  <c r="AS78" i="21"/>
  <c r="AT78" i="21"/>
  <c r="AU78" i="21"/>
  <c r="AV78" i="21"/>
  <c r="AW78" i="21"/>
  <c r="AX78" i="21"/>
  <c r="AY78" i="21"/>
  <c r="AZ78" i="21"/>
  <c r="BA78" i="21"/>
  <c r="BB78" i="21"/>
  <c r="BC78" i="21"/>
  <c r="BD78" i="21"/>
  <c r="BE78" i="21"/>
  <c r="BF78" i="21"/>
  <c r="BG78" i="21"/>
  <c r="BH78" i="21"/>
  <c r="BI78" i="21"/>
  <c r="BJ78" i="21"/>
  <c r="BK78" i="21"/>
  <c r="BL78" i="21"/>
  <c r="BM78" i="21"/>
  <c r="BN78" i="21"/>
  <c r="BO78" i="21"/>
  <c r="BP78" i="21"/>
  <c r="BQ78" i="21"/>
  <c r="BR78" i="21"/>
  <c r="BS78" i="21"/>
  <c r="BT78" i="21"/>
  <c r="BU78" i="21"/>
  <c r="BV78" i="21"/>
  <c r="BW78" i="21"/>
  <c r="BX78" i="21"/>
  <c r="BY78" i="21"/>
  <c r="BZ78" i="21"/>
  <c r="CA78" i="21"/>
  <c r="CB78" i="21"/>
  <c r="CC78" i="21"/>
  <c r="CD78" i="21"/>
  <c r="CE78" i="21"/>
  <c r="CF78" i="21"/>
  <c r="CG78" i="21"/>
  <c r="CH78" i="21"/>
  <c r="CI78" i="21"/>
  <c r="CJ78" i="21"/>
  <c r="CK78" i="21"/>
  <c r="CL78" i="21"/>
  <c r="CM78" i="21"/>
  <c r="CN78" i="21"/>
  <c r="CO78" i="21"/>
  <c r="CP78" i="21"/>
  <c r="CQ78" i="21"/>
  <c r="CR78" i="21"/>
  <c r="CS78" i="21"/>
  <c r="CT78" i="21"/>
  <c r="CU78" i="21"/>
  <c r="D88" i="21"/>
  <c r="E88" i="21"/>
  <c r="Q25" i="21"/>
  <c r="R25" i="21"/>
  <c r="S25" i="21"/>
  <c r="T25" i="21"/>
  <c r="U25" i="21"/>
  <c r="V25" i="21"/>
  <c r="W25" i="21"/>
  <c r="X25" i="21"/>
  <c r="Y25" i="21"/>
  <c r="Z25" i="21"/>
  <c r="AA25" i="21"/>
  <c r="AB25" i="21"/>
  <c r="AC25" i="21"/>
  <c r="AD25" i="21"/>
  <c r="AE25" i="21"/>
  <c r="AF25" i="21"/>
  <c r="AG25" i="21"/>
  <c r="AH25" i="21"/>
  <c r="AI25" i="21"/>
  <c r="AJ25" i="21"/>
  <c r="AK25" i="21"/>
  <c r="AL25" i="21"/>
  <c r="AM25" i="21"/>
  <c r="AN25" i="21"/>
  <c r="AO25" i="21"/>
  <c r="AP25" i="21"/>
  <c r="AQ25" i="21"/>
  <c r="AR25" i="21"/>
  <c r="AS25" i="21"/>
  <c r="AT25" i="21"/>
  <c r="AU25" i="21"/>
  <c r="AV25" i="21"/>
  <c r="AW25" i="21"/>
  <c r="AX25" i="21"/>
  <c r="AY25" i="21"/>
  <c r="AZ25" i="21"/>
  <c r="D89" i="21"/>
  <c r="E89" i="21"/>
  <c r="D90" i="21"/>
  <c r="E90" i="21"/>
  <c r="D91" i="21"/>
  <c r="D92" i="21"/>
  <c r="E92" i="21"/>
  <c r="D102" i="21"/>
  <c r="E102" i="21"/>
  <c r="F102" i="21"/>
  <c r="G102" i="21"/>
  <c r="H102" i="21"/>
  <c r="I102" i="21"/>
  <c r="J102" i="21"/>
  <c r="K102" i="21"/>
  <c r="L102" i="21"/>
  <c r="M102" i="21"/>
  <c r="N102" i="21"/>
  <c r="O102" i="21"/>
  <c r="D103" i="21"/>
  <c r="D104" i="21"/>
  <c r="D105" i="21"/>
  <c r="D106" i="21"/>
  <c r="E103" i="21"/>
  <c r="E104" i="21"/>
  <c r="E105" i="21"/>
  <c r="E106" i="21"/>
  <c r="F103" i="21"/>
  <c r="F104" i="21"/>
  <c r="F105" i="21"/>
  <c r="F106" i="21"/>
  <c r="G103" i="21"/>
  <c r="G104" i="21"/>
  <c r="G105" i="21"/>
  <c r="G106" i="21"/>
  <c r="H103" i="21"/>
  <c r="H104" i="21"/>
  <c r="H105" i="21"/>
  <c r="H106" i="21"/>
  <c r="I103" i="21"/>
  <c r="I104" i="21"/>
  <c r="I105" i="21"/>
  <c r="I106" i="21"/>
  <c r="J103" i="21"/>
  <c r="J104" i="21"/>
  <c r="J105" i="21"/>
  <c r="J106" i="21"/>
  <c r="K103" i="21"/>
  <c r="K104" i="21"/>
  <c r="K105" i="21"/>
  <c r="K106" i="21"/>
  <c r="L103" i="21"/>
  <c r="L104" i="21"/>
  <c r="L105" i="21"/>
  <c r="L106" i="21"/>
  <c r="M103" i="21"/>
  <c r="M104" i="21"/>
  <c r="M105" i="21"/>
  <c r="M106" i="21"/>
  <c r="N103" i="21"/>
  <c r="N104" i="21"/>
  <c r="N105" i="21"/>
  <c r="N106" i="21"/>
  <c r="O103" i="21"/>
  <c r="O104" i="21"/>
  <c r="O105" i="21"/>
  <c r="O106" i="21"/>
  <c r="D107" i="21"/>
  <c r="E107" i="21"/>
  <c r="F107" i="21"/>
  <c r="G107" i="21"/>
  <c r="H107" i="21"/>
  <c r="I107" i="21"/>
  <c r="J107" i="21"/>
  <c r="K107" i="21"/>
  <c r="L107" i="21"/>
  <c r="M107" i="21"/>
  <c r="N107" i="21"/>
  <c r="O107" i="21"/>
  <c r="D110" i="21"/>
  <c r="D111" i="21"/>
  <c r="D112" i="21"/>
  <c r="D113" i="21"/>
  <c r="E110" i="21"/>
  <c r="P102" i="21"/>
  <c r="P104" i="21"/>
  <c r="Q102" i="21"/>
  <c r="Q104" i="21"/>
  <c r="R102" i="21"/>
  <c r="R104" i="21"/>
  <c r="S102" i="21"/>
  <c r="S104" i="21"/>
  <c r="T102" i="21"/>
  <c r="T104" i="21"/>
  <c r="U102" i="21"/>
  <c r="U104" i="21"/>
  <c r="V102" i="21"/>
  <c r="V104" i="21"/>
  <c r="W102" i="21"/>
  <c r="W104" i="21"/>
  <c r="X102" i="21"/>
  <c r="X104" i="21"/>
  <c r="Y102" i="21"/>
  <c r="Y104" i="21"/>
  <c r="Z102" i="21"/>
  <c r="Z104" i="21"/>
  <c r="AA102" i="21"/>
  <c r="AA104" i="21"/>
  <c r="AB102" i="21"/>
  <c r="AB104" i="21"/>
  <c r="AC102" i="21"/>
  <c r="AC104" i="21"/>
  <c r="AD102" i="21"/>
  <c r="AD104" i="21"/>
  <c r="AE102" i="21"/>
  <c r="AE104" i="21"/>
  <c r="AF102" i="21"/>
  <c r="AF104" i="21"/>
  <c r="AG102" i="21"/>
  <c r="AG104" i="21"/>
  <c r="AH102" i="21"/>
  <c r="AH104" i="21"/>
  <c r="AI102" i="21"/>
  <c r="AI104" i="21"/>
  <c r="AJ102" i="21"/>
  <c r="AJ104" i="21"/>
  <c r="AK102" i="21"/>
  <c r="AK104" i="21"/>
  <c r="AL102" i="21"/>
  <c r="AL104" i="21"/>
  <c r="AM102" i="21"/>
  <c r="AM104" i="21"/>
  <c r="AN102" i="21"/>
  <c r="AN104" i="21"/>
  <c r="AO102" i="21"/>
  <c r="AO104" i="21"/>
  <c r="AP102" i="21"/>
  <c r="AP104" i="21"/>
  <c r="AQ102" i="21"/>
  <c r="AQ104" i="21"/>
  <c r="AR102" i="21"/>
  <c r="AR104" i="21"/>
  <c r="AS102" i="21"/>
  <c r="AS104" i="21"/>
  <c r="AT102" i="21"/>
  <c r="AT104" i="21"/>
  <c r="AU102" i="21"/>
  <c r="AU104" i="21"/>
  <c r="AV102" i="21"/>
  <c r="AV104" i="21"/>
  <c r="AW102" i="21"/>
  <c r="AW104" i="21"/>
  <c r="AX102" i="21"/>
  <c r="AX104" i="21"/>
  <c r="AY102" i="21"/>
  <c r="AY104" i="21"/>
  <c r="AZ102" i="21"/>
  <c r="AZ104" i="21"/>
  <c r="BA25" i="21"/>
  <c r="BA102" i="21"/>
  <c r="BA104" i="21"/>
  <c r="BB25" i="21"/>
  <c r="BB102" i="21"/>
  <c r="BB104" i="21"/>
  <c r="BC25" i="21"/>
  <c r="BC102" i="21"/>
  <c r="BC104" i="21"/>
  <c r="BD25" i="21"/>
  <c r="BD102" i="21"/>
  <c r="BD104" i="21"/>
  <c r="BE25" i="21"/>
  <c r="BE102" i="21"/>
  <c r="BE104" i="21"/>
  <c r="BF25" i="21"/>
  <c r="BF102" i="21"/>
  <c r="BF104" i="21"/>
  <c r="BG25" i="21"/>
  <c r="BG102" i="21"/>
  <c r="BG104" i="21"/>
  <c r="BH25" i="21"/>
  <c r="BH102" i="21"/>
  <c r="BH104" i="21"/>
  <c r="BI25" i="21"/>
  <c r="BI102" i="21"/>
  <c r="BI104" i="21"/>
  <c r="BJ25" i="21"/>
  <c r="BJ102" i="21"/>
  <c r="BJ104" i="21"/>
  <c r="BK25" i="21"/>
  <c r="BK102" i="21"/>
  <c r="BK104" i="21"/>
  <c r="BL25" i="21"/>
  <c r="BL102" i="21"/>
  <c r="BL104" i="21"/>
  <c r="BM25" i="21"/>
  <c r="BM102" i="21"/>
  <c r="BM104" i="21"/>
  <c r="BN25" i="21"/>
  <c r="BN102" i="21"/>
  <c r="BN104" i="21"/>
  <c r="BO25" i="21"/>
  <c r="BO102" i="21"/>
  <c r="BO104" i="21"/>
  <c r="BP25" i="21"/>
  <c r="BP102" i="21"/>
  <c r="BP104" i="21"/>
  <c r="BQ25" i="21"/>
  <c r="BQ102" i="21"/>
  <c r="BQ104" i="21"/>
  <c r="BR25" i="21"/>
  <c r="BR102" i="21"/>
  <c r="BR104" i="21"/>
  <c r="BS25" i="21"/>
  <c r="BS102" i="21"/>
  <c r="BS104" i="21"/>
  <c r="BT25" i="21"/>
  <c r="BT102" i="21"/>
  <c r="BT104" i="21"/>
  <c r="BU25" i="21"/>
  <c r="BU102" i="21"/>
  <c r="BU104" i="21"/>
  <c r="BV25" i="21"/>
  <c r="BV102" i="21"/>
  <c r="BV104" i="21"/>
  <c r="BW25" i="21"/>
  <c r="BW102" i="21"/>
  <c r="BW104" i="21"/>
  <c r="BX25" i="21"/>
  <c r="BX102" i="21"/>
  <c r="BX104" i="21"/>
  <c r="BY25" i="21"/>
  <c r="BY102" i="21"/>
  <c r="BY104" i="21"/>
  <c r="BZ25" i="21"/>
  <c r="BZ102" i="21"/>
  <c r="BZ104" i="21"/>
  <c r="CA25" i="21"/>
  <c r="CA102" i="21"/>
  <c r="CA104" i="21"/>
  <c r="CB25" i="21"/>
  <c r="CB102" i="21"/>
  <c r="CB104" i="21"/>
  <c r="CC25" i="21"/>
  <c r="CC102" i="21"/>
  <c r="CC104" i="21"/>
  <c r="CD25" i="21"/>
  <c r="CD102" i="21"/>
  <c r="CD104" i="21"/>
  <c r="CE25" i="21"/>
  <c r="CE102" i="21"/>
  <c r="CE104" i="21"/>
  <c r="CF25" i="21"/>
  <c r="CF102" i="21"/>
  <c r="CF104" i="21"/>
  <c r="CG25" i="21"/>
  <c r="CG102" i="21"/>
  <c r="CG104" i="21"/>
  <c r="CH25" i="21"/>
  <c r="CH102" i="21"/>
  <c r="CH104" i="21"/>
  <c r="CI25" i="21"/>
  <c r="CI102" i="21"/>
  <c r="CI104" i="21"/>
  <c r="CJ25" i="21"/>
  <c r="CJ102" i="21"/>
  <c r="CJ104" i="21"/>
  <c r="CK25" i="21"/>
  <c r="CK102" i="21"/>
  <c r="CK104" i="21"/>
  <c r="CL25" i="21"/>
  <c r="CL102" i="21"/>
  <c r="CL104" i="21"/>
  <c r="CM25" i="21"/>
  <c r="CM102" i="21"/>
  <c r="CM104" i="21"/>
  <c r="CN25" i="21"/>
  <c r="CN102" i="21"/>
  <c r="CN104" i="21"/>
  <c r="CO25" i="21"/>
  <c r="CO102" i="21"/>
  <c r="CO104" i="21"/>
  <c r="CP25" i="21"/>
  <c r="CP102" i="21"/>
  <c r="CP104" i="21"/>
  <c r="CQ25" i="21"/>
  <c r="CQ102" i="21"/>
  <c r="CQ104" i="21"/>
  <c r="CR25" i="21"/>
  <c r="CR102" i="21"/>
  <c r="CR104" i="21"/>
  <c r="CS25" i="21"/>
  <c r="CS102" i="21"/>
  <c r="CS104" i="21"/>
  <c r="CT25" i="21"/>
  <c r="CT102" i="21"/>
  <c r="CT104" i="21"/>
  <c r="CU25" i="21"/>
  <c r="CU102" i="21"/>
  <c r="CU104" i="21"/>
  <c r="E111" i="21"/>
  <c r="E112" i="21"/>
  <c r="E113" i="21"/>
  <c r="F110" i="21"/>
  <c r="F111" i="21"/>
  <c r="F112" i="21"/>
  <c r="F113" i="21"/>
  <c r="G110" i="21"/>
  <c r="G111" i="21"/>
  <c r="JU10" i="21"/>
  <c r="JU98" i="21"/>
  <c r="G112" i="21"/>
  <c r="G113" i="21"/>
  <c r="H110" i="21"/>
  <c r="H111" i="21"/>
  <c r="H112" i="21"/>
  <c r="H113" i="21"/>
  <c r="I110" i="21"/>
  <c r="I111" i="21"/>
  <c r="I112" i="21"/>
  <c r="I113" i="21"/>
  <c r="J110" i="21"/>
  <c r="J111" i="21"/>
  <c r="J112" i="21"/>
  <c r="J113" i="21"/>
  <c r="K110" i="21"/>
  <c r="K111" i="21"/>
  <c r="K112" i="21"/>
  <c r="K113" i="21"/>
  <c r="L110" i="21"/>
  <c r="L111" i="21"/>
  <c r="L112" i="21"/>
  <c r="L113" i="21"/>
  <c r="M110" i="21"/>
  <c r="M111" i="21"/>
  <c r="M112" i="21"/>
  <c r="M113" i="21"/>
  <c r="N110" i="21"/>
  <c r="N111" i="21"/>
  <c r="N112" i="21"/>
  <c r="N113" i="21"/>
  <c r="O110" i="21"/>
  <c r="O111" i="21"/>
  <c r="O112" i="21"/>
  <c r="O113" i="21"/>
  <c r="D114" i="21"/>
  <c r="E114" i="21"/>
  <c r="F114" i="21"/>
  <c r="G114" i="21"/>
  <c r="H114" i="21"/>
  <c r="I114" i="21"/>
  <c r="S180" i="23"/>
  <c r="Q180" i="23"/>
  <c r="P180" i="23"/>
  <c r="M176" i="23"/>
  <c r="M178" i="23"/>
  <c r="M69" i="23"/>
  <c r="M70" i="23"/>
  <c r="M63" i="23"/>
  <c r="M64" i="23"/>
  <c r="M65" i="23"/>
  <c r="M66" i="23"/>
  <c r="M67" i="23"/>
  <c r="M85" i="23"/>
  <c r="M180" i="23" s="1"/>
  <c r="L176" i="23"/>
  <c r="L178" i="23"/>
  <c r="L69" i="23"/>
  <c r="L70" i="23"/>
  <c r="L63" i="23"/>
  <c r="L64" i="23"/>
  <c r="L65" i="23"/>
  <c r="L66" i="23"/>
  <c r="L67" i="23"/>
  <c r="L85" i="23"/>
  <c r="L180" i="23" s="1"/>
  <c r="K176" i="23"/>
  <c r="K178" i="23"/>
  <c r="K69" i="23"/>
  <c r="K70" i="23"/>
  <c r="K63" i="23"/>
  <c r="K64" i="23"/>
  <c r="K65" i="23"/>
  <c r="K66" i="23"/>
  <c r="K67" i="23"/>
  <c r="K85" i="23"/>
  <c r="K180" i="23" s="1"/>
  <c r="J178" i="23"/>
  <c r="J69" i="23"/>
  <c r="J70" i="23"/>
  <c r="J63" i="23"/>
  <c r="J64" i="23"/>
  <c r="J65" i="23"/>
  <c r="J66" i="23"/>
  <c r="J67" i="23"/>
  <c r="J85" i="23"/>
  <c r="J180" i="23" s="1"/>
  <c r="I178" i="23"/>
  <c r="I69" i="23"/>
  <c r="I70" i="23"/>
  <c r="I63" i="23"/>
  <c r="I64" i="23"/>
  <c r="I65" i="23"/>
  <c r="I66" i="23"/>
  <c r="I67" i="23"/>
  <c r="I85" i="23"/>
  <c r="I180" i="23" s="1"/>
  <c r="H21" i="23"/>
  <c r="H14" i="23" s="1"/>
  <c r="H31" i="23"/>
  <c r="H178" i="23"/>
  <c r="H69" i="23"/>
  <c r="H70" i="23"/>
  <c r="H63" i="23"/>
  <c r="H64" i="23"/>
  <c r="H65" i="23"/>
  <c r="H66" i="23"/>
  <c r="H67" i="23"/>
  <c r="H85" i="23"/>
  <c r="H180" i="23" s="1"/>
  <c r="H86" i="23"/>
  <c r="D36" i="3"/>
  <c r="D57" i="3"/>
  <c r="G3" i="23"/>
  <c r="G167" i="23" s="1"/>
  <c r="D32" i="3"/>
  <c r="C39" i="3"/>
  <c r="D39" i="3"/>
  <c r="D38" i="3"/>
  <c r="D40" i="3" s="1"/>
  <c r="D43" i="3"/>
  <c r="D44" i="3"/>
  <c r="D48" i="3" s="1"/>
  <c r="D49" i="3" s="1"/>
  <c r="D45" i="3"/>
  <c r="D47" i="3"/>
  <c r="D5" i="3"/>
  <c r="D12" i="3"/>
  <c r="D13" i="3"/>
  <c r="D17" i="3"/>
  <c r="D18" i="3" s="1"/>
  <c r="D22" i="3" s="1"/>
  <c r="D19" i="3"/>
  <c r="D52" i="3"/>
  <c r="D54" i="3"/>
  <c r="E6" i="7"/>
  <c r="G176" i="23"/>
  <c r="G179" i="23"/>
  <c r="G180" i="23"/>
  <c r="C66" i="1"/>
  <c r="B12" i="9"/>
  <c r="AC14" i="9"/>
  <c r="B15" i="9"/>
  <c r="AC1" i="9"/>
  <c r="C1" i="9"/>
  <c r="D1" i="9"/>
  <c r="F1" i="9"/>
  <c r="G1" i="9"/>
  <c r="H1" i="9"/>
  <c r="I1" i="9"/>
  <c r="J1" i="9"/>
  <c r="K1" i="9"/>
  <c r="L1" i="9"/>
  <c r="M1" i="9"/>
  <c r="N1" i="9"/>
  <c r="O1" i="9"/>
  <c r="P1" i="9"/>
  <c r="Q1" i="9"/>
  <c r="R1" i="9"/>
  <c r="S1" i="9"/>
  <c r="T1" i="9"/>
  <c r="U1" i="9"/>
  <c r="V1" i="9"/>
  <c r="W1" i="9"/>
  <c r="X1" i="9"/>
  <c r="Y1" i="9"/>
  <c r="Z1" i="9"/>
  <c r="AA1" i="9"/>
  <c r="AB1" i="9"/>
  <c r="AC15" i="9"/>
  <c r="AE23" i="2" s="1"/>
  <c r="AA36" i="17" s="1"/>
  <c r="AE39" i="23"/>
  <c r="AB14" i="9"/>
  <c r="AB15" i="9"/>
  <c r="AD39" i="23"/>
  <c r="AA14" i="9"/>
  <c r="AA15" i="9"/>
  <c r="AC39" i="23"/>
  <c r="Z14" i="9"/>
  <c r="Z15" i="9"/>
  <c r="AB39" i="23"/>
  <c r="Y14" i="9"/>
  <c r="Y15" i="9"/>
  <c r="AA39" i="23"/>
  <c r="X14" i="9"/>
  <c r="X15" i="9"/>
  <c r="Z39" i="23"/>
  <c r="W14" i="9"/>
  <c r="W15" i="9"/>
  <c r="Y39" i="23"/>
  <c r="V14" i="9"/>
  <c r="V15" i="9"/>
  <c r="X39" i="23"/>
  <c r="U14" i="9"/>
  <c r="U15" i="9"/>
  <c r="W39" i="23"/>
  <c r="T14" i="9"/>
  <c r="T15" i="9"/>
  <c r="V39" i="23"/>
  <c r="S14" i="9"/>
  <c r="S15" i="9"/>
  <c r="U39" i="23"/>
  <c r="R14" i="9"/>
  <c r="R15" i="9"/>
  <c r="T39" i="23"/>
  <c r="Q14" i="9"/>
  <c r="Q15" i="9"/>
  <c r="S39" i="23"/>
  <c r="P14" i="9"/>
  <c r="P15" i="9"/>
  <c r="R39" i="23"/>
  <c r="O14" i="9"/>
  <c r="O15" i="9"/>
  <c r="Q39" i="23"/>
  <c r="N14" i="9"/>
  <c r="N15" i="9"/>
  <c r="P39" i="23"/>
  <c r="M14" i="9"/>
  <c r="M15" i="9"/>
  <c r="O39" i="23"/>
  <c r="L14" i="9"/>
  <c r="L15" i="9"/>
  <c r="N39" i="23"/>
  <c r="M167" i="23"/>
  <c r="L167" i="23"/>
  <c r="J5" i="3"/>
  <c r="K167" i="23"/>
  <c r="I5" i="3"/>
  <c r="J167" i="23"/>
  <c r="H5" i="3"/>
  <c r="I167" i="23"/>
  <c r="G5" i="3"/>
  <c r="H167" i="23"/>
  <c r="D33" i="3"/>
  <c r="D34" i="3" s="1"/>
  <c r="AE164" i="23"/>
  <c r="AD164" i="23"/>
  <c r="AC164" i="23"/>
  <c r="AB164" i="23"/>
  <c r="AA164" i="23"/>
  <c r="Z164" i="23"/>
  <c r="Y164" i="23"/>
  <c r="X164" i="23"/>
  <c r="W164" i="23"/>
  <c r="V164" i="23"/>
  <c r="U164" i="23"/>
  <c r="T164" i="23"/>
  <c r="S164" i="23"/>
  <c r="R164" i="23"/>
  <c r="Q164" i="23"/>
  <c r="P164" i="23"/>
  <c r="O164" i="23"/>
  <c r="N164" i="23"/>
  <c r="M164" i="23"/>
  <c r="L164" i="23"/>
  <c r="K164" i="23"/>
  <c r="J164" i="23"/>
  <c r="I164" i="23"/>
  <c r="H164" i="23"/>
  <c r="G164" i="23"/>
  <c r="B8" i="1"/>
  <c r="AE163" i="23"/>
  <c r="AD163" i="23"/>
  <c r="AC163" i="23"/>
  <c r="AB163" i="23"/>
  <c r="AA163" i="23"/>
  <c r="Z163" i="23"/>
  <c r="Y163" i="23"/>
  <c r="X163" i="23"/>
  <c r="W163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M131" i="23"/>
  <c r="M160" i="23" s="1"/>
  <c r="L131" i="23"/>
  <c r="K131" i="23"/>
  <c r="K160" i="23" s="1"/>
  <c r="J131" i="23"/>
  <c r="J160" i="23" s="1"/>
  <c r="I131" i="23"/>
  <c r="I160" i="23" s="1"/>
  <c r="H131" i="23"/>
  <c r="H160" i="23" s="1"/>
  <c r="D130" i="23"/>
  <c r="E130" i="23" s="1"/>
  <c r="E131" i="23" s="1"/>
  <c r="E160" i="23" s="1"/>
  <c r="D129" i="23"/>
  <c r="C129" i="23"/>
  <c r="C130" i="23"/>
  <c r="M159" i="23"/>
  <c r="L159" i="23"/>
  <c r="K159" i="23"/>
  <c r="J159" i="23"/>
  <c r="I159" i="23"/>
  <c r="H159" i="23"/>
  <c r="E122" i="23"/>
  <c r="E159" i="23" s="1"/>
  <c r="D159" i="23"/>
  <c r="C159" i="23"/>
  <c r="AE81" i="23"/>
  <c r="N144" i="23"/>
  <c r="O144" i="23" s="1"/>
  <c r="P144" i="23" s="1"/>
  <c r="Q144" i="23" s="1"/>
  <c r="R144" i="23" s="1"/>
  <c r="S144" i="23" s="1"/>
  <c r="T144" i="23" s="1"/>
  <c r="U144" i="23" s="1"/>
  <c r="V144" i="23" s="1"/>
  <c r="W144" i="23" s="1"/>
  <c r="X144" i="23" s="1"/>
  <c r="Y144" i="23" s="1"/>
  <c r="Z144" i="23" s="1"/>
  <c r="AA144" i="23" s="1"/>
  <c r="AB144" i="23" s="1"/>
  <c r="AC144" i="23" s="1"/>
  <c r="AD144" i="23" s="1"/>
  <c r="AE144" i="23" s="1"/>
  <c r="N145" i="23"/>
  <c r="O145" i="23" s="1"/>
  <c r="P145" i="23" s="1"/>
  <c r="Q145" i="23" s="1"/>
  <c r="R145" i="23" s="1"/>
  <c r="S145" i="23" s="1"/>
  <c r="T145" i="23" s="1"/>
  <c r="U145" i="23" s="1"/>
  <c r="V145" i="23" s="1"/>
  <c r="W145" i="23" s="1"/>
  <c r="X145" i="23" s="1"/>
  <c r="Y145" i="23" s="1"/>
  <c r="Z145" i="23" s="1"/>
  <c r="AA145" i="23" s="1"/>
  <c r="AB145" i="23" s="1"/>
  <c r="AC145" i="23" s="1"/>
  <c r="AD145" i="23" s="1"/>
  <c r="AE145" i="23" s="1"/>
  <c r="M146" i="23"/>
  <c r="N146" i="23" s="1"/>
  <c r="O146" i="23" s="1"/>
  <c r="P146" i="23" s="1"/>
  <c r="Q146" i="23" s="1"/>
  <c r="R146" i="23" s="1"/>
  <c r="S146" i="23" s="1"/>
  <c r="T146" i="23" s="1"/>
  <c r="U146" i="23" s="1"/>
  <c r="V146" i="23" s="1"/>
  <c r="W146" i="23" s="1"/>
  <c r="X146" i="23" s="1"/>
  <c r="Y146" i="23" s="1"/>
  <c r="Z146" i="23" s="1"/>
  <c r="AA146" i="23" s="1"/>
  <c r="AB146" i="23" s="1"/>
  <c r="AC146" i="23" s="1"/>
  <c r="AD146" i="23" s="1"/>
  <c r="AE146" i="23" s="1"/>
  <c r="M132" i="23"/>
  <c r="N133" i="23"/>
  <c r="O133" i="23" s="1"/>
  <c r="P133" i="23" s="1"/>
  <c r="Q133" i="23" s="1"/>
  <c r="R133" i="23" s="1"/>
  <c r="S133" i="23" s="1"/>
  <c r="T133" i="23" s="1"/>
  <c r="U133" i="23" s="1"/>
  <c r="V133" i="23" s="1"/>
  <c r="W133" i="23" s="1"/>
  <c r="X133" i="23" s="1"/>
  <c r="Y133" i="23" s="1"/>
  <c r="Z133" i="23" s="1"/>
  <c r="AA133" i="23" s="1"/>
  <c r="AB133" i="23" s="1"/>
  <c r="AC133" i="23" s="1"/>
  <c r="AD133" i="23" s="1"/>
  <c r="AE133" i="23" s="1"/>
  <c r="N134" i="23"/>
  <c r="O134" i="23"/>
  <c r="P134" i="23" s="1"/>
  <c r="Q134" i="23" s="1"/>
  <c r="R134" i="23" s="1"/>
  <c r="S134" i="23" s="1"/>
  <c r="T134" i="23" s="1"/>
  <c r="U134" i="23" s="1"/>
  <c r="V134" i="23" s="1"/>
  <c r="W134" i="23" s="1"/>
  <c r="X134" i="23" s="1"/>
  <c r="Y134" i="23" s="1"/>
  <c r="Z134" i="23" s="1"/>
  <c r="AA134" i="23" s="1"/>
  <c r="AB134" i="23" s="1"/>
  <c r="AC134" i="23" s="1"/>
  <c r="AD134" i="23" s="1"/>
  <c r="AE134" i="23" s="1"/>
  <c r="N135" i="23"/>
  <c r="O135" i="23" s="1"/>
  <c r="P135" i="23" s="1"/>
  <c r="Q135" i="23" s="1"/>
  <c r="R135" i="23" s="1"/>
  <c r="S135" i="23" s="1"/>
  <c r="T135" i="23" s="1"/>
  <c r="U135" i="23" s="1"/>
  <c r="V135" i="23" s="1"/>
  <c r="W135" i="23" s="1"/>
  <c r="X135" i="23" s="1"/>
  <c r="Y135" i="23" s="1"/>
  <c r="Z135" i="23" s="1"/>
  <c r="AA135" i="23" s="1"/>
  <c r="AB135" i="23" s="1"/>
  <c r="AC135" i="23" s="1"/>
  <c r="AD135" i="23" s="1"/>
  <c r="AE135" i="23" s="1"/>
  <c r="L146" i="23"/>
  <c r="L156" i="23" s="1"/>
  <c r="L135" i="23"/>
  <c r="K146" i="23"/>
  <c r="K156" i="23" s="1"/>
  <c r="K135" i="23"/>
  <c r="J146" i="23"/>
  <c r="J147" i="23" s="1"/>
  <c r="J157" i="23" s="1"/>
  <c r="I146" i="23"/>
  <c r="H146" i="23"/>
  <c r="E143" i="23"/>
  <c r="D132" i="23"/>
  <c r="E132" i="23" s="1"/>
  <c r="F132" i="23" s="1"/>
  <c r="G132" i="23" s="1"/>
  <c r="E126" i="23"/>
  <c r="C124" i="23"/>
  <c r="C156" i="23" s="1"/>
  <c r="M156" i="23"/>
  <c r="H156" i="23"/>
  <c r="D156" i="23"/>
  <c r="H76" i="23"/>
  <c r="H109" i="23" s="1"/>
  <c r="I109" i="23" s="1"/>
  <c r="J109" i="23" s="1"/>
  <c r="K109" i="23" s="1"/>
  <c r="H111" i="23"/>
  <c r="I111" i="23" s="1"/>
  <c r="J111" i="23" s="1"/>
  <c r="K111" i="23" s="1"/>
  <c r="L111" i="23" s="1"/>
  <c r="M111" i="23" s="1"/>
  <c r="N111" i="23" s="1"/>
  <c r="O111" i="23" s="1"/>
  <c r="P111" i="23" s="1"/>
  <c r="Q111" i="23" s="1"/>
  <c r="R111" i="23" s="1"/>
  <c r="S111" i="23" s="1"/>
  <c r="T111" i="23" s="1"/>
  <c r="U111" i="23" s="1"/>
  <c r="V111" i="23" s="1"/>
  <c r="W111" i="23" s="1"/>
  <c r="X111" i="23" s="1"/>
  <c r="Y111" i="23" s="1"/>
  <c r="Z111" i="23" s="1"/>
  <c r="AA111" i="23" s="1"/>
  <c r="AB111" i="23" s="1"/>
  <c r="AC111" i="23" s="1"/>
  <c r="AD111" i="23" s="1"/>
  <c r="AE111" i="23" s="1"/>
  <c r="H75" i="23"/>
  <c r="H108" i="23" s="1"/>
  <c r="E113" i="23"/>
  <c r="E155" i="23" s="1"/>
  <c r="D108" i="23"/>
  <c r="D109" i="23"/>
  <c r="D113" i="23" s="1"/>
  <c r="C108" i="23"/>
  <c r="C113" i="23"/>
  <c r="C155" i="23" s="1"/>
  <c r="H116" i="23"/>
  <c r="I116" i="23" s="1"/>
  <c r="J116" i="23" s="1"/>
  <c r="K116" i="23" s="1"/>
  <c r="L116" i="23" s="1"/>
  <c r="M116" i="23" s="1"/>
  <c r="N116" i="23" s="1"/>
  <c r="O116" i="23" s="1"/>
  <c r="P116" i="23" s="1"/>
  <c r="Q116" i="23" s="1"/>
  <c r="R116" i="23" s="1"/>
  <c r="S116" i="23" s="1"/>
  <c r="T116" i="23" s="1"/>
  <c r="U116" i="23" s="1"/>
  <c r="V116" i="23" s="1"/>
  <c r="W116" i="23" s="1"/>
  <c r="X116" i="23" s="1"/>
  <c r="Y116" i="23" s="1"/>
  <c r="Z116" i="23" s="1"/>
  <c r="AA116" i="23" s="1"/>
  <c r="AB116" i="23" s="1"/>
  <c r="AC116" i="23" s="1"/>
  <c r="AD116" i="23" s="1"/>
  <c r="AE116" i="23" s="1"/>
  <c r="M44" i="23"/>
  <c r="L44" i="23"/>
  <c r="C36" i="3"/>
  <c r="C57" i="3" s="1"/>
  <c r="F3" i="2" s="1"/>
  <c r="F3" i="23"/>
  <c r="C32" i="3"/>
  <c r="C34" i="3" s="1"/>
  <c r="C38" i="3"/>
  <c r="C40" i="3" s="1"/>
  <c r="E40" i="3" s="1"/>
  <c r="C43" i="3"/>
  <c r="C5" i="3"/>
  <c r="C6" i="3" s="1"/>
  <c r="C12" i="3"/>
  <c r="C13" i="3"/>
  <c r="C17" i="3"/>
  <c r="C18" i="3" s="1"/>
  <c r="C22" i="3" s="1"/>
  <c r="C19" i="3"/>
  <c r="C52" i="3"/>
  <c r="C53" i="3" s="1"/>
  <c r="C54" i="3"/>
  <c r="C28" i="3"/>
  <c r="C60" i="3" s="1"/>
  <c r="F14" i="23" s="1"/>
  <c r="E31" i="23"/>
  <c r="E33" i="23" s="1"/>
  <c r="D152" i="23"/>
  <c r="C3" i="23"/>
  <c r="C152" i="23" s="1"/>
  <c r="D7" i="23"/>
  <c r="D9" i="23"/>
  <c r="C5" i="23"/>
  <c r="C7" i="23"/>
  <c r="C9" i="23"/>
  <c r="C14" i="23"/>
  <c r="G127" i="23"/>
  <c r="F127" i="23"/>
  <c r="N118" i="23"/>
  <c r="O118" i="23"/>
  <c r="P118" i="23" s="1"/>
  <c r="Q118" i="23" s="1"/>
  <c r="R118" i="23" s="1"/>
  <c r="S118" i="23" s="1"/>
  <c r="T118" i="23" s="1"/>
  <c r="U118" i="23" s="1"/>
  <c r="V118" i="23" s="1"/>
  <c r="W118" i="23" s="1"/>
  <c r="X118" i="23" s="1"/>
  <c r="Y118" i="23" s="1"/>
  <c r="Z118" i="23" s="1"/>
  <c r="AA118" i="23" s="1"/>
  <c r="AB118" i="23" s="1"/>
  <c r="AC118" i="23" s="1"/>
  <c r="AD118" i="23" s="1"/>
  <c r="AE118" i="23" s="1"/>
  <c r="N108" i="23"/>
  <c r="O108" i="23" s="1"/>
  <c r="P108" i="23" s="1"/>
  <c r="M62" i="23"/>
  <c r="L62" i="23"/>
  <c r="K62" i="23"/>
  <c r="J62" i="23"/>
  <c r="I62" i="23"/>
  <c r="H62" i="23"/>
  <c r="H78" i="23"/>
  <c r="H81" i="23"/>
  <c r="E103" i="23"/>
  <c r="CU80" i="21"/>
  <c r="P86" i="21"/>
  <c r="Q86" i="21"/>
  <c r="R86" i="21"/>
  <c r="S86" i="21"/>
  <c r="T86" i="21"/>
  <c r="U86" i="21"/>
  <c r="V86" i="21"/>
  <c r="W86" i="21"/>
  <c r="X86" i="21"/>
  <c r="Y86" i="21"/>
  <c r="Z86" i="21"/>
  <c r="AA86" i="21"/>
  <c r="AA88" i="21"/>
  <c r="AE98" i="23"/>
  <c r="I98" i="23"/>
  <c r="AD90" i="23"/>
  <c r="Z90" i="23"/>
  <c r="V90" i="23"/>
  <c r="P90" i="23"/>
  <c r="I90" i="23"/>
  <c r="C1" i="23"/>
  <c r="D1" i="23" s="1"/>
  <c r="E1" i="23" s="1"/>
  <c r="H88" i="23"/>
  <c r="H89" i="23"/>
  <c r="AD81" i="23"/>
  <c r="AC81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AA112" i="21"/>
  <c r="AE80" i="23"/>
  <c r="Z112" i="21"/>
  <c r="AD80" i="23"/>
  <c r="Y112" i="21"/>
  <c r="AC80" i="23"/>
  <c r="X112" i="21"/>
  <c r="AB80" i="23"/>
  <c r="W112" i="21"/>
  <c r="AA80" i="23"/>
  <c r="V112" i="21"/>
  <c r="Z80" i="23"/>
  <c r="U112" i="21"/>
  <c r="Y80" i="23"/>
  <c r="T112" i="21"/>
  <c r="X80" i="23"/>
  <c r="S112" i="21"/>
  <c r="W80" i="23"/>
  <c r="R112" i="21"/>
  <c r="V80" i="23"/>
  <c r="Q112" i="21"/>
  <c r="U80" i="23"/>
  <c r="P112" i="21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D49" i="23"/>
  <c r="D42" i="23"/>
  <c r="C35" i="23"/>
  <c r="C36" i="23"/>
  <c r="C42" i="23"/>
  <c r="G40" i="23"/>
  <c r="E14" i="9"/>
  <c r="E1" i="9"/>
  <c r="E15" i="9"/>
  <c r="G39" i="23"/>
  <c r="D14" i="9"/>
  <c r="D15" i="9"/>
  <c r="F39" i="23"/>
  <c r="G37" i="23"/>
  <c r="F37" i="23"/>
  <c r="B130" i="1"/>
  <c r="D131" i="1"/>
  <c r="B135" i="1"/>
  <c r="C135" i="1"/>
  <c r="D7" i="4"/>
  <c r="E7" i="4" s="1"/>
  <c r="D18" i="4"/>
  <c r="E18" i="4"/>
  <c r="F18" i="4" s="1"/>
  <c r="G18" i="4" s="1"/>
  <c r="H18" i="4" s="1"/>
  <c r="I18" i="4" s="1"/>
  <c r="J18" i="4" s="1"/>
  <c r="K18" i="4" s="1"/>
  <c r="L18" i="4" s="1"/>
  <c r="M18" i="4" s="1"/>
  <c r="N18" i="4" s="1"/>
  <c r="O18" i="4" s="1"/>
  <c r="D19" i="4"/>
  <c r="E19" i="4"/>
  <c r="F19" i="4" s="1"/>
  <c r="G19" i="4" s="1"/>
  <c r="H19" i="4" s="1"/>
  <c r="I19" i="4" s="1"/>
  <c r="J19" i="4" s="1"/>
  <c r="K19" i="4" s="1"/>
  <c r="L19" i="4" s="1"/>
  <c r="M19" i="4" s="1"/>
  <c r="N19" i="4" s="1"/>
  <c r="O19" i="4" s="1"/>
  <c r="B10" i="1"/>
  <c r="C10" i="1"/>
  <c r="D10" i="1"/>
  <c r="E10" i="1"/>
  <c r="F10" i="1"/>
  <c r="G10" i="1"/>
  <c r="H10" i="1"/>
  <c r="I10" i="1"/>
  <c r="J10" i="1"/>
  <c r="K10" i="1"/>
  <c r="E15" i="1"/>
  <c r="D15" i="1"/>
  <c r="B136" i="1"/>
  <c r="B137" i="1"/>
  <c r="H60" i="2"/>
  <c r="H93" i="2"/>
  <c r="I93" i="2"/>
  <c r="J93" i="2"/>
  <c r="K93" i="2"/>
  <c r="L93" i="2"/>
  <c r="M93" i="2"/>
  <c r="M130" i="2"/>
  <c r="G43" i="3"/>
  <c r="G44" i="3" s="1"/>
  <c r="G45" i="3"/>
  <c r="G38" i="3"/>
  <c r="G39" i="3"/>
  <c r="J43" i="3"/>
  <c r="J44" i="3" s="1"/>
  <c r="J38" i="3"/>
  <c r="J39" i="3"/>
  <c r="J36" i="3"/>
  <c r="J57" i="3" s="1"/>
  <c r="F5" i="7"/>
  <c r="I5" i="7"/>
  <c r="J5" i="7"/>
  <c r="C9" i="4"/>
  <c r="D9" i="4" s="1"/>
  <c r="P10" i="4"/>
  <c r="Q10" i="4"/>
  <c r="R10" i="4" s="1"/>
  <c r="S10" i="4" s="1"/>
  <c r="T10" i="4" s="1"/>
  <c r="U10" i="4" s="1"/>
  <c r="V10" i="4" s="1"/>
  <c r="W10" i="4" s="1"/>
  <c r="X10" i="4" s="1"/>
  <c r="Y10" i="4" s="1"/>
  <c r="Z10" i="4" s="1"/>
  <c r="B32" i="1"/>
  <c r="B21" i="1"/>
  <c r="C19" i="1"/>
  <c r="K47" i="2"/>
  <c r="H59" i="2"/>
  <c r="H92" i="2"/>
  <c r="H111" i="2"/>
  <c r="H130" i="2"/>
  <c r="I130" i="2"/>
  <c r="I92" i="2"/>
  <c r="I111" i="2"/>
  <c r="H65" i="2"/>
  <c r="J92" i="2"/>
  <c r="J111" i="2"/>
  <c r="J130" i="2"/>
  <c r="K111" i="2"/>
  <c r="L111" i="2"/>
  <c r="K130" i="2"/>
  <c r="L130" i="2"/>
  <c r="K119" i="2"/>
  <c r="L119" i="2"/>
  <c r="K33" i="2"/>
  <c r="C112" i="1"/>
  <c r="L33" i="2"/>
  <c r="H39" i="22"/>
  <c r="C42" i="22"/>
  <c r="H40" i="22"/>
  <c r="C43" i="22"/>
  <c r="C33" i="3"/>
  <c r="E36" i="3"/>
  <c r="E57" i="3" s="1"/>
  <c r="E54" i="3"/>
  <c r="H158" i="2"/>
  <c r="H159" i="2"/>
  <c r="C13" i="22"/>
  <c r="Q148" i="22"/>
  <c r="M148" i="22"/>
  <c r="I148" i="22"/>
  <c r="D105" i="22"/>
  <c r="D106" i="22"/>
  <c r="K102" i="22"/>
  <c r="K112" i="22"/>
  <c r="D107" i="22"/>
  <c r="L102" i="22"/>
  <c r="L112" i="22"/>
  <c r="J102" i="22"/>
  <c r="J112" i="22"/>
  <c r="U102" i="22"/>
  <c r="T102" i="22"/>
  <c r="S102" i="22"/>
  <c r="C3" i="22"/>
  <c r="D3" i="22"/>
  <c r="E3" i="22"/>
  <c r="F3" i="22"/>
  <c r="G3" i="22"/>
  <c r="H3" i="22"/>
  <c r="I3" i="22"/>
  <c r="J3" i="22"/>
  <c r="K3" i="22"/>
  <c r="L3" i="22"/>
  <c r="M3" i="22"/>
  <c r="N3" i="22"/>
  <c r="O3" i="22"/>
  <c r="P3" i="22"/>
  <c r="Q3" i="22"/>
  <c r="R3" i="22"/>
  <c r="S3" i="22"/>
  <c r="T3" i="22"/>
  <c r="U3" i="22"/>
  <c r="V3" i="22"/>
  <c r="W3" i="22"/>
  <c r="X3" i="22"/>
  <c r="Y3" i="22"/>
  <c r="Z3" i="22"/>
  <c r="C37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T82" i="22"/>
  <c r="U82" i="22"/>
  <c r="V82" i="22"/>
  <c r="W82" i="22"/>
  <c r="X82" i="22"/>
  <c r="Y82" i="22"/>
  <c r="Z82" i="22"/>
  <c r="AA82" i="22"/>
  <c r="D103" i="22"/>
  <c r="I69" i="2"/>
  <c r="I164" i="2"/>
  <c r="D27" i="22"/>
  <c r="F43" i="3"/>
  <c r="F44" i="3" s="1"/>
  <c r="F38" i="3"/>
  <c r="F39" i="3"/>
  <c r="F36" i="3"/>
  <c r="F57" i="3"/>
  <c r="D7" i="22"/>
  <c r="D28" i="22"/>
  <c r="J69" i="2"/>
  <c r="J164" i="2"/>
  <c r="E27" i="22"/>
  <c r="G36" i="3"/>
  <c r="G57" i="3"/>
  <c r="E7" i="22"/>
  <c r="E28" i="22"/>
  <c r="K69" i="2"/>
  <c r="K164" i="2"/>
  <c r="F27" i="22"/>
  <c r="H43" i="3"/>
  <c r="H38" i="3"/>
  <c r="H39" i="3"/>
  <c r="H36" i="3"/>
  <c r="F7" i="22"/>
  <c r="F28" i="22"/>
  <c r="L69" i="2"/>
  <c r="L164" i="2"/>
  <c r="G27" i="22"/>
  <c r="I43" i="3"/>
  <c r="I44" i="3"/>
  <c r="I48" i="3" s="1"/>
  <c r="I45" i="3"/>
  <c r="I38" i="3"/>
  <c r="I39" i="3"/>
  <c r="I36" i="3"/>
  <c r="G7" i="22"/>
  <c r="G28" i="22"/>
  <c r="M69" i="2"/>
  <c r="M164" i="2"/>
  <c r="H27" i="22"/>
  <c r="H7" i="22"/>
  <c r="H28" i="22"/>
  <c r="N69" i="2"/>
  <c r="N164" i="2"/>
  <c r="I27" i="22"/>
  <c r="O69" i="2"/>
  <c r="O164" i="2"/>
  <c r="J27" i="22"/>
  <c r="P69" i="2"/>
  <c r="P164" i="2"/>
  <c r="K27" i="22"/>
  <c r="Q69" i="2"/>
  <c r="Q164" i="2"/>
  <c r="L27" i="22"/>
  <c r="R69" i="2"/>
  <c r="R164" i="2"/>
  <c r="M27" i="22"/>
  <c r="S69" i="2"/>
  <c r="S164" i="2"/>
  <c r="N27" i="22"/>
  <c r="T69" i="2"/>
  <c r="T164" i="2"/>
  <c r="O27" i="22"/>
  <c r="U69" i="2"/>
  <c r="U164" i="2"/>
  <c r="P27" i="22"/>
  <c r="V69" i="2"/>
  <c r="V164" i="2"/>
  <c r="Q27" i="22"/>
  <c r="W69" i="2"/>
  <c r="W164" i="2"/>
  <c r="R27" i="22"/>
  <c r="X69" i="2"/>
  <c r="X164" i="2"/>
  <c r="S27" i="22"/>
  <c r="Y69" i="2"/>
  <c r="Y164" i="2"/>
  <c r="T27" i="22"/>
  <c r="Z69" i="2"/>
  <c r="Z164" i="2"/>
  <c r="U27" i="22"/>
  <c r="AA69" i="2"/>
  <c r="AA164" i="2"/>
  <c r="V27" i="22"/>
  <c r="AB69" i="2"/>
  <c r="AB164" i="2"/>
  <c r="W27" i="22"/>
  <c r="AC69" i="2"/>
  <c r="AC164" i="2"/>
  <c r="X27" i="22"/>
  <c r="AD69" i="2"/>
  <c r="AD164" i="2"/>
  <c r="Y27" i="22"/>
  <c r="AE69" i="2"/>
  <c r="AE164" i="2"/>
  <c r="Z27" i="22"/>
  <c r="H69" i="2"/>
  <c r="H70" i="2"/>
  <c r="H164" i="2"/>
  <c r="C27" i="22"/>
  <c r="C7" i="22"/>
  <c r="C28" i="22"/>
  <c r="H163" i="2"/>
  <c r="C24" i="22"/>
  <c r="C25" i="22"/>
  <c r="F17" i="3"/>
  <c r="F18" i="3" s="1"/>
  <c r="F12" i="3"/>
  <c r="F13" i="3"/>
  <c r="I163" i="2"/>
  <c r="D24" i="22"/>
  <c r="D25" i="22"/>
  <c r="G17" i="3"/>
  <c r="G18" i="3" s="1"/>
  <c r="G12" i="3"/>
  <c r="G13" i="3"/>
  <c r="J163" i="2"/>
  <c r="E24" i="22"/>
  <c r="E25" i="22"/>
  <c r="H17" i="3"/>
  <c r="H18" i="3" s="1"/>
  <c r="H12" i="3"/>
  <c r="H13" i="3"/>
  <c r="K51" i="2"/>
  <c r="K53" i="2"/>
  <c r="K54" i="2"/>
  <c r="K48" i="2"/>
  <c r="K49" i="2"/>
  <c r="K50" i="2"/>
  <c r="K163" i="2"/>
  <c r="F24" i="22"/>
  <c r="F25" i="22"/>
  <c r="I17" i="3"/>
  <c r="I18" i="3"/>
  <c r="I22" i="3" s="1"/>
  <c r="I19" i="3"/>
  <c r="I12" i="3"/>
  <c r="I13" i="3"/>
  <c r="L163" i="2"/>
  <c r="G24" i="22"/>
  <c r="G25" i="22"/>
  <c r="J17" i="3"/>
  <c r="J18" i="3"/>
  <c r="J19" i="3"/>
  <c r="J12" i="3"/>
  <c r="J13" i="3"/>
  <c r="M163" i="2"/>
  <c r="H24" i="22"/>
  <c r="H25" i="22"/>
  <c r="I162" i="2"/>
  <c r="D21" i="22"/>
  <c r="D22" i="22"/>
  <c r="J162" i="2"/>
  <c r="E21" i="22"/>
  <c r="E22" i="22"/>
  <c r="I6" i="7"/>
  <c r="K162" i="2"/>
  <c r="F21" i="22"/>
  <c r="F22" i="22"/>
  <c r="L162" i="2"/>
  <c r="G21" i="22"/>
  <c r="G22" i="22"/>
  <c r="M162" i="2"/>
  <c r="H21" i="22"/>
  <c r="H22" i="22"/>
  <c r="H162" i="2"/>
  <c r="C21" i="22"/>
  <c r="C22" i="22"/>
  <c r="M158" i="2"/>
  <c r="M159" i="2"/>
  <c r="H13" i="22"/>
  <c r="H14" i="22"/>
  <c r="L158" i="2"/>
  <c r="L159" i="2"/>
  <c r="G13" i="22"/>
  <c r="G14" i="22"/>
  <c r="K158" i="2"/>
  <c r="K159" i="2"/>
  <c r="F13" i="22"/>
  <c r="F14" i="22"/>
  <c r="J158" i="2"/>
  <c r="J159" i="2"/>
  <c r="E13" i="22"/>
  <c r="E14" i="22"/>
  <c r="I158" i="2"/>
  <c r="I159" i="2"/>
  <c r="D13" i="22"/>
  <c r="D14" i="22"/>
  <c r="C14" i="22"/>
  <c r="H10" i="22"/>
  <c r="H11" i="22"/>
  <c r="G10" i="22"/>
  <c r="G11" i="22"/>
  <c r="F10" i="22"/>
  <c r="F11" i="22"/>
  <c r="E10" i="22"/>
  <c r="E11" i="22"/>
  <c r="D10" i="22"/>
  <c r="D11" i="22"/>
  <c r="C10" i="22"/>
  <c r="C11" i="22"/>
  <c r="H8" i="22"/>
  <c r="G8" i="22"/>
  <c r="F8" i="22"/>
  <c r="E8" i="22"/>
  <c r="D8" i="22"/>
  <c r="G3" i="2"/>
  <c r="G160" i="2"/>
  <c r="G163" i="2"/>
  <c r="G164" i="2"/>
  <c r="M151" i="2"/>
  <c r="L151" i="2"/>
  <c r="K151" i="2"/>
  <c r="J151" i="2"/>
  <c r="I151" i="2"/>
  <c r="H151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E115" i="2"/>
  <c r="E144" i="2"/>
  <c r="D113" i="2"/>
  <c r="D115" i="2"/>
  <c r="D144" i="2"/>
  <c r="C113" i="2"/>
  <c r="C114" i="2"/>
  <c r="C115" i="2"/>
  <c r="C144" i="2"/>
  <c r="E143" i="2"/>
  <c r="D143" i="2"/>
  <c r="C143" i="2"/>
  <c r="E127" i="2"/>
  <c r="D116" i="2"/>
  <c r="E116" i="2"/>
  <c r="E131" i="2"/>
  <c r="E141" i="2"/>
  <c r="D131" i="2"/>
  <c r="D141" i="2"/>
  <c r="C131" i="2"/>
  <c r="C108" i="2"/>
  <c r="C141" i="2"/>
  <c r="E140" i="2"/>
  <c r="D140" i="2"/>
  <c r="C140" i="2"/>
  <c r="E97" i="2"/>
  <c r="E139" i="2"/>
  <c r="D92" i="2"/>
  <c r="D93" i="2"/>
  <c r="D97" i="2"/>
  <c r="D139" i="2"/>
  <c r="C92" i="2"/>
  <c r="C97" i="2"/>
  <c r="C139" i="2"/>
  <c r="E138" i="2"/>
  <c r="D138" i="2"/>
  <c r="C138" i="2"/>
  <c r="F8" i="2"/>
  <c r="E16" i="2"/>
  <c r="E17" i="2"/>
  <c r="E25" i="2"/>
  <c r="E27" i="2"/>
  <c r="E29" i="2"/>
  <c r="E31" i="2"/>
  <c r="E136" i="2"/>
  <c r="D136" i="2"/>
  <c r="C3" i="2"/>
  <c r="C136" i="2"/>
  <c r="M135" i="2"/>
  <c r="L135" i="2"/>
  <c r="K135" i="2"/>
  <c r="J135" i="2"/>
  <c r="I135" i="2"/>
  <c r="E18" i="2"/>
  <c r="E135" i="2"/>
  <c r="D5" i="2"/>
  <c r="D6" i="2"/>
  <c r="D17" i="2"/>
  <c r="D18" i="2"/>
  <c r="D135" i="2"/>
  <c r="C4" i="2"/>
  <c r="C5" i="2"/>
  <c r="C6" i="2"/>
  <c r="C8" i="2"/>
  <c r="C17" i="2"/>
  <c r="C18" i="2"/>
  <c r="C135" i="2"/>
  <c r="E111" i="2"/>
  <c r="E132" i="2"/>
  <c r="D111" i="2"/>
  <c r="D132" i="2"/>
  <c r="C111" i="2"/>
  <c r="C132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F116" i="2"/>
  <c r="G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K46" i="2"/>
  <c r="M115" i="2"/>
  <c r="L115" i="2"/>
  <c r="K115" i="2"/>
  <c r="J115" i="2"/>
  <c r="I115" i="2"/>
  <c r="H115" i="2"/>
  <c r="G111" i="2"/>
  <c r="F111" i="2"/>
  <c r="C1" i="2"/>
  <c r="D1" i="2"/>
  <c r="E1" i="2"/>
  <c r="G1" i="2"/>
  <c r="H1" i="2"/>
  <c r="H71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E87" i="2"/>
  <c r="CS30" i="21"/>
  <c r="CS28" i="21"/>
  <c r="CS31" i="21"/>
  <c r="CR80" i="21"/>
  <c r="CT30" i="21"/>
  <c r="CT28" i="21"/>
  <c r="CT31" i="21"/>
  <c r="CS80" i="21"/>
  <c r="CU30" i="21"/>
  <c r="CU28" i="21"/>
  <c r="CU31" i="21"/>
  <c r="CT80" i="21"/>
  <c r="I82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2" i="2"/>
  <c r="H73" i="2"/>
  <c r="H74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E33" i="2"/>
  <c r="D33" i="2"/>
  <c r="D25" i="2"/>
  <c r="D26" i="2"/>
  <c r="D27" i="2"/>
  <c r="D29" i="2"/>
  <c r="C19" i="2"/>
  <c r="C20" i="2"/>
  <c r="C25" i="2"/>
  <c r="C26" i="2"/>
  <c r="C27" i="2"/>
  <c r="C29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G24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K14" i="9"/>
  <c r="K15" i="9"/>
  <c r="J14" i="9"/>
  <c r="J15" i="9"/>
  <c r="I14" i="9"/>
  <c r="I15" i="9"/>
  <c r="H14" i="9"/>
  <c r="H15" i="9"/>
  <c r="G14" i="9"/>
  <c r="G15" i="9"/>
  <c r="F14" i="9"/>
  <c r="F15" i="9"/>
  <c r="G23" i="2"/>
  <c r="F23" i="2"/>
  <c r="K12" i="9"/>
  <c r="J12" i="9"/>
  <c r="I12" i="9"/>
  <c r="H12" i="9"/>
  <c r="G12" i="9"/>
  <c r="F12" i="9"/>
  <c r="G21" i="2"/>
  <c r="F2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F1" i="2"/>
  <c r="B96" i="15"/>
  <c r="B105" i="15"/>
  <c r="H90" i="15"/>
  <c r="H91" i="15"/>
  <c r="H92" i="15"/>
  <c r="H93" i="15"/>
  <c r="H94" i="15"/>
  <c r="H95" i="15"/>
  <c r="H96" i="15"/>
  <c r="I105" i="15"/>
  <c r="B106" i="15"/>
  <c r="G96" i="15"/>
  <c r="H105" i="15"/>
  <c r="F96" i="15"/>
  <c r="G105" i="15"/>
  <c r="E96" i="15"/>
  <c r="F105" i="15"/>
  <c r="C96" i="15"/>
  <c r="C105" i="15"/>
  <c r="D96" i="15"/>
  <c r="D105" i="15"/>
  <c r="E105" i="15"/>
  <c r="I104" i="15"/>
  <c r="H104" i="15"/>
  <c r="G104" i="15"/>
  <c r="F104" i="15"/>
  <c r="B104" i="15"/>
  <c r="C104" i="15"/>
  <c r="D104" i="15"/>
  <c r="E104" i="15"/>
  <c r="I103" i="15"/>
  <c r="H103" i="15"/>
  <c r="G103" i="15"/>
  <c r="F103" i="15"/>
  <c r="B103" i="15"/>
  <c r="C103" i="15"/>
  <c r="D103" i="15"/>
  <c r="E103" i="15"/>
  <c r="I102" i="15"/>
  <c r="H102" i="15"/>
  <c r="G102" i="15"/>
  <c r="F102" i="15"/>
  <c r="B102" i="15"/>
  <c r="C102" i="15"/>
  <c r="D102" i="15"/>
  <c r="E102" i="15"/>
  <c r="I101" i="15"/>
  <c r="H101" i="15"/>
  <c r="G101" i="15"/>
  <c r="F101" i="15"/>
  <c r="B101" i="15"/>
  <c r="C101" i="15"/>
  <c r="D101" i="15"/>
  <c r="E101" i="15"/>
  <c r="I100" i="15"/>
  <c r="H100" i="15"/>
  <c r="G100" i="15"/>
  <c r="F100" i="15"/>
  <c r="B100" i="15"/>
  <c r="C100" i="15"/>
  <c r="D100" i="15"/>
  <c r="E100" i="15"/>
  <c r="J99" i="15"/>
  <c r="I99" i="15"/>
  <c r="H99" i="15"/>
  <c r="G99" i="15"/>
  <c r="F99" i="15"/>
  <c r="B99" i="15"/>
  <c r="C99" i="15"/>
  <c r="D99" i="15"/>
  <c r="E9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1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1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1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1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1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1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1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1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1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1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1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1" i="15"/>
  <c r="C32" i="15"/>
  <c r="D32" i="15"/>
  <c r="E32" i="15"/>
  <c r="F32" i="15"/>
  <c r="G32" i="15"/>
  <c r="H32" i="15"/>
  <c r="I32" i="15"/>
  <c r="J32" i="15"/>
  <c r="K32" i="15"/>
  <c r="L32" i="15"/>
  <c r="O22" i="15"/>
  <c r="P22" i="15"/>
  <c r="P29" i="15"/>
  <c r="L27" i="15"/>
  <c r="L29" i="15"/>
  <c r="P28" i="15"/>
  <c r="L28" i="15"/>
  <c r="M27" i="15"/>
  <c r="N27" i="15"/>
  <c r="P26" i="15"/>
  <c r="Q26" i="15"/>
  <c r="S26" i="15"/>
  <c r="N26" i="15"/>
  <c r="I26" i="15"/>
  <c r="P25" i="15"/>
  <c r="Q25" i="15"/>
  <c r="S25" i="15"/>
  <c r="N25" i="15"/>
  <c r="I25" i="15"/>
  <c r="S24" i="15"/>
  <c r="O24" i="15"/>
  <c r="P24" i="15"/>
  <c r="N24" i="15"/>
  <c r="I24" i="15"/>
  <c r="S23" i="15"/>
  <c r="O23" i="15"/>
  <c r="P23" i="15"/>
  <c r="N23" i="15"/>
  <c r="I23" i="15"/>
  <c r="B14" i="15"/>
  <c r="B15" i="15"/>
  <c r="E22" i="15"/>
  <c r="F22" i="15"/>
  <c r="F23" i="15"/>
  <c r="G19" i="15"/>
  <c r="G20" i="15"/>
  <c r="G21" i="15"/>
  <c r="G22" i="15"/>
  <c r="G23" i="15"/>
  <c r="E23" i="15"/>
  <c r="D23" i="15"/>
  <c r="C23" i="15"/>
  <c r="B23" i="15"/>
  <c r="S22" i="15"/>
  <c r="N22" i="15"/>
  <c r="I22" i="15"/>
  <c r="S21" i="15"/>
  <c r="O21" i="15"/>
  <c r="P21" i="15"/>
  <c r="N21" i="15"/>
  <c r="I21" i="15"/>
  <c r="S20" i="15"/>
  <c r="O20" i="15"/>
  <c r="P20" i="15"/>
  <c r="N20" i="15"/>
  <c r="I20" i="15"/>
  <c r="S19" i="15"/>
  <c r="O19" i="15"/>
  <c r="P19" i="15"/>
  <c r="N19" i="15"/>
  <c r="I19" i="15"/>
  <c r="S18" i="15"/>
  <c r="O18" i="15"/>
  <c r="P18" i="15"/>
  <c r="N18" i="15"/>
  <c r="I18" i="15"/>
  <c r="S17" i="15"/>
  <c r="O17" i="15"/>
  <c r="P17" i="15"/>
  <c r="N17" i="15"/>
  <c r="I17" i="15"/>
  <c r="S16" i="15"/>
  <c r="O16" i="15"/>
  <c r="P16" i="15"/>
  <c r="N16" i="15"/>
  <c r="I16" i="15"/>
  <c r="S15" i="15"/>
  <c r="O15" i="15"/>
  <c r="P15" i="15"/>
  <c r="N15" i="15"/>
  <c r="I15" i="15"/>
  <c r="S14" i="15"/>
  <c r="O14" i="15"/>
  <c r="P14" i="15"/>
  <c r="N14" i="15"/>
  <c r="I14" i="15"/>
  <c r="O13" i="15"/>
  <c r="P13" i="15"/>
  <c r="N13" i="15"/>
  <c r="I13" i="15"/>
  <c r="O12" i="15"/>
  <c r="P12" i="15"/>
  <c r="N12" i="15"/>
  <c r="I12" i="15"/>
  <c r="O11" i="15"/>
  <c r="P11" i="15"/>
  <c r="N11" i="15"/>
  <c r="I11" i="15"/>
  <c r="O10" i="15"/>
  <c r="P10" i="15"/>
  <c r="N10" i="15"/>
  <c r="I10" i="15"/>
  <c r="C10" i="15"/>
  <c r="B10" i="15"/>
  <c r="D8" i="15"/>
  <c r="D7" i="15"/>
  <c r="D6" i="15"/>
  <c r="AD40" i="19"/>
  <c r="AD41" i="19"/>
  <c r="AD46" i="19"/>
  <c r="AD47" i="19"/>
  <c r="AD48" i="19"/>
  <c r="AC40" i="19"/>
  <c r="AC41" i="19"/>
  <c r="AC46" i="19"/>
  <c r="AC47" i="19"/>
  <c r="AC48" i="19"/>
  <c r="AB40" i="19"/>
  <c r="AB41" i="19"/>
  <c r="AB46" i="19"/>
  <c r="AB47" i="19"/>
  <c r="AB48" i="19"/>
  <c r="AA40" i="19"/>
  <c r="AA41" i="19"/>
  <c r="AA46" i="19"/>
  <c r="AA47" i="19"/>
  <c r="AA48" i="19"/>
  <c r="Z40" i="19"/>
  <c r="Z41" i="19"/>
  <c r="Z46" i="19"/>
  <c r="Z47" i="19"/>
  <c r="Z48" i="19"/>
  <c r="Y40" i="19"/>
  <c r="Y41" i="19"/>
  <c r="Y46" i="19"/>
  <c r="Y47" i="19"/>
  <c r="Y48" i="19"/>
  <c r="X40" i="19"/>
  <c r="X41" i="19"/>
  <c r="X46" i="19"/>
  <c r="X47" i="19"/>
  <c r="X48" i="19"/>
  <c r="W40" i="19"/>
  <c r="W41" i="19"/>
  <c r="W46" i="19"/>
  <c r="W47" i="19"/>
  <c r="W48" i="19"/>
  <c r="V40" i="19"/>
  <c r="V41" i="19"/>
  <c r="V46" i="19"/>
  <c r="V47" i="19"/>
  <c r="V48" i="19"/>
  <c r="U40" i="19"/>
  <c r="U41" i="19"/>
  <c r="U46" i="19"/>
  <c r="U47" i="19"/>
  <c r="U48" i="19"/>
  <c r="T40" i="19"/>
  <c r="T41" i="19"/>
  <c r="T46" i="19"/>
  <c r="T47" i="19"/>
  <c r="T48" i="19"/>
  <c r="S40" i="19"/>
  <c r="S41" i="19"/>
  <c r="S46" i="19"/>
  <c r="S47" i="19"/>
  <c r="S48" i="19"/>
  <c r="R40" i="19"/>
  <c r="R41" i="19"/>
  <c r="R46" i="19"/>
  <c r="R47" i="19"/>
  <c r="R48" i="19"/>
  <c r="Q40" i="19"/>
  <c r="Q41" i="19"/>
  <c r="Q46" i="19"/>
  <c r="Q47" i="19"/>
  <c r="Q48" i="19"/>
  <c r="P40" i="19"/>
  <c r="P41" i="19"/>
  <c r="P46" i="19"/>
  <c r="P47" i="19"/>
  <c r="P48" i="19"/>
  <c r="O40" i="19"/>
  <c r="O41" i="19"/>
  <c r="O46" i="19"/>
  <c r="O47" i="19"/>
  <c r="O48" i="19"/>
  <c r="N40" i="19"/>
  <c r="N41" i="19"/>
  <c r="N46" i="19"/>
  <c r="N47" i="19"/>
  <c r="N48" i="19"/>
  <c r="M40" i="19"/>
  <c r="M41" i="19"/>
  <c r="M46" i="19"/>
  <c r="M47" i="19"/>
  <c r="M48" i="19"/>
  <c r="L40" i="19"/>
  <c r="L41" i="19"/>
  <c r="L46" i="19"/>
  <c r="L47" i="19"/>
  <c r="L48" i="19"/>
  <c r="K40" i="19"/>
  <c r="K41" i="19"/>
  <c r="K46" i="19"/>
  <c r="K47" i="19"/>
  <c r="K48" i="19"/>
  <c r="J40" i="19"/>
  <c r="J41" i="19"/>
  <c r="J46" i="19"/>
  <c r="J47" i="19"/>
  <c r="J48" i="19"/>
  <c r="I40" i="19"/>
  <c r="I41" i="19"/>
  <c r="I46" i="19"/>
  <c r="I47" i="19"/>
  <c r="I48" i="19"/>
  <c r="H40" i="19"/>
  <c r="H41" i="19"/>
  <c r="H46" i="19"/>
  <c r="H47" i="19"/>
  <c r="H48" i="19"/>
  <c r="G40" i="19"/>
  <c r="G41" i="19"/>
  <c r="G46" i="19"/>
  <c r="G47" i="19"/>
  <c r="G48" i="19"/>
  <c r="F40" i="19"/>
  <c r="F41" i="19"/>
  <c r="F46" i="19"/>
  <c r="F47" i="19"/>
  <c r="F48" i="19"/>
  <c r="E40" i="19"/>
  <c r="E41" i="19"/>
  <c r="E46" i="19"/>
  <c r="E47" i="19"/>
  <c r="E48" i="19"/>
  <c r="D40" i="19"/>
  <c r="D41" i="19"/>
  <c r="D46" i="19"/>
  <c r="D47" i="19"/>
  <c r="D48" i="19"/>
  <c r="C40" i="19"/>
  <c r="C41" i="19"/>
  <c r="C46" i="19"/>
  <c r="C47" i="19"/>
  <c r="C48" i="19"/>
  <c r="AD32" i="19"/>
  <c r="AC32" i="19"/>
  <c r="AB32" i="19"/>
  <c r="C32" i="19"/>
  <c r="I26" i="19"/>
  <c r="H26" i="19"/>
  <c r="G26" i="19"/>
  <c r="F26" i="19"/>
  <c r="E26" i="19"/>
  <c r="D26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I23" i="19"/>
  <c r="H23" i="19"/>
  <c r="G23" i="19"/>
  <c r="F23" i="19"/>
  <c r="E23" i="19"/>
  <c r="D23" i="19"/>
  <c r="AA22" i="19"/>
  <c r="AA21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C13" i="19"/>
  <c r="C15" i="19"/>
  <c r="AD12" i="19"/>
  <c r="AC12" i="19"/>
  <c r="AB12" i="19"/>
  <c r="C10" i="19"/>
  <c r="C12" i="19"/>
  <c r="AD4" i="17"/>
  <c r="AD4" i="19"/>
  <c r="AC4" i="17"/>
  <c r="AC4" i="19"/>
  <c r="AB4" i="17"/>
  <c r="AB4" i="19"/>
  <c r="AA4" i="17"/>
  <c r="AA4" i="19"/>
  <c r="Z4" i="17"/>
  <c r="Z4" i="19"/>
  <c r="Y4" i="17"/>
  <c r="Y4" i="19"/>
  <c r="X4" i="17"/>
  <c r="X4" i="19"/>
  <c r="W4" i="17"/>
  <c r="W4" i="19"/>
  <c r="V4" i="17"/>
  <c r="V4" i="19"/>
  <c r="U4" i="17"/>
  <c r="U4" i="19"/>
  <c r="T4" i="17"/>
  <c r="T4" i="19"/>
  <c r="S4" i="17"/>
  <c r="S4" i="19"/>
  <c r="R4" i="17"/>
  <c r="R4" i="19"/>
  <c r="Q4" i="17"/>
  <c r="Q4" i="19"/>
  <c r="P4" i="17"/>
  <c r="P4" i="19"/>
  <c r="O4" i="17"/>
  <c r="O4" i="19"/>
  <c r="N4" i="17"/>
  <c r="N4" i="19"/>
  <c r="M4" i="17"/>
  <c r="M4" i="19"/>
  <c r="L4" i="17"/>
  <c r="L4" i="19"/>
  <c r="K4" i="17"/>
  <c r="K4" i="19"/>
  <c r="J4" i="17"/>
  <c r="J4" i="19"/>
  <c r="I4" i="17"/>
  <c r="I4" i="19"/>
  <c r="H4" i="17"/>
  <c r="H4" i="19"/>
  <c r="G4" i="17"/>
  <c r="G4" i="19"/>
  <c r="F4" i="17"/>
  <c r="F4" i="19"/>
  <c r="E4" i="17"/>
  <c r="E4" i="19"/>
  <c r="D4" i="17"/>
  <c r="D4" i="19"/>
  <c r="C4" i="17"/>
  <c r="C4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D3" i="19"/>
  <c r="C3" i="19"/>
  <c r="AD2" i="19"/>
  <c r="AC2" i="19"/>
  <c r="AB2" i="19"/>
  <c r="AA2" i="19"/>
  <c r="Z2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K2" i="19"/>
  <c r="J2" i="19"/>
  <c r="I2" i="19"/>
  <c r="H2" i="19"/>
  <c r="G2" i="19"/>
  <c r="F2" i="19"/>
  <c r="E2" i="19"/>
  <c r="D2" i="19"/>
  <c r="C2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AD12" i="18"/>
  <c r="AD31" i="18"/>
  <c r="AD32" i="18"/>
  <c r="AD50" i="18"/>
  <c r="AD51" i="18"/>
  <c r="AD68" i="18"/>
  <c r="AD69" i="18"/>
  <c r="AD82" i="18"/>
  <c r="AD88" i="18"/>
  <c r="AD92" i="18"/>
  <c r="AD97" i="18"/>
  <c r="AD98" i="18"/>
  <c r="AD111" i="18"/>
  <c r="AD112" i="18"/>
  <c r="AD117" i="18"/>
  <c r="AD128" i="18"/>
  <c r="AD143" i="18"/>
  <c r="AD144" i="18"/>
  <c r="AD152" i="18"/>
  <c r="AD156" i="18"/>
  <c r="AD158" i="18"/>
  <c r="AD162" i="18"/>
  <c r="AC12" i="18"/>
  <c r="AC31" i="18"/>
  <c r="AC32" i="18"/>
  <c r="AC50" i="18"/>
  <c r="AC51" i="18"/>
  <c r="AC68" i="18"/>
  <c r="AC69" i="18"/>
  <c r="AC82" i="18"/>
  <c r="AC88" i="18"/>
  <c r="AC92" i="18"/>
  <c r="AC97" i="18"/>
  <c r="AC98" i="18"/>
  <c r="AC111" i="18"/>
  <c r="AC112" i="18"/>
  <c r="AC117" i="18"/>
  <c r="AC128" i="18"/>
  <c r="AC143" i="18"/>
  <c r="AC144" i="18"/>
  <c r="AC152" i="18"/>
  <c r="AC156" i="18"/>
  <c r="AC158" i="18"/>
  <c r="AC162" i="18"/>
  <c r="AB12" i="18"/>
  <c r="AB31" i="18"/>
  <c r="AB32" i="18"/>
  <c r="AB50" i="18"/>
  <c r="AB51" i="18"/>
  <c r="AB68" i="18"/>
  <c r="AB69" i="18"/>
  <c r="AB82" i="18"/>
  <c r="AB88" i="18"/>
  <c r="AB92" i="18"/>
  <c r="AB97" i="18"/>
  <c r="AB98" i="18"/>
  <c r="AB111" i="18"/>
  <c r="AB112" i="18"/>
  <c r="AB117" i="18"/>
  <c r="AB128" i="18"/>
  <c r="AB143" i="18"/>
  <c r="AB144" i="18"/>
  <c r="AB152" i="18"/>
  <c r="AB156" i="18"/>
  <c r="AB158" i="18"/>
  <c r="AB162" i="18"/>
  <c r="AA8" i="18"/>
  <c r="AA26" i="18"/>
  <c r="AA34" i="18"/>
  <c r="AA50" i="18"/>
  <c r="AA53" i="18"/>
  <c r="Z8" i="18"/>
  <c r="Z26" i="18"/>
  <c r="Z34" i="18"/>
  <c r="Z50" i="18"/>
  <c r="Z53" i="18"/>
  <c r="Y8" i="18"/>
  <c r="Y26" i="18"/>
  <c r="Y34" i="18"/>
  <c r="Y50" i="18"/>
  <c r="Y53" i="18"/>
  <c r="X8" i="18"/>
  <c r="X26" i="18"/>
  <c r="X34" i="18"/>
  <c r="X50" i="18"/>
  <c r="X53" i="18"/>
  <c r="W8" i="18"/>
  <c r="W26" i="18"/>
  <c r="W34" i="18"/>
  <c r="W50" i="18"/>
  <c r="W53" i="18"/>
  <c r="V8" i="18"/>
  <c r="V26" i="18"/>
  <c r="V34" i="18"/>
  <c r="V50" i="18"/>
  <c r="V53" i="18"/>
  <c r="U8" i="18"/>
  <c r="U26" i="18"/>
  <c r="U34" i="18"/>
  <c r="U50" i="18"/>
  <c r="U53" i="18"/>
  <c r="T8" i="18"/>
  <c r="T26" i="18"/>
  <c r="T34" i="18"/>
  <c r="T50" i="18"/>
  <c r="T53" i="18"/>
  <c r="S8" i="18"/>
  <c r="S26" i="18"/>
  <c r="S34" i="18"/>
  <c r="S50" i="18"/>
  <c r="S53" i="18"/>
  <c r="R8" i="18"/>
  <c r="R26" i="18"/>
  <c r="R34" i="18"/>
  <c r="R50" i="18"/>
  <c r="R53" i="18"/>
  <c r="Q8" i="18"/>
  <c r="Q26" i="18"/>
  <c r="Q34" i="18"/>
  <c r="Q50" i="18"/>
  <c r="Q53" i="18"/>
  <c r="P8" i="18"/>
  <c r="P26" i="18"/>
  <c r="P34" i="18"/>
  <c r="P50" i="18"/>
  <c r="P53" i="18"/>
  <c r="O8" i="18"/>
  <c r="O26" i="18"/>
  <c r="O34" i="18"/>
  <c r="O50" i="18"/>
  <c r="O53" i="18"/>
  <c r="N8" i="18"/>
  <c r="N26" i="18"/>
  <c r="N34" i="18"/>
  <c r="N50" i="18"/>
  <c r="N53" i="18"/>
  <c r="M8" i="18"/>
  <c r="M26" i="18"/>
  <c r="M34" i="18"/>
  <c r="M50" i="18"/>
  <c r="M53" i="18"/>
  <c r="L8" i="18"/>
  <c r="L26" i="18"/>
  <c r="L34" i="18"/>
  <c r="L50" i="18"/>
  <c r="L53" i="18"/>
  <c r="K8" i="18"/>
  <c r="K26" i="18"/>
  <c r="K34" i="18"/>
  <c r="K50" i="18"/>
  <c r="K53" i="18"/>
  <c r="J8" i="18"/>
  <c r="J26" i="18"/>
  <c r="J34" i="18"/>
  <c r="J50" i="18"/>
  <c r="J53" i="18"/>
  <c r="I8" i="18"/>
  <c r="I9" i="18"/>
  <c r="I12" i="18"/>
  <c r="I15" i="18"/>
  <c r="I26" i="18"/>
  <c r="I31" i="18"/>
  <c r="I32" i="18"/>
  <c r="I34" i="18"/>
  <c r="I50" i="18"/>
  <c r="I51" i="18"/>
  <c r="I53" i="18"/>
  <c r="H8" i="18"/>
  <c r="H9" i="18"/>
  <c r="H12" i="18"/>
  <c r="H15" i="18"/>
  <c r="H26" i="18"/>
  <c r="H31" i="18"/>
  <c r="H32" i="18"/>
  <c r="H34" i="18"/>
  <c r="H50" i="18"/>
  <c r="H51" i="18"/>
  <c r="H53" i="18"/>
  <c r="G8" i="18"/>
  <c r="G9" i="18"/>
  <c r="G12" i="18"/>
  <c r="G15" i="18"/>
  <c r="G26" i="18"/>
  <c r="G31" i="18"/>
  <c r="G32" i="18"/>
  <c r="G34" i="18"/>
  <c r="G50" i="18"/>
  <c r="G51" i="18"/>
  <c r="G53" i="18"/>
  <c r="F8" i="18"/>
  <c r="F9" i="18"/>
  <c r="F12" i="18"/>
  <c r="F15" i="18"/>
  <c r="F26" i="18"/>
  <c r="F31" i="18"/>
  <c r="F32" i="18"/>
  <c r="F34" i="18"/>
  <c r="F50" i="18"/>
  <c r="F51" i="18"/>
  <c r="F53" i="18"/>
  <c r="E8" i="18"/>
  <c r="E9" i="18"/>
  <c r="E12" i="18"/>
  <c r="E15" i="18"/>
  <c r="E26" i="18"/>
  <c r="E31" i="18"/>
  <c r="E32" i="18"/>
  <c r="E34" i="18"/>
  <c r="E50" i="18"/>
  <c r="E51" i="18"/>
  <c r="E53" i="18"/>
  <c r="D8" i="18"/>
  <c r="D9" i="18"/>
  <c r="D12" i="18"/>
  <c r="D15" i="18"/>
  <c r="D26" i="18"/>
  <c r="D31" i="18"/>
  <c r="D32" i="18"/>
  <c r="D34" i="18"/>
  <c r="D50" i="18"/>
  <c r="D51" i="18"/>
  <c r="D53" i="18"/>
  <c r="C8" i="18"/>
  <c r="C12" i="18"/>
  <c r="C15" i="18"/>
  <c r="C26" i="18"/>
  <c r="C31" i="18"/>
  <c r="C32" i="18"/>
  <c r="C34" i="18"/>
  <c r="C50" i="18"/>
  <c r="C51" i="18"/>
  <c r="C53" i="18"/>
  <c r="C57" i="18"/>
  <c r="C59" i="18"/>
  <c r="C68" i="18"/>
  <c r="C69" i="18"/>
  <c r="C72" i="18"/>
  <c r="C82" i="18"/>
  <c r="C84" i="18"/>
  <c r="C88" i="18"/>
  <c r="C90" i="18"/>
  <c r="C91" i="18"/>
  <c r="C92" i="18"/>
  <c r="C96" i="18"/>
  <c r="C97" i="18"/>
  <c r="C98" i="18"/>
  <c r="C106" i="18"/>
  <c r="C111" i="18"/>
  <c r="C112" i="18"/>
  <c r="C114" i="18"/>
  <c r="C115" i="18"/>
  <c r="C116" i="18"/>
  <c r="C117" i="18"/>
  <c r="C128" i="18"/>
  <c r="C138" i="18"/>
  <c r="C139" i="18"/>
  <c r="C143" i="18"/>
  <c r="C144" i="18"/>
  <c r="C152" i="18"/>
  <c r="C156" i="18"/>
  <c r="C158" i="18"/>
  <c r="C162" i="18"/>
  <c r="AA156" i="18"/>
  <c r="Z156" i="18"/>
  <c r="Y156" i="18"/>
  <c r="X156" i="18"/>
  <c r="W156" i="18"/>
  <c r="V156" i="18"/>
  <c r="U156" i="18"/>
  <c r="T156" i="18"/>
  <c r="S156" i="18"/>
  <c r="R156" i="18"/>
  <c r="Q156" i="18"/>
  <c r="P156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AA128" i="18"/>
  <c r="AA138" i="18"/>
  <c r="AA139" i="18"/>
  <c r="AA143" i="18"/>
  <c r="AA144" i="18"/>
  <c r="AA152" i="18"/>
  <c r="Z128" i="18"/>
  <c r="Z138" i="18"/>
  <c r="Z139" i="18"/>
  <c r="Z143" i="18"/>
  <c r="Z144" i="18"/>
  <c r="Z152" i="18"/>
  <c r="Y128" i="18"/>
  <c r="Y138" i="18"/>
  <c r="Y139" i="18"/>
  <c r="Y143" i="18"/>
  <c r="Y144" i="18"/>
  <c r="Y152" i="18"/>
  <c r="X128" i="18"/>
  <c r="X138" i="18"/>
  <c r="X139" i="18"/>
  <c r="X143" i="18"/>
  <c r="X144" i="18"/>
  <c r="X152" i="18"/>
  <c r="W128" i="18"/>
  <c r="W138" i="18"/>
  <c r="W139" i="18"/>
  <c r="W143" i="18"/>
  <c r="W144" i="18"/>
  <c r="W152" i="18"/>
  <c r="V128" i="18"/>
  <c r="V138" i="18"/>
  <c r="V139" i="18"/>
  <c r="V143" i="18"/>
  <c r="V144" i="18"/>
  <c r="V152" i="18"/>
  <c r="U128" i="18"/>
  <c r="U138" i="18"/>
  <c r="U139" i="18"/>
  <c r="U143" i="18"/>
  <c r="U144" i="18"/>
  <c r="U152" i="18"/>
  <c r="T128" i="18"/>
  <c r="T138" i="18"/>
  <c r="T139" i="18"/>
  <c r="T143" i="18"/>
  <c r="T144" i="18"/>
  <c r="T152" i="18"/>
  <c r="S128" i="18"/>
  <c r="S138" i="18"/>
  <c r="S139" i="18"/>
  <c r="S143" i="18"/>
  <c r="S144" i="18"/>
  <c r="S152" i="18"/>
  <c r="R128" i="18"/>
  <c r="R138" i="18"/>
  <c r="R139" i="18"/>
  <c r="R143" i="18"/>
  <c r="R144" i="18"/>
  <c r="R152" i="18"/>
  <c r="Q128" i="18"/>
  <c r="Q138" i="18"/>
  <c r="Q139" i="18"/>
  <c r="Q143" i="18"/>
  <c r="Q144" i="18"/>
  <c r="Q152" i="18"/>
  <c r="P128" i="18"/>
  <c r="P138" i="18"/>
  <c r="P139" i="18"/>
  <c r="P143" i="18"/>
  <c r="P144" i="18"/>
  <c r="P152" i="18"/>
  <c r="O128" i="18"/>
  <c r="O138" i="18"/>
  <c r="O139" i="18"/>
  <c r="O143" i="18"/>
  <c r="O144" i="18"/>
  <c r="O152" i="18"/>
  <c r="N128" i="18"/>
  <c r="N138" i="18"/>
  <c r="N139" i="18"/>
  <c r="N143" i="18"/>
  <c r="N144" i="18"/>
  <c r="N152" i="18"/>
  <c r="M128" i="18"/>
  <c r="M138" i="18"/>
  <c r="M139" i="18"/>
  <c r="M143" i="18"/>
  <c r="M144" i="18"/>
  <c r="M152" i="18"/>
  <c r="L128" i="18"/>
  <c r="L138" i="18"/>
  <c r="L139" i="18"/>
  <c r="L143" i="18"/>
  <c r="L144" i="18"/>
  <c r="L152" i="18"/>
  <c r="K128" i="18"/>
  <c r="K138" i="18"/>
  <c r="K139" i="18"/>
  <c r="K143" i="18"/>
  <c r="K144" i="18"/>
  <c r="K152" i="18"/>
  <c r="J128" i="18"/>
  <c r="J138" i="18"/>
  <c r="J139" i="18"/>
  <c r="J143" i="18"/>
  <c r="J144" i="18"/>
  <c r="J152" i="18"/>
  <c r="I128" i="18"/>
  <c r="I138" i="18"/>
  <c r="I139" i="18"/>
  <c r="I143" i="18"/>
  <c r="I144" i="18"/>
  <c r="I152" i="18"/>
  <c r="H128" i="18"/>
  <c r="H138" i="18"/>
  <c r="H139" i="18"/>
  <c r="H143" i="18"/>
  <c r="H144" i="18"/>
  <c r="H152" i="18"/>
  <c r="G128" i="18"/>
  <c r="G138" i="18"/>
  <c r="G139" i="18"/>
  <c r="G143" i="18"/>
  <c r="G144" i="18"/>
  <c r="G152" i="18"/>
  <c r="F128" i="18"/>
  <c r="F138" i="18"/>
  <c r="F139" i="18"/>
  <c r="F143" i="18"/>
  <c r="F144" i="18"/>
  <c r="F152" i="18"/>
  <c r="E128" i="18"/>
  <c r="E138" i="18"/>
  <c r="E139" i="18"/>
  <c r="E143" i="18"/>
  <c r="E144" i="18"/>
  <c r="E152" i="18"/>
  <c r="D128" i="18"/>
  <c r="D138" i="18"/>
  <c r="D139" i="18"/>
  <c r="D143" i="18"/>
  <c r="D144" i="18"/>
  <c r="D152" i="18"/>
  <c r="AA114" i="18"/>
  <c r="AA115" i="18"/>
  <c r="Z114" i="18"/>
  <c r="Z115" i="18"/>
  <c r="Y114" i="18"/>
  <c r="Y115" i="18"/>
  <c r="X114" i="18"/>
  <c r="X115" i="18"/>
  <c r="W114" i="18"/>
  <c r="W115" i="18"/>
  <c r="V114" i="18"/>
  <c r="V115" i="18"/>
  <c r="U114" i="18"/>
  <c r="U115" i="18"/>
  <c r="T114" i="18"/>
  <c r="T115" i="18"/>
  <c r="S114" i="18"/>
  <c r="S115" i="18"/>
  <c r="R114" i="18"/>
  <c r="R115" i="18"/>
  <c r="Q114" i="18"/>
  <c r="Q115" i="18"/>
  <c r="P114" i="18"/>
  <c r="P115" i="18"/>
  <c r="O114" i="18"/>
  <c r="O115" i="18"/>
  <c r="N114" i="18"/>
  <c r="N115" i="18"/>
  <c r="M114" i="18"/>
  <c r="M115" i="18"/>
  <c r="L114" i="18"/>
  <c r="L115" i="18"/>
  <c r="K114" i="18"/>
  <c r="K115" i="18"/>
  <c r="J114" i="18"/>
  <c r="J115" i="18"/>
  <c r="I114" i="18"/>
  <c r="I115" i="18"/>
  <c r="I116" i="18"/>
  <c r="I117" i="18"/>
  <c r="H114" i="18"/>
  <c r="H115" i="18"/>
  <c r="H116" i="18"/>
  <c r="H117" i="18"/>
  <c r="G114" i="18"/>
  <c r="G115" i="18"/>
  <c r="G116" i="18"/>
  <c r="G117" i="18"/>
  <c r="F114" i="18"/>
  <c r="F115" i="18"/>
  <c r="F116" i="18"/>
  <c r="F117" i="18"/>
  <c r="E114" i="18"/>
  <c r="E115" i="18"/>
  <c r="E116" i="18"/>
  <c r="E117" i="18"/>
  <c r="D114" i="18"/>
  <c r="D115" i="18"/>
  <c r="D116" i="18"/>
  <c r="D117" i="18"/>
  <c r="AA106" i="18"/>
  <c r="AA111" i="18"/>
  <c r="Z106" i="18"/>
  <c r="Z111" i="18"/>
  <c r="Y106" i="18"/>
  <c r="Y111" i="18"/>
  <c r="X106" i="18"/>
  <c r="X111" i="18"/>
  <c r="W106" i="18"/>
  <c r="W111" i="18"/>
  <c r="V106" i="18"/>
  <c r="V111" i="18"/>
  <c r="U106" i="18"/>
  <c r="U111" i="18"/>
  <c r="T106" i="18"/>
  <c r="T111" i="18"/>
  <c r="S106" i="18"/>
  <c r="S111" i="18"/>
  <c r="R106" i="18"/>
  <c r="R111" i="18"/>
  <c r="Q106" i="18"/>
  <c r="Q111" i="18"/>
  <c r="P106" i="18"/>
  <c r="P111" i="18"/>
  <c r="O106" i="18"/>
  <c r="O111" i="18"/>
  <c r="N106" i="18"/>
  <c r="N111" i="18"/>
  <c r="M106" i="18"/>
  <c r="M111" i="18"/>
  <c r="L106" i="18"/>
  <c r="L111" i="18"/>
  <c r="K106" i="18"/>
  <c r="K111" i="18"/>
  <c r="J106" i="18"/>
  <c r="J111" i="18"/>
  <c r="I106" i="18"/>
  <c r="I111" i="18"/>
  <c r="H106" i="18"/>
  <c r="H111" i="18"/>
  <c r="G106" i="18"/>
  <c r="G111" i="18"/>
  <c r="F106" i="18"/>
  <c r="F111" i="18"/>
  <c r="E106" i="18"/>
  <c r="E111" i="18"/>
  <c r="D106" i="18"/>
  <c r="D111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I90" i="18"/>
  <c r="I91" i="18"/>
  <c r="I92" i="18"/>
  <c r="I96" i="18"/>
  <c r="I97" i="18"/>
  <c r="I98" i="18"/>
  <c r="H90" i="18"/>
  <c r="H91" i="18"/>
  <c r="H92" i="18"/>
  <c r="H96" i="18"/>
  <c r="H97" i="18"/>
  <c r="H98" i="18"/>
  <c r="G90" i="18"/>
  <c r="G91" i="18"/>
  <c r="G92" i="18"/>
  <c r="G96" i="18"/>
  <c r="G97" i="18"/>
  <c r="G98" i="18"/>
  <c r="F90" i="18"/>
  <c r="F91" i="18"/>
  <c r="F92" i="18"/>
  <c r="F96" i="18"/>
  <c r="F97" i="18"/>
  <c r="F98" i="18"/>
  <c r="E90" i="18"/>
  <c r="E91" i="18"/>
  <c r="E92" i="18"/>
  <c r="E96" i="18"/>
  <c r="E97" i="18"/>
  <c r="E98" i="18"/>
  <c r="D90" i="18"/>
  <c r="D91" i="18"/>
  <c r="D92" i="18"/>
  <c r="D96" i="18"/>
  <c r="D97" i="18"/>
  <c r="D98" i="18"/>
  <c r="I84" i="18"/>
  <c r="I88" i="18"/>
  <c r="H84" i="18"/>
  <c r="H88" i="18"/>
  <c r="G84" i="18"/>
  <c r="G88" i="18"/>
  <c r="F84" i="18"/>
  <c r="F88" i="18"/>
  <c r="E84" i="18"/>
  <c r="E88" i="18"/>
  <c r="D84" i="18"/>
  <c r="D88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C36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AD2" i="18"/>
  <c r="AC2" i="18"/>
  <c r="AB2" i="18"/>
  <c r="AA2" i="18"/>
  <c r="Z2" i="18"/>
  <c r="Y2" i="18"/>
  <c r="X2" i="18"/>
  <c r="W2" i="18"/>
  <c r="V2" i="18"/>
  <c r="U2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F2" i="18"/>
  <c r="E2" i="18"/>
  <c r="D2" i="18"/>
  <c r="C2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AD10" i="17"/>
  <c r="AD13" i="17"/>
  <c r="AD18" i="17"/>
  <c r="AD21" i="17"/>
  <c r="AD28" i="17"/>
  <c r="AD31" i="17"/>
  <c r="AD33" i="17"/>
  <c r="AD37" i="17"/>
  <c r="AD38" i="17"/>
  <c r="AD51" i="17"/>
  <c r="AD64" i="17"/>
  <c r="AD65" i="17"/>
  <c r="AD66" i="17"/>
  <c r="AD70" i="17"/>
  <c r="AD72" i="17"/>
  <c r="AD74" i="17"/>
  <c r="AC10" i="17"/>
  <c r="AC13" i="17"/>
  <c r="AC18" i="17"/>
  <c r="AC21" i="17"/>
  <c r="AC28" i="17"/>
  <c r="AC31" i="17"/>
  <c r="AC33" i="17"/>
  <c r="AC37" i="17"/>
  <c r="AC38" i="17"/>
  <c r="AC51" i="17"/>
  <c r="AC64" i="17"/>
  <c r="AC65" i="17"/>
  <c r="AC66" i="17"/>
  <c r="AC70" i="17"/>
  <c r="AC72" i="17"/>
  <c r="AC74" i="17"/>
  <c r="AB10" i="17"/>
  <c r="AB13" i="17"/>
  <c r="AB18" i="17"/>
  <c r="AB21" i="17"/>
  <c r="AB28" i="17"/>
  <c r="AB31" i="17"/>
  <c r="AB33" i="17"/>
  <c r="AB37" i="17"/>
  <c r="AB38" i="17"/>
  <c r="AB51" i="17"/>
  <c r="AB64" i="17"/>
  <c r="AB65" i="17"/>
  <c r="AB66" i="17"/>
  <c r="AB70" i="17"/>
  <c r="AB72" i="17"/>
  <c r="AB74" i="17"/>
  <c r="I7" i="17"/>
  <c r="I10" i="17"/>
  <c r="I13" i="17"/>
  <c r="I16" i="17"/>
  <c r="I17" i="17"/>
  <c r="I18" i="17"/>
  <c r="I20" i="17"/>
  <c r="I21" i="17"/>
  <c r="I23" i="17"/>
  <c r="I24" i="17"/>
  <c r="I25" i="17"/>
  <c r="I28" i="17"/>
  <c r="I31" i="17"/>
  <c r="I32" i="17"/>
  <c r="I33" i="17"/>
  <c r="I34" i="17"/>
  <c r="H7" i="17"/>
  <c r="H10" i="17"/>
  <c r="H13" i="17"/>
  <c r="H16" i="17"/>
  <c r="H17" i="17"/>
  <c r="H18" i="17"/>
  <c r="H20" i="17"/>
  <c r="H21" i="17"/>
  <c r="H23" i="17"/>
  <c r="H24" i="17"/>
  <c r="H25" i="17"/>
  <c r="H28" i="17"/>
  <c r="H31" i="17"/>
  <c r="H32" i="17"/>
  <c r="H33" i="17"/>
  <c r="H34" i="17"/>
  <c r="G7" i="17"/>
  <c r="G10" i="17"/>
  <c r="G13" i="17"/>
  <c r="G16" i="17"/>
  <c r="G17" i="17"/>
  <c r="G18" i="17"/>
  <c r="G20" i="17"/>
  <c r="G21" i="17"/>
  <c r="G23" i="17"/>
  <c r="G24" i="17"/>
  <c r="G25" i="17"/>
  <c r="G28" i="17"/>
  <c r="G31" i="17"/>
  <c r="G32" i="17"/>
  <c r="G33" i="17"/>
  <c r="G34" i="17"/>
  <c r="F7" i="17"/>
  <c r="F10" i="17"/>
  <c r="F13" i="17"/>
  <c r="F16" i="17"/>
  <c r="F17" i="17"/>
  <c r="F18" i="17"/>
  <c r="F20" i="17"/>
  <c r="F21" i="17"/>
  <c r="F23" i="17"/>
  <c r="F24" i="17"/>
  <c r="F25" i="17"/>
  <c r="F28" i="17"/>
  <c r="F31" i="17"/>
  <c r="F32" i="17"/>
  <c r="F33" i="17"/>
  <c r="F34" i="17"/>
  <c r="E7" i="17"/>
  <c r="E10" i="17"/>
  <c r="E13" i="17"/>
  <c r="E16" i="17"/>
  <c r="E17" i="17"/>
  <c r="E18" i="17"/>
  <c r="E20" i="17"/>
  <c r="E21" i="17"/>
  <c r="E23" i="17"/>
  <c r="E24" i="17"/>
  <c r="E25" i="17"/>
  <c r="E28" i="17"/>
  <c r="E31" i="17"/>
  <c r="E32" i="17"/>
  <c r="E33" i="17"/>
  <c r="E34" i="17"/>
  <c r="D7" i="17"/>
  <c r="D10" i="17"/>
  <c r="D13" i="17"/>
  <c r="D16" i="17"/>
  <c r="D17" i="17"/>
  <c r="D18" i="17"/>
  <c r="D20" i="17"/>
  <c r="D21" i="17"/>
  <c r="D23" i="17"/>
  <c r="D24" i="17"/>
  <c r="D25" i="17"/>
  <c r="D28" i="17"/>
  <c r="D31" i="17"/>
  <c r="D32" i="17"/>
  <c r="D33" i="17"/>
  <c r="D34" i="17"/>
  <c r="C7" i="17"/>
  <c r="C10" i="17"/>
  <c r="C13" i="17"/>
  <c r="C16" i="17"/>
  <c r="C17" i="17"/>
  <c r="C18" i="17"/>
  <c r="C20" i="17"/>
  <c r="C21" i="17"/>
  <c r="C23" i="17"/>
  <c r="C24" i="17"/>
  <c r="C25" i="17"/>
  <c r="C28" i="17"/>
  <c r="C31" i="17"/>
  <c r="C32" i="17"/>
  <c r="C33" i="17"/>
  <c r="C34" i="17"/>
  <c r="C35" i="17"/>
  <c r="C36" i="17"/>
  <c r="C37" i="17"/>
  <c r="C38" i="17"/>
  <c r="C41" i="17"/>
  <c r="C51" i="17"/>
  <c r="C64" i="17"/>
  <c r="C65" i="17"/>
  <c r="C66" i="17"/>
  <c r="C68" i="17"/>
  <c r="C70" i="17"/>
  <c r="C72" i="17"/>
  <c r="C74" i="17"/>
  <c r="AA41" i="17"/>
  <c r="AA51" i="17"/>
  <c r="AA64" i="17"/>
  <c r="AA65" i="17"/>
  <c r="Z41" i="17"/>
  <c r="Z51" i="17"/>
  <c r="Z64" i="17"/>
  <c r="Z65" i="17"/>
  <c r="Y41" i="17"/>
  <c r="Y51" i="17"/>
  <c r="Y64" i="17"/>
  <c r="Y65" i="17"/>
  <c r="X41" i="17"/>
  <c r="X51" i="17"/>
  <c r="X64" i="17"/>
  <c r="X65" i="17"/>
  <c r="W41" i="17"/>
  <c r="W51" i="17"/>
  <c r="W64" i="17"/>
  <c r="W65" i="17"/>
  <c r="V41" i="17"/>
  <c r="V51" i="17"/>
  <c r="V64" i="17"/>
  <c r="V65" i="17"/>
  <c r="U41" i="17"/>
  <c r="U51" i="17"/>
  <c r="U64" i="17"/>
  <c r="U65" i="17"/>
  <c r="T41" i="17"/>
  <c r="T51" i="17"/>
  <c r="T64" i="17"/>
  <c r="T65" i="17"/>
  <c r="S41" i="17"/>
  <c r="S51" i="17"/>
  <c r="S64" i="17"/>
  <c r="S65" i="17"/>
  <c r="R41" i="17"/>
  <c r="R51" i="17"/>
  <c r="R64" i="17"/>
  <c r="R65" i="17"/>
  <c r="Q41" i="17"/>
  <c r="Q51" i="17"/>
  <c r="Q64" i="17"/>
  <c r="Q65" i="17"/>
  <c r="P41" i="17"/>
  <c r="P51" i="17"/>
  <c r="P64" i="17"/>
  <c r="P65" i="17"/>
  <c r="O41" i="17"/>
  <c r="O51" i="17"/>
  <c r="O64" i="17"/>
  <c r="O65" i="17"/>
  <c r="N41" i="17"/>
  <c r="N51" i="17"/>
  <c r="N64" i="17"/>
  <c r="N65" i="17"/>
  <c r="M41" i="17"/>
  <c r="M51" i="17"/>
  <c r="M64" i="17"/>
  <c r="M65" i="17"/>
  <c r="L41" i="17"/>
  <c r="L51" i="17"/>
  <c r="L64" i="17"/>
  <c r="L65" i="17"/>
  <c r="K41" i="17"/>
  <c r="K51" i="17"/>
  <c r="K64" i="17"/>
  <c r="K65" i="17"/>
  <c r="J41" i="17"/>
  <c r="J51" i="17"/>
  <c r="J64" i="17"/>
  <c r="J65" i="17"/>
  <c r="I41" i="17"/>
  <c r="I51" i="17"/>
  <c r="I64" i="17"/>
  <c r="I65" i="17"/>
  <c r="H41" i="17"/>
  <c r="H51" i="17"/>
  <c r="H64" i="17"/>
  <c r="H65" i="17"/>
  <c r="G41" i="17"/>
  <c r="G51" i="17"/>
  <c r="G64" i="17"/>
  <c r="G65" i="17"/>
  <c r="F41" i="17"/>
  <c r="F51" i="17"/>
  <c r="F64" i="17"/>
  <c r="F65" i="17"/>
  <c r="E41" i="17"/>
  <c r="E51" i="17"/>
  <c r="E64" i="17"/>
  <c r="E65" i="17"/>
  <c r="D41" i="17"/>
  <c r="D51" i="17"/>
  <c r="D64" i="17"/>
  <c r="D65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F593" i="14"/>
  <c r="F597" i="14"/>
  <c r="F598" i="14"/>
  <c r="F599" i="14"/>
  <c r="F600" i="14"/>
  <c r="K127" i="14"/>
  <c r="K583" i="14"/>
  <c r="K32" i="14"/>
  <c r="K584" i="14"/>
  <c r="J127" i="14"/>
  <c r="J583" i="14"/>
  <c r="J32" i="14"/>
  <c r="J584" i="14"/>
  <c r="I127" i="14"/>
  <c r="I583" i="14"/>
  <c r="H127" i="14"/>
  <c r="H583" i="14"/>
  <c r="H32" i="14"/>
  <c r="H584" i="14"/>
  <c r="G127" i="14"/>
  <c r="G583" i="14"/>
  <c r="G32" i="14"/>
  <c r="G584" i="14"/>
  <c r="F127" i="14"/>
  <c r="F583" i="14"/>
  <c r="F32" i="14"/>
  <c r="F584" i="14"/>
  <c r="K235" i="14"/>
  <c r="K579" i="14"/>
  <c r="K16" i="14"/>
  <c r="K19" i="14"/>
  <c r="K580" i="14"/>
  <c r="J235" i="14"/>
  <c r="J579" i="14"/>
  <c r="J16" i="14"/>
  <c r="J19" i="14"/>
  <c r="J580" i="14"/>
  <c r="I235" i="14"/>
  <c r="I579" i="14"/>
  <c r="H235" i="14"/>
  <c r="H579" i="14"/>
  <c r="H16" i="14"/>
  <c r="H19" i="14"/>
  <c r="H580" i="14"/>
  <c r="G235" i="14"/>
  <c r="G579" i="14"/>
  <c r="G16" i="14"/>
  <c r="G19" i="14"/>
  <c r="G580" i="14"/>
  <c r="F235" i="14"/>
  <c r="F579" i="14"/>
  <c r="F16" i="14"/>
  <c r="F19" i="14"/>
  <c r="F580" i="14"/>
  <c r="K248" i="14"/>
  <c r="K247" i="14"/>
  <c r="K573" i="14"/>
  <c r="K574" i="14"/>
  <c r="J248" i="14"/>
  <c r="J247" i="14"/>
  <c r="J573" i="14"/>
  <c r="J574" i="14"/>
  <c r="I248" i="14"/>
  <c r="I247" i="14"/>
  <c r="I573" i="14"/>
  <c r="H248" i="14"/>
  <c r="H247" i="14"/>
  <c r="H573" i="14"/>
  <c r="H574" i="14"/>
  <c r="G248" i="14"/>
  <c r="G247" i="14"/>
  <c r="G573" i="14"/>
  <c r="G574" i="14"/>
  <c r="F247" i="14"/>
  <c r="F573" i="14"/>
  <c r="F574" i="14"/>
  <c r="K571" i="14"/>
  <c r="K33" i="14"/>
  <c r="K572" i="14"/>
  <c r="J571" i="14"/>
  <c r="J33" i="14"/>
  <c r="J572" i="14"/>
  <c r="I571" i="14"/>
  <c r="H571" i="14"/>
  <c r="H33" i="14"/>
  <c r="H572" i="14"/>
  <c r="G571" i="14"/>
  <c r="G33" i="14"/>
  <c r="G572" i="14"/>
  <c r="F248" i="14"/>
  <c r="F571" i="14"/>
  <c r="F33" i="14"/>
  <c r="F572" i="14"/>
  <c r="K570" i="14"/>
  <c r="J570" i="14"/>
  <c r="I570" i="14"/>
  <c r="H570" i="14"/>
  <c r="G570" i="14"/>
  <c r="F570" i="14"/>
  <c r="F8" i="14"/>
  <c r="G8" i="14"/>
  <c r="H8" i="14"/>
  <c r="I8" i="14"/>
  <c r="J8" i="14"/>
  <c r="K8" i="14"/>
  <c r="K569" i="14"/>
  <c r="J569" i="14"/>
  <c r="I569" i="14"/>
  <c r="H569" i="14"/>
  <c r="G569" i="14"/>
  <c r="F569" i="14"/>
  <c r="K549" i="14"/>
  <c r="K551" i="14"/>
  <c r="K553" i="14"/>
  <c r="K556" i="14"/>
  <c r="K253" i="14"/>
  <c r="K252" i="14"/>
  <c r="J253" i="14"/>
  <c r="J252" i="14"/>
  <c r="K559" i="14"/>
  <c r="J549" i="14"/>
  <c r="J551" i="14"/>
  <c r="J553" i="14"/>
  <c r="J556" i="14"/>
  <c r="I253" i="14"/>
  <c r="I252" i="14"/>
  <c r="J559" i="14"/>
  <c r="I549" i="14"/>
  <c r="I551" i="14"/>
  <c r="I553" i="14"/>
  <c r="I556" i="14"/>
  <c r="H253" i="14"/>
  <c r="H252" i="14"/>
  <c r="I559" i="14"/>
  <c r="I224" i="14"/>
  <c r="I255" i="14"/>
  <c r="I268" i="14"/>
  <c r="H224" i="14"/>
  <c r="H255" i="14"/>
  <c r="H268" i="14"/>
  <c r="I561" i="14"/>
  <c r="I563" i="14"/>
  <c r="H549" i="14"/>
  <c r="H551" i="14"/>
  <c r="H553" i="14"/>
  <c r="H556" i="14"/>
  <c r="G253" i="14"/>
  <c r="G252" i="14"/>
  <c r="H559" i="14"/>
  <c r="G224" i="14"/>
  <c r="G255" i="14"/>
  <c r="G268" i="14"/>
  <c r="H561" i="14"/>
  <c r="H563" i="14"/>
  <c r="G549" i="14"/>
  <c r="G551" i="14"/>
  <c r="G553" i="14"/>
  <c r="G556" i="14"/>
  <c r="F253" i="14"/>
  <c r="F252" i="14"/>
  <c r="G559" i="14"/>
  <c r="F224" i="14"/>
  <c r="F255" i="14"/>
  <c r="F268" i="14"/>
  <c r="G561" i="14"/>
  <c r="G563" i="14"/>
  <c r="F549" i="14"/>
  <c r="F551" i="14"/>
  <c r="F553" i="14"/>
  <c r="F556" i="14"/>
  <c r="F559" i="14"/>
  <c r="F561" i="14"/>
  <c r="F563" i="14"/>
  <c r="E549" i="14"/>
  <c r="E551" i="14"/>
  <c r="E553" i="14"/>
  <c r="E556" i="14"/>
  <c r="E559" i="14"/>
  <c r="E561" i="14"/>
  <c r="E563" i="14"/>
  <c r="K23" i="14"/>
  <c r="J23" i="14"/>
  <c r="K545" i="14"/>
  <c r="H23" i="14"/>
  <c r="G23" i="14"/>
  <c r="H545" i="14"/>
  <c r="F23" i="14"/>
  <c r="G545" i="14"/>
  <c r="F545" i="14"/>
  <c r="E545" i="14"/>
  <c r="K118" i="14"/>
  <c r="K122" i="14"/>
  <c r="J118" i="14"/>
  <c r="J122" i="14"/>
  <c r="K543" i="14"/>
  <c r="K40" i="14"/>
  <c r="K41" i="14"/>
  <c r="K43" i="14"/>
  <c r="K44" i="14"/>
  <c r="K46" i="14"/>
  <c r="K51" i="14"/>
  <c r="K54" i="14"/>
  <c r="K56" i="14"/>
  <c r="K60" i="14"/>
  <c r="K66" i="14"/>
  <c r="K69" i="14"/>
  <c r="I118" i="14"/>
  <c r="I122" i="14"/>
  <c r="J543" i="14"/>
  <c r="J40" i="14"/>
  <c r="J41" i="14"/>
  <c r="J43" i="14"/>
  <c r="J44" i="14"/>
  <c r="J46" i="14"/>
  <c r="J51" i="14"/>
  <c r="J54" i="14"/>
  <c r="J56" i="14"/>
  <c r="J60" i="14"/>
  <c r="J66" i="14"/>
  <c r="J69" i="14"/>
  <c r="H118" i="14"/>
  <c r="H122" i="14"/>
  <c r="I543" i="14"/>
  <c r="I44" i="14"/>
  <c r="I54" i="14"/>
  <c r="G118" i="14"/>
  <c r="G122" i="14"/>
  <c r="H543" i="14"/>
  <c r="H40" i="14"/>
  <c r="H41" i="14"/>
  <c r="H43" i="14"/>
  <c r="H44" i="14"/>
  <c r="H46" i="14"/>
  <c r="H51" i="14"/>
  <c r="H56" i="14"/>
  <c r="H60" i="14"/>
  <c r="H66" i="14"/>
  <c r="H69" i="14"/>
  <c r="H71" i="14"/>
  <c r="H74" i="14"/>
  <c r="H81" i="14"/>
  <c r="H84" i="14"/>
  <c r="H86" i="14"/>
  <c r="H89" i="14"/>
  <c r="H504" i="14"/>
  <c r="H505" i="14"/>
  <c r="H191" i="14"/>
  <c r="G191" i="14"/>
  <c r="H203" i="14"/>
  <c r="G203" i="14"/>
  <c r="H506" i="14"/>
  <c r="H508" i="14"/>
  <c r="H515" i="14"/>
  <c r="H283" i="14"/>
  <c r="H285" i="14"/>
  <c r="H287" i="14"/>
  <c r="G283" i="14"/>
  <c r="G285" i="14"/>
  <c r="G287" i="14"/>
  <c r="H288" i="14"/>
  <c r="G288" i="14"/>
  <c r="H524" i="14"/>
  <c r="H529" i="14"/>
  <c r="H533" i="14"/>
  <c r="H535" i="14"/>
  <c r="H144" i="14"/>
  <c r="H154" i="14"/>
  <c r="G144" i="14"/>
  <c r="G154" i="14"/>
  <c r="H538" i="14"/>
  <c r="H539" i="14"/>
  <c r="H541" i="14"/>
  <c r="H544" i="14"/>
  <c r="F118" i="14"/>
  <c r="F122" i="14"/>
  <c r="G543" i="14"/>
  <c r="G40" i="14"/>
  <c r="G41" i="14"/>
  <c r="G43" i="14"/>
  <c r="G44" i="14"/>
  <c r="G46" i="14"/>
  <c r="G51" i="14"/>
  <c r="G56" i="14"/>
  <c r="G60" i="14"/>
  <c r="G66" i="14"/>
  <c r="G69" i="14"/>
  <c r="G71" i="14"/>
  <c r="G74" i="14"/>
  <c r="G81" i="14"/>
  <c r="G84" i="14"/>
  <c r="G86" i="14"/>
  <c r="G89" i="14"/>
  <c r="G504" i="14"/>
  <c r="G505" i="14"/>
  <c r="F191" i="14"/>
  <c r="F203" i="14"/>
  <c r="G506" i="14"/>
  <c r="G508" i="14"/>
  <c r="G515" i="14"/>
  <c r="F283" i="14"/>
  <c r="F285" i="14"/>
  <c r="F287" i="14"/>
  <c r="F288" i="14"/>
  <c r="G524" i="14"/>
  <c r="G297" i="14"/>
  <c r="G299" i="14"/>
  <c r="G310" i="14"/>
  <c r="F297" i="14"/>
  <c r="F299" i="14"/>
  <c r="F310" i="14"/>
  <c r="G525" i="14"/>
  <c r="G529" i="14"/>
  <c r="G533" i="14"/>
  <c r="G535" i="14"/>
  <c r="F144" i="14"/>
  <c r="F154" i="14"/>
  <c r="G538" i="14"/>
  <c r="G539" i="14"/>
  <c r="G541" i="14"/>
  <c r="G544" i="14"/>
  <c r="E122" i="14"/>
  <c r="F543" i="14"/>
  <c r="F40" i="14"/>
  <c r="F41" i="14"/>
  <c r="F43" i="14"/>
  <c r="F44" i="14"/>
  <c r="F46" i="14"/>
  <c r="F51" i="14"/>
  <c r="F56" i="14"/>
  <c r="F60" i="14"/>
  <c r="F66" i="14"/>
  <c r="F69" i="14"/>
  <c r="F71" i="14"/>
  <c r="F74" i="14"/>
  <c r="F81" i="14"/>
  <c r="F84" i="14"/>
  <c r="F86" i="14"/>
  <c r="F89" i="14"/>
  <c r="F504" i="14"/>
  <c r="F505" i="14"/>
  <c r="F506" i="14"/>
  <c r="F508" i="14"/>
  <c r="F515" i="14"/>
  <c r="F524" i="14"/>
  <c r="F525" i="14"/>
  <c r="F529" i="14"/>
  <c r="F533" i="14"/>
  <c r="F535" i="14"/>
  <c r="E154" i="14"/>
  <c r="F538" i="14"/>
  <c r="F539" i="14"/>
  <c r="F541" i="14"/>
  <c r="F544" i="14"/>
  <c r="E544" i="14"/>
  <c r="I535" i="14"/>
  <c r="I144" i="14"/>
  <c r="I154" i="14"/>
  <c r="I538" i="14"/>
  <c r="I539" i="14"/>
  <c r="K144" i="14"/>
  <c r="K154" i="14"/>
  <c r="J144" i="14"/>
  <c r="J154" i="14"/>
  <c r="K538" i="14"/>
  <c r="J538" i="14"/>
  <c r="K497" i="14"/>
  <c r="K531" i="14"/>
  <c r="J497" i="14"/>
  <c r="J531" i="14"/>
  <c r="I497" i="14"/>
  <c r="I531" i="14"/>
  <c r="H497" i="14"/>
  <c r="H531" i="14"/>
  <c r="G497" i="14"/>
  <c r="G531" i="14"/>
  <c r="F497" i="14"/>
  <c r="F531" i="14"/>
  <c r="E497" i="14"/>
  <c r="E531" i="14"/>
  <c r="K283" i="14"/>
  <c r="K285" i="14"/>
  <c r="K287" i="14"/>
  <c r="J283" i="14"/>
  <c r="J285" i="14"/>
  <c r="J287" i="14"/>
  <c r="K288" i="14"/>
  <c r="J288" i="14"/>
  <c r="K524" i="14"/>
  <c r="K297" i="14"/>
  <c r="K299" i="14"/>
  <c r="K310" i="14"/>
  <c r="J297" i="14"/>
  <c r="J299" i="14"/>
  <c r="J310" i="14"/>
  <c r="K525" i="14"/>
  <c r="K529" i="14"/>
  <c r="I283" i="14"/>
  <c r="I285" i="14"/>
  <c r="I287" i="14"/>
  <c r="I288" i="14"/>
  <c r="J524" i="14"/>
  <c r="I297" i="14"/>
  <c r="I299" i="14"/>
  <c r="I310" i="14"/>
  <c r="J525" i="14"/>
  <c r="J529" i="14"/>
  <c r="E529" i="14"/>
  <c r="K527" i="14"/>
  <c r="J527" i="14"/>
  <c r="I527" i="14"/>
  <c r="H527" i="14"/>
  <c r="G527" i="14"/>
  <c r="F527" i="14"/>
  <c r="K526" i="14"/>
  <c r="J526" i="14"/>
  <c r="I526" i="14"/>
  <c r="H526" i="14"/>
  <c r="G526" i="14"/>
  <c r="F526" i="14"/>
  <c r="H297" i="14"/>
  <c r="H299" i="14"/>
  <c r="H310" i="14"/>
  <c r="I525" i="14"/>
  <c r="H525" i="14"/>
  <c r="E515" i="14"/>
  <c r="K181" i="14"/>
  <c r="J181" i="14"/>
  <c r="K513" i="14"/>
  <c r="I181" i="14"/>
  <c r="J513" i="14"/>
  <c r="H181" i="14"/>
  <c r="I513" i="14"/>
  <c r="G181" i="14"/>
  <c r="H513" i="14"/>
  <c r="F181" i="14"/>
  <c r="G513" i="14"/>
  <c r="F513" i="14"/>
  <c r="K512" i="14"/>
  <c r="J512" i="14"/>
  <c r="I512" i="14"/>
  <c r="H512" i="14"/>
  <c r="G512" i="14"/>
  <c r="F512" i="14"/>
  <c r="I508" i="14"/>
  <c r="K191" i="14"/>
  <c r="J191" i="14"/>
  <c r="K203" i="14"/>
  <c r="J203" i="14"/>
  <c r="K506" i="14"/>
  <c r="I191" i="14"/>
  <c r="I203" i="14"/>
  <c r="J506" i="14"/>
  <c r="I506" i="14"/>
  <c r="K505" i="14"/>
  <c r="J505" i="14"/>
  <c r="K499" i="14"/>
  <c r="J499" i="14"/>
  <c r="I499" i="14"/>
  <c r="H499" i="14"/>
  <c r="G499" i="14"/>
  <c r="F499" i="14"/>
  <c r="E499" i="14"/>
  <c r="I230" i="14"/>
  <c r="I429" i="14"/>
  <c r="I425" i="14"/>
  <c r="I390" i="14"/>
  <c r="I397" i="14"/>
  <c r="I388" i="14"/>
  <c r="I395" i="14"/>
  <c r="I400" i="14"/>
  <c r="I406" i="14"/>
  <c r="I413" i="14"/>
  <c r="I418" i="14"/>
  <c r="I403" i="14"/>
  <c r="I421" i="14"/>
  <c r="I431" i="14"/>
  <c r="I473" i="14"/>
  <c r="I457" i="14"/>
  <c r="I451" i="14"/>
  <c r="I449" i="14"/>
  <c r="I446" i="14"/>
  <c r="I460" i="14"/>
  <c r="I477" i="14"/>
  <c r="I480" i="14"/>
  <c r="I164" i="14"/>
  <c r="I183" i="14"/>
  <c r="I197" i="14"/>
  <c r="I200" i="14"/>
  <c r="I206" i="14"/>
  <c r="I331" i="14"/>
  <c r="I485" i="14"/>
  <c r="I489" i="14"/>
  <c r="I491" i="14"/>
  <c r="H230" i="14"/>
  <c r="H429" i="14"/>
  <c r="H425" i="14"/>
  <c r="H390" i="14"/>
  <c r="H397" i="14"/>
  <c r="H388" i="14"/>
  <c r="H395" i="14"/>
  <c r="H400" i="14"/>
  <c r="H406" i="14"/>
  <c r="H413" i="14"/>
  <c r="H418" i="14"/>
  <c r="H403" i="14"/>
  <c r="H421" i="14"/>
  <c r="H431" i="14"/>
  <c r="H473" i="14"/>
  <c r="H457" i="14"/>
  <c r="H451" i="14"/>
  <c r="H449" i="14"/>
  <c r="H446" i="14"/>
  <c r="H460" i="14"/>
  <c r="H477" i="14"/>
  <c r="H480" i="14"/>
  <c r="H164" i="14"/>
  <c r="H183" i="14"/>
  <c r="H197" i="14"/>
  <c r="H200" i="14"/>
  <c r="H206" i="14"/>
  <c r="H331" i="14"/>
  <c r="H485" i="14"/>
  <c r="H489" i="14"/>
  <c r="H491" i="14"/>
  <c r="G230" i="14"/>
  <c r="G429" i="14"/>
  <c r="G425" i="14"/>
  <c r="G390" i="14"/>
  <c r="G397" i="14"/>
  <c r="G388" i="14"/>
  <c r="G395" i="14"/>
  <c r="G400" i="14"/>
  <c r="G406" i="14"/>
  <c r="G413" i="14"/>
  <c r="G418" i="14"/>
  <c r="G403" i="14"/>
  <c r="G421" i="14"/>
  <c r="G431" i="14"/>
  <c r="G473" i="14"/>
  <c r="G457" i="14"/>
  <c r="G451" i="14"/>
  <c r="G449" i="14"/>
  <c r="G446" i="14"/>
  <c r="G460" i="14"/>
  <c r="G477" i="14"/>
  <c r="G480" i="14"/>
  <c r="G164" i="14"/>
  <c r="G183" i="14"/>
  <c r="G197" i="14"/>
  <c r="G200" i="14"/>
  <c r="G206" i="14"/>
  <c r="G331" i="14"/>
  <c r="G485" i="14"/>
  <c r="G489" i="14"/>
  <c r="G491" i="14"/>
  <c r="F230" i="14"/>
  <c r="F429" i="14"/>
  <c r="F425" i="14"/>
  <c r="F390" i="14"/>
  <c r="F397" i="14"/>
  <c r="F388" i="14"/>
  <c r="F395" i="14"/>
  <c r="F400" i="14"/>
  <c r="F406" i="14"/>
  <c r="F413" i="14"/>
  <c r="F418" i="14"/>
  <c r="F403" i="14"/>
  <c r="F421" i="14"/>
  <c r="F431" i="14"/>
  <c r="F473" i="14"/>
  <c r="F457" i="14"/>
  <c r="F451" i="14"/>
  <c r="F449" i="14"/>
  <c r="F446" i="14"/>
  <c r="F460" i="14"/>
  <c r="F477" i="14"/>
  <c r="F480" i="14"/>
  <c r="F164" i="14"/>
  <c r="F183" i="14"/>
  <c r="F197" i="14"/>
  <c r="F200" i="14"/>
  <c r="F206" i="14"/>
  <c r="F331" i="14"/>
  <c r="F485" i="14"/>
  <c r="F489" i="14"/>
  <c r="F491" i="14"/>
  <c r="I482" i="14"/>
  <c r="I487" i="14"/>
  <c r="H482" i="14"/>
  <c r="H487" i="14"/>
  <c r="G482" i="14"/>
  <c r="G487" i="14"/>
  <c r="F482" i="14"/>
  <c r="F487" i="14"/>
  <c r="K164" i="14"/>
  <c r="K183" i="14"/>
  <c r="K197" i="14"/>
  <c r="J164" i="14"/>
  <c r="J183" i="14"/>
  <c r="J197" i="14"/>
  <c r="K457" i="14"/>
  <c r="K451" i="14"/>
  <c r="K449" i="14"/>
  <c r="K446" i="14"/>
  <c r="K460" i="14"/>
  <c r="K477" i="14"/>
  <c r="J457" i="14"/>
  <c r="J451" i="14"/>
  <c r="J449" i="14"/>
  <c r="J446" i="14"/>
  <c r="J460" i="14"/>
  <c r="J477" i="14"/>
  <c r="K469" i="14"/>
  <c r="J469" i="14"/>
  <c r="I469" i="14"/>
  <c r="H469" i="14"/>
  <c r="G469" i="14"/>
  <c r="F469" i="14"/>
  <c r="E469" i="14"/>
  <c r="K467" i="14"/>
  <c r="J467" i="14"/>
  <c r="I467" i="14"/>
  <c r="H467" i="14"/>
  <c r="G467" i="14"/>
  <c r="F467" i="14"/>
  <c r="E467" i="14"/>
  <c r="K462" i="14"/>
  <c r="K463" i="14"/>
  <c r="J462" i="14"/>
  <c r="J463" i="14"/>
  <c r="I462" i="14"/>
  <c r="I463" i="14"/>
  <c r="H462" i="14"/>
  <c r="H463" i="14"/>
  <c r="G462" i="14"/>
  <c r="G463" i="14"/>
  <c r="F462" i="14"/>
  <c r="F463" i="14"/>
  <c r="E463" i="14"/>
  <c r="K447" i="14"/>
  <c r="J447" i="14"/>
  <c r="H447" i="14"/>
  <c r="G447" i="14"/>
  <c r="F447" i="14"/>
  <c r="K442" i="14"/>
  <c r="J442" i="14"/>
  <c r="I442" i="14"/>
  <c r="H442" i="14"/>
  <c r="G442" i="14"/>
  <c r="F442" i="14"/>
  <c r="E442" i="14"/>
  <c r="K440" i="14"/>
  <c r="J440" i="14"/>
  <c r="I440" i="14"/>
  <c r="H440" i="14"/>
  <c r="G440" i="14"/>
  <c r="F440" i="14"/>
  <c r="E440" i="14"/>
  <c r="I270" i="14"/>
  <c r="I432" i="14"/>
  <c r="I433" i="14"/>
  <c r="H270" i="14"/>
  <c r="H432" i="14"/>
  <c r="H433" i="14"/>
  <c r="G270" i="14"/>
  <c r="G432" i="14"/>
  <c r="G433" i="14"/>
  <c r="F270" i="14"/>
  <c r="F432" i="14"/>
  <c r="F433" i="14"/>
  <c r="K255" i="14"/>
  <c r="K425" i="14"/>
  <c r="J255" i="14"/>
  <c r="J425" i="14"/>
  <c r="K390" i="14"/>
  <c r="K397" i="14"/>
  <c r="K388" i="14"/>
  <c r="K395" i="14"/>
  <c r="K400" i="14"/>
  <c r="K401" i="14"/>
  <c r="K403" i="14"/>
  <c r="K404" i="14"/>
  <c r="K406" i="14"/>
  <c r="K407" i="14"/>
  <c r="K413" i="14"/>
  <c r="K415" i="14"/>
  <c r="K422" i="14"/>
  <c r="J390" i="14"/>
  <c r="J397" i="14"/>
  <c r="J388" i="14"/>
  <c r="J395" i="14"/>
  <c r="J400" i="14"/>
  <c r="J401" i="14"/>
  <c r="J403" i="14"/>
  <c r="J404" i="14"/>
  <c r="J406" i="14"/>
  <c r="J407" i="14"/>
  <c r="J413" i="14"/>
  <c r="J415" i="14"/>
  <c r="J422" i="14"/>
  <c r="H401" i="14"/>
  <c r="H404" i="14"/>
  <c r="H407" i="14"/>
  <c r="H415" i="14"/>
  <c r="H422" i="14"/>
  <c r="G401" i="14"/>
  <c r="G404" i="14"/>
  <c r="G407" i="14"/>
  <c r="G415" i="14"/>
  <c r="G422" i="14"/>
  <c r="F401" i="14"/>
  <c r="F404" i="14"/>
  <c r="F407" i="14"/>
  <c r="F415" i="14"/>
  <c r="F422" i="14"/>
  <c r="K418" i="14"/>
  <c r="K421" i="14"/>
  <c r="J418" i="14"/>
  <c r="J421" i="14"/>
  <c r="K416" i="14"/>
  <c r="J416" i="14"/>
  <c r="H416" i="14"/>
  <c r="G416" i="14"/>
  <c r="F416" i="14"/>
  <c r="M398" i="14"/>
  <c r="K398" i="14"/>
  <c r="J398" i="14"/>
  <c r="I398" i="14"/>
  <c r="H398" i="14"/>
  <c r="G398" i="14"/>
  <c r="F398" i="14"/>
  <c r="M397" i="14"/>
  <c r="K396" i="14"/>
  <c r="J396" i="14"/>
  <c r="I396" i="14"/>
  <c r="H396" i="14"/>
  <c r="G396" i="14"/>
  <c r="F396" i="14"/>
  <c r="K391" i="14"/>
  <c r="J391" i="14"/>
  <c r="H391" i="14"/>
  <c r="G391" i="14"/>
  <c r="F391" i="14"/>
  <c r="M390" i="14"/>
  <c r="K389" i="14"/>
  <c r="J389" i="14"/>
  <c r="H389" i="14"/>
  <c r="G389" i="14"/>
  <c r="F389" i="14"/>
  <c r="M388" i="14"/>
  <c r="K381" i="14"/>
  <c r="J381" i="14"/>
  <c r="I381" i="14"/>
  <c r="H381" i="14"/>
  <c r="G381" i="14"/>
  <c r="F381" i="14"/>
  <c r="E381" i="14"/>
  <c r="K379" i="14"/>
  <c r="J379" i="14"/>
  <c r="I379" i="14"/>
  <c r="H379" i="14"/>
  <c r="G379" i="14"/>
  <c r="F379" i="14"/>
  <c r="E379" i="14"/>
  <c r="K156" i="14"/>
  <c r="K186" i="14"/>
  <c r="J156" i="14"/>
  <c r="J186" i="14"/>
  <c r="I156" i="14"/>
  <c r="I186" i="14"/>
  <c r="I209" i="14"/>
  <c r="I316" i="14"/>
  <c r="I373" i="14"/>
  <c r="H156" i="14"/>
  <c r="H186" i="14"/>
  <c r="H209" i="14"/>
  <c r="H316" i="14"/>
  <c r="H373" i="14"/>
  <c r="G156" i="14"/>
  <c r="G186" i="14"/>
  <c r="G209" i="14"/>
  <c r="G316" i="14"/>
  <c r="G373" i="14"/>
  <c r="F156" i="14"/>
  <c r="F186" i="14"/>
  <c r="F209" i="14"/>
  <c r="F316" i="14"/>
  <c r="F373" i="14"/>
  <c r="E270" i="14"/>
  <c r="E316" i="14"/>
  <c r="E373" i="14"/>
  <c r="K150" i="14"/>
  <c r="J150" i="14"/>
  <c r="I150" i="14"/>
  <c r="I358" i="14"/>
  <c r="H150" i="14"/>
  <c r="H358" i="14"/>
  <c r="G150" i="14"/>
  <c r="G358" i="14"/>
  <c r="F150" i="14"/>
  <c r="F358" i="14"/>
  <c r="I355" i="14"/>
  <c r="H355" i="14"/>
  <c r="G355" i="14"/>
  <c r="F355" i="14"/>
  <c r="K353" i="14"/>
  <c r="J353" i="14"/>
  <c r="H353" i="14"/>
  <c r="G353" i="14"/>
  <c r="F353" i="14"/>
  <c r="I351" i="14"/>
  <c r="H351" i="14"/>
  <c r="G351" i="14"/>
  <c r="F351" i="14"/>
  <c r="K349" i="14"/>
  <c r="J349" i="14"/>
  <c r="H349" i="14"/>
  <c r="G349" i="14"/>
  <c r="F349" i="14"/>
  <c r="H347" i="14"/>
  <c r="G347" i="14"/>
  <c r="F347" i="14"/>
  <c r="H345" i="14"/>
  <c r="G345" i="14"/>
  <c r="F345" i="14"/>
  <c r="H343" i="14"/>
  <c r="G343" i="14"/>
  <c r="F343" i="14"/>
  <c r="H341" i="14"/>
  <c r="G341" i="14"/>
  <c r="F341" i="14"/>
  <c r="I329" i="14"/>
  <c r="I339" i="14"/>
  <c r="H329" i="14"/>
  <c r="H339" i="14"/>
  <c r="G329" i="14"/>
  <c r="G339" i="14"/>
  <c r="F329" i="14"/>
  <c r="F339" i="14"/>
  <c r="I336" i="14"/>
  <c r="H336" i="14"/>
  <c r="G336" i="14"/>
  <c r="F336" i="14"/>
  <c r="I333" i="14"/>
  <c r="I334" i="14"/>
  <c r="H333" i="14"/>
  <c r="H334" i="14"/>
  <c r="G333" i="14"/>
  <c r="G334" i="14"/>
  <c r="F333" i="14"/>
  <c r="F334" i="14"/>
  <c r="I332" i="14"/>
  <c r="H332" i="14"/>
  <c r="G332" i="14"/>
  <c r="F332" i="14"/>
  <c r="K111" i="14"/>
  <c r="K326" i="14"/>
  <c r="J111" i="14"/>
  <c r="J326" i="14"/>
  <c r="I111" i="14"/>
  <c r="I326" i="14"/>
  <c r="H111" i="14"/>
  <c r="H326" i="14"/>
  <c r="G111" i="14"/>
  <c r="G326" i="14"/>
  <c r="F111" i="14"/>
  <c r="F326" i="14"/>
  <c r="E111" i="14"/>
  <c r="E326" i="14"/>
  <c r="K109" i="14"/>
  <c r="K219" i="14"/>
  <c r="K324" i="14"/>
  <c r="J109" i="14"/>
  <c r="J219" i="14"/>
  <c r="J324" i="14"/>
  <c r="I109" i="14"/>
  <c r="I219" i="14"/>
  <c r="I324" i="14"/>
  <c r="H109" i="14"/>
  <c r="H219" i="14"/>
  <c r="H324" i="14"/>
  <c r="G109" i="14"/>
  <c r="G219" i="14"/>
  <c r="G324" i="14"/>
  <c r="F109" i="14"/>
  <c r="F219" i="14"/>
  <c r="F324" i="14"/>
  <c r="E109" i="14"/>
  <c r="E219" i="14"/>
  <c r="E324" i="14"/>
  <c r="I318" i="14"/>
  <c r="H318" i="14"/>
  <c r="G318" i="14"/>
  <c r="F318" i="14"/>
  <c r="E318" i="14"/>
  <c r="K278" i="14"/>
  <c r="J278" i="14"/>
  <c r="I278" i="14"/>
  <c r="H278" i="14"/>
  <c r="G278" i="14"/>
  <c r="F278" i="14"/>
  <c r="E278" i="14"/>
  <c r="K276" i="14"/>
  <c r="J276" i="14"/>
  <c r="I276" i="14"/>
  <c r="H276" i="14"/>
  <c r="G276" i="14"/>
  <c r="F276" i="14"/>
  <c r="E276" i="14"/>
  <c r="K268" i="14"/>
  <c r="J268" i="14"/>
  <c r="K230" i="14"/>
  <c r="J230" i="14"/>
  <c r="K221" i="14"/>
  <c r="J221" i="14"/>
  <c r="I221" i="14"/>
  <c r="H221" i="14"/>
  <c r="G221" i="14"/>
  <c r="F221" i="14"/>
  <c r="E221" i="14"/>
  <c r="K172" i="14"/>
  <c r="J172" i="14"/>
  <c r="I172" i="14"/>
  <c r="H172" i="14"/>
  <c r="G172" i="14"/>
  <c r="F172" i="14"/>
  <c r="I170" i="14"/>
  <c r="H170" i="14"/>
  <c r="G170" i="14"/>
  <c r="F170" i="14"/>
  <c r="E156" i="14"/>
  <c r="H99" i="14"/>
  <c r="G99" i="14"/>
  <c r="F99" i="14"/>
  <c r="E43" i="14"/>
  <c r="E44" i="14"/>
  <c r="E46" i="14"/>
  <c r="E51" i="14"/>
  <c r="E56" i="14"/>
  <c r="E60" i="14"/>
  <c r="E66" i="14"/>
  <c r="E69" i="14"/>
  <c r="E74" i="14"/>
  <c r="E81" i="14"/>
  <c r="E84" i="14"/>
  <c r="E99" i="14"/>
  <c r="H98" i="14"/>
  <c r="G98" i="14"/>
  <c r="F98" i="14"/>
  <c r="E89" i="14"/>
  <c r="E98" i="14"/>
  <c r="H96" i="14"/>
  <c r="G96" i="14"/>
  <c r="F96" i="14"/>
  <c r="I86" i="14"/>
  <c r="K81" i="14"/>
  <c r="J81" i="14"/>
  <c r="I81" i="14"/>
  <c r="K25" i="14"/>
  <c r="H25" i="14"/>
  <c r="G25" i="14"/>
  <c r="E12" i="14"/>
  <c r="F12" i="14"/>
  <c r="G12" i="14"/>
  <c r="H12" i="14"/>
  <c r="I12" i="14"/>
  <c r="J12" i="14"/>
  <c r="K12" i="14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E111" i="10"/>
  <c r="D111" i="10"/>
  <c r="C111" i="10"/>
  <c r="E69" i="10"/>
  <c r="E68" i="10"/>
  <c r="F68" i="10"/>
  <c r="G68" i="10"/>
  <c r="D69" i="10"/>
  <c r="G69" i="10"/>
  <c r="I69" i="10"/>
  <c r="J68" i="10"/>
  <c r="K68" i="10"/>
  <c r="K69" i="10"/>
  <c r="M69" i="10"/>
  <c r="N68" i="10"/>
  <c r="O68" i="10"/>
  <c r="O69" i="10"/>
  <c r="Q69" i="10"/>
  <c r="R68" i="10"/>
  <c r="S68" i="10"/>
  <c r="S69" i="10"/>
  <c r="U69" i="10"/>
  <c r="V68" i="10"/>
  <c r="W68" i="10"/>
  <c r="W69" i="10"/>
  <c r="Y69" i="10"/>
  <c r="Z68" i="10"/>
  <c r="AA68" i="10"/>
  <c r="AA69" i="10"/>
  <c r="AC69" i="10"/>
  <c r="C69" i="10"/>
  <c r="C26" i="10"/>
  <c r="B69" i="10"/>
  <c r="F69" i="10"/>
  <c r="H69" i="10"/>
  <c r="J69" i="10"/>
  <c r="L69" i="10"/>
  <c r="N69" i="10"/>
  <c r="P69" i="10"/>
  <c r="R69" i="10"/>
  <c r="T69" i="10"/>
  <c r="V69" i="10"/>
  <c r="X69" i="10"/>
  <c r="Z69" i="10"/>
  <c r="AB69" i="10"/>
  <c r="AD69" i="10"/>
  <c r="E70" i="10"/>
  <c r="D70" i="10"/>
  <c r="G70" i="10"/>
  <c r="I70" i="10"/>
  <c r="K70" i="10"/>
  <c r="M70" i="10"/>
  <c r="O70" i="10"/>
  <c r="Q70" i="10"/>
  <c r="S70" i="10"/>
  <c r="U70" i="10"/>
  <c r="W70" i="10"/>
  <c r="Y70" i="10"/>
  <c r="AA70" i="10"/>
  <c r="AC70" i="10"/>
  <c r="C70" i="10"/>
  <c r="B70" i="10"/>
  <c r="F70" i="10"/>
  <c r="H70" i="10"/>
  <c r="J70" i="10"/>
  <c r="L70" i="10"/>
  <c r="N70" i="10"/>
  <c r="P70" i="10"/>
  <c r="R70" i="10"/>
  <c r="T70" i="10"/>
  <c r="V70" i="10"/>
  <c r="X70" i="10"/>
  <c r="Z70" i="10"/>
  <c r="AB70" i="10"/>
  <c r="AD70" i="10"/>
  <c r="E71" i="10"/>
  <c r="D71" i="10"/>
  <c r="G71" i="10"/>
  <c r="I71" i="10"/>
  <c r="K71" i="10"/>
  <c r="M71" i="10"/>
  <c r="O71" i="10"/>
  <c r="Q71" i="10"/>
  <c r="S71" i="10"/>
  <c r="U71" i="10"/>
  <c r="W71" i="10"/>
  <c r="Y71" i="10"/>
  <c r="AA71" i="10"/>
  <c r="AC71" i="10"/>
  <c r="C71" i="10"/>
  <c r="B71" i="10"/>
  <c r="F71" i="10"/>
  <c r="H71" i="10"/>
  <c r="J71" i="10"/>
  <c r="L71" i="10"/>
  <c r="N71" i="10"/>
  <c r="P71" i="10"/>
  <c r="R71" i="10"/>
  <c r="T71" i="10"/>
  <c r="V71" i="10"/>
  <c r="X71" i="10"/>
  <c r="Z71" i="10"/>
  <c r="AB71" i="10"/>
  <c r="AD71" i="10"/>
  <c r="E72" i="10"/>
  <c r="D72" i="10"/>
  <c r="G72" i="10"/>
  <c r="I72" i="10"/>
  <c r="K72" i="10"/>
  <c r="M72" i="10"/>
  <c r="O72" i="10"/>
  <c r="Q72" i="10"/>
  <c r="S72" i="10"/>
  <c r="U72" i="10"/>
  <c r="W72" i="10"/>
  <c r="Y72" i="10"/>
  <c r="AA72" i="10"/>
  <c r="AC72" i="10"/>
  <c r="C72" i="10"/>
  <c r="C29" i="10"/>
  <c r="B72" i="10"/>
  <c r="F72" i="10"/>
  <c r="H72" i="10"/>
  <c r="J72" i="10"/>
  <c r="L72" i="10"/>
  <c r="N72" i="10"/>
  <c r="P72" i="10"/>
  <c r="R72" i="10"/>
  <c r="T72" i="10"/>
  <c r="V72" i="10"/>
  <c r="X72" i="10"/>
  <c r="Z72" i="10"/>
  <c r="AB72" i="10"/>
  <c r="AD72" i="10"/>
  <c r="E73" i="10"/>
  <c r="D73" i="10"/>
  <c r="G73" i="10"/>
  <c r="I73" i="10"/>
  <c r="K73" i="10"/>
  <c r="M73" i="10"/>
  <c r="O73" i="10"/>
  <c r="Q73" i="10"/>
  <c r="S73" i="10"/>
  <c r="U73" i="10"/>
  <c r="W73" i="10"/>
  <c r="Y73" i="10"/>
  <c r="AA73" i="10"/>
  <c r="AC73" i="10"/>
  <c r="C73" i="10"/>
  <c r="B73" i="10"/>
  <c r="F73" i="10"/>
  <c r="H73" i="10"/>
  <c r="J73" i="10"/>
  <c r="L73" i="10"/>
  <c r="N73" i="10"/>
  <c r="P73" i="10"/>
  <c r="R73" i="10"/>
  <c r="T73" i="10"/>
  <c r="V73" i="10"/>
  <c r="X73" i="10"/>
  <c r="Z73" i="10"/>
  <c r="AB73" i="10"/>
  <c r="AD73" i="10"/>
  <c r="E74" i="10"/>
  <c r="D74" i="10"/>
  <c r="G74" i="10"/>
  <c r="I74" i="10"/>
  <c r="K74" i="10"/>
  <c r="M74" i="10"/>
  <c r="O74" i="10"/>
  <c r="Q74" i="10"/>
  <c r="S74" i="10"/>
  <c r="U74" i="10"/>
  <c r="W74" i="10"/>
  <c r="Y74" i="10"/>
  <c r="AA74" i="10"/>
  <c r="AC74" i="10"/>
  <c r="C10" i="10"/>
  <c r="E10" i="10"/>
  <c r="G10" i="10"/>
  <c r="K10" i="10"/>
  <c r="M10" i="10"/>
  <c r="O10" i="10"/>
  <c r="S10" i="10"/>
  <c r="C74" i="10"/>
  <c r="C31" i="10"/>
  <c r="B74" i="10"/>
  <c r="F74" i="10"/>
  <c r="H74" i="10"/>
  <c r="J74" i="10"/>
  <c r="L74" i="10"/>
  <c r="N74" i="10"/>
  <c r="P74" i="10"/>
  <c r="R74" i="10"/>
  <c r="T74" i="10"/>
  <c r="V74" i="10"/>
  <c r="X74" i="10"/>
  <c r="Z74" i="10"/>
  <c r="AB74" i="10"/>
  <c r="AD74" i="10"/>
  <c r="E75" i="10"/>
  <c r="D75" i="10"/>
  <c r="G75" i="10"/>
  <c r="I75" i="10"/>
  <c r="K75" i="10"/>
  <c r="M75" i="10"/>
  <c r="O75" i="10"/>
  <c r="Q75" i="10"/>
  <c r="S75" i="10"/>
  <c r="U75" i="10"/>
  <c r="W75" i="10"/>
  <c r="Y75" i="10"/>
  <c r="AA75" i="10"/>
  <c r="AC75" i="10"/>
  <c r="C75" i="10"/>
  <c r="B75" i="10"/>
  <c r="F75" i="10"/>
  <c r="H75" i="10"/>
  <c r="J75" i="10"/>
  <c r="L75" i="10"/>
  <c r="N75" i="10"/>
  <c r="P75" i="10"/>
  <c r="R75" i="10"/>
  <c r="T75" i="10"/>
  <c r="V75" i="10"/>
  <c r="X75" i="10"/>
  <c r="Z75" i="10"/>
  <c r="AB75" i="10"/>
  <c r="AD75" i="10"/>
  <c r="E76" i="10"/>
  <c r="D76" i="10"/>
  <c r="G76" i="10"/>
  <c r="I76" i="10"/>
  <c r="K76" i="10"/>
  <c r="M76" i="10"/>
  <c r="O76" i="10"/>
  <c r="Q76" i="10"/>
  <c r="S76" i="10"/>
  <c r="U76" i="10"/>
  <c r="W76" i="10"/>
  <c r="Y76" i="10"/>
  <c r="AA76" i="10"/>
  <c r="AC76" i="10"/>
  <c r="C76" i="10"/>
  <c r="B76" i="10"/>
  <c r="F76" i="10"/>
  <c r="H76" i="10"/>
  <c r="J76" i="10"/>
  <c r="L76" i="10"/>
  <c r="N76" i="10"/>
  <c r="P76" i="10"/>
  <c r="R76" i="10"/>
  <c r="T76" i="10"/>
  <c r="V76" i="10"/>
  <c r="X76" i="10"/>
  <c r="Z76" i="10"/>
  <c r="AB76" i="10"/>
  <c r="AD76" i="10"/>
  <c r="E77" i="10"/>
  <c r="D77" i="10"/>
  <c r="G77" i="10"/>
  <c r="I77" i="10"/>
  <c r="K77" i="10"/>
  <c r="M77" i="10"/>
  <c r="O77" i="10"/>
  <c r="Q77" i="10"/>
  <c r="S77" i="10"/>
  <c r="U77" i="10"/>
  <c r="W77" i="10"/>
  <c r="Y77" i="10"/>
  <c r="AA77" i="10"/>
  <c r="AC77" i="10"/>
  <c r="C77" i="10"/>
  <c r="C34" i="10"/>
  <c r="B77" i="10"/>
  <c r="F77" i="10"/>
  <c r="H77" i="10"/>
  <c r="J77" i="10"/>
  <c r="L77" i="10"/>
  <c r="N77" i="10"/>
  <c r="P77" i="10"/>
  <c r="R77" i="10"/>
  <c r="T77" i="10"/>
  <c r="V77" i="10"/>
  <c r="X77" i="10"/>
  <c r="Z77" i="10"/>
  <c r="AB77" i="10"/>
  <c r="AD77" i="10"/>
  <c r="E78" i="10"/>
  <c r="D78" i="10"/>
  <c r="G78" i="10"/>
  <c r="I78" i="10"/>
  <c r="K78" i="10"/>
  <c r="M78" i="10"/>
  <c r="O78" i="10"/>
  <c r="Q78" i="10"/>
  <c r="S78" i="10"/>
  <c r="U78" i="10"/>
  <c r="W78" i="10"/>
  <c r="Y78" i="10"/>
  <c r="AA78" i="10"/>
  <c r="AC78" i="10"/>
  <c r="C78" i="10"/>
  <c r="B78" i="10"/>
  <c r="F78" i="10"/>
  <c r="H78" i="10"/>
  <c r="J78" i="10"/>
  <c r="L78" i="10"/>
  <c r="N78" i="10"/>
  <c r="P78" i="10"/>
  <c r="R78" i="10"/>
  <c r="T78" i="10"/>
  <c r="V78" i="10"/>
  <c r="X78" i="10"/>
  <c r="Z78" i="10"/>
  <c r="AB78" i="10"/>
  <c r="AD78" i="10"/>
  <c r="E79" i="10"/>
  <c r="D79" i="10"/>
  <c r="G79" i="10"/>
  <c r="I79" i="10"/>
  <c r="K79" i="10"/>
  <c r="M79" i="10"/>
  <c r="O79" i="10"/>
  <c r="Q79" i="10"/>
  <c r="S79" i="10"/>
  <c r="U79" i="10"/>
  <c r="W79" i="10"/>
  <c r="Y79" i="10"/>
  <c r="AA79" i="10"/>
  <c r="AC79" i="10"/>
  <c r="C79" i="10"/>
  <c r="B79" i="10"/>
  <c r="F79" i="10"/>
  <c r="H79" i="10"/>
  <c r="J79" i="10"/>
  <c r="L79" i="10"/>
  <c r="N79" i="10"/>
  <c r="P79" i="10"/>
  <c r="R79" i="10"/>
  <c r="T79" i="10"/>
  <c r="V79" i="10"/>
  <c r="X79" i="10"/>
  <c r="Z79" i="10"/>
  <c r="AB79" i="10"/>
  <c r="AD79" i="10"/>
  <c r="E80" i="10"/>
  <c r="D80" i="10"/>
  <c r="G80" i="10"/>
  <c r="I80" i="10"/>
  <c r="K80" i="10"/>
  <c r="M80" i="10"/>
  <c r="O80" i="10"/>
  <c r="Q80" i="10"/>
  <c r="S80" i="10"/>
  <c r="U80" i="10"/>
  <c r="W80" i="10"/>
  <c r="Y80" i="10"/>
  <c r="AA80" i="10"/>
  <c r="AC80" i="10"/>
  <c r="C80" i="10"/>
  <c r="C37" i="10"/>
  <c r="B80" i="10"/>
  <c r="F80" i="10"/>
  <c r="H80" i="10"/>
  <c r="J80" i="10"/>
  <c r="L80" i="10"/>
  <c r="N80" i="10"/>
  <c r="P80" i="10"/>
  <c r="R80" i="10"/>
  <c r="T80" i="10"/>
  <c r="V80" i="10"/>
  <c r="X80" i="10"/>
  <c r="Z80" i="10"/>
  <c r="AB80" i="10"/>
  <c r="AD80" i="10"/>
  <c r="E81" i="10"/>
  <c r="D81" i="10"/>
  <c r="G81" i="10"/>
  <c r="I81" i="10"/>
  <c r="K81" i="10"/>
  <c r="M81" i="10"/>
  <c r="O81" i="10"/>
  <c r="Q81" i="10"/>
  <c r="S81" i="10"/>
  <c r="U81" i="10"/>
  <c r="W81" i="10"/>
  <c r="Y81" i="10"/>
  <c r="AA81" i="10"/>
  <c r="AC81" i="10"/>
  <c r="C81" i="10"/>
  <c r="B81" i="10"/>
  <c r="F81" i="10"/>
  <c r="H81" i="10"/>
  <c r="J81" i="10"/>
  <c r="L81" i="10"/>
  <c r="N81" i="10"/>
  <c r="P81" i="10"/>
  <c r="R81" i="10"/>
  <c r="T81" i="10"/>
  <c r="V81" i="10"/>
  <c r="X81" i="10"/>
  <c r="Z81" i="10"/>
  <c r="AB81" i="10"/>
  <c r="AD81" i="10"/>
  <c r="E82" i="10"/>
  <c r="D82" i="10"/>
  <c r="G82" i="10"/>
  <c r="I82" i="10"/>
  <c r="K82" i="10"/>
  <c r="M82" i="10"/>
  <c r="O82" i="10"/>
  <c r="Q82" i="10"/>
  <c r="S82" i="10"/>
  <c r="U82" i="10"/>
  <c r="W82" i="10"/>
  <c r="Y82" i="10"/>
  <c r="AA82" i="10"/>
  <c r="AC82" i="10"/>
  <c r="C82" i="10"/>
  <c r="B82" i="10"/>
  <c r="F82" i="10"/>
  <c r="H82" i="10"/>
  <c r="J82" i="10"/>
  <c r="L82" i="10"/>
  <c r="N82" i="10"/>
  <c r="P82" i="10"/>
  <c r="R82" i="10"/>
  <c r="T82" i="10"/>
  <c r="V82" i="10"/>
  <c r="X82" i="10"/>
  <c r="Z82" i="10"/>
  <c r="AB82" i="10"/>
  <c r="AD82" i="10"/>
  <c r="E83" i="10"/>
  <c r="D83" i="10"/>
  <c r="G83" i="10"/>
  <c r="I83" i="10"/>
  <c r="K83" i="10"/>
  <c r="M83" i="10"/>
  <c r="O83" i="10"/>
  <c r="Q83" i="10"/>
  <c r="S83" i="10"/>
  <c r="U83" i="10"/>
  <c r="W83" i="10"/>
  <c r="Y83" i="10"/>
  <c r="AA83" i="10"/>
  <c r="AC83" i="10"/>
  <c r="C83" i="10"/>
  <c r="B83" i="10"/>
  <c r="F83" i="10"/>
  <c r="H83" i="10"/>
  <c r="J83" i="10"/>
  <c r="L83" i="10"/>
  <c r="N83" i="10"/>
  <c r="P83" i="10"/>
  <c r="R83" i="10"/>
  <c r="T83" i="10"/>
  <c r="V83" i="10"/>
  <c r="X83" i="10"/>
  <c r="Z83" i="10"/>
  <c r="AB83" i="10"/>
  <c r="AD83" i="10"/>
  <c r="E84" i="10"/>
  <c r="D84" i="10"/>
  <c r="G84" i="10"/>
  <c r="I84" i="10"/>
  <c r="K84" i="10"/>
  <c r="M84" i="10"/>
  <c r="O84" i="10"/>
  <c r="Q84" i="10"/>
  <c r="S84" i="10"/>
  <c r="U84" i="10"/>
  <c r="W84" i="10"/>
  <c r="Y84" i="10"/>
  <c r="AA84" i="10"/>
  <c r="AC84" i="10"/>
  <c r="C84" i="10"/>
  <c r="B84" i="10"/>
  <c r="F84" i="10"/>
  <c r="H84" i="10"/>
  <c r="J84" i="10"/>
  <c r="L84" i="10"/>
  <c r="N84" i="10"/>
  <c r="P84" i="10"/>
  <c r="R84" i="10"/>
  <c r="T84" i="10"/>
  <c r="V84" i="10"/>
  <c r="X84" i="10"/>
  <c r="Z84" i="10"/>
  <c r="AB84" i="10"/>
  <c r="AD84" i="10"/>
  <c r="E85" i="10"/>
  <c r="D85" i="10"/>
  <c r="G85" i="10"/>
  <c r="I85" i="10"/>
  <c r="K85" i="10"/>
  <c r="M85" i="10"/>
  <c r="O85" i="10"/>
  <c r="Q85" i="10"/>
  <c r="S85" i="10"/>
  <c r="U85" i="10"/>
  <c r="W85" i="10"/>
  <c r="Y85" i="10"/>
  <c r="AA85" i="10"/>
  <c r="AC85" i="10"/>
  <c r="D21" i="10"/>
  <c r="C85" i="10"/>
  <c r="C42" i="10"/>
  <c r="B85" i="10"/>
  <c r="F85" i="10"/>
  <c r="H85" i="10"/>
  <c r="J85" i="10"/>
  <c r="L85" i="10"/>
  <c r="N85" i="10"/>
  <c r="P85" i="10"/>
  <c r="R85" i="10"/>
  <c r="T85" i="10"/>
  <c r="V85" i="10"/>
  <c r="X85" i="10"/>
  <c r="Z85" i="10"/>
  <c r="AB85" i="10"/>
  <c r="AD85" i="10"/>
  <c r="E86" i="10"/>
  <c r="D86" i="10"/>
  <c r="G86" i="10"/>
  <c r="I86" i="10"/>
  <c r="K86" i="10"/>
  <c r="M86" i="10"/>
  <c r="O86" i="10"/>
  <c r="Q86" i="10"/>
  <c r="S86" i="10"/>
  <c r="U86" i="10"/>
  <c r="W86" i="10"/>
  <c r="Y86" i="10"/>
  <c r="AA86" i="10"/>
  <c r="AC86" i="10"/>
  <c r="C86" i="10"/>
  <c r="B86" i="10"/>
  <c r="F86" i="10"/>
  <c r="H86" i="10"/>
  <c r="J86" i="10"/>
  <c r="L86" i="10"/>
  <c r="N86" i="10"/>
  <c r="P86" i="10"/>
  <c r="R86" i="10"/>
  <c r="T86" i="10"/>
  <c r="V86" i="10"/>
  <c r="X86" i="10"/>
  <c r="Z86" i="10"/>
  <c r="AB86" i="10"/>
  <c r="AD86" i="10"/>
  <c r="AD87" i="10"/>
  <c r="AC87" i="10"/>
  <c r="AB87" i="10"/>
  <c r="Y87" i="10"/>
  <c r="X87" i="10"/>
  <c r="U87" i="10"/>
  <c r="T87" i="10"/>
  <c r="Q87" i="10"/>
  <c r="P87" i="10"/>
  <c r="M87" i="10"/>
  <c r="L87" i="10"/>
  <c r="I87" i="10"/>
  <c r="H87" i="10"/>
  <c r="I23" i="10"/>
  <c r="J23" i="10"/>
  <c r="Q23" i="10"/>
  <c r="R23" i="10"/>
  <c r="E87" i="10"/>
  <c r="C23" i="10"/>
  <c r="D23" i="10"/>
  <c r="E23" i="10"/>
  <c r="F23" i="10"/>
  <c r="G23" i="10"/>
  <c r="H23" i="10"/>
  <c r="K23" i="10"/>
  <c r="L23" i="10"/>
  <c r="M23" i="10"/>
  <c r="N23" i="10"/>
  <c r="O23" i="10"/>
  <c r="P23" i="10"/>
  <c r="S23" i="10"/>
  <c r="T23" i="10"/>
  <c r="C87" i="10"/>
  <c r="A43" i="10"/>
  <c r="A86" i="10"/>
  <c r="A42" i="10"/>
  <c r="A85" i="10"/>
  <c r="A41" i="10"/>
  <c r="A84" i="10"/>
  <c r="A40" i="10"/>
  <c r="A83" i="10"/>
  <c r="A39" i="10"/>
  <c r="A82" i="10"/>
  <c r="A38" i="10"/>
  <c r="A81" i="10"/>
  <c r="A37" i="10"/>
  <c r="A80" i="10"/>
  <c r="A36" i="10"/>
  <c r="A79" i="10"/>
  <c r="A35" i="10"/>
  <c r="A78" i="10"/>
  <c r="A34" i="10"/>
  <c r="A77" i="10"/>
  <c r="A33" i="10"/>
  <c r="A76" i="10"/>
  <c r="A32" i="10"/>
  <c r="A75" i="10"/>
  <c r="A31" i="10"/>
  <c r="A74" i="10"/>
  <c r="A30" i="10"/>
  <c r="A73" i="10"/>
  <c r="A29" i="10"/>
  <c r="A72" i="10"/>
  <c r="A28" i="10"/>
  <c r="A71" i="10"/>
  <c r="A27" i="10"/>
  <c r="A70" i="10"/>
  <c r="A26" i="10"/>
  <c r="A69" i="10"/>
  <c r="T65" i="10"/>
  <c r="S63" i="10"/>
  <c r="S60" i="10"/>
  <c r="S65" i="10"/>
  <c r="R65" i="10"/>
  <c r="I63" i="10"/>
  <c r="Q60" i="10"/>
  <c r="Q65" i="10"/>
  <c r="P65" i="10"/>
  <c r="G63" i="10"/>
  <c r="O60" i="10"/>
  <c r="O65" i="10"/>
  <c r="N65" i="10"/>
  <c r="E63" i="10"/>
  <c r="M60" i="10"/>
  <c r="M65" i="10"/>
  <c r="L65" i="10"/>
  <c r="C63" i="10"/>
  <c r="K60" i="10"/>
  <c r="K65" i="10"/>
  <c r="J65" i="10"/>
  <c r="I60" i="10"/>
  <c r="I65" i="10"/>
  <c r="H65" i="10"/>
  <c r="G60" i="10"/>
  <c r="G65" i="10"/>
  <c r="F65" i="10"/>
  <c r="E60" i="10"/>
  <c r="E65" i="10"/>
  <c r="D65" i="10"/>
  <c r="C60" i="10"/>
  <c r="C65" i="10"/>
  <c r="S64" i="10"/>
  <c r="O64" i="10"/>
  <c r="M64" i="10"/>
  <c r="K64" i="10"/>
  <c r="G64" i="10"/>
  <c r="E64" i="10"/>
  <c r="C64" i="10"/>
  <c r="T61" i="10"/>
  <c r="S59" i="10"/>
  <c r="S61" i="10"/>
  <c r="R61" i="10"/>
  <c r="I59" i="10"/>
  <c r="Q61" i="10"/>
  <c r="P61" i="10"/>
  <c r="G59" i="10"/>
  <c r="O61" i="10"/>
  <c r="N61" i="10"/>
  <c r="E59" i="10"/>
  <c r="M61" i="10"/>
  <c r="L61" i="10"/>
  <c r="C59" i="10"/>
  <c r="K61" i="10"/>
  <c r="J61" i="10"/>
  <c r="I61" i="10"/>
  <c r="H61" i="10"/>
  <c r="G61" i="10"/>
  <c r="F61" i="10"/>
  <c r="E61" i="10"/>
  <c r="D61" i="10"/>
  <c r="C61" i="10"/>
  <c r="T57" i="10"/>
  <c r="S55" i="10"/>
  <c r="S57" i="10"/>
  <c r="R57" i="10"/>
  <c r="I55" i="10"/>
  <c r="Q57" i="10"/>
  <c r="H55" i="10"/>
  <c r="O56" i="10"/>
  <c r="P56" i="10"/>
  <c r="P57" i="10"/>
  <c r="G55" i="10"/>
  <c r="O57" i="10"/>
  <c r="F55" i="10"/>
  <c r="M56" i="10"/>
  <c r="N56" i="10"/>
  <c r="N57" i="10"/>
  <c r="E55" i="10"/>
  <c r="M57" i="10"/>
  <c r="D55" i="10"/>
  <c r="K56" i="10"/>
  <c r="L56" i="10"/>
  <c r="L57" i="10"/>
  <c r="C55" i="10"/>
  <c r="K57" i="10"/>
  <c r="J57" i="10"/>
  <c r="I57" i="10"/>
  <c r="G56" i="10"/>
  <c r="H56" i="10"/>
  <c r="H57" i="10"/>
  <c r="G57" i="10"/>
  <c r="E56" i="10"/>
  <c r="F56" i="10"/>
  <c r="F57" i="10"/>
  <c r="E57" i="10"/>
  <c r="C56" i="10"/>
  <c r="D56" i="10"/>
  <c r="D57" i="10"/>
  <c r="C57" i="10"/>
  <c r="S56" i="10"/>
  <c r="D51" i="10"/>
  <c r="K52" i="10"/>
  <c r="L52" i="10"/>
  <c r="L53" i="10"/>
  <c r="K53" i="10"/>
  <c r="C52" i="10"/>
  <c r="D52" i="10"/>
  <c r="D53" i="10"/>
  <c r="C53" i="10"/>
  <c r="S49" i="10"/>
  <c r="T49" i="10"/>
  <c r="T50" i="10"/>
  <c r="S50" i="10"/>
  <c r="R50" i="10"/>
  <c r="Q50" i="10"/>
  <c r="O49" i="10"/>
  <c r="P49" i="10"/>
  <c r="P50" i="10"/>
  <c r="O50" i="10"/>
  <c r="M49" i="10"/>
  <c r="N49" i="10"/>
  <c r="N50" i="10"/>
  <c r="M50" i="10"/>
  <c r="K49" i="10"/>
  <c r="L49" i="10"/>
  <c r="L50" i="10"/>
  <c r="K50" i="10"/>
  <c r="J50" i="10"/>
  <c r="I50" i="10"/>
  <c r="G49" i="10"/>
  <c r="H49" i="10"/>
  <c r="H50" i="10"/>
  <c r="G50" i="10"/>
  <c r="E49" i="10"/>
  <c r="F49" i="10"/>
  <c r="F50" i="10"/>
  <c r="E50" i="10"/>
  <c r="C49" i="10"/>
  <c r="D49" i="10"/>
  <c r="D50" i="10"/>
  <c r="C50" i="10"/>
  <c r="T46" i="10"/>
  <c r="T47" i="10"/>
  <c r="S47" i="10"/>
  <c r="Q46" i="10"/>
  <c r="R46" i="10"/>
  <c r="R47" i="10"/>
  <c r="Q47" i="10"/>
  <c r="O46" i="10"/>
  <c r="P46" i="10"/>
  <c r="P47" i="10"/>
  <c r="O47" i="10"/>
  <c r="N47" i="10"/>
  <c r="M47" i="10"/>
  <c r="K46" i="10"/>
  <c r="L46" i="10"/>
  <c r="L47" i="10"/>
  <c r="K47" i="10"/>
  <c r="I46" i="10"/>
  <c r="J46" i="10"/>
  <c r="J47" i="10"/>
  <c r="I47" i="10"/>
  <c r="G46" i="10"/>
  <c r="H46" i="10"/>
  <c r="H47" i="10"/>
  <c r="G47" i="10"/>
  <c r="F47" i="10"/>
  <c r="E47" i="10"/>
  <c r="C46" i="10"/>
  <c r="D46" i="10"/>
  <c r="D47" i="10"/>
  <c r="C47" i="10"/>
  <c r="K42" i="10"/>
  <c r="U4" i="10"/>
  <c r="U5" i="10"/>
  <c r="U6" i="10"/>
  <c r="U7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V4" i="10"/>
  <c r="V5" i="10"/>
  <c r="V6" i="10"/>
  <c r="V7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AD23" i="10"/>
  <c r="AE23" i="10"/>
  <c r="AF23" i="10"/>
  <c r="X13" i="10"/>
  <c r="X23" i="10"/>
  <c r="W13" i="10"/>
  <c r="W23" i="10"/>
  <c r="AA23" i="10"/>
  <c r="AB23" i="10"/>
  <c r="Z4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Y23" i="10"/>
  <c r="B23" i="10"/>
  <c r="AA22" i="10"/>
  <c r="AB22" i="10"/>
  <c r="AA21" i="10"/>
  <c r="AB21" i="10"/>
  <c r="AA20" i="10"/>
  <c r="AB20" i="10"/>
  <c r="AA19" i="10"/>
  <c r="AB19" i="10"/>
  <c r="AA18" i="10"/>
  <c r="AB18" i="10"/>
  <c r="AA17" i="10"/>
  <c r="AB17" i="10"/>
  <c r="AA16" i="10"/>
  <c r="AB16" i="10"/>
  <c r="AA15" i="10"/>
  <c r="AB15" i="10"/>
  <c r="AA14" i="10"/>
  <c r="AB14" i="10"/>
  <c r="AA13" i="10"/>
  <c r="AB13" i="10"/>
  <c r="AA12" i="10"/>
  <c r="AB12" i="10"/>
  <c r="AA11" i="10"/>
  <c r="AB11" i="10"/>
  <c r="AA10" i="10"/>
  <c r="AB10" i="10"/>
  <c r="AA9" i="10"/>
  <c r="AB9" i="10"/>
  <c r="AA7" i="10"/>
  <c r="AB7" i="10"/>
  <c r="AA6" i="10"/>
  <c r="AB6" i="10"/>
  <c r="AA5" i="10"/>
  <c r="AB5" i="10"/>
  <c r="AA4" i="10"/>
  <c r="AB4" i="10"/>
  <c r="AA3" i="10"/>
  <c r="AB87" i="3"/>
  <c r="D72" i="3"/>
  <c r="E33" i="3"/>
  <c r="E32" i="3"/>
  <c r="D4" i="3"/>
  <c r="C4" i="3"/>
  <c r="E2" i="3"/>
  <c r="P110" i="21"/>
  <c r="P111" i="21"/>
  <c r="P113" i="21"/>
  <c r="Q110" i="21"/>
  <c r="Q111" i="21"/>
  <c r="Q113" i="21"/>
  <c r="R110" i="21"/>
  <c r="R111" i="21"/>
  <c r="R113" i="21"/>
  <c r="S110" i="21"/>
  <c r="S111" i="21"/>
  <c r="S113" i="21"/>
  <c r="T110" i="21"/>
  <c r="T111" i="21"/>
  <c r="T113" i="21"/>
  <c r="U110" i="21"/>
  <c r="U111" i="21"/>
  <c r="U113" i="21"/>
  <c r="V110" i="21"/>
  <c r="V111" i="21"/>
  <c r="V113" i="21"/>
  <c r="W110" i="21"/>
  <c r="W111" i="21"/>
  <c r="W113" i="21"/>
  <c r="X110" i="21"/>
  <c r="X111" i="21"/>
  <c r="X113" i="21"/>
  <c r="Y110" i="21"/>
  <c r="Y111" i="21"/>
  <c r="Y113" i="21"/>
  <c r="Z110" i="21"/>
  <c r="Z111" i="21"/>
  <c r="Z113" i="21"/>
  <c r="AA110" i="21"/>
  <c r="AA111" i="21"/>
  <c r="AA113" i="21"/>
  <c r="CU107" i="21"/>
  <c r="CT107" i="21"/>
  <c r="CS107" i="21"/>
  <c r="CR107" i="21"/>
  <c r="CQ107" i="21"/>
  <c r="CP107" i="21"/>
  <c r="CO107" i="21"/>
  <c r="CN107" i="21"/>
  <c r="CM107" i="21"/>
  <c r="CL107" i="21"/>
  <c r="CK107" i="21"/>
  <c r="CJ107" i="21"/>
  <c r="CI107" i="21"/>
  <c r="CH107" i="21"/>
  <c r="CG107" i="21"/>
  <c r="CF107" i="21"/>
  <c r="CE107" i="21"/>
  <c r="CD107" i="21"/>
  <c r="CC107" i="21"/>
  <c r="CB107" i="21"/>
  <c r="CA107" i="21"/>
  <c r="BZ107" i="21"/>
  <c r="BY107" i="21"/>
  <c r="BX107" i="21"/>
  <c r="BW107" i="21"/>
  <c r="BV107" i="21"/>
  <c r="BU107" i="21"/>
  <c r="BT107" i="21"/>
  <c r="BS107" i="21"/>
  <c r="BR107" i="21"/>
  <c r="BQ107" i="21"/>
  <c r="BP107" i="21"/>
  <c r="BO107" i="21"/>
  <c r="BN107" i="21"/>
  <c r="BM107" i="21"/>
  <c r="BL107" i="21"/>
  <c r="BK107" i="21"/>
  <c r="BJ107" i="21"/>
  <c r="BI107" i="21"/>
  <c r="BH107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P103" i="21"/>
  <c r="P105" i="21"/>
  <c r="P106" i="21"/>
  <c r="Q103" i="21"/>
  <c r="Q105" i="21"/>
  <c r="Q106" i="21"/>
  <c r="R103" i="21"/>
  <c r="R105" i="21"/>
  <c r="R106" i="21"/>
  <c r="S103" i="21"/>
  <c r="S105" i="21"/>
  <c r="S106" i="21"/>
  <c r="T103" i="21"/>
  <c r="T105" i="21"/>
  <c r="T106" i="21"/>
  <c r="U103" i="21"/>
  <c r="U105" i="21"/>
  <c r="U106" i="21"/>
  <c r="V103" i="21"/>
  <c r="V105" i="21"/>
  <c r="V106" i="21"/>
  <c r="W103" i="21"/>
  <c r="W105" i="21"/>
  <c r="W106" i="21"/>
  <c r="X103" i="21"/>
  <c r="X105" i="21"/>
  <c r="X106" i="21"/>
  <c r="Y103" i="21"/>
  <c r="Y105" i="21"/>
  <c r="Y106" i="21"/>
  <c r="Z103" i="21"/>
  <c r="Z105" i="21"/>
  <c r="Z106" i="21"/>
  <c r="AA103" i="21"/>
  <c r="AA105" i="21"/>
  <c r="AA106" i="21"/>
  <c r="AB103" i="21"/>
  <c r="AB105" i="21"/>
  <c r="AB106" i="21"/>
  <c r="AC103" i="21"/>
  <c r="AC105" i="21"/>
  <c r="AC106" i="21"/>
  <c r="AD103" i="21"/>
  <c r="AD105" i="21"/>
  <c r="AD106" i="21"/>
  <c r="AE103" i="21"/>
  <c r="AE105" i="21"/>
  <c r="AE106" i="21"/>
  <c r="AF103" i="21"/>
  <c r="AF105" i="21"/>
  <c r="AF106" i="21"/>
  <c r="AG103" i="21"/>
  <c r="AG105" i="21"/>
  <c r="AG106" i="21"/>
  <c r="AH103" i="21"/>
  <c r="AH105" i="21"/>
  <c r="AH106" i="21"/>
  <c r="AI103" i="21"/>
  <c r="AI105" i="21"/>
  <c r="AI106" i="21"/>
  <c r="AJ103" i="21"/>
  <c r="AJ105" i="21"/>
  <c r="AJ106" i="21"/>
  <c r="AK103" i="21"/>
  <c r="AK105" i="21"/>
  <c r="AK106" i="21"/>
  <c r="AL103" i="21"/>
  <c r="AL105" i="21"/>
  <c r="AL106" i="21"/>
  <c r="AM103" i="21"/>
  <c r="AM105" i="21"/>
  <c r="AM106" i="21"/>
  <c r="AN103" i="21"/>
  <c r="AN105" i="21"/>
  <c r="AN106" i="21"/>
  <c r="AO103" i="21"/>
  <c r="AO105" i="21"/>
  <c r="AO106" i="21"/>
  <c r="AP103" i="21"/>
  <c r="AP105" i="21"/>
  <c r="AP106" i="21"/>
  <c r="AQ103" i="21"/>
  <c r="AQ105" i="21"/>
  <c r="AQ106" i="21"/>
  <c r="AR103" i="21"/>
  <c r="AR105" i="21"/>
  <c r="AR106" i="21"/>
  <c r="AS103" i="21"/>
  <c r="AS105" i="21"/>
  <c r="AS106" i="21"/>
  <c r="AT103" i="21"/>
  <c r="AT105" i="21"/>
  <c r="AT106" i="21"/>
  <c r="AU103" i="21"/>
  <c r="AU105" i="21"/>
  <c r="AU106" i="21"/>
  <c r="AV103" i="21"/>
  <c r="AV105" i="21"/>
  <c r="AV106" i="21"/>
  <c r="AW103" i="21"/>
  <c r="AW105" i="21"/>
  <c r="AW106" i="21"/>
  <c r="AX103" i="21"/>
  <c r="AX105" i="21"/>
  <c r="AX106" i="21"/>
  <c r="AY103" i="21"/>
  <c r="AY105" i="21"/>
  <c r="AY106" i="21"/>
  <c r="AZ103" i="21"/>
  <c r="AZ105" i="21"/>
  <c r="AZ106" i="21"/>
  <c r="BA103" i="21"/>
  <c r="BA105" i="21"/>
  <c r="BA106" i="21"/>
  <c r="BB103" i="21"/>
  <c r="BB105" i="21"/>
  <c r="BB106" i="21"/>
  <c r="BC103" i="21"/>
  <c r="BC105" i="21"/>
  <c r="BC106" i="21"/>
  <c r="BD103" i="21"/>
  <c r="BD105" i="21"/>
  <c r="BD106" i="21"/>
  <c r="BE103" i="21"/>
  <c r="BE105" i="21"/>
  <c r="BE106" i="21"/>
  <c r="BF103" i="21"/>
  <c r="BF105" i="21"/>
  <c r="BF106" i="21"/>
  <c r="BG103" i="21"/>
  <c r="BG105" i="21"/>
  <c r="BG106" i="21"/>
  <c r="BH103" i="21"/>
  <c r="BH105" i="21"/>
  <c r="BH106" i="21"/>
  <c r="BI103" i="21"/>
  <c r="BI105" i="21"/>
  <c r="BI106" i="21"/>
  <c r="BJ103" i="21"/>
  <c r="BJ105" i="21"/>
  <c r="BJ106" i="21"/>
  <c r="BK103" i="21"/>
  <c r="BK105" i="21"/>
  <c r="BK106" i="21"/>
  <c r="BL103" i="21"/>
  <c r="BL105" i="21"/>
  <c r="BL106" i="21"/>
  <c r="BM103" i="21"/>
  <c r="BM105" i="21"/>
  <c r="BM106" i="21"/>
  <c r="BN103" i="21"/>
  <c r="BN105" i="21"/>
  <c r="BN106" i="21"/>
  <c r="BO103" i="21"/>
  <c r="BO105" i="21"/>
  <c r="BO106" i="21"/>
  <c r="BP103" i="21"/>
  <c r="BP105" i="21"/>
  <c r="BP106" i="21"/>
  <c r="BQ103" i="21"/>
  <c r="BQ105" i="21"/>
  <c r="BQ106" i="21"/>
  <c r="BR103" i="21"/>
  <c r="BR105" i="21"/>
  <c r="BR106" i="21"/>
  <c r="BS103" i="21"/>
  <c r="BS105" i="21"/>
  <c r="BS106" i="21"/>
  <c r="BT103" i="21"/>
  <c r="BT105" i="21"/>
  <c r="BT106" i="21"/>
  <c r="BU103" i="21"/>
  <c r="BU105" i="21"/>
  <c r="BU106" i="21"/>
  <c r="BV103" i="21"/>
  <c r="BV105" i="21"/>
  <c r="BV106" i="21"/>
  <c r="BW103" i="21"/>
  <c r="BW105" i="21"/>
  <c r="BW106" i="21"/>
  <c r="BX103" i="21"/>
  <c r="BX105" i="21"/>
  <c r="BX106" i="21"/>
  <c r="BY103" i="21"/>
  <c r="BY105" i="21"/>
  <c r="BY106" i="21"/>
  <c r="BZ103" i="21"/>
  <c r="BZ105" i="21"/>
  <c r="BZ106" i="21"/>
  <c r="CA103" i="21"/>
  <c r="CA105" i="21"/>
  <c r="CA106" i="21"/>
  <c r="CB103" i="21"/>
  <c r="CB105" i="21"/>
  <c r="CB106" i="21"/>
  <c r="CC103" i="21"/>
  <c r="CC105" i="21"/>
  <c r="CC106" i="21"/>
  <c r="CD103" i="21"/>
  <c r="CD105" i="21"/>
  <c r="CD106" i="21"/>
  <c r="CE103" i="21"/>
  <c r="CE105" i="21"/>
  <c r="CE106" i="21"/>
  <c r="CF103" i="21"/>
  <c r="CF105" i="21"/>
  <c r="CF106" i="21"/>
  <c r="CG103" i="21"/>
  <c r="CG105" i="21"/>
  <c r="CG106" i="21"/>
  <c r="CH103" i="21"/>
  <c r="CH105" i="21"/>
  <c r="CH106" i="21"/>
  <c r="CI103" i="21"/>
  <c r="CI105" i="21"/>
  <c r="CI106" i="21"/>
  <c r="CJ103" i="21"/>
  <c r="CJ105" i="21"/>
  <c r="CJ106" i="21"/>
  <c r="CK103" i="21"/>
  <c r="CK105" i="21"/>
  <c r="CK106" i="21"/>
  <c r="CL103" i="21"/>
  <c r="CL105" i="21"/>
  <c r="CL106" i="21"/>
  <c r="CM103" i="21"/>
  <c r="CM105" i="21"/>
  <c r="CM106" i="21"/>
  <c r="CN103" i="21"/>
  <c r="CN105" i="21"/>
  <c r="CN106" i="21"/>
  <c r="CO103" i="21"/>
  <c r="CO105" i="21"/>
  <c r="CO106" i="21"/>
  <c r="CP103" i="21"/>
  <c r="CP105" i="21"/>
  <c r="CP106" i="21"/>
  <c r="CQ103" i="21"/>
  <c r="CQ105" i="21"/>
  <c r="CQ106" i="21"/>
  <c r="CR103" i="21"/>
  <c r="CR105" i="21"/>
  <c r="CR106" i="21"/>
  <c r="CS103" i="21"/>
  <c r="CS105" i="21"/>
  <c r="CS106" i="21"/>
  <c r="CT103" i="21"/>
  <c r="CT105" i="21"/>
  <c r="CT106" i="21"/>
  <c r="CU103" i="21"/>
  <c r="CU105" i="21"/>
  <c r="CU106" i="21"/>
  <c r="JU99" i="21"/>
  <c r="B70" i="21"/>
  <c r="B72" i="21"/>
  <c r="B63" i="21"/>
  <c r="B60" i="21"/>
  <c r="P58" i="21"/>
  <c r="Q58" i="21"/>
  <c r="R58" i="21"/>
  <c r="S58" i="21"/>
  <c r="T58" i="21"/>
  <c r="U58" i="21"/>
  <c r="V58" i="21"/>
  <c r="W58" i="21"/>
  <c r="X58" i="21"/>
  <c r="Y58" i="21"/>
  <c r="Z58" i="21"/>
  <c r="AA58" i="21"/>
  <c r="B58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P32" i="21"/>
  <c r="Q32" i="21"/>
  <c r="R32" i="21"/>
  <c r="S32" i="21"/>
  <c r="T32" i="21"/>
  <c r="U32" i="21"/>
  <c r="V32" i="21"/>
  <c r="W32" i="21"/>
  <c r="X32" i="21"/>
  <c r="Y32" i="21"/>
  <c r="Z32" i="21"/>
  <c r="AA32" i="21"/>
  <c r="CU27" i="21"/>
  <c r="CT27" i="21"/>
  <c r="CS27" i="21"/>
  <c r="CR27" i="21"/>
  <c r="CQ27" i="21"/>
  <c r="CP27" i="21"/>
  <c r="CO27" i="21"/>
  <c r="CN27" i="21"/>
  <c r="CM27" i="21"/>
  <c r="CL27" i="21"/>
  <c r="CK27" i="21"/>
  <c r="CJ27" i="21"/>
  <c r="CI27" i="21"/>
  <c r="CH27" i="21"/>
  <c r="CG27" i="21"/>
  <c r="CF27" i="21"/>
  <c r="CE27" i="21"/>
  <c r="CD27" i="21"/>
  <c r="CC27" i="21"/>
  <c r="CB27" i="21"/>
  <c r="CA27" i="21"/>
  <c r="BZ27" i="21"/>
  <c r="BY27" i="21"/>
  <c r="BX27" i="21"/>
  <c r="BW27" i="21"/>
  <c r="BV27" i="21"/>
  <c r="BU27" i="21"/>
  <c r="BT27" i="21"/>
  <c r="BS27" i="21"/>
  <c r="BR27" i="21"/>
  <c r="BQ27" i="21"/>
  <c r="BP27" i="21"/>
  <c r="BO27" i="21"/>
  <c r="BN27" i="21"/>
  <c r="BM27" i="21"/>
  <c r="BL27" i="21"/>
  <c r="BK27" i="21"/>
  <c r="BJ27" i="21"/>
  <c r="BI27" i="21"/>
  <c r="BH27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E12" i="21"/>
  <c r="AF12" i="21"/>
  <c r="AG12" i="21"/>
  <c r="AH12" i="21"/>
  <c r="AI12" i="21"/>
  <c r="AJ12" i="21"/>
  <c r="AK12" i="21"/>
  <c r="AL12" i="21"/>
  <c r="AM12" i="21"/>
  <c r="AN12" i="21"/>
  <c r="AO12" i="21"/>
  <c r="AP12" i="21"/>
  <c r="AQ12" i="21"/>
  <c r="AR12" i="21"/>
  <c r="AS12" i="21"/>
  <c r="AT12" i="21"/>
  <c r="AU12" i="21"/>
  <c r="AV12" i="21"/>
  <c r="AW12" i="21"/>
  <c r="AX12" i="21"/>
  <c r="AY12" i="21"/>
  <c r="AZ12" i="21"/>
  <c r="BA12" i="21"/>
  <c r="BB12" i="21"/>
  <c r="BC12" i="21"/>
  <c r="BD12" i="21"/>
  <c r="BE12" i="21"/>
  <c r="BF12" i="21"/>
  <c r="BG12" i="21"/>
  <c r="BH12" i="21"/>
  <c r="BI12" i="21"/>
  <c r="BJ12" i="21"/>
  <c r="BK12" i="21"/>
  <c r="BL12" i="21"/>
  <c r="BM12" i="21"/>
  <c r="BN12" i="21"/>
  <c r="BO12" i="21"/>
  <c r="BP12" i="21"/>
  <c r="BQ12" i="21"/>
  <c r="BR12" i="21"/>
  <c r="BS12" i="21"/>
  <c r="BT12" i="21"/>
  <c r="BU12" i="21"/>
  <c r="BV12" i="21"/>
  <c r="BW12" i="21"/>
  <c r="BX12" i="21"/>
  <c r="BY12" i="21"/>
  <c r="BZ12" i="21"/>
  <c r="CA12" i="21"/>
  <c r="CB12" i="21"/>
  <c r="CC12" i="21"/>
  <c r="CD12" i="21"/>
  <c r="CE12" i="21"/>
  <c r="CF12" i="21"/>
  <c r="CG12" i="21"/>
  <c r="CH12" i="21"/>
  <c r="CI12" i="21"/>
  <c r="CJ12" i="21"/>
  <c r="CK12" i="21"/>
  <c r="CL12" i="21"/>
  <c r="CM12" i="21"/>
  <c r="CN12" i="21"/>
  <c r="CO12" i="21"/>
  <c r="CP12" i="21"/>
  <c r="CQ12" i="21"/>
  <c r="CR12" i="21"/>
  <c r="CS12" i="21"/>
  <c r="CT12" i="21"/>
  <c r="CU12" i="21"/>
  <c r="CV12" i="21"/>
  <c r="CW12" i="21"/>
  <c r="CX12" i="21"/>
  <c r="CY12" i="21"/>
  <c r="CZ12" i="21"/>
  <c r="DA12" i="21"/>
  <c r="DB12" i="21"/>
  <c r="DC12" i="21"/>
  <c r="DD12" i="21"/>
  <c r="DE12" i="21"/>
  <c r="DF12" i="21"/>
  <c r="DG12" i="21"/>
  <c r="DH12" i="21"/>
  <c r="DI12" i="21"/>
  <c r="DJ12" i="21"/>
  <c r="DK12" i="21"/>
  <c r="DL12" i="21"/>
  <c r="DM12" i="21"/>
  <c r="DN12" i="21"/>
  <c r="DO12" i="21"/>
  <c r="DP12" i="21"/>
  <c r="DQ12" i="21"/>
  <c r="DR12" i="21"/>
  <c r="DS12" i="21"/>
  <c r="DT12" i="21"/>
  <c r="DU12" i="21"/>
  <c r="DV12" i="21"/>
  <c r="DW12" i="21"/>
  <c r="DX12" i="21"/>
  <c r="DY12" i="21"/>
  <c r="DZ12" i="21"/>
  <c r="EA12" i="21"/>
  <c r="EB12" i="21"/>
  <c r="EC12" i="21"/>
  <c r="ED12" i="21"/>
  <c r="EE12" i="21"/>
  <c r="EF12" i="21"/>
  <c r="EG12" i="21"/>
  <c r="EH12" i="21"/>
  <c r="EI12" i="21"/>
  <c r="EJ12" i="21"/>
  <c r="EK12" i="21"/>
  <c r="EL12" i="21"/>
  <c r="EM12" i="21"/>
  <c r="EN12" i="21"/>
  <c r="EO12" i="21"/>
  <c r="EP12" i="21"/>
  <c r="EQ12" i="21"/>
  <c r="ER12" i="21"/>
  <c r="ES12" i="21"/>
  <c r="ET12" i="21"/>
  <c r="EU12" i="21"/>
  <c r="EV12" i="21"/>
  <c r="EW12" i="21"/>
  <c r="EX12" i="21"/>
  <c r="EY12" i="21"/>
  <c r="EZ12" i="21"/>
  <c r="FA12" i="21"/>
  <c r="FB12" i="21"/>
  <c r="FC12" i="21"/>
  <c r="FD12" i="21"/>
  <c r="FE12" i="21"/>
  <c r="FF12" i="21"/>
  <c r="FG12" i="21"/>
  <c r="FH12" i="21"/>
  <c r="FI12" i="21"/>
  <c r="FJ12" i="21"/>
  <c r="FK12" i="21"/>
  <c r="FL12" i="21"/>
  <c r="FM12" i="21"/>
  <c r="FN12" i="21"/>
  <c r="FO12" i="21"/>
  <c r="FP12" i="21"/>
  <c r="FQ12" i="21"/>
  <c r="FR12" i="21"/>
  <c r="FS12" i="21"/>
  <c r="FT12" i="21"/>
  <c r="FU12" i="21"/>
  <c r="FV12" i="21"/>
  <c r="FW12" i="21"/>
  <c r="FX12" i="21"/>
  <c r="FY12" i="21"/>
  <c r="FZ12" i="21"/>
  <c r="GA12" i="21"/>
  <c r="GB12" i="21"/>
  <c r="GC12" i="21"/>
  <c r="GD12" i="21"/>
  <c r="GE12" i="21"/>
  <c r="GF12" i="21"/>
  <c r="GG12" i="21"/>
  <c r="GH12" i="21"/>
  <c r="GI12" i="21"/>
  <c r="GJ12" i="21"/>
  <c r="GK12" i="21"/>
  <c r="GL12" i="21"/>
  <c r="GM12" i="21"/>
  <c r="GN12" i="21"/>
  <c r="GO12" i="21"/>
  <c r="GP12" i="21"/>
  <c r="GQ12" i="21"/>
  <c r="GR12" i="21"/>
  <c r="GS12" i="21"/>
  <c r="GT12" i="21"/>
  <c r="GU12" i="21"/>
  <c r="GV12" i="21"/>
  <c r="GW12" i="21"/>
  <c r="GX12" i="21"/>
  <c r="GY12" i="21"/>
  <c r="GZ12" i="21"/>
  <c r="HA12" i="21"/>
  <c r="HB12" i="21"/>
  <c r="HC12" i="21"/>
  <c r="HD12" i="21"/>
  <c r="HE12" i="21"/>
  <c r="HF12" i="21"/>
  <c r="HG12" i="21"/>
  <c r="HH12" i="21"/>
  <c r="HI12" i="21"/>
  <c r="HJ12" i="21"/>
  <c r="HK12" i="21"/>
  <c r="HL12" i="21"/>
  <c r="HM12" i="21"/>
  <c r="HN12" i="21"/>
  <c r="HO12" i="21"/>
  <c r="HP12" i="21"/>
  <c r="HQ12" i="21"/>
  <c r="HR12" i="21"/>
  <c r="HS12" i="21"/>
  <c r="HT12" i="21"/>
  <c r="HU12" i="21"/>
  <c r="HV12" i="21"/>
  <c r="HW12" i="21"/>
  <c r="HX12" i="21"/>
  <c r="HY12" i="21"/>
  <c r="HZ12" i="21"/>
  <c r="IA12" i="21"/>
  <c r="IB12" i="21"/>
  <c r="IC12" i="21"/>
  <c r="ID12" i="21"/>
  <c r="IE12" i="21"/>
  <c r="IF12" i="21"/>
  <c r="IG12" i="21"/>
  <c r="IH12" i="21"/>
  <c r="II12" i="21"/>
  <c r="IJ12" i="21"/>
  <c r="IK12" i="21"/>
  <c r="IL12" i="21"/>
  <c r="IM12" i="21"/>
  <c r="IN12" i="21"/>
  <c r="IO12" i="21"/>
  <c r="IP12" i="21"/>
  <c r="IQ12" i="21"/>
  <c r="IR12" i="21"/>
  <c r="IS12" i="21"/>
  <c r="IT12" i="21"/>
  <c r="IU12" i="21"/>
  <c r="IV12" i="21"/>
  <c r="IW12" i="21"/>
  <c r="IX12" i="21"/>
  <c r="IY12" i="21"/>
  <c r="IZ12" i="21"/>
  <c r="JA12" i="21"/>
  <c r="JB12" i="21"/>
  <c r="JC12" i="21"/>
  <c r="JD12" i="21"/>
  <c r="JE12" i="21"/>
  <c r="JF12" i="21"/>
  <c r="JG12" i="21"/>
  <c r="JH12" i="21"/>
  <c r="JI12" i="21"/>
  <c r="JJ12" i="21"/>
  <c r="JK12" i="21"/>
  <c r="JL12" i="21"/>
  <c r="JM12" i="21"/>
  <c r="JN12" i="21"/>
  <c r="JO12" i="21"/>
  <c r="JP12" i="21"/>
  <c r="JQ12" i="21"/>
  <c r="JR12" i="21"/>
  <c r="JS12" i="21"/>
  <c r="JT12" i="21"/>
  <c r="JU12" i="21"/>
  <c r="JU4" i="21"/>
  <c r="JU5" i="21"/>
  <c r="JU16" i="21"/>
  <c r="JT4" i="21"/>
  <c r="JT5" i="21"/>
  <c r="JT16" i="21"/>
  <c r="JS4" i="21"/>
  <c r="JS5" i="21"/>
  <c r="JS16" i="21"/>
  <c r="JR4" i="21"/>
  <c r="JR5" i="21"/>
  <c r="JR16" i="21"/>
  <c r="JQ4" i="21"/>
  <c r="JQ5" i="21"/>
  <c r="JQ16" i="21"/>
  <c r="JP4" i="21"/>
  <c r="JP5" i="21"/>
  <c r="JP16" i="21"/>
  <c r="JO4" i="21"/>
  <c r="JO5" i="21"/>
  <c r="JO16" i="21"/>
  <c r="JN4" i="21"/>
  <c r="JN5" i="21"/>
  <c r="JN16" i="21"/>
  <c r="JM4" i="21"/>
  <c r="JM5" i="21"/>
  <c r="JM16" i="21"/>
  <c r="JL4" i="21"/>
  <c r="JL5" i="21"/>
  <c r="JL16" i="21"/>
  <c r="JK4" i="21"/>
  <c r="JK5" i="21"/>
  <c r="JK16" i="21"/>
  <c r="JJ4" i="21"/>
  <c r="JJ5" i="21"/>
  <c r="JJ16" i="21"/>
  <c r="JI4" i="21"/>
  <c r="JI5" i="21"/>
  <c r="JI16" i="21"/>
  <c r="JH4" i="21"/>
  <c r="JH5" i="21"/>
  <c r="JH16" i="21"/>
  <c r="JG4" i="21"/>
  <c r="JG5" i="21"/>
  <c r="JG16" i="21"/>
  <c r="JF4" i="21"/>
  <c r="JF5" i="21"/>
  <c r="JF16" i="21"/>
  <c r="JE4" i="21"/>
  <c r="JE5" i="21"/>
  <c r="JE16" i="21"/>
  <c r="JD4" i="21"/>
  <c r="JD5" i="21"/>
  <c r="JD16" i="21"/>
  <c r="JC4" i="21"/>
  <c r="JC5" i="21"/>
  <c r="JC16" i="21"/>
  <c r="JB4" i="21"/>
  <c r="JB5" i="21"/>
  <c r="JB16" i="21"/>
  <c r="JA4" i="21"/>
  <c r="JA5" i="21"/>
  <c r="JA16" i="21"/>
  <c r="IZ4" i="21"/>
  <c r="IZ5" i="21"/>
  <c r="IZ16" i="21"/>
  <c r="IY4" i="21"/>
  <c r="IY5" i="21"/>
  <c r="IY16" i="21"/>
  <c r="IX4" i="21"/>
  <c r="IX5" i="21"/>
  <c r="IX16" i="21"/>
  <c r="IW4" i="21"/>
  <c r="IW5" i="21"/>
  <c r="IW16" i="21"/>
  <c r="IV4" i="21"/>
  <c r="IV5" i="21"/>
  <c r="IV16" i="21"/>
  <c r="IU4" i="21"/>
  <c r="IU5" i="21"/>
  <c r="IU16" i="21"/>
  <c r="IT4" i="21"/>
  <c r="IT5" i="21"/>
  <c r="IT16" i="21"/>
  <c r="IS4" i="21"/>
  <c r="IS5" i="21"/>
  <c r="IS16" i="21"/>
  <c r="IR4" i="21"/>
  <c r="IR5" i="21"/>
  <c r="IR16" i="21"/>
  <c r="IQ4" i="21"/>
  <c r="IQ5" i="21"/>
  <c r="IQ16" i="21"/>
  <c r="IP4" i="21"/>
  <c r="IP5" i="21"/>
  <c r="IP16" i="21"/>
  <c r="IO4" i="21"/>
  <c r="IO5" i="21"/>
  <c r="IO16" i="21"/>
  <c r="IN4" i="21"/>
  <c r="IN5" i="21"/>
  <c r="IN16" i="21"/>
  <c r="IM4" i="21"/>
  <c r="IM5" i="21"/>
  <c r="IM16" i="21"/>
  <c r="IL4" i="21"/>
  <c r="IL5" i="21"/>
  <c r="IL16" i="21"/>
  <c r="IK4" i="21"/>
  <c r="IK5" i="21"/>
  <c r="IK16" i="21"/>
  <c r="IJ4" i="21"/>
  <c r="IJ5" i="21"/>
  <c r="IJ16" i="21"/>
  <c r="II4" i="21"/>
  <c r="II5" i="21"/>
  <c r="II16" i="21"/>
  <c r="IH4" i="21"/>
  <c r="IH5" i="21"/>
  <c r="IH16" i="21"/>
  <c r="IG4" i="21"/>
  <c r="IG5" i="21"/>
  <c r="IG16" i="21"/>
  <c r="IF4" i="21"/>
  <c r="IF5" i="21"/>
  <c r="IF16" i="21"/>
  <c r="IE4" i="21"/>
  <c r="IE5" i="21"/>
  <c r="IE16" i="21"/>
  <c r="ID4" i="21"/>
  <c r="ID5" i="21"/>
  <c r="ID16" i="21"/>
  <c r="IC4" i="21"/>
  <c r="IC5" i="21"/>
  <c r="IC16" i="21"/>
  <c r="IB4" i="21"/>
  <c r="IB5" i="21"/>
  <c r="IB16" i="21"/>
  <c r="IA4" i="21"/>
  <c r="IA5" i="21"/>
  <c r="IA16" i="21"/>
  <c r="HZ4" i="21"/>
  <c r="HZ5" i="21"/>
  <c r="HZ16" i="21"/>
  <c r="HY4" i="21"/>
  <c r="HY5" i="21"/>
  <c r="HY16" i="21"/>
  <c r="HX4" i="21"/>
  <c r="HX5" i="21"/>
  <c r="HX16" i="21"/>
  <c r="HW4" i="21"/>
  <c r="HW5" i="21"/>
  <c r="HW16" i="21"/>
  <c r="HV4" i="21"/>
  <c r="HV5" i="21"/>
  <c r="HV16" i="21"/>
  <c r="HU4" i="21"/>
  <c r="HU5" i="21"/>
  <c r="HU16" i="21"/>
  <c r="HT4" i="21"/>
  <c r="HT5" i="21"/>
  <c r="HT16" i="21"/>
  <c r="HS4" i="21"/>
  <c r="HS5" i="21"/>
  <c r="HS16" i="21"/>
  <c r="HR4" i="21"/>
  <c r="HR5" i="21"/>
  <c r="HR16" i="21"/>
  <c r="HQ4" i="21"/>
  <c r="HQ5" i="21"/>
  <c r="HQ16" i="21"/>
  <c r="HP4" i="21"/>
  <c r="HP5" i="21"/>
  <c r="HP16" i="21"/>
  <c r="HO4" i="21"/>
  <c r="HO5" i="21"/>
  <c r="HO16" i="21"/>
  <c r="HN4" i="21"/>
  <c r="HN5" i="21"/>
  <c r="HN16" i="21"/>
  <c r="HM4" i="21"/>
  <c r="HM5" i="21"/>
  <c r="HM16" i="21"/>
  <c r="HL4" i="21"/>
  <c r="HL5" i="21"/>
  <c r="HL16" i="21"/>
  <c r="HK4" i="21"/>
  <c r="HK5" i="21"/>
  <c r="HK16" i="21"/>
  <c r="HJ4" i="21"/>
  <c r="HJ5" i="21"/>
  <c r="HJ16" i="21"/>
  <c r="HI4" i="21"/>
  <c r="HI5" i="21"/>
  <c r="HI16" i="21"/>
  <c r="HH4" i="21"/>
  <c r="HH5" i="21"/>
  <c r="HH16" i="21"/>
  <c r="HG4" i="21"/>
  <c r="HG5" i="21"/>
  <c r="HG16" i="21"/>
  <c r="HF4" i="21"/>
  <c r="HF5" i="21"/>
  <c r="HF16" i="21"/>
  <c r="HE4" i="21"/>
  <c r="HE5" i="21"/>
  <c r="HE16" i="21"/>
  <c r="HD4" i="21"/>
  <c r="HD5" i="21"/>
  <c r="HD16" i="21"/>
  <c r="HC4" i="21"/>
  <c r="HC5" i="21"/>
  <c r="HC16" i="21"/>
  <c r="HB4" i="21"/>
  <c r="HB5" i="21"/>
  <c r="HB16" i="21"/>
  <c r="HA4" i="21"/>
  <c r="HA5" i="21"/>
  <c r="HA16" i="21"/>
  <c r="GZ4" i="21"/>
  <c r="GZ5" i="21"/>
  <c r="GZ16" i="21"/>
  <c r="GY4" i="21"/>
  <c r="GY5" i="21"/>
  <c r="GY16" i="21"/>
  <c r="GX4" i="21"/>
  <c r="GX5" i="21"/>
  <c r="GX16" i="21"/>
  <c r="GW4" i="21"/>
  <c r="GW5" i="21"/>
  <c r="GW16" i="21"/>
  <c r="GV4" i="21"/>
  <c r="GV5" i="21"/>
  <c r="GV16" i="21"/>
  <c r="GU4" i="21"/>
  <c r="GU5" i="21"/>
  <c r="GU16" i="21"/>
  <c r="GT4" i="21"/>
  <c r="GT5" i="21"/>
  <c r="GT16" i="21"/>
  <c r="GS4" i="21"/>
  <c r="GS5" i="21"/>
  <c r="GS16" i="21"/>
  <c r="GR4" i="21"/>
  <c r="GR5" i="21"/>
  <c r="GR16" i="21"/>
  <c r="GQ4" i="21"/>
  <c r="GQ5" i="21"/>
  <c r="GQ16" i="21"/>
  <c r="GP4" i="21"/>
  <c r="GP5" i="21"/>
  <c r="GP16" i="21"/>
  <c r="GO4" i="21"/>
  <c r="GO5" i="21"/>
  <c r="GO16" i="21"/>
  <c r="GN4" i="21"/>
  <c r="GN5" i="21"/>
  <c r="GN16" i="21"/>
  <c r="GM4" i="21"/>
  <c r="GM5" i="21"/>
  <c r="GM16" i="21"/>
  <c r="GL4" i="21"/>
  <c r="GL5" i="21"/>
  <c r="GL16" i="21"/>
  <c r="GK4" i="21"/>
  <c r="GK5" i="21"/>
  <c r="GK16" i="21"/>
  <c r="GJ4" i="21"/>
  <c r="GJ5" i="21"/>
  <c r="GJ16" i="21"/>
  <c r="GI4" i="21"/>
  <c r="GI5" i="21"/>
  <c r="GI16" i="21"/>
  <c r="GH4" i="21"/>
  <c r="GH5" i="21"/>
  <c r="GH16" i="21"/>
  <c r="GG4" i="21"/>
  <c r="GG5" i="21"/>
  <c r="GG16" i="21"/>
  <c r="GF4" i="21"/>
  <c r="GF5" i="21"/>
  <c r="GF16" i="21"/>
  <c r="GE4" i="21"/>
  <c r="GE5" i="21"/>
  <c r="GE16" i="21"/>
  <c r="GD4" i="21"/>
  <c r="GD5" i="21"/>
  <c r="GD16" i="21"/>
  <c r="GC4" i="21"/>
  <c r="GC5" i="21"/>
  <c r="GC16" i="21"/>
  <c r="GB4" i="21"/>
  <c r="GB5" i="21"/>
  <c r="GB16" i="21"/>
  <c r="GA4" i="21"/>
  <c r="GA5" i="21"/>
  <c r="GA16" i="21"/>
  <c r="FZ4" i="21"/>
  <c r="FZ5" i="21"/>
  <c r="FZ16" i="21"/>
  <c r="FY4" i="21"/>
  <c r="FY5" i="21"/>
  <c r="FY16" i="21"/>
  <c r="FX4" i="21"/>
  <c r="FX5" i="21"/>
  <c r="FX16" i="21"/>
  <c r="FW4" i="21"/>
  <c r="FW5" i="21"/>
  <c r="FW16" i="21"/>
  <c r="FV4" i="21"/>
  <c r="FV5" i="21"/>
  <c r="FV16" i="21"/>
  <c r="FU4" i="21"/>
  <c r="FU5" i="21"/>
  <c r="FU16" i="21"/>
  <c r="FT4" i="21"/>
  <c r="FT5" i="21"/>
  <c r="FT16" i="21"/>
  <c r="FS4" i="21"/>
  <c r="FS5" i="21"/>
  <c r="FS16" i="21"/>
  <c r="FR4" i="21"/>
  <c r="FR5" i="21"/>
  <c r="FR16" i="21"/>
  <c r="FQ4" i="21"/>
  <c r="FQ5" i="21"/>
  <c r="FQ16" i="21"/>
  <c r="FP4" i="21"/>
  <c r="FP5" i="21"/>
  <c r="FP16" i="21"/>
  <c r="FO4" i="21"/>
  <c r="FO5" i="21"/>
  <c r="FO16" i="21"/>
  <c r="FN4" i="21"/>
  <c r="FN5" i="21"/>
  <c r="FN16" i="21"/>
  <c r="FM4" i="21"/>
  <c r="FM5" i="21"/>
  <c r="FM16" i="21"/>
  <c r="FL4" i="21"/>
  <c r="FL5" i="21"/>
  <c r="FL16" i="21"/>
  <c r="FK4" i="21"/>
  <c r="FK5" i="21"/>
  <c r="FK16" i="21"/>
  <c r="FJ4" i="21"/>
  <c r="FJ5" i="21"/>
  <c r="FJ16" i="21"/>
  <c r="FI4" i="21"/>
  <c r="FI5" i="21"/>
  <c r="FI16" i="21"/>
  <c r="FH4" i="21"/>
  <c r="FH5" i="21"/>
  <c r="FH16" i="21"/>
  <c r="FG4" i="21"/>
  <c r="FG5" i="21"/>
  <c r="FG16" i="21"/>
  <c r="FF4" i="21"/>
  <c r="FF5" i="21"/>
  <c r="FF16" i="21"/>
  <c r="FE4" i="21"/>
  <c r="FE5" i="21"/>
  <c r="FE16" i="21"/>
  <c r="FD4" i="21"/>
  <c r="FD5" i="21"/>
  <c r="FD16" i="21"/>
  <c r="FC4" i="21"/>
  <c r="FC5" i="21"/>
  <c r="FC16" i="21"/>
  <c r="FB4" i="21"/>
  <c r="FB5" i="21"/>
  <c r="FB16" i="21"/>
  <c r="FA4" i="21"/>
  <c r="FA5" i="21"/>
  <c r="FA16" i="21"/>
  <c r="EZ4" i="21"/>
  <c r="EZ5" i="21"/>
  <c r="EZ16" i="21"/>
  <c r="EY4" i="21"/>
  <c r="EY5" i="21"/>
  <c r="EY16" i="21"/>
  <c r="EX4" i="21"/>
  <c r="EX5" i="21"/>
  <c r="EX16" i="21"/>
  <c r="EW4" i="21"/>
  <c r="EW5" i="21"/>
  <c r="EW16" i="21"/>
  <c r="EV4" i="21"/>
  <c r="EV5" i="21"/>
  <c r="EV16" i="21"/>
  <c r="EU4" i="21"/>
  <c r="EU5" i="21"/>
  <c r="EU16" i="21"/>
  <c r="ET4" i="21"/>
  <c r="ET5" i="21"/>
  <c r="ET16" i="21"/>
  <c r="ES4" i="21"/>
  <c r="ES5" i="21"/>
  <c r="ES16" i="21"/>
  <c r="ER4" i="21"/>
  <c r="ER5" i="21"/>
  <c r="ER16" i="21"/>
  <c r="EQ4" i="21"/>
  <c r="EQ5" i="21"/>
  <c r="EQ16" i="21"/>
  <c r="EP4" i="21"/>
  <c r="EP5" i="21"/>
  <c r="EP16" i="21"/>
  <c r="EO4" i="21"/>
  <c r="EO5" i="21"/>
  <c r="EO16" i="21"/>
  <c r="EN4" i="21"/>
  <c r="EN5" i="21"/>
  <c r="EN16" i="21"/>
  <c r="EM4" i="21"/>
  <c r="EM5" i="21"/>
  <c r="EM16" i="21"/>
  <c r="EL4" i="21"/>
  <c r="EL5" i="21"/>
  <c r="EL16" i="21"/>
  <c r="EK4" i="21"/>
  <c r="EK5" i="21"/>
  <c r="EK16" i="21"/>
  <c r="EJ4" i="21"/>
  <c r="EJ5" i="21"/>
  <c r="EJ16" i="21"/>
  <c r="EI4" i="21"/>
  <c r="EI5" i="21"/>
  <c r="EI16" i="21"/>
  <c r="EH4" i="21"/>
  <c r="EH5" i="21"/>
  <c r="EH16" i="21"/>
  <c r="EG4" i="21"/>
  <c r="EG5" i="21"/>
  <c r="EG16" i="21"/>
  <c r="EF4" i="21"/>
  <c r="EF5" i="21"/>
  <c r="EF16" i="21"/>
  <c r="EE4" i="21"/>
  <c r="EE5" i="21"/>
  <c r="EE16" i="21"/>
  <c r="ED4" i="21"/>
  <c r="ED5" i="21"/>
  <c r="ED16" i="21"/>
  <c r="EC4" i="21"/>
  <c r="EC5" i="21"/>
  <c r="EC16" i="21"/>
  <c r="EB4" i="21"/>
  <c r="EB5" i="21"/>
  <c r="EB16" i="21"/>
  <c r="EA4" i="21"/>
  <c r="EA5" i="21"/>
  <c r="EA16" i="21"/>
  <c r="DZ4" i="21"/>
  <c r="DZ5" i="21"/>
  <c r="DZ16" i="21"/>
  <c r="DY4" i="21"/>
  <c r="DY5" i="21"/>
  <c r="DY16" i="21"/>
  <c r="DX4" i="21"/>
  <c r="DX5" i="21"/>
  <c r="DX16" i="21"/>
  <c r="DW4" i="21"/>
  <c r="DW5" i="21"/>
  <c r="DW16" i="21"/>
  <c r="DV4" i="21"/>
  <c r="DV5" i="21"/>
  <c r="DV16" i="21"/>
  <c r="DU4" i="21"/>
  <c r="DU5" i="21"/>
  <c r="DU16" i="21"/>
  <c r="DT4" i="21"/>
  <c r="DT5" i="21"/>
  <c r="DT16" i="21"/>
  <c r="DS4" i="21"/>
  <c r="DS5" i="21"/>
  <c r="DS16" i="21"/>
  <c r="DR4" i="21"/>
  <c r="DR5" i="21"/>
  <c r="DR16" i="21"/>
  <c r="DQ4" i="21"/>
  <c r="DQ5" i="21"/>
  <c r="DQ16" i="21"/>
  <c r="DP4" i="21"/>
  <c r="DP5" i="21"/>
  <c r="DP16" i="21"/>
  <c r="DO4" i="21"/>
  <c r="DO5" i="21"/>
  <c r="DO16" i="21"/>
  <c r="DN4" i="21"/>
  <c r="DN5" i="21"/>
  <c r="DN16" i="21"/>
  <c r="DM4" i="21"/>
  <c r="DM5" i="21"/>
  <c r="DM16" i="21"/>
  <c r="DL4" i="21"/>
  <c r="DL5" i="21"/>
  <c r="DL16" i="21"/>
  <c r="DK4" i="21"/>
  <c r="DK5" i="21"/>
  <c r="DK16" i="21"/>
  <c r="DJ4" i="21"/>
  <c r="DJ5" i="21"/>
  <c r="DJ16" i="21"/>
  <c r="DI4" i="21"/>
  <c r="DI5" i="21"/>
  <c r="DI16" i="21"/>
  <c r="DH4" i="21"/>
  <c r="DH5" i="21"/>
  <c r="DH16" i="21"/>
  <c r="DG4" i="21"/>
  <c r="DG5" i="21"/>
  <c r="DG16" i="21"/>
  <c r="DF4" i="21"/>
  <c r="DF5" i="21"/>
  <c r="DF16" i="21"/>
  <c r="DE4" i="21"/>
  <c r="DE5" i="21"/>
  <c r="DE16" i="21"/>
  <c r="DD4" i="21"/>
  <c r="DD5" i="21"/>
  <c r="DD16" i="21"/>
  <c r="DC4" i="21"/>
  <c r="DC5" i="21"/>
  <c r="DC16" i="21"/>
  <c r="DB4" i="21"/>
  <c r="DB5" i="21"/>
  <c r="DB16" i="21"/>
  <c r="DA4" i="21"/>
  <c r="DA5" i="21"/>
  <c r="DA16" i="21"/>
  <c r="CZ4" i="21"/>
  <c r="CZ5" i="21"/>
  <c r="CZ16" i="21"/>
  <c r="CY4" i="21"/>
  <c r="CY5" i="21"/>
  <c r="CY16" i="21"/>
  <c r="CX4" i="21"/>
  <c r="CX5" i="21"/>
  <c r="CX16" i="21"/>
  <c r="CW4" i="21"/>
  <c r="CW5" i="21"/>
  <c r="CW16" i="21"/>
  <c r="CV4" i="21"/>
  <c r="CV5" i="21"/>
  <c r="CV16" i="21"/>
  <c r="CU4" i="21"/>
  <c r="CU5" i="21"/>
  <c r="CU16" i="21"/>
  <c r="CT4" i="21"/>
  <c r="CT5" i="21"/>
  <c r="CT16" i="21"/>
  <c r="CS4" i="21"/>
  <c r="CS5" i="21"/>
  <c r="CS16" i="21"/>
  <c r="CR4" i="21"/>
  <c r="CR5" i="21"/>
  <c r="CR16" i="21"/>
  <c r="CQ4" i="21"/>
  <c r="CQ5" i="21"/>
  <c r="CQ16" i="21"/>
  <c r="CP4" i="21"/>
  <c r="CP5" i="21"/>
  <c r="CP16" i="21"/>
  <c r="CO4" i="21"/>
  <c r="CO5" i="21"/>
  <c r="CO16" i="21"/>
  <c r="CN4" i="21"/>
  <c r="CN5" i="21"/>
  <c r="CN16" i="21"/>
  <c r="CM4" i="21"/>
  <c r="CM5" i="21"/>
  <c r="CM16" i="21"/>
  <c r="CL4" i="21"/>
  <c r="CL5" i="21"/>
  <c r="CL16" i="21"/>
  <c r="CK4" i="21"/>
  <c r="CK5" i="21"/>
  <c r="CK16" i="21"/>
  <c r="CJ4" i="21"/>
  <c r="CJ5" i="21"/>
  <c r="CJ16" i="21"/>
  <c r="CI4" i="21"/>
  <c r="CI5" i="21"/>
  <c r="CI16" i="21"/>
  <c r="CH4" i="21"/>
  <c r="CH5" i="21"/>
  <c r="CH16" i="21"/>
  <c r="CG4" i="21"/>
  <c r="CG5" i="21"/>
  <c r="CG16" i="21"/>
  <c r="CF4" i="21"/>
  <c r="CF5" i="21"/>
  <c r="CF16" i="21"/>
  <c r="CE4" i="21"/>
  <c r="CE5" i="21"/>
  <c r="CE16" i="21"/>
  <c r="CD4" i="21"/>
  <c r="CD5" i="21"/>
  <c r="CD16" i="21"/>
  <c r="CC4" i="21"/>
  <c r="CC5" i="21"/>
  <c r="CC16" i="21"/>
  <c r="CB4" i="21"/>
  <c r="CB5" i="21"/>
  <c r="CB16" i="21"/>
  <c r="CA4" i="21"/>
  <c r="CA5" i="21"/>
  <c r="CA16" i="21"/>
  <c r="BZ4" i="21"/>
  <c r="BZ5" i="21"/>
  <c r="BZ16" i="21"/>
  <c r="BY4" i="21"/>
  <c r="BY5" i="21"/>
  <c r="BY16" i="21"/>
  <c r="BX4" i="21"/>
  <c r="BX5" i="21"/>
  <c r="BX16" i="21"/>
  <c r="BW4" i="21"/>
  <c r="BW5" i="21"/>
  <c r="BW16" i="21"/>
  <c r="BV4" i="21"/>
  <c r="BV5" i="21"/>
  <c r="BV16" i="21"/>
  <c r="BU4" i="21"/>
  <c r="BU5" i="21"/>
  <c r="BU16" i="21"/>
  <c r="BT4" i="21"/>
  <c r="BT5" i="21"/>
  <c r="BT16" i="21"/>
  <c r="BS4" i="21"/>
  <c r="BS5" i="21"/>
  <c r="BS16" i="21"/>
  <c r="BR4" i="21"/>
  <c r="BR5" i="21"/>
  <c r="BR16" i="21"/>
  <c r="BQ4" i="21"/>
  <c r="BQ5" i="21"/>
  <c r="BQ16" i="21"/>
  <c r="BP4" i="21"/>
  <c r="BP5" i="21"/>
  <c r="BP16" i="21"/>
  <c r="BO4" i="21"/>
  <c r="BO5" i="21"/>
  <c r="BO16" i="21"/>
  <c r="BN4" i="21"/>
  <c r="BN5" i="21"/>
  <c r="BN16" i="21"/>
  <c r="BM4" i="21"/>
  <c r="BM5" i="21"/>
  <c r="BM16" i="21"/>
  <c r="BL4" i="21"/>
  <c r="BL5" i="21"/>
  <c r="BL16" i="21"/>
  <c r="BK4" i="21"/>
  <c r="BK5" i="21"/>
  <c r="BK16" i="21"/>
  <c r="BJ4" i="21"/>
  <c r="BJ5" i="21"/>
  <c r="BJ16" i="21"/>
  <c r="BI4" i="21"/>
  <c r="BI5" i="21"/>
  <c r="BI16" i="21"/>
  <c r="BH4" i="21"/>
  <c r="BH5" i="21"/>
  <c r="BH16" i="21"/>
  <c r="BG4" i="21"/>
  <c r="BG5" i="21"/>
  <c r="BG16" i="21"/>
  <c r="BF4" i="21"/>
  <c r="BF5" i="21"/>
  <c r="BF16" i="21"/>
  <c r="BE4" i="21"/>
  <c r="BE5" i="21"/>
  <c r="BE16" i="21"/>
  <c r="BD4" i="21"/>
  <c r="BD5" i="21"/>
  <c r="BD16" i="21"/>
  <c r="BC4" i="21"/>
  <c r="BC5" i="21"/>
  <c r="BC16" i="21"/>
  <c r="BB4" i="21"/>
  <c r="BB5" i="21"/>
  <c r="BB16" i="21"/>
  <c r="BA4" i="21"/>
  <c r="BA5" i="21"/>
  <c r="BA16" i="21"/>
  <c r="AZ4" i="21"/>
  <c r="AZ5" i="21"/>
  <c r="AZ16" i="21"/>
  <c r="AY4" i="21"/>
  <c r="AY5" i="21"/>
  <c r="AY16" i="21"/>
  <c r="AX4" i="21"/>
  <c r="AX5" i="21"/>
  <c r="AX16" i="21"/>
  <c r="AW4" i="21"/>
  <c r="AW5" i="21"/>
  <c r="AW16" i="21"/>
  <c r="AV4" i="21"/>
  <c r="AV5" i="21"/>
  <c r="AV16" i="21"/>
  <c r="AU4" i="21"/>
  <c r="AU5" i="21"/>
  <c r="AU16" i="21"/>
  <c r="AT4" i="21"/>
  <c r="AT5" i="21"/>
  <c r="AT16" i="21"/>
  <c r="AS4" i="21"/>
  <c r="AS5" i="21"/>
  <c r="AS16" i="21"/>
  <c r="AR4" i="21"/>
  <c r="AR5" i="21"/>
  <c r="AR16" i="21"/>
  <c r="AQ4" i="21"/>
  <c r="AQ5" i="21"/>
  <c r="AQ16" i="21"/>
  <c r="AP4" i="21"/>
  <c r="AP5" i="21"/>
  <c r="AP16" i="21"/>
  <c r="AO4" i="21"/>
  <c r="AO5" i="21"/>
  <c r="AO16" i="21"/>
  <c r="AN4" i="21"/>
  <c r="AN5" i="21"/>
  <c r="AN16" i="21"/>
  <c r="AM4" i="21"/>
  <c r="AM5" i="21"/>
  <c r="AM16" i="21"/>
  <c r="AL4" i="21"/>
  <c r="AL5" i="21"/>
  <c r="AL16" i="21"/>
  <c r="AK4" i="21"/>
  <c r="AK5" i="21"/>
  <c r="AK16" i="21"/>
  <c r="AJ4" i="21"/>
  <c r="AJ5" i="21"/>
  <c r="AJ16" i="21"/>
  <c r="AI4" i="21"/>
  <c r="AI5" i="21"/>
  <c r="AI16" i="21"/>
  <c r="AH4" i="21"/>
  <c r="AH5" i="21"/>
  <c r="AH16" i="21"/>
  <c r="AG4" i="21"/>
  <c r="AG5" i="21"/>
  <c r="AG16" i="21"/>
  <c r="AF4" i="21"/>
  <c r="AF5" i="21"/>
  <c r="AF16" i="21"/>
  <c r="AE4" i="21"/>
  <c r="AE5" i="21"/>
  <c r="AE16" i="21"/>
  <c r="AD4" i="21"/>
  <c r="AD5" i="21"/>
  <c r="AD16" i="21"/>
  <c r="AC4" i="21"/>
  <c r="AC5" i="21"/>
  <c r="AC16" i="21"/>
  <c r="AB4" i="21"/>
  <c r="AB5" i="21"/>
  <c r="AB16" i="21"/>
  <c r="AA4" i="21"/>
  <c r="AA5" i="21"/>
  <c r="AA16" i="21"/>
  <c r="Z4" i="21"/>
  <c r="Z5" i="21"/>
  <c r="Z16" i="21"/>
  <c r="Y4" i="21"/>
  <c r="Y5" i="21"/>
  <c r="Y16" i="21"/>
  <c r="X4" i="21"/>
  <c r="X5" i="21"/>
  <c r="X16" i="21"/>
  <c r="W4" i="21"/>
  <c r="W5" i="21"/>
  <c r="W16" i="21"/>
  <c r="V4" i="21"/>
  <c r="V5" i="21"/>
  <c r="V16" i="21"/>
  <c r="U4" i="21"/>
  <c r="U5" i="21"/>
  <c r="U16" i="21"/>
  <c r="T4" i="21"/>
  <c r="T5" i="21"/>
  <c r="T16" i="21"/>
  <c r="S4" i="21"/>
  <c r="S5" i="21"/>
  <c r="S16" i="21"/>
  <c r="R4" i="21"/>
  <c r="R5" i="21"/>
  <c r="R16" i="21"/>
  <c r="Q4" i="21"/>
  <c r="Q5" i="21"/>
  <c r="Q16" i="21"/>
  <c r="P4" i="21"/>
  <c r="P5" i="21"/>
  <c r="P16" i="21"/>
  <c r="JU15" i="21"/>
  <c r="JT15" i="21"/>
  <c r="JS15" i="21"/>
  <c r="JR15" i="21"/>
  <c r="JQ15" i="21"/>
  <c r="JP15" i="21"/>
  <c r="JO15" i="21"/>
  <c r="JN15" i="21"/>
  <c r="JM15" i="21"/>
  <c r="JL15" i="21"/>
  <c r="JK15" i="21"/>
  <c r="JJ15" i="21"/>
  <c r="JI15" i="21"/>
  <c r="JH15" i="21"/>
  <c r="JG15" i="21"/>
  <c r="JF15" i="21"/>
  <c r="JE15" i="21"/>
  <c r="JD15" i="21"/>
  <c r="JC15" i="21"/>
  <c r="JB15" i="21"/>
  <c r="JA15" i="21"/>
  <c r="IZ15" i="21"/>
  <c r="IY15" i="21"/>
  <c r="IX15" i="21"/>
  <c r="IW15" i="21"/>
  <c r="IV15" i="21"/>
  <c r="IU15" i="21"/>
  <c r="IT15" i="21"/>
  <c r="IS15" i="21"/>
  <c r="IR15" i="21"/>
  <c r="IQ15" i="21"/>
  <c r="IP15" i="21"/>
  <c r="IO15" i="21"/>
  <c r="IN15" i="21"/>
  <c r="IM15" i="21"/>
  <c r="IL15" i="21"/>
  <c r="IK15" i="21"/>
  <c r="IJ15" i="21"/>
  <c r="II15" i="21"/>
  <c r="IH15" i="21"/>
  <c r="IG15" i="21"/>
  <c r="IF15" i="21"/>
  <c r="IE15" i="21"/>
  <c r="ID15" i="21"/>
  <c r="IC15" i="21"/>
  <c r="IB15" i="21"/>
  <c r="IA15" i="21"/>
  <c r="HZ15" i="21"/>
  <c r="HY15" i="21"/>
  <c r="HX15" i="21"/>
  <c r="HW15" i="21"/>
  <c r="HV15" i="21"/>
  <c r="HU15" i="21"/>
  <c r="HT15" i="21"/>
  <c r="HS15" i="21"/>
  <c r="HR15" i="21"/>
  <c r="HQ15" i="21"/>
  <c r="HP15" i="21"/>
  <c r="HO15" i="21"/>
  <c r="HN15" i="21"/>
  <c r="HM15" i="21"/>
  <c r="HL15" i="21"/>
  <c r="HK15" i="21"/>
  <c r="HJ15" i="21"/>
  <c r="HI15" i="21"/>
  <c r="HH15" i="21"/>
  <c r="HG15" i="21"/>
  <c r="HF15" i="21"/>
  <c r="HE15" i="21"/>
  <c r="HD15" i="21"/>
  <c r="HC15" i="21"/>
  <c r="HB15" i="21"/>
  <c r="HA15" i="21"/>
  <c r="GZ15" i="21"/>
  <c r="GY15" i="21"/>
  <c r="GX15" i="21"/>
  <c r="GW15" i="21"/>
  <c r="GV15" i="21"/>
  <c r="GU15" i="21"/>
  <c r="GT15" i="21"/>
  <c r="GS15" i="21"/>
  <c r="GR15" i="21"/>
  <c r="GQ15" i="21"/>
  <c r="GP15" i="21"/>
  <c r="GO15" i="21"/>
  <c r="GN15" i="21"/>
  <c r="GM15" i="21"/>
  <c r="GL15" i="21"/>
  <c r="GK15" i="21"/>
  <c r="GJ15" i="21"/>
  <c r="GI15" i="21"/>
  <c r="GH15" i="21"/>
  <c r="GG15" i="21"/>
  <c r="GF15" i="21"/>
  <c r="GE15" i="21"/>
  <c r="GD15" i="21"/>
  <c r="GC15" i="21"/>
  <c r="GB15" i="21"/>
  <c r="GA15" i="21"/>
  <c r="FZ15" i="21"/>
  <c r="FY15" i="21"/>
  <c r="FX15" i="21"/>
  <c r="FW15" i="21"/>
  <c r="FV15" i="21"/>
  <c r="FU15" i="21"/>
  <c r="FT15" i="21"/>
  <c r="FS15" i="21"/>
  <c r="FR15" i="21"/>
  <c r="FQ15" i="21"/>
  <c r="FP15" i="21"/>
  <c r="FO15" i="21"/>
  <c r="FN15" i="21"/>
  <c r="FM15" i="21"/>
  <c r="FL15" i="21"/>
  <c r="FK15" i="21"/>
  <c r="FJ15" i="21"/>
  <c r="FI15" i="21"/>
  <c r="FH15" i="21"/>
  <c r="FG15" i="21"/>
  <c r="FF15" i="21"/>
  <c r="FE15" i="21"/>
  <c r="FD15" i="21"/>
  <c r="FC15" i="21"/>
  <c r="FB15" i="21"/>
  <c r="FA15" i="21"/>
  <c r="EZ15" i="21"/>
  <c r="EY15" i="21"/>
  <c r="EX15" i="21"/>
  <c r="EW15" i="21"/>
  <c r="EV15" i="21"/>
  <c r="EU15" i="21"/>
  <c r="ET15" i="21"/>
  <c r="ES15" i="21"/>
  <c r="ER15" i="21"/>
  <c r="EQ15" i="21"/>
  <c r="EP15" i="21"/>
  <c r="EO15" i="21"/>
  <c r="EN15" i="21"/>
  <c r="EM15" i="21"/>
  <c r="EL15" i="21"/>
  <c r="EK15" i="21"/>
  <c r="EJ15" i="21"/>
  <c r="EI15" i="21"/>
  <c r="EH15" i="21"/>
  <c r="EG15" i="21"/>
  <c r="EF15" i="21"/>
  <c r="EE15" i="21"/>
  <c r="ED15" i="21"/>
  <c r="EC15" i="21"/>
  <c r="EB15" i="21"/>
  <c r="EA15" i="21"/>
  <c r="DZ15" i="21"/>
  <c r="DY15" i="21"/>
  <c r="DX15" i="21"/>
  <c r="DW15" i="21"/>
  <c r="DV15" i="21"/>
  <c r="DU15" i="21"/>
  <c r="DT15" i="21"/>
  <c r="DS15" i="21"/>
  <c r="DR15" i="21"/>
  <c r="DQ15" i="21"/>
  <c r="DP15" i="21"/>
  <c r="DO15" i="21"/>
  <c r="DN15" i="21"/>
  <c r="DM15" i="21"/>
  <c r="DL15" i="21"/>
  <c r="DK15" i="21"/>
  <c r="DJ15" i="21"/>
  <c r="DI15" i="21"/>
  <c r="DH15" i="21"/>
  <c r="DG15" i="21"/>
  <c r="DF15" i="21"/>
  <c r="DE15" i="21"/>
  <c r="DD15" i="21"/>
  <c r="DC15" i="21"/>
  <c r="DB15" i="21"/>
  <c r="DA15" i="21"/>
  <c r="CZ15" i="21"/>
  <c r="CY15" i="21"/>
  <c r="CX15" i="21"/>
  <c r="CW15" i="21"/>
  <c r="CV15" i="21"/>
  <c r="CU15" i="21"/>
  <c r="CT15" i="21"/>
  <c r="CS15" i="21"/>
  <c r="CR15" i="21"/>
  <c r="CQ15" i="21"/>
  <c r="CP15" i="21"/>
  <c r="CO15" i="21"/>
  <c r="CN15" i="21"/>
  <c r="CM15" i="21"/>
  <c r="CL15" i="21"/>
  <c r="CK15" i="21"/>
  <c r="CJ15" i="21"/>
  <c r="CI15" i="21"/>
  <c r="CH15" i="21"/>
  <c r="CG15" i="21"/>
  <c r="CF15" i="21"/>
  <c r="CE15" i="21"/>
  <c r="CD15" i="21"/>
  <c r="CC15" i="21"/>
  <c r="CB15" i="21"/>
  <c r="CA15" i="21"/>
  <c r="BZ15" i="21"/>
  <c r="BY15" i="21"/>
  <c r="BX15" i="21"/>
  <c r="BW15" i="21"/>
  <c r="BV15" i="21"/>
  <c r="BU15" i="21"/>
  <c r="BT15" i="21"/>
  <c r="BS15" i="21"/>
  <c r="BR15" i="21"/>
  <c r="BQ15" i="21"/>
  <c r="BP15" i="21"/>
  <c r="BO15" i="21"/>
  <c r="BN15" i="21"/>
  <c r="BM15" i="21"/>
  <c r="BL15" i="21"/>
  <c r="BK15" i="21"/>
  <c r="BJ15" i="21"/>
  <c r="BI15" i="21"/>
  <c r="BH15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C26" i="9"/>
  <c r="D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E26" i="9"/>
  <c r="D21" i="9"/>
  <c r="B22" i="9"/>
  <c r="D22" i="9"/>
  <c r="D23" i="9"/>
  <c r="D24" i="9"/>
  <c r="C15" i="9"/>
  <c r="C13" i="9"/>
  <c r="E9" i="9"/>
  <c r="E10" i="9"/>
  <c r="E11" i="9"/>
  <c r="D9" i="9"/>
  <c r="D10" i="9"/>
  <c r="D11" i="9"/>
  <c r="C9" i="9"/>
  <c r="C10" i="9"/>
  <c r="E6" i="9"/>
  <c r="D6" i="9"/>
  <c r="E5" i="9"/>
  <c r="D5" i="9"/>
  <c r="E4" i="9"/>
  <c r="D4" i="9"/>
  <c r="E3" i="9"/>
  <c r="D3" i="9"/>
  <c r="E2" i="9"/>
  <c r="D2" i="9"/>
  <c r="K36" i="7"/>
  <c r="K43" i="7" s="1"/>
  <c r="J36" i="7"/>
  <c r="J37" i="7" s="1"/>
  <c r="I36" i="7"/>
  <c r="I37" i="7" s="1"/>
  <c r="G29" i="7"/>
  <c r="F29" i="7"/>
  <c r="E5" i="7"/>
  <c r="D128" i="1"/>
  <c r="D129" i="1"/>
  <c r="D130" i="1"/>
  <c r="E128" i="1"/>
  <c r="E129" i="1"/>
  <c r="E130" i="1"/>
  <c r="C130" i="1"/>
  <c r="C108" i="1"/>
  <c r="C90" i="1"/>
  <c r="C87" i="1"/>
  <c r="B37" i="1"/>
  <c r="B36" i="1"/>
  <c r="C6" i="1"/>
  <c r="E6" i="1"/>
  <c r="F4" i="1"/>
  <c r="E25" i="4"/>
  <c r="F25" i="4" s="1"/>
  <c r="G25" i="4" s="1"/>
  <c r="H25" i="4" s="1"/>
  <c r="I25" i="4" s="1"/>
  <c r="J25" i="4" s="1"/>
  <c r="K25" i="4" s="1"/>
  <c r="L25" i="4" s="1"/>
  <c r="M25" i="4" s="1"/>
  <c r="N25" i="4" s="1"/>
  <c r="O25" i="4" s="1"/>
  <c r="D1" i="4"/>
  <c r="D2" i="4"/>
  <c r="E1" i="4" s="1"/>
  <c r="E2" i="4" s="1"/>
  <c r="F1" i="4" s="1"/>
  <c r="F2" i="4" s="1"/>
  <c r="G1" i="4" s="1"/>
  <c r="G2" i="4" s="1"/>
  <c r="H1" i="4" s="1"/>
  <c r="H2" i="4" s="1"/>
  <c r="I1" i="4" s="1"/>
  <c r="I2" i="4" s="1"/>
  <c r="J1" i="4" s="1"/>
  <c r="J2" i="4" s="1"/>
  <c r="K1" i="4" s="1"/>
  <c r="K2" i="4" s="1"/>
  <c r="L1" i="4" s="1"/>
  <c r="L2" i="4" s="1"/>
  <c r="M1" i="4" s="1"/>
  <c r="M2" i="4" s="1"/>
  <c r="N1" i="4" s="1"/>
  <c r="N2" i="4" s="1"/>
  <c r="O1" i="4" s="1"/>
  <c r="O2" i="4" s="1"/>
  <c r="P1" i="4" s="1"/>
  <c r="P2" i="4" s="1"/>
  <c r="Q1" i="4" s="1"/>
  <c r="Q2" i="4" s="1"/>
  <c r="R1" i="4" s="1"/>
  <c r="R2" i="4" s="1"/>
  <c r="S1" i="4" s="1"/>
  <c r="S2" i="4" s="1"/>
  <c r="T1" i="4" s="1"/>
  <c r="T2" i="4" s="1"/>
  <c r="U1" i="4" s="1"/>
  <c r="U2" i="4" s="1"/>
  <c r="V1" i="4" s="1"/>
  <c r="V2" i="4" s="1"/>
  <c r="W1" i="4" s="1"/>
  <c r="W2" i="4" s="1"/>
  <c r="X1" i="4" s="1"/>
  <c r="X2" i="4" s="1"/>
  <c r="Y1" i="4" s="1"/>
  <c r="Y2" i="4" s="1"/>
  <c r="Z1" i="4" s="1"/>
  <c r="Z2" i="4" s="1"/>
  <c r="AE82" i="2"/>
  <c r="K143" i="2"/>
  <c r="K45" i="2"/>
  <c r="K56" i="2"/>
  <c r="I35" i="7"/>
  <c r="K160" i="2"/>
  <c r="F16" i="22"/>
  <c r="F18" i="22"/>
  <c r="F30" i="22"/>
  <c r="K161" i="2"/>
  <c r="K165" i="2"/>
  <c r="F19" i="22"/>
  <c r="I30" i="7"/>
  <c r="G68" i="17"/>
  <c r="G35" i="17"/>
  <c r="G37" i="17"/>
  <c r="G38" i="17"/>
  <c r="G66" i="17"/>
  <c r="G70" i="17"/>
  <c r="G72" i="17"/>
  <c r="G74" i="17"/>
  <c r="G13" i="19"/>
  <c r="G15" i="19"/>
  <c r="G25" i="19"/>
  <c r="G28" i="19"/>
  <c r="J35" i="7"/>
  <c r="L136" i="2"/>
  <c r="H28" i="19"/>
  <c r="H25" i="19"/>
  <c r="H13" i="19"/>
  <c r="H15" i="19"/>
  <c r="H35" i="17"/>
  <c r="H37" i="17"/>
  <c r="H38" i="17"/>
  <c r="H66" i="17"/>
  <c r="H68" i="17"/>
  <c r="H70" i="17"/>
  <c r="H72" i="17"/>
  <c r="H74" i="17"/>
  <c r="J30" i="7"/>
  <c r="L160" i="2"/>
  <c r="G16" i="22"/>
  <c r="G18" i="22"/>
  <c r="G19" i="22"/>
  <c r="G30" i="22"/>
  <c r="G31" i="22"/>
  <c r="L161" i="2"/>
  <c r="L165" i="2"/>
  <c r="K136" i="2"/>
  <c r="H30" i="7"/>
  <c r="K71" i="14"/>
  <c r="K74" i="14"/>
  <c r="K84" i="14"/>
  <c r="K99" i="14"/>
  <c r="K341" i="14"/>
  <c r="K343" i="14"/>
  <c r="F35" i="17"/>
  <c r="F37" i="17"/>
  <c r="F38" i="17"/>
  <c r="F66" i="17"/>
  <c r="F13" i="19"/>
  <c r="F15" i="19"/>
  <c r="F28" i="19"/>
  <c r="G30" i="7"/>
  <c r="J71" i="14"/>
  <c r="J74" i="14"/>
  <c r="J84" i="14"/>
  <c r="J99" i="14"/>
  <c r="J341" i="14"/>
  <c r="J343" i="14"/>
  <c r="E35" i="17"/>
  <c r="E37" i="17"/>
  <c r="E38" i="17"/>
  <c r="E66" i="17"/>
  <c r="E13" i="19"/>
  <c r="E15" i="19"/>
  <c r="E28" i="19"/>
  <c r="I97" i="2"/>
  <c r="J97" i="2"/>
  <c r="H97" i="2"/>
  <c r="F30" i="7"/>
  <c r="J200" i="14"/>
  <c r="J206" i="14"/>
  <c r="J331" i="14"/>
  <c r="K200" i="14"/>
  <c r="K206" i="14"/>
  <c r="K331" i="14"/>
  <c r="J329" i="14"/>
  <c r="J339" i="14"/>
  <c r="K329" i="14"/>
  <c r="K339" i="14"/>
  <c r="J209" i="14"/>
  <c r="K209" i="14"/>
  <c r="J485" i="14"/>
  <c r="K485" i="14"/>
  <c r="D35" i="17"/>
  <c r="D37" i="17"/>
  <c r="D38" i="17"/>
  <c r="D66" i="17"/>
  <c r="D57" i="18"/>
  <c r="D68" i="18"/>
  <c r="D69" i="18"/>
  <c r="E57" i="18"/>
  <c r="E68" i="18"/>
  <c r="E69" i="18"/>
  <c r="F57" i="18"/>
  <c r="F68" i="18"/>
  <c r="F69" i="18"/>
  <c r="G57" i="18"/>
  <c r="G68" i="18"/>
  <c r="G69" i="18"/>
  <c r="H57" i="18"/>
  <c r="H68" i="18"/>
  <c r="H69" i="18"/>
  <c r="D13" i="19"/>
  <c r="D15" i="19"/>
  <c r="D28" i="19"/>
  <c r="K97" i="2"/>
  <c r="L97" i="2"/>
  <c r="L140" i="2"/>
  <c r="L131" i="2"/>
  <c r="H72" i="18"/>
  <c r="H112" i="18"/>
  <c r="H158" i="18"/>
  <c r="H162" i="18"/>
  <c r="K131" i="2"/>
  <c r="K140" i="2"/>
  <c r="G72" i="18"/>
  <c r="G112" i="18"/>
  <c r="G158" i="18"/>
  <c r="G162" i="18"/>
  <c r="L141" i="2"/>
  <c r="L139" i="2"/>
  <c r="H10" i="19"/>
  <c r="H12" i="19"/>
  <c r="H36" i="18"/>
  <c r="L144" i="2"/>
  <c r="L137" i="2"/>
  <c r="L143" i="2"/>
  <c r="K137" i="2"/>
  <c r="K144" i="2"/>
  <c r="G36" i="18"/>
  <c r="G10" i="19"/>
  <c r="G12" i="19"/>
  <c r="K139" i="2"/>
  <c r="K141" i="2"/>
  <c r="L132" i="2"/>
  <c r="K132" i="2"/>
  <c r="J131" i="2"/>
  <c r="J140" i="2"/>
  <c r="F72" i="18"/>
  <c r="F112" i="18"/>
  <c r="F158" i="18"/>
  <c r="F162" i="18"/>
  <c r="K224" i="14"/>
  <c r="K429" i="14"/>
  <c r="K431" i="14"/>
  <c r="K473" i="14"/>
  <c r="K480" i="14"/>
  <c r="K489" i="14"/>
  <c r="K491" i="14"/>
  <c r="K482" i="14"/>
  <c r="K487" i="14"/>
  <c r="K270" i="14"/>
  <c r="K432" i="14"/>
  <c r="K433" i="14"/>
  <c r="K316" i="14"/>
  <c r="K373" i="14"/>
  <c r="K358" i="14"/>
  <c r="K355" i="14"/>
  <c r="K351" i="14"/>
  <c r="K347" i="14"/>
  <c r="K345" i="14"/>
  <c r="K336" i="14"/>
  <c r="K333" i="14"/>
  <c r="K334" i="14"/>
  <c r="K332" i="14"/>
  <c r="K318" i="14"/>
  <c r="J137" i="2"/>
  <c r="J144" i="2"/>
  <c r="J143" i="2"/>
  <c r="K170" i="14"/>
  <c r="F36" i="18"/>
  <c r="F10" i="19"/>
  <c r="F12" i="19"/>
  <c r="J139" i="2"/>
  <c r="J141" i="2"/>
  <c r="J132" i="2"/>
  <c r="J224" i="14"/>
  <c r="J270" i="14"/>
  <c r="J316" i="14"/>
  <c r="J318" i="14"/>
  <c r="J332" i="14"/>
  <c r="J333" i="14"/>
  <c r="J334" i="14"/>
  <c r="J336" i="14"/>
  <c r="J345" i="14"/>
  <c r="J347" i="14"/>
  <c r="J351" i="14"/>
  <c r="J355" i="14"/>
  <c r="J358" i="14"/>
  <c r="J373" i="14"/>
  <c r="J432" i="14"/>
  <c r="J429" i="14"/>
  <c r="J431" i="14"/>
  <c r="J433" i="14"/>
  <c r="J473" i="14"/>
  <c r="J482" i="14"/>
  <c r="J480" i="14"/>
  <c r="J487" i="14"/>
  <c r="J489" i="14"/>
  <c r="J491" i="14"/>
  <c r="J561" i="14"/>
  <c r="J563" i="14"/>
  <c r="J535" i="14"/>
  <c r="J539" i="14"/>
  <c r="K561" i="14"/>
  <c r="K563" i="14"/>
  <c r="K535" i="14"/>
  <c r="K539" i="14"/>
  <c r="E72" i="18"/>
  <c r="E112" i="18"/>
  <c r="E158" i="18"/>
  <c r="E162" i="18"/>
  <c r="I140" i="2"/>
  <c r="I131" i="2"/>
  <c r="I57" i="18"/>
  <c r="I68" i="18"/>
  <c r="I69" i="18"/>
  <c r="M97" i="2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E10" i="19"/>
  <c r="E12" i="19"/>
  <c r="E36" i="18"/>
  <c r="J170" i="14"/>
  <c r="J508" i="14"/>
  <c r="K508" i="14"/>
  <c r="I137" i="2"/>
  <c r="I139" i="2"/>
  <c r="I141" i="2"/>
  <c r="I143" i="2"/>
  <c r="I144" i="2"/>
  <c r="I132" i="2"/>
  <c r="I138" i="2"/>
  <c r="J138" i="2"/>
  <c r="K138" i="2"/>
  <c r="L138" i="2"/>
  <c r="D72" i="18"/>
  <c r="D112" i="18"/>
  <c r="D158" i="18"/>
  <c r="D162" i="18"/>
  <c r="H131" i="2"/>
  <c r="H140" i="2"/>
  <c r="D10" i="19"/>
  <c r="D12" i="19"/>
  <c r="D36" i="18"/>
  <c r="H132" i="2"/>
  <c r="H137" i="2"/>
  <c r="H138" i="2"/>
  <c r="H139" i="2"/>
  <c r="H141" i="2"/>
  <c r="H143" i="2"/>
  <c r="H144" i="2"/>
  <c r="I13" i="19"/>
  <c r="I15" i="19"/>
  <c r="K35" i="7"/>
  <c r="K37" i="7"/>
  <c r="I25" i="19"/>
  <c r="I28" i="19"/>
  <c r="K30" i="7"/>
  <c r="M33" i="2"/>
  <c r="M136" i="2"/>
  <c r="M160" i="2"/>
  <c r="M161" i="2"/>
  <c r="M165" i="2"/>
  <c r="I35" i="17"/>
  <c r="I37" i="17"/>
  <c r="I38" i="17"/>
  <c r="I66" i="17"/>
  <c r="I68" i="17"/>
  <c r="I70" i="17"/>
  <c r="I72" i="17"/>
  <c r="I74" i="17"/>
  <c r="H16" i="22"/>
  <c r="H18" i="22"/>
  <c r="H19" i="22"/>
  <c r="H30" i="22"/>
  <c r="H31" i="22"/>
  <c r="I72" i="18"/>
  <c r="I112" i="18"/>
  <c r="I158" i="18"/>
  <c r="I162" i="18"/>
  <c r="M131" i="2"/>
  <c r="M140" i="2"/>
  <c r="I10" i="19"/>
  <c r="I12" i="19"/>
  <c r="I36" i="18"/>
  <c r="M111" i="2"/>
  <c r="M132" i="2"/>
  <c r="M137" i="2"/>
  <c r="M138" i="2"/>
  <c r="M139" i="2"/>
  <c r="M141" i="2"/>
  <c r="M143" i="2"/>
  <c r="M144" i="2"/>
  <c r="J13" i="19"/>
  <c r="K13" i="19"/>
  <c r="L13" i="19"/>
  <c r="M13" i="19"/>
  <c r="N13" i="19"/>
  <c r="O13" i="19"/>
  <c r="P13" i="19"/>
  <c r="J15" i="19"/>
  <c r="K15" i="19"/>
  <c r="L15" i="19"/>
  <c r="M15" i="19"/>
  <c r="N15" i="19"/>
  <c r="O15" i="19"/>
  <c r="P15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E23" i="21"/>
  <c r="F20" i="21"/>
  <c r="F23" i="21"/>
  <c r="G20" i="21"/>
  <c r="G23" i="21"/>
  <c r="H20" i="21"/>
  <c r="H23" i="21"/>
  <c r="I20" i="21"/>
  <c r="I23" i="21"/>
  <c r="J20" i="21"/>
  <c r="J23" i="21"/>
  <c r="K20" i="21"/>
  <c r="K23" i="21"/>
  <c r="L20" i="21"/>
  <c r="L23" i="21"/>
  <c r="M20" i="21"/>
  <c r="M23" i="21"/>
  <c r="N20" i="21"/>
  <c r="N23" i="21"/>
  <c r="O20" i="21"/>
  <c r="O23" i="21"/>
  <c r="P20" i="21"/>
  <c r="P23" i="21"/>
  <c r="Q20" i="21"/>
  <c r="Q23" i="21"/>
  <c r="R20" i="21"/>
  <c r="R23" i="21"/>
  <c r="S20" i="21"/>
  <c r="S23" i="21"/>
  <c r="T23" i="21"/>
  <c r="U23" i="21"/>
  <c r="V23" i="21"/>
  <c r="W23" i="21"/>
  <c r="X23" i="21"/>
  <c r="Y23" i="21"/>
  <c r="Z23" i="21"/>
  <c r="AA23" i="21"/>
  <c r="AB23" i="21"/>
  <c r="AC23" i="21"/>
  <c r="AD23" i="21"/>
  <c r="AE23" i="21"/>
  <c r="AF23" i="21"/>
  <c r="AG23" i="21"/>
  <c r="AH23" i="21"/>
  <c r="AI23" i="21"/>
  <c r="AJ23" i="21"/>
  <c r="AK23" i="21"/>
  <c r="AL23" i="21"/>
  <c r="AM23" i="21"/>
  <c r="AN23" i="21"/>
  <c r="AO23" i="21"/>
  <c r="AP23" i="21"/>
  <c r="AQ23" i="21"/>
  <c r="AR23" i="21"/>
  <c r="AS23" i="21"/>
  <c r="AT23" i="21"/>
  <c r="AU23" i="21"/>
  <c r="AV23" i="21"/>
  <c r="AW23" i="21"/>
  <c r="AX23" i="21"/>
  <c r="AY23" i="21"/>
  <c r="AZ23" i="21"/>
  <c r="BA23" i="21"/>
  <c r="BB23" i="21"/>
  <c r="BC23" i="21"/>
  <c r="BD23" i="21"/>
  <c r="BE23" i="21"/>
  <c r="BF23" i="21"/>
  <c r="BG23" i="21"/>
  <c r="BH23" i="21"/>
  <c r="BI23" i="21"/>
  <c r="BJ23" i="21"/>
  <c r="BK23" i="21"/>
  <c r="BL23" i="21"/>
  <c r="BM23" i="21"/>
  <c r="BN23" i="21"/>
  <c r="BO23" i="21"/>
  <c r="BP23" i="21"/>
  <c r="BQ23" i="21"/>
  <c r="BR23" i="21"/>
  <c r="BS23" i="21"/>
  <c r="BT23" i="21"/>
  <c r="BU23" i="21"/>
  <c r="BV23" i="21"/>
  <c r="BW19" i="21"/>
  <c r="BW23" i="21"/>
  <c r="E87" i="21"/>
  <c r="E91" i="21"/>
  <c r="B24" i="21"/>
  <c r="B109" i="1"/>
  <c r="A24" i="21"/>
  <c r="D27" i="21"/>
  <c r="E27" i="21"/>
  <c r="F27" i="21"/>
  <c r="G27" i="21"/>
  <c r="H27" i="21"/>
  <c r="I27" i="21"/>
  <c r="D30" i="21"/>
  <c r="E30" i="21"/>
  <c r="F30" i="21"/>
  <c r="G30" i="21"/>
  <c r="H30" i="21"/>
  <c r="I30" i="21"/>
  <c r="J30" i="21"/>
  <c r="K30" i="21"/>
  <c r="L30" i="21"/>
  <c r="M30" i="21"/>
  <c r="N30" i="21"/>
  <c r="O30" i="21"/>
  <c r="P30" i="21"/>
  <c r="Q30" i="21"/>
  <c r="R30" i="21"/>
  <c r="S30" i="21"/>
  <c r="T30" i="21"/>
  <c r="U30" i="21"/>
  <c r="V30" i="21"/>
  <c r="W30" i="21"/>
  <c r="X30" i="21"/>
  <c r="Y30" i="21"/>
  <c r="Z30" i="21"/>
  <c r="D34" i="21"/>
  <c r="E34" i="21"/>
  <c r="E37" i="21"/>
  <c r="F37" i="21"/>
  <c r="G37" i="21"/>
  <c r="H37" i="21"/>
  <c r="I62" i="2"/>
  <c r="E48" i="21"/>
  <c r="F48" i="21"/>
  <c r="G48" i="21"/>
  <c r="H48" i="21"/>
  <c r="G49" i="21"/>
  <c r="H49" i="21"/>
  <c r="E51" i="21"/>
  <c r="F51" i="21"/>
  <c r="G51" i="21"/>
  <c r="H51" i="21"/>
  <c r="I78" i="23"/>
  <c r="I37" i="21"/>
  <c r="I48" i="21"/>
  <c r="I51" i="21"/>
  <c r="I49" i="21"/>
  <c r="AA30" i="21"/>
  <c r="D37" i="21"/>
  <c r="D48" i="21"/>
  <c r="D51" i="21"/>
  <c r="F20" i="2"/>
  <c r="G20" i="2"/>
  <c r="I71" i="14"/>
  <c r="F36" i="23"/>
  <c r="G36" i="23"/>
  <c r="R15" i="26" l="1"/>
  <c r="I15" i="26"/>
  <c r="D15" i="26"/>
  <c r="T15" i="26"/>
  <c r="P15" i="26"/>
  <c r="H15" i="26"/>
  <c r="F30" i="4"/>
  <c r="W10" i="3"/>
  <c r="X10" i="3"/>
  <c r="V10" i="3"/>
  <c r="U10" i="3"/>
  <c r="D15" i="4"/>
  <c r="D17" i="4"/>
  <c r="F7" i="4"/>
  <c r="G7" i="4" s="1"/>
  <c r="H7" i="4" s="1"/>
  <c r="I7" i="4" s="1"/>
  <c r="H15" i="4" s="1"/>
  <c r="E9" i="4"/>
  <c r="D11" i="4"/>
  <c r="J7" i="4"/>
  <c r="D20" i="4"/>
  <c r="D22" i="4" s="1"/>
  <c r="D24" i="4" s="1"/>
  <c r="F17" i="4"/>
  <c r="D25" i="26"/>
  <c r="K90" i="23"/>
  <c r="M90" i="23"/>
  <c r="E127" i="23"/>
  <c r="J156" i="23"/>
  <c r="K179" i="23"/>
  <c r="O180" i="23"/>
  <c r="I16" i="29"/>
  <c r="I23" i="29"/>
  <c r="J11" i="23"/>
  <c r="F14" i="31"/>
  <c r="D23" i="29"/>
  <c r="I11" i="29"/>
  <c r="G21" i="29"/>
  <c r="K11" i="23"/>
  <c r="J23" i="29"/>
  <c r="M11" i="23"/>
  <c r="M33" i="23" s="1"/>
  <c r="M51" i="23" s="1"/>
  <c r="I11" i="23"/>
  <c r="J22" i="3"/>
  <c r="G48" i="3"/>
  <c r="C44" i="3"/>
  <c r="C48" i="3" s="1"/>
  <c r="C49" i="3" s="1"/>
  <c r="C45" i="3"/>
  <c r="E34" i="3"/>
  <c r="D6" i="3"/>
  <c r="D28" i="3"/>
  <c r="I16" i="14"/>
  <c r="I19" i="14" s="1"/>
  <c r="I57" i="3"/>
  <c r="H44" i="3"/>
  <c r="H45" i="3"/>
  <c r="H48" i="3"/>
  <c r="C14" i="3"/>
  <c r="C23" i="3" s="1"/>
  <c r="C26" i="3"/>
  <c r="C27" i="3" s="1"/>
  <c r="C7" i="3"/>
  <c r="C8" i="3" s="1"/>
  <c r="C10" i="3" s="1"/>
  <c r="C85" i="3"/>
  <c r="K19" i="3"/>
  <c r="K18" i="3"/>
  <c r="K22" i="3" s="1"/>
  <c r="N16" i="3"/>
  <c r="M17" i="3"/>
  <c r="F51" i="3"/>
  <c r="D53" i="3"/>
  <c r="J31" i="3"/>
  <c r="H19" i="3"/>
  <c r="H22" i="3" s="1"/>
  <c r="G19" i="3"/>
  <c r="G22" i="3" s="1"/>
  <c r="F19" i="3"/>
  <c r="F22" i="3" s="1"/>
  <c r="H57" i="3"/>
  <c r="F45" i="3"/>
  <c r="F48" i="3" s="1"/>
  <c r="J45" i="3"/>
  <c r="J48" i="3" s="1"/>
  <c r="G151" i="2"/>
  <c r="L25" i="3"/>
  <c r="M25" i="3" s="1"/>
  <c r="N25" i="3" s="1"/>
  <c r="O25" i="3" s="1"/>
  <c r="L18" i="3"/>
  <c r="L19" i="3"/>
  <c r="L22" i="3" s="1"/>
  <c r="K45" i="3"/>
  <c r="K48" i="3" s="1"/>
  <c r="K44" i="3"/>
  <c r="M42" i="3"/>
  <c r="L43" i="3"/>
  <c r="F1" i="3"/>
  <c r="E1" i="3"/>
  <c r="E4" i="3" s="1"/>
  <c r="AE149" i="2"/>
  <c r="AE165" i="23"/>
  <c r="G1" i="23"/>
  <c r="F1" i="23"/>
  <c r="AA90" i="23"/>
  <c r="G11" i="29"/>
  <c r="H21" i="29"/>
  <c r="F21" i="29"/>
  <c r="J43" i="7"/>
  <c r="H5" i="7"/>
  <c r="U90" i="23"/>
  <c r="Y90" i="23"/>
  <c r="AC90" i="23"/>
  <c r="H179" i="23"/>
  <c r="L179" i="23"/>
  <c r="R180" i="23"/>
  <c r="W180" i="23"/>
  <c r="X180" i="23"/>
  <c r="AB180" i="23"/>
  <c r="G23" i="29"/>
  <c r="E23" i="29"/>
  <c r="I22" i="23"/>
  <c r="F16" i="29"/>
  <c r="I21" i="29"/>
  <c r="D33" i="23"/>
  <c r="D34" i="23" s="1"/>
  <c r="D151" i="23" s="1"/>
  <c r="H147" i="23"/>
  <c r="H157" i="23" s="1"/>
  <c r="K147" i="23"/>
  <c r="K157" i="23" s="1"/>
  <c r="H33" i="23"/>
  <c r="H34" i="23" s="1"/>
  <c r="H38" i="23" s="1"/>
  <c r="H41" i="23" s="1"/>
  <c r="J11" i="29"/>
  <c r="F11" i="29"/>
  <c r="F23" i="29"/>
  <c r="F13" i="31"/>
  <c r="B30" i="23"/>
  <c r="M22" i="23"/>
  <c r="P19" i="23"/>
  <c r="G11" i="31" s="1"/>
  <c r="F8" i="31"/>
  <c r="P12" i="23"/>
  <c r="G8" i="31" s="1"/>
  <c r="J90" i="23"/>
  <c r="N90" i="23"/>
  <c r="C33" i="23"/>
  <c r="C34" i="23" s="1"/>
  <c r="C131" i="23"/>
  <c r="C160" i="23" s="1"/>
  <c r="N180" i="23"/>
  <c r="D42" i="29"/>
  <c r="H11" i="29"/>
  <c r="E21" i="29"/>
  <c r="J21" i="29"/>
  <c r="M6" i="23"/>
  <c r="K6" i="23"/>
  <c r="B26" i="23"/>
  <c r="G4" i="31"/>
  <c r="I43" i="7"/>
  <c r="I45" i="7" s="1"/>
  <c r="I46" i="7" s="1"/>
  <c r="AE90" i="23"/>
  <c r="C154" i="23"/>
  <c r="I179" i="23"/>
  <c r="M179" i="23"/>
  <c r="E11" i="29"/>
  <c r="H16" i="29"/>
  <c r="K6" i="7"/>
  <c r="G5" i="7"/>
  <c r="L90" i="23"/>
  <c r="T90" i="23"/>
  <c r="C127" i="23"/>
  <c r="D131" i="23"/>
  <c r="J179" i="23"/>
  <c r="I33" i="23"/>
  <c r="I51" i="23" s="1"/>
  <c r="G16" i="29"/>
  <c r="B24" i="23"/>
  <c r="K22" i="23"/>
  <c r="K33" i="23" s="1"/>
  <c r="K51" i="23" s="1"/>
  <c r="K45" i="7"/>
  <c r="K46" i="7" s="1"/>
  <c r="L109" i="23"/>
  <c r="K113" i="23"/>
  <c r="K127" i="23"/>
  <c r="K148" i="23" s="1"/>
  <c r="Q108" i="23"/>
  <c r="I39" i="7"/>
  <c r="H1" i="23"/>
  <c r="H87" i="23" s="1"/>
  <c r="H90" i="23" s="1"/>
  <c r="I1" i="23"/>
  <c r="J1" i="23" s="1"/>
  <c r="K1" i="23" s="1"/>
  <c r="L1" i="23" s="1"/>
  <c r="M1" i="23" s="1"/>
  <c r="N1" i="23" s="1"/>
  <c r="O1" i="23" s="1"/>
  <c r="P1" i="23" s="1"/>
  <c r="Q1" i="23" s="1"/>
  <c r="R1" i="23" s="1"/>
  <c r="S1" i="23" s="1"/>
  <c r="T1" i="23" s="1"/>
  <c r="U1" i="23" s="1"/>
  <c r="V1" i="23" s="1"/>
  <c r="W1" i="23" s="1"/>
  <c r="X1" i="23" s="1"/>
  <c r="Y1" i="23" s="1"/>
  <c r="Z1" i="23" s="1"/>
  <c r="AA1" i="23" s="1"/>
  <c r="AB1" i="23" s="1"/>
  <c r="AC1" i="23" s="1"/>
  <c r="AD1" i="23" s="1"/>
  <c r="AE1" i="23" s="1"/>
  <c r="D41" i="23"/>
  <c r="D43" i="23" s="1"/>
  <c r="D45" i="23" s="1"/>
  <c r="E41" i="23"/>
  <c r="E43" i="23" s="1"/>
  <c r="E34" i="23"/>
  <c r="E151" i="23" s="1"/>
  <c r="D155" i="23"/>
  <c r="D127" i="23"/>
  <c r="D154" i="23"/>
  <c r="I108" i="23"/>
  <c r="H113" i="23"/>
  <c r="N132" i="23"/>
  <c r="O132" i="23" s="1"/>
  <c r="P132" i="23" s="1"/>
  <c r="Q132" i="23" s="1"/>
  <c r="R132" i="23" s="1"/>
  <c r="S132" i="23" s="1"/>
  <c r="T132" i="23" s="1"/>
  <c r="U132" i="23" s="1"/>
  <c r="V132" i="23" s="1"/>
  <c r="W132" i="23" s="1"/>
  <c r="X132" i="23" s="1"/>
  <c r="Y132" i="23" s="1"/>
  <c r="Z132" i="23" s="1"/>
  <c r="AA132" i="23" s="1"/>
  <c r="AB132" i="23" s="1"/>
  <c r="AC132" i="23" s="1"/>
  <c r="AD132" i="23" s="1"/>
  <c r="AE132" i="23" s="1"/>
  <c r="M147" i="23"/>
  <c r="M157" i="23" s="1"/>
  <c r="L160" i="23"/>
  <c r="L147" i="23"/>
  <c r="L157" i="23" s="1"/>
  <c r="H127" i="23"/>
  <c r="H148" i="23" s="1"/>
  <c r="E154" i="23"/>
  <c r="E156" i="23"/>
  <c r="E147" i="23"/>
  <c r="E157" i="23" s="1"/>
  <c r="I147" i="23"/>
  <c r="I157" i="23" s="1"/>
  <c r="I156" i="23"/>
  <c r="O129" i="23"/>
  <c r="L3" i="7"/>
  <c r="G15" i="31"/>
  <c r="Q27" i="23"/>
  <c r="H15" i="31" s="1"/>
  <c r="F26" i="31"/>
  <c r="P48" i="23"/>
  <c r="J16" i="29"/>
  <c r="J33" i="23"/>
  <c r="J34" i="23" s="1"/>
  <c r="J151" i="23" s="1"/>
  <c r="E26" i="31"/>
  <c r="D6" i="7"/>
  <c r="F15" i="31"/>
  <c r="L22" i="23"/>
  <c r="L33" i="23" s="1"/>
  <c r="L34" i="23" s="1"/>
  <c r="L174" i="23" s="1"/>
  <c r="L175" i="23" s="1"/>
  <c r="L177" i="23" s="1"/>
  <c r="L181" i="23" s="1"/>
  <c r="J22" i="23"/>
  <c r="Q12" i="23"/>
  <c r="I34" i="23"/>
  <c r="I38" i="23" s="1"/>
  <c r="I41" i="23" s="1"/>
  <c r="H174" i="23"/>
  <c r="H175" i="23" s="1"/>
  <c r="E31" i="30"/>
  <c r="E27" i="30"/>
  <c r="F31" i="30"/>
  <c r="F27" i="30"/>
  <c r="D31" i="30"/>
  <c r="D27" i="30"/>
  <c r="H39" i="7"/>
  <c r="H43" i="7"/>
  <c r="H45" i="7" s="1"/>
  <c r="K39" i="7"/>
  <c r="J45" i="7"/>
  <c r="J46" i="7" s="1"/>
  <c r="J39" i="7"/>
  <c r="C10" i="25"/>
  <c r="C47" i="26"/>
  <c r="H4" i="31"/>
  <c r="R5" i="23"/>
  <c r="Q19" i="23"/>
  <c r="Q23" i="23"/>
  <c r="F12" i="31"/>
  <c r="P29" i="23"/>
  <c r="R27" i="23"/>
  <c r="G14" i="31"/>
  <c r="Q25" i="23"/>
  <c r="J25" i="26"/>
  <c r="K25" i="26"/>
  <c r="Q11" i="1"/>
  <c r="R11" i="1" s="1"/>
  <c r="P25" i="26"/>
  <c r="S25" i="26"/>
  <c r="T25" i="26"/>
  <c r="T28" i="26" s="1"/>
  <c r="L25" i="26"/>
  <c r="O25" i="26"/>
  <c r="I25" i="26"/>
  <c r="Q25" i="26"/>
  <c r="M25" i="26"/>
  <c r="E25" i="26"/>
  <c r="R25" i="26"/>
  <c r="N25" i="26"/>
  <c r="F25" i="26"/>
  <c r="H25" i="26"/>
  <c r="C25" i="26"/>
  <c r="G25" i="26"/>
  <c r="G30" i="4" l="1"/>
  <c r="H30" i="4" s="1"/>
  <c r="F15" i="4"/>
  <c r="G15" i="4"/>
  <c r="G17" i="4"/>
  <c r="G20" i="4" s="1"/>
  <c r="G22" i="4" s="1"/>
  <c r="H64" i="3" s="1"/>
  <c r="H17" i="4"/>
  <c r="F20" i="4"/>
  <c r="F22" i="4" s="1"/>
  <c r="G64" i="3" s="1"/>
  <c r="E17" i="4"/>
  <c r="E15" i="4"/>
  <c r="D26" i="4"/>
  <c r="B13" i="1"/>
  <c r="C13" i="1" s="1"/>
  <c r="K7" i="4"/>
  <c r="I17" i="4"/>
  <c r="I15" i="4"/>
  <c r="H20" i="4"/>
  <c r="H22" i="4" s="1"/>
  <c r="E11" i="4"/>
  <c r="F65" i="3" s="1"/>
  <c r="D65" i="3" s="1"/>
  <c r="F9" i="4"/>
  <c r="C58" i="3"/>
  <c r="C55" i="3"/>
  <c r="E49" i="3"/>
  <c r="G1" i="3"/>
  <c r="F54" i="3"/>
  <c r="F32" i="3"/>
  <c r="F4" i="3"/>
  <c r="I415" i="14"/>
  <c r="I416" i="14" s="1"/>
  <c r="I580" i="14"/>
  <c r="I23" i="14"/>
  <c r="N42" i="3"/>
  <c r="M43" i="3"/>
  <c r="F28" i="3"/>
  <c r="D60" i="3"/>
  <c r="E28" i="3"/>
  <c r="E60" i="3" s="1"/>
  <c r="L48" i="3"/>
  <c r="L45" i="3"/>
  <c r="L44" i="3"/>
  <c r="G51" i="3"/>
  <c r="F6" i="3"/>
  <c r="K31" i="3"/>
  <c r="M18" i="3"/>
  <c r="M19" i="3"/>
  <c r="M22" i="3" s="1"/>
  <c r="C29" i="3"/>
  <c r="D26" i="3"/>
  <c r="D27" i="3" s="1"/>
  <c r="D7" i="3"/>
  <c r="E7" i="3" s="1"/>
  <c r="E6" i="3"/>
  <c r="E8" i="3" s="1"/>
  <c r="E85" i="3" s="1"/>
  <c r="D14" i="3"/>
  <c r="C59" i="3"/>
  <c r="P25" i="3"/>
  <c r="E53" i="3"/>
  <c r="D59" i="3"/>
  <c r="D55" i="3"/>
  <c r="O16" i="3"/>
  <c r="N17" i="3"/>
  <c r="M34" i="23"/>
  <c r="M174" i="23" s="1"/>
  <c r="M175" i="23" s="1"/>
  <c r="M177" i="23" s="1"/>
  <c r="M181" i="23" s="1"/>
  <c r="K16" i="29"/>
  <c r="L151" i="23"/>
  <c r="J174" i="23"/>
  <c r="J175" i="23" s="1"/>
  <c r="C147" i="23"/>
  <c r="C157" i="23" s="1"/>
  <c r="E148" i="23"/>
  <c r="J38" i="23"/>
  <c r="J41" i="23" s="1"/>
  <c r="L38" i="23"/>
  <c r="L41" i="23" s="1"/>
  <c r="L43" i="23" s="1"/>
  <c r="L45" i="23" s="1"/>
  <c r="L47" i="23" s="1"/>
  <c r="L61" i="23" s="1"/>
  <c r="L72" i="23" s="1"/>
  <c r="D160" i="23"/>
  <c r="D147" i="23"/>
  <c r="D157" i="23" s="1"/>
  <c r="J51" i="23"/>
  <c r="B22" i="23"/>
  <c r="Q48" i="23"/>
  <c r="G26" i="31"/>
  <c r="H154" i="23"/>
  <c r="H153" i="23"/>
  <c r="H155" i="23"/>
  <c r="H8" i="31"/>
  <c r="R12" i="23"/>
  <c r="L6" i="7"/>
  <c r="L5" i="7"/>
  <c r="I113" i="23"/>
  <c r="J108" i="23"/>
  <c r="I127" i="23"/>
  <c r="I148" i="23" s="1"/>
  <c r="K155" i="23"/>
  <c r="K154" i="23"/>
  <c r="K153" i="23"/>
  <c r="L51" i="23"/>
  <c r="M3" i="7"/>
  <c r="P129" i="23"/>
  <c r="C151" i="23"/>
  <c r="C41" i="23"/>
  <c r="C43" i="23" s="1"/>
  <c r="C45" i="23" s="1"/>
  <c r="L113" i="23"/>
  <c r="L127" i="23"/>
  <c r="L148" i="23" s="1"/>
  <c r="M109" i="23"/>
  <c r="K34" i="23"/>
  <c r="K174" i="23" s="1"/>
  <c r="K175" i="23" s="1"/>
  <c r="K177" i="23" s="1"/>
  <c r="K181" i="23" s="1"/>
  <c r="D7" i="7"/>
  <c r="F6" i="7"/>
  <c r="F7" i="7" s="1"/>
  <c r="E45" i="23"/>
  <c r="E47" i="23" s="1"/>
  <c r="E152" i="23" s="1"/>
  <c r="E49" i="23"/>
  <c r="R108" i="23"/>
  <c r="I174" i="23"/>
  <c r="I175" i="23" s="1"/>
  <c r="I151" i="23"/>
  <c r="K151" i="23"/>
  <c r="H46" i="7"/>
  <c r="J26" i="2"/>
  <c r="J160" i="2" s="1"/>
  <c r="J42" i="23"/>
  <c r="J176" i="23" s="1"/>
  <c r="C48" i="26"/>
  <c r="C46" i="26"/>
  <c r="I4" i="31"/>
  <c r="S5" i="23"/>
  <c r="H11" i="31"/>
  <c r="R19" i="23"/>
  <c r="R23" i="23"/>
  <c r="H13" i="31"/>
  <c r="G12" i="31"/>
  <c r="G16" i="31"/>
  <c r="Q29" i="23"/>
  <c r="I15" i="31"/>
  <c r="S27" i="23"/>
  <c r="H14" i="31"/>
  <c r="R25" i="23"/>
  <c r="E20" i="4" l="1"/>
  <c r="E22" i="4" s="1"/>
  <c r="I64" i="3"/>
  <c r="F11" i="4"/>
  <c r="G9" i="4"/>
  <c r="I20" i="4"/>
  <c r="I22" i="4" s="1"/>
  <c r="J15" i="4"/>
  <c r="J17" i="4"/>
  <c r="J20" i="4" s="1"/>
  <c r="J22" i="4" s="1"/>
  <c r="L7" i="4"/>
  <c r="M151" i="23"/>
  <c r="M38" i="23"/>
  <c r="M41" i="23" s="1"/>
  <c r="M43" i="23" s="1"/>
  <c r="M45" i="23" s="1"/>
  <c r="M47" i="23" s="1"/>
  <c r="L152" i="23"/>
  <c r="J177" i="23"/>
  <c r="J181" i="23" s="1"/>
  <c r="L49" i="23"/>
  <c r="L31" i="3"/>
  <c r="G28" i="3"/>
  <c r="F70" i="3"/>
  <c r="N19" i="3"/>
  <c r="N18" i="3"/>
  <c r="N22" i="3" s="1"/>
  <c r="E59" i="3"/>
  <c r="F9" i="23"/>
  <c r="F6" i="2"/>
  <c r="F7" i="3"/>
  <c r="G165" i="23"/>
  <c r="G149" i="2"/>
  <c r="F26" i="3"/>
  <c r="F27" i="3" s="1"/>
  <c r="F8" i="3"/>
  <c r="H165" i="23"/>
  <c r="H149" i="2"/>
  <c r="F14" i="3"/>
  <c r="F23" i="3" s="1"/>
  <c r="H51" i="3"/>
  <c r="I545" i="14"/>
  <c r="J25" i="14"/>
  <c r="J545" i="14"/>
  <c r="I25" i="14"/>
  <c r="I353" i="14"/>
  <c r="I345" i="14"/>
  <c r="G9" i="23"/>
  <c r="G6" i="2"/>
  <c r="I33" i="14" s="1"/>
  <c r="H1" i="3"/>
  <c r="G32" i="3"/>
  <c r="G4" i="3"/>
  <c r="G6" i="3"/>
  <c r="O17" i="3"/>
  <c r="P16" i="3"/>
  <c r="D8" i="3"/>
  <c r="E27" i="3"/>
  <c r="G14" i="23"/>
  <c r="G8" i="2"/>
  <c r="I40" i="14" s="1"/>
  <c r="M45" i="3"/>
  <c r="M44" i="3"/>
  <c r="M48" i="3"/>
  <c r="F34" i="3"/>
  <c r="F33" i="3"/>
  <c r="F52" i="3"/>
  <c r="F53" i="3" s="1"/>
  <c r="F40" i="3"/>
  <c r="F49" i="3" s="1"/>
  <c r="Q25" i="3"/>
  <c r="R25" i="3" s="1"/>
  <c r="S25" i="3" s="1"/>
  <c r="T25" i="3" s="1"/>
  <c r="U25" i="3" s="1"/>
  <c r="V25" i="3" s="1"/>
  <c r="W25" i="3" s="1"/>
  <c r="X25" i="3" s="1"/>
  <c r="Y25" i="3" s="1"/>
  <c r="Z25" i="3" s="1"/>
  <c r="AA25" i="3" s="1"/>
  <c r="E14" i="3"/>
  <c r="D23" i="3"/>
  <c r="D29" i="3" s="1"/>
  <c r="N43" i="3"/>
  <c r="O42" i="3"/>
  <c r="G54" i="3"/>
  <c r="F60" i="3"/>
  <c r="F84" i="3"/>
  <c r="F5" i="2"/>
  <c r="F17" i="2" s="1"/>
  <c r="F18" i="2" s="1"/>
  <c r="F135" i="2" s="1"/>
  <c r="F7" i="23"/>
  <c r="F33" i="23" s="1"/>
  <c r="F34" i="23" s="1"/>
  <c r="F151" i="23" s="1"/>
  <c r="K38" i="23"/>
  <c r="K41" i="23" s="1"/>
  <c r="K43" i="23" s="1"/>
  <c r="K45" i="23" s="1"/>
  <c r="K47" i="23" s="1"/>
  <c r="K61" i="23" s="1"/>
  <c r="K72" i="23" s="1"/>
  <c r="F68" i="17"/>
  <c r="F70" i="17" s="1"/>
  <c r="F72" i="17" s="1"/>
  <c r="F74" i="17" s="1"/>
  <c r="J43" i="23"/>
  <c r="C148" i="23"/>
  <c r="D148" i="23"/>
  <c r="J27" i="2"/>
  <c r="J33" i="2" s="1"/>
  <c r="E7" i="7"/>
  <c r="E8" i="7" s="1"/>
  <c r="D8" i="7"/>
  <c r="D11" i="7" s="1"/>
  <c r="L155" i="23"/>
  <c r="L154" i="23"/>
  <c r="L153" i="23"/>
  <c r="J113" i="23"/>
  <c r="J127" i="23"/>
  <c r="J148" i="23" s="1"/>
  <c r="I8" i="31"/>
  <c r="S12" i="23"/>
  <c r="Q129" i="23"/>
  <c r="N3" i="7"/>
  <c r="I153" i="23"/>
  <c r="I155" i="23"/>
  <c r="I154" i="23"/>
  <c r="K86" i="14"/>
  <c r="K89" i="14" s="1"/>
  <c r="K96" i="14" s="1"/>
  <c r="S108" i="23"/>
  <c r="G7" i="7"/>
  <c r="F8" i="7"/>
  <c r="M113" i="23"/>
  <c r="N109" i="23"/>
  <c r="M127" i="23"/>
  <c r="M148" i="23" s="1"/>
  <c r="M6" i="7"/>
  <c r="M5" i="7"/>
  <c r="H26" i="31"/>
  <c r="R48" i="23"/>
  <c r="F25" i="19"/>
  <c r="J161" i="2"/>
  <c r="J165" i="2" s="1"/>
  <c r="E16" i="22"/>
  <c r="E18" i="22" s="1"/>
  <c r="J49" i="23"/>
  <c r="K98" i="14"/>
  <c r="K504" i="14"/>
  <c r="K515" i="14" s="1"/>
  <c r="K533" i="14" s="1"/>
  <c r="K541" i="14" s="1"/>
  <c r="K544" i="14" s="1"/>
  <c r="F61" i="21"/>
  <c r="T5" i="23"/>
  <c r="J4" i="31"/>
  <c r="S19" i="23"/>
  <c r="I11" i="31"/>
  <c r="I13" i="31"/>
  <c r="S23" i="23"/>
  <c r="H12" i="31"/>
  <c r="H16" i="31"/>
  <c r="R29" i="23"/>
  <c r="T27" i="23"/>
  <c r="J15" i="31"/>
  <c r="S25" i="23"/>
  <c r="I14" i="31"/>
  <c r="S11" i="1"/>
  <c r="T11" i="1" s="1"/>
  <c r="I9" i="31"/>
  <c r="I17" i="31"/>
  <c r="I10" i="31"/>
  <c r="H10" i="31"/>
  <c r="H9" i="31"/>
  <c r="H17" i="31"/>
  <c r="E24" i="4" l="1"/>
  <c r="F64" i="3"/>
  <c r="D64" i="3" s="1"/>
  <c r="M7" i="4"/>
  <c r="K17" i="4"/>
  <c r="K15" i="4"/>
  <c r="G65" i="3"/>
  <c r="F24" i="4"/>
  <c r="K64" i="3"/>
  <c r="J64" i="3"/>
  <c r="G11" i="4"/>
  <c r="H9" i="4"/>
  <c r="M49" i="23"/>
  <c r="K152" i="23"/>
  <c r="K49" i="23"/>
  <c r="F58" i="3"/>
  <c r="F82" i="3"/>
  <c r="D10" i="3"/>
  <c r="E10" i="3" s="1"/>
  <c r="D73" i="3"/>
  <c r="D85" i="3"/>
  <c r="D71" i="3" s="1"/>
  <c r="D70" i="3"/>
  <c r="F55" i="3"/>
  <c r="F78" i="3" s="1"/>
  <c r="F59" i="3"/>
  <c r="F83" i="3"/>
  <c r="G52" i="3"/>
  <c r="G53" i="3" s="1"/>
  <c r="G33" i="3"/>
  <c r="G34" i="3" s="1"/>
  <c r="G40" i="3"/>
  <c r="G49" i="3" s="1"/>
  <c r="I51" i="3"/>
  <c r="H28" i="3"/>
  <c r="O43" i="3"/>
  <c r="P42" i="3"/>
  <c r="O18" i="3"/>
  <c r="O22" i="3" s="1"/>
  <c r="O19" i="3"/>
  <c r="I1" i="3"/>
  <c r="H4" i="3"/>
  <c r="H6" i="3"/>
  <c r="H32" i="3"/>
  <c r="F68" i="3"/>
  <c r="F69" i="3"/>
  <c r="F29" i="3"/>
  <c r="M31" i="3"/>
  <c r="D68" i="3"/>
  <c r="E23" i="3"/>
  <c r="E58" i="3" s="1"/>
  <c r="D58" i="3"/>
  <c r="H54" i="3"/>
  <c r="G60" i="3"/>
  <c r="D69" i="3"/>
  <c r="P17" i="3"/>
  <c r="Q16" i="3"/>
  <c r="H166" i="23"/>
  <c r="G166" i="23"/>
  <c r="G168" i="23" s="1"/>
  <c r="G150" i="2"/>
  <c r="G152" i="2" s="1"/>
  <c r="F63" i="3"/>
  <c r="F73" i="3"/>
  <c r="F87" i="3" s="1"/>
  <c r="H150" i="2"/>
  <c r="F10" i="3"/>
  <c r="N48" i="3"/>
  <c r="N44" i="3"/>
  <c r="N45" i="3"/>
  <c r="D20" i="19"/>
  <c r="F86" i="3"/>
  <c r="F72" i="3" s="1"/>
  <c r="F85" i="3"/>
  <c r="F71" i="3" s="1"/>
  <c r="F77" i="3"/>
  <c r="G7" i="3"/>
  <c r="G8" i="3" s="1"/>
  <c r="G26" i="3"/>
  <c r="G27" i="3" s="1"/>
  <c r="I165" i="23"/>
  <c r="I149" i="2"/>
  <c r="G14" i="3"/>
  <c r="G23" i="3" s="1"/>
  <c r="I572" i="14"/>
  <c r="I391" i="14"/>
  <c r="R129" i="23"/>
  <c r="O3" i="7"/>
  <c r="O109" i="23"/>
  <c r="N113" i="23"/>
  <c r="T108" i="23"/>
  <c r="M153" i="23"/>
  <c r="M155" i="23"/>
  <c r="M154" i="23"/>
  <c r="J155" i="23"/>
  <c r="J154" i="23"/>
  <c r="J153" i="23"/>
  <c r="D12" i="7"/>
  <c r="S48" i="23"/>
  <c r="I26" i="31"/>
  <c r="J8" i="31"/>
  <c r="T12" i="23"/>
  <c r="H7" i="7"/>
  <c r="G8" i="7"/>
  <c r="N6" i="7"/>
  <c r="N5" i="7"/>
  <c r="M61" i="23"/>
  <c r="M72" i="23" s="1"/>
  <c r="M152" i="23"/>
  <c r="E30" i="22"/>
  <c r="E19" i="22"/>
  <c r="J44" i="23"/>
  <c r="J45" i="23" s="1"/>
  <c r="J47" i="23" s="1"/>
  <c r="J28" i="2"/>
  <c r="J29" i="2" s="1"/>
  <c r="J31" i="2" s="1"/>
  <c r="U5" i="23"/>
  <c r="K4" i="31"/>
  <c r="J11" i="31"/>
  <c r="T19" i="23"/>
  <c r="J13" i="31"/>
  <c r="T23" i="23"/>
  <c r="I12" i="31"/>
  <c r="I16" i="31"/>
  <c r="S29" i="23"/>
  <c r="K15" i="31"/>
  <c r="U27" i="23"/>
  <c r="T25" i="23"/>
  <c r="J14" i="31"/>
  <c r="V9" i="31"/>
  <c r="W9" i="31" s="1"/>
  <c r="V17" i="31"/>
  <c r="V10" i="31"/>
  <c r="K9" i="31"/>
  <c r="K17" i="31"/>
  <c r="K10" i="31"/>
  <c r="J10" i="31"/>
  <c r="J9" i="31"/>
  <c r="J17" i="31"/>
  <c r="G10" i="31"/>
  <c r="G9" i="31"/>
  <c r="G17" i="31"/>
  <c r="F10" i="31"/>
  <c r="F17" i="31"/>
  <c r="F9" i="31"/>
  <c r="E26" i="4" l="1"/>
  <c r="D13" i="1"/>
  <c r="H65" i="3"/>
  <c r="G24" i="4"/>
  <c r="G26" i="4" s="1"/>
  <c r="K20" i="4"/>
  <c r="K22" i="4" s="1"/>
  <c r="I9" i="4"/>
  <c r="H11" i="4"/>
  <c r="F26" i="4"/>
  <c r="E13" i="1"/>
  <c r="L17" i="4"/>
  <c r="L15" i="4"/>
  <c r="N7" i="4"/>
  <c r="I166" i="23"/>
  <c r="G10" i="3"/>
  <c r="I150" i="2"/>
  <c r="E20" i="19"/>
  <c r="G63" i="3"/>
  <c r="E21" i="19" s="1"/>
  <c r="G70" i="3"/>
  <c r="G77" i="3"/>
  <c r="G79" i="3" s="1"/>
  <c r="G86" i="3"/>
  <c r="G72" i="3" s="1"/>
  <c r="G85" i="3"/>
  <c r="G71" i="3" s="1"/>
  <c r="G84" i="3"/>
  <c r="G68" i="3"/>
  <c r="D21" i="19"/>
  <c r="F74" i="3"/>
  <c r="D63" i="3"/>
  <c r="D74" i="3" s="1"/>
  <c r="I28" i="3"/>
  <c r="P19" i="3"/>
  <c r="P18" i="3"/>
  <c r="P22" i="3" s="1"/>
  <c r="I54" i="3"/>
  <c r="H60" i="3"/>
  <c r="N31" i="3"/>
  <c r="D22" i="19"/>
  <c r="J1" i="3"/>
  <c r="I6" i="3"/>
  <c r="I4" i="3"/>
  <c r="I32" i="3"/>
  <c r="P43" i="3"/>
  <c r="Q42" i="3"/>
  <c r="G55" i="3"/>
  <c r="G78" i="3" s="1"/>
  <c r="G83" i="3"/>
  <c r="G59" i="3"/>
  <c r="G69" i="3"/>
  <c r="G29" i="3"/>
  <c r="R16" i="3"/>
  <c r="Q17" i="3"/>
  <c r="F79" i="3"/>
  <c r="F88" i="3"/>
  <c r="H152" i="2"/>
  <c r="H154" i="2"/>
  <c r="G7" i="23"/>
  <c r="G5" i="2"/>
  <c r="H33" i="3"/>
  <c r="H34" i="3" s="1"/>
  <c r="H52" i="3"/>
  <c r="H53" i="3" s="1"/>
  <c r="H40" i="3"/>
  <c r="H49" i="3" s="1"/>
  <c r="O44" i="3"/>
  <c r="O48" i="3"/>
  <c r="O45" i="3"/>
  <c r="J51" i="3"/>
  <c r="H170" i="23"/>
  <c r="H168" i="23"/>
  <c r="H7" i="3"/>
  <c r="H8" i="3" s="1"/>
  <c r="J165" i="23"/>
  <c r="H26" i="3"/>
  <c r="H27" i="3" s="1"/>
  <c r="J149" i="2"/>
  <c r="H14" i="3"/>
  <c r="H23" i="3" s="1"/>
  <c r="G58" i="3"/>
  <c r="G82" i="3"/>
  <c r="K8" i="31"/>
  <c r="U12" i="23"/>
  <c r="F35" i="23"/>
  <c r="F41" i="23" s="1"/>
  <c r="F43" i="23" s="1"/>
  <c r="F19" i="2"/>
  <c r="F25" i="2" s="1"/>
  <c r="F27" i="2" s="1"/>
  <c r="P109" i="23"/>
  <c r="O113" i="23"/>
  <c r="I7" i="7"/>
  <c r="H8" i="7"/>
  <c r="J26" i="31"/>
  <c r="T48" i="23"/>
  <c r="U108" i="23"/>
  <c r="O6" i="7"/>
  <c r="O5" i="7"/>
  <c r="E11" i="7"/>
  <c r="E12" i="7" s="1"/>
  <c r="N153" i="23"/>
  <c r="N155" i="23"/>
  <c r="P3" i="7"/>
  <c r="S129" i="23"/>
  <c r="J45" i="2"/>
  <c r="J56" i="2" s="1"/>
  <c r="F46" i="21"/>
  <c r="F49" i="21" s="1"/>
  <c r="J136" i="2"/>
  <c r="F31" i="22"/>
  <c r="J152" i="23"/>
  <c r="J61" i="23"/>
  <c r="J72" i="23" s="1"/>
  <c r="V5" i="23"/>
  <c r="L4" i="31"/>
  <c r="U19" i="23"/>
  <c r="K11" i="31"/>
  <c r="K13" i="31"/>
  <c r="U23" i="23"/>
  <c r="J12" i="31"/>
  <c r="J16" i="31"/>
  <c r="T29" i="23"/>
  <c r="L15" i="31"/>
  <c r="V27" i="23"/>
  <c r="U25" i="23"/>
  <c r="K14" i="31"/>
  <c r="U11" i="1"/>
  <c r="V11" i="1" s="1"/>
  <c r="Y11" i="1" s="1"/>
  <c r="Z11" i="1" s="1"/>
  <c r="L10" i="31"/>
  <c r="L9" i="31"/>
  <c r="L17" i="31"/>
  <c r="L20" i="4" l="1"/>
  <c r="L22" i="4" s="1"/>
  <c r="M64" i="3" s="1"/>
  <c r="L64" i="3"/>
  <c r="M17" i="4"/>
  <c r="O7" i="4"/>
  <c r="M15" i="4"/>
  <c r="J9" i="4"/>
  <c r="I11" i="4"/>
  <c r="I65" i="3"/>
  <c r="H24" i="4"/>
  <c r="H26" i="4" s="1"/>
  <c r="J166" i="23"/>
  <c r="H63" i="3"/>
  <c r="F21" i="19" s="1"/>
  <c r="H10" i="3"/>
  <c r="J150" i="2"/>
  <c r="F20" i="19"/>
  <c r="H70" i="3"/>
  <c r="H85" i="3"/>
  <c r="H71" i="3" s="1"/>
  <c r="H86" i="3"/>
  <c r="H72" i="3" s="1"/>
  <c r="H77" i="3"/>
  <c r="H84" i="3"/>
  <c r="Q18" i="3"/>
  <c r="Q19" i="3"/>
  <c r="Q22" i="3"/>
  <c r="Q43" i="3"/>
  <c r="R42" i="3"/>
  <c r="O31" i="3"/>
  <c r="J28" i="3"/>
  <c r="H68" i="3"/>
  <c r="S16" i="3"/>
  <c r="R17" i="3"/>
  <c r="P44" i="3"/>
  <c r="P48" i="3" s="1"/>
  <c r="P45" i="3"/>
  <c r="K1" i="3"/>
  <c r="J4" i="3"/>
  <c r="J6" i="3"/>
  <c r="J32" i="3"/>
  <c r="I152" i="2"/>
  <c r="I154" i="2"/>
  <c r="K51" i="3"/>
  <c r="L51" i="3" s="1"/>
  <c r="M51" i="3" s="1"/>
  <c r="N51" i="3" s="1"/>
  <c r="O51" i="3" s="1"/>
  <c r="H58" i="3"/>
  <c r="H82" i="3"/>
  <c r="G17" i="2"/>
  <c r="G18" i="2" s="1"/>
  <c r="G154" i="2"/>
  <c r="I32" i="14"/>
  <c r="I33" i="3"/>
  <c r="I34" i="3"/>
  <c r="I52" i="3"/>
  <c r="I53" i="3" s="1"/>
  <c r="I40" i="3"/>
  <c r="I49" i="3" s="1"/>
  <c r="F90" i="3"/>
  <c r="H83" i="3"/>
  <c r="H55" i="3"/>
  <c r="H78" i="3" s="1"/>
  <c r="H59" i="3"/>
  <c r="I7" i="3"/>
  <c r="I8" i="3"/>
  <c r="K165" i="23"/>
  <c r="I14" i="3"/>
  <c r="I23" i="3" s="1"/>
  <c r="I68" i="3" s="1"/>
  <c r="K149" i="2"/>
  <c r="I26" i="3"/>
  <c r="I27" i="3" s="1"/>
  <c r="E22" i="19"/>
  <c r="H69" i="3"/>
  <c r="H29" i="3"/>
  <c r="G33" i="23"/>
  <c r="G34" i="23" s="1"/>
  <c r="G170" i="23"/>
  <c r="J54" i="3"/>
  <c r="I84" i="3"/>
  <c r="I60" i="3"/>
  <c r="I170" i="23"/>
  <c r="I168" i="23"/>
  <c r="U48" i="23"/>
  <c r="K26" i="31"/>
  <c r="F33" i="2"/>
  <c r="F29" i="2"/>
  <c r="F31" i="2" s="1"/>
  <c r="F136" i="2" s="1"/>
  <c r="V108" i="23"/>
  <c r="F49" i="23"/>
  <c r="F45" i="23"/>
  <c r="F47" i="23" s="1"/>
  <c r="F152" i="23" s="1"/>
  <c r="Q3" i="7"/>
  <c r="T129" i="23"/>
  <c r="F12" i="7"/>
  <c r="G35" i="23"/>
  <c r="G19" i="2"/>
  <c r="O155" i="23"/>
  <c r="O153" i="23"/>
  <c r="L8" i="31"/>
  <c r="V12" i="23"/>
  <c r="P6" i="7"/>
  <c r="P5" i="7"/>
  <c r="J7" i="7"/>
  <c r="I8" i="7"/>
  <c r="Q109" i="23"/>
  <c r="P113" i="23"/>
  <c r="W5" i="23"/>
  <c r="M4" i="31"/>
  <c r="L11" i="31"/>
  <c r="V19" i="23"/>
  <c r="L13" i="31"/>
  <c r="V23" i="23"/>
  <c r="K12" i="31"/>
  <c r="K16" i="31"/>
  <c r="U29" i="23"/>
  <c r="M15" i="31"/>
  <c r="W27" i="23"/>
  <c r="V25" i="23"/>
  <c r="L14" i="31"/>
  <c r="M9" i="31"/>
  <c r="M17" i="31"/>
  <c r="M10" i="31"/>
  <c r="J65" i="3" l="1"/>
  <c r="I24" i="4"/>
  <c r="I26" i="4" s="1"/>
  <c r="N15" i="4"/>
  <c r="N17" i="4"/>
  <c r="N20" i="4" s="1"/>
  <c r="N22" i="4" s="1"/>
  <c r="P7" i="4"/>
  <c r="J11" i="4"/>
  <c r="K9" i="4"/>
  <c r="M20" i="4"/>
  <c r="M22" i="4" s="1"/>
  <c r="K54" i="3"/>
  <c r="J60" i="3"/>
  <c r="L1" i="3"/>
  <c r="K4" i="3"/>
  <c r="K32" i="3"/>
  <c r="R19" i="3"/>
  <c r="R18" i="3"/>
  <c r="R22" i="3" s="1"/>
  <c r="Q44" i="3"/>
  <c r="Q48" i="3"/>
  <c r="Q45" i="3"/>
  <c r="J154" i="2"/>
  <c r="J152" i="2"/>
  <c r="I83" i="3"/>
  <c r="I59" i="3"/>
  <c r="I55" i="3"/>
  <c r="I78" i="3" s="1"/>
  <c r="J33" i="3"/>
  <c r="J34" i="3"/>
  <c r="J52" i="3"/>
  <c r="J53" i="3" s="1"/>
  <c r="J40" i="3"/>
  <c r="J49" i="3" s="1"/>
  <c r="T16" i="3"/>
  <c r="S17" i="3"/>
  <c r="P31" i="3"/>
  <c r="I58" i="3"/>
  <c r="I82" i="3"/>
  <c r="G22" i="19" s="1"/>
  <c r="I574" i="14"/>
  <c r="I389" i="14"/>
  <c r="I584" i="14"/>
  <c r="I447" i="14"/>
  <c r="I401" i="14"/>
  <c r="K28" i="3"/>
  <c r="G174" i="23"/>
  <c r="G175" i="23" s="1"/>
  <c r="G177" i="23" s="1"/>
  <c r="G151" i="23"/>
  <c r="H151" i="23" s="1"/>
  <c r="I69" i="3"/>
  <c r="I29" i="3"/>
  <c r="K150" i="2"/>
  <c r="K166" i="23"/>
  <c r="I63" i="3"/>
  <c r="G21" i="19" s="1"/>
  <c r="I10" i="3"/>
  <c r="G20" i="19"/>
  <c r="I86" i="3"/>
  <c r="I72" i="3" s="1"/>
  <c r="I85" i="3"/>
  <c r="I71" i="3" s="1"/>
  <c r="I77" i="3"/>
  <c r="I79" i="3" s="1"/>
  <c r="G135" i="2"/>
  <c r="H135" i="2" s="1"/>
  <c r="G158" i="2"/>
  <c r="P51" i="3"/>
  <c r="J7" i="3"/>
  <c r="J8" i="3" s="1"/>
  <c r="J14" i="3"/>
  <c r="J23" i="3" s="1"/>
  <c r="L165" i="23"/>
  <c r="J26" i="3"/>
  <c r="J27" i="3" s="1"/>
  <c r="L149" i="2"/>
  <c r="F22" i="19"/>
  <c r="I70" i="3"/>
  <c r="R43" i="3"/>
  <c r="S42" i="3"/>
  <c r="H79" i="3"/>
  <c r="J170" i="23"/>
  <c r="J168" i="23"/>
  <c r="R109" i="23"/>
  <c r="Q113" i="23"/>
  <c r="G159" i="2"/>
  <c r="G161" i="2" s="1"/>
  <c r="G162" i="2"/>
  <c r="G25" i="2"/>
  <c r="G27" i="2" s="1"/>
  <c r="I41" i="14"/>
  <c r="G153" i="2"/>
  <c r="G155" i="2" s="1"/>
  <c r="G156" i="2" s="1"/>
  <c r="U129" i="23"/>
  <c r="R3" i="7"/>
  <c r="G178" i="23"/>
  <c r="G169" i="23"/>
  <c r="G171" i="23" s="1"/>
  <c r="G172" i="23" s="1"/>
  <c r="G41" i="23"/>
  <c r="G43" i="23" s="1"/>
  <c r="Q6" i="7"/>
  <c r="Q5" i="7"/>
  <c r="J8" i="7"/>
  <c r="K7" i="7"/>
  <c r="F18" i="7"/>
  <c r="F19" i="7" s="1"/>
  <c r="G11" i="7"/>
  <c r="W108" i="23"/>
  <c r="L26" i="31"/>
  <c r="V48" i="23"/>
  <c r="P153" i="23"/>
  <c r="P155" i="23"/>
  <c r="M8" i="31"/>
  <c r="W12" i="23"/>
  <c r="X5" i="23"/>
  <c r="N4" i="31"/>
  <c r="M11" i="31"/>
  <c r="W19" i="23"/>
  <c r="M13" i="31"/>
  <c r="W23" i="23"/>
  <c r="L12" i="31"/>
  <c r="L16" i="31"/>
  <c r="V29" i="23"/>
  <c r="X27" i="23"/>
  <c r="N15" i="31"/>
  <c r="W25" i="23"/>
  <c r="M14" i="31"/>
  <c r="N9" i="31"/>
  <c r="N17" i="31"/>
  <c r="N10" i="31"/>
  <c r="N64" i="3" l="1"/>
  <c r="K11" i="4"/>
  <c r="L9" i="4"/>
  <c r="K65" i="3"/>
  <c r="J24" i="4"/>
  <c r="J26" i="4" s="1"/>
  <c r="O64" i="3"/>
  <c r="O17" i="4"/>
  <c r="O15" i="4"/>
  <c r="Q7" i="4"/>
  <c r="R7" i="4" s="1"/>
  <c r="S7" i="4" s="1"/>
  <c r="T7" i="4" s="1"/>
  <c r="U7" i="4" s="1"/>
  <c r="V7" i="4" s="1"/>
  <c r="W7" i="4" s="1"/>
  <c r="X7" i="4" s="1"/>
  <c r="Y7" i="4" s="1"/>
  <c r="Z7" i="4" s="1"/>
  <c r="L166" i="23"/>
  <c r="L150" i="2"/>
  <c r="H20" i="19"/>
  <c r="J63" i="3"/>
  <c r="H21" i="19" s="1"/>
  <c r="J10" i="3"/>
  <c r="J70" i="3"/>
  <c r="J69" i="3"/>
  <c r="J29" i="3"/>
  <c r="K154" i="2"/>
  <c r="K152" i="2"/>
  <c r="J86" i="3"/>
  <c r="J72" i="3" s="1"/>
  <c r="J85" i="3"/>
  <c r="J71" i="3" s="1"/>
  <c r="J77" i="3"/>
  <c r="K33" i="3"/>
  <c r="K34" i="3" s="1"/>
  <c r="K36" i="3" s="1"/>
  <c r="K52" i="3"/>
  <c r="K53" i="3" s="1"/>
  <c r="K40" i="3"/>
  <c r="K49" i="3" s="1"/>
  <c r="T42" i="3"/>
  <c r="S43" i="3"/>
  <c r="J68" i="3"/>
  <c r="Q51" i="3"/>
  <c r="R51" i="3" s="1"/>
  <c r="S51" i="3" s="1"/>
  <c r="L28" i="3"/>
  <c r="Q31" i="3"/>
  <c r="J58" i="3"/>
  <c r="J82" i="3"/>
  <c r="K7" i="3"/>
  <c r="K8" i="3" s="1"/>
  <c r="K10" i="3" s="1"/>
  <c r="N3" i="23" s="1"/>
  <c r="K26" i="3"/>
  <c r="K27" i="3" s="1"/>
  <c r="M165" i="23"/>
  <c r="M149" i="2"/>
  <c r="K14" i="3"/>
  <c r="K23" i="3" s="1"/>
  <c r="J84" i="3"/>
  <c r="S18" i="3"/>
  <c r="S22" i="3"/>
  <c r="S19" i="3"/>
  <c r="T17" i="3"/>
  <c r="U16" i="3"/>
  <c r="R45" i="3"/>
  <c r="R48" i="3" s="1"/>
  <c r="R44" i="3"/>
  <c r="K170" i="23"/>
  <c r="K168" i="23"/>
  <c r="J55" i="3"/>
  <c r="J78" i="3" s="1"/>
  <c r="J59" i="3"/>
  <c r="J83" i="3"/>
  <c r="K60" i="3"/>
  <c r="N8" i="2" s="1"/>
  <c r="L54" i="3"/>
  <c r="M1" i="3"/>
  <c r="L4" i="3"/>
  <c r="L6" i="3"/>
  <c r="L32" i="3"/>
  <c r="G165" i="2"/>
  <c r="F22" i="7"/>
  <c r="F24" i="7" s="1"/>
  <c r="F25" i="7" s="1"/>
  <c r="F26" i="7" s="1"/>
  <c r="F21" i="7"/>
  <c r="G45" i="23"/>
  <c r="G47" i="23" s="1"/>
  <c r="G152" i="23" s="1"/>
  <c r="G49" i="23"/>
  <c r="N8" i="31"/>
  <c r="X12" i="23"/>
  <c r="X108" i="23"/>
  <c r="I43" i="14"/>
  <c r="I46" i="14" s="1"/>
  <c r="I51" i="14" s="1"/>
  <c r="I505" i="14"/>
  <c r="I524" i="14"/>
  <c r="I529" i="14" s="1"/>
  <c r="Q155" i="23"/>
  <c r="Q153" i="23"/>
  <c r="R6" i="7"/>
  <c r="R5" i="7"/>
  <c r="G33" i="2"/>
  <c r="G29" i="2"/>
  <c r="G31" i="2" s="1"/>
  <c r="G136" i="2" s="1"/>
  <c r="S109" i="23"/>
  <c r="R113" i="23"/>
  <c r="W48" i="23"/>
  <c r="M26" i="31"/>
  <c r="G12" i="7"/>
  <c r="G18" i="7" s="1"/>
  <c r="G19" i="7" s="1"/>
  <c r="L7" i="7"/>
  <c r="K8" i="7"/>
  <c r="G181" i="23"/>
  <c r="S3" i="7"/>
  <c r="V129" i="23"/>
  <c r="Y5" i="23"/>
  <c r="O4" i="31"/>
  <c r="N11" i="31"/>
  <c r="X19" i="23"/>
  <c r="N13" i="31"/>
  <c r="X23" i="23"/>
  <c r="M12" i="31"/>
  <c r="M16" i="31"/>
  <c r="W29" i="23"/>
  <c r="Y27" i="23"/>
  <c r="O15" i="31"/>
  <c r="X25" i="23"/>
  <c r="N14" i="31"/>
  <c r="O10" i="31"/>
  <c r="O9" i="31"/>
  <c r="O17" i="31"/>
  <c r="L65" i="3" l="1"/>
  <c r="K24" i="4"/>
  <c r="K26" i="4" s="1"/>
  <c r="M9" i="4"/>
  <c r="L11" i="4"/>
  <c r="O20" i="4"/>
  <c r="O22" i="4" s="1"/>
  <c r="K84" i="3"/>
  <c r="K68" i="3"/>
  <c r="M166" i="23"/>
  <c r="M150" i="2"/>
  <c r="I20" i="19"/>
  <c r="K70" i="3"/>
  <c r="N1" i="3"/>
  <c r="M6" i="3"/>
  <c r="M4" i="3"/>
  <c r="M32" i="3"/>
  <c r="R31" i="3"/>
  <c r="L33" i="3"/>
  <c r="L34" i="3" s="1"/>
  <c r="L40" i="3"/>
  <c r="L49" i="3" s="1"/>
  <c r="L52" i="3"/>
  <c r="L53" i="3" s="1"/>
  <c r="U17" i="3"/>
  <c r="V16" i="3"/>
  <c r="H22" i="19"/>
  <c r="K83" i="3"/>
  <c r="K59" i="3"/>
  <c r="N6" i="2" s="1"/>
  <c r="K55" i="3"/>
  <c r="K78" i="3" s="1"/>
  <c r="K58" i="3"/>
  <c r="N5" i="2" s="1"/>
  <c r="K82" i="3"/>
  <c r="L7" i="3"/>
  <c r="L26" i="3"/>
  <c r="L27" i="3" s="1"/>
  <c r="L14" i="3"/>
  <c r="L23" i="3" s="1"/>
  <c r="N165" i="23"/>
  <c r="N149" i="2"/>
  <c r="L8" i="3"/>
  <c r="M54" i="3"/>
  <c r="L60" i="3"/>
  <c r="O8" i="2" s="1"/>
  <c r="T18" i="3"/>
  <c r="T22" i="3" s="1"/>
  <c r="T19" i="3"/>
  <c r="M28" i="3"/>
  <c r="L70" i="3"/>
  <c r="S45" i="3"/>
  <c r="S48" i="3" s="1"/>
  <c r="S44" i="3"/>
  <c r="K86" i="3"/>
  <c r="K72" i="3" s="1"/>
  <c r="L154" i="2"/>
  <c r="L152" i="2"/>
  <c r="L6" i="9"/>
  <c r="L5" i="9"/>
  <c r="J23" i="17"/>
  <c r="J32" i="17"/>
  <c r="J20" i="17"/>
  <c r="J21" i="17" s="1"/>
  <c r="K69" i="3"/>
  <c r="K29" i="3"/>
  <c r="T51" i="3"/>
  <c r="U51" i="3" s="1"/>
  <c r="V51" i="3" s="1"/>
  <c r="W51" i="3" s="1"/>
  <c r="T43" i="3"/>
  <c r="U42" i="3"/>
  <c r="J79" i="3"/>
  <c r="L170" i="23"/>
  <c r="L168" i="23"/>
  <c r="H11" i="7"/>
  <c r="H12" i="7" s="1"/>
  <c r="H18" i="7" s="1"/>
  <c r="H19" i="7" s="1"/>
  <c r="F31" i="7"/>
  <c r="F32" i="7" s="1"/>
  <c r="T109" i="23"/>
  <c r="S113" i="23"/>
  <c r="Y108" i="23"/>
  <c r="W129" i="23"/>
  <c r="T3" i="7"/>
  <c r="M7" i="7"/>
  <c r="L8" i="7"/>
  <c r="N26" i="31"/>
  <c r="X48" i="23"/>
  <c r="I56" i="14"/>
  <c r="I60" i="14" s="1"/>
  <c r="I404" i="14"/>
  <c r="O8" i="31"/>
  <c r="Y12" i="23"/>
  <c r="S6" i="7"/>
  <c r="S5" i="7"/>
  <c r="G22" i="7"/>
  <c r="G24" i="7" s="1"/>
  <c r="G25" i="7" s="1"/>
  <c r="G21" i="7"/>
  <c r="R153" i="23"/>
  <c r="R155" i="23"/>
  <c r="Z5" i="23"/>
  <c r="P4" i="31"/>
  <c r="Y19" i="23"/>
  <c r="O11" i="31"/>
  <c r="Y23" i="23"/>
  <c r="O13" i="31"/>
  <c r="N12" i="31"/>
  <c r="N16" i="31"/>
  <c r="X29" i="23"/>
  <c r="P15" i="31"/>
  <c r="Z27" i="23"/>
  <c r="Y25" i="23"/>
  <c r="O14" i="31"/>
  <c r="P9" i="31"/>
  <c r="P17" i="31"/>
  <c r="P10" i="31"/>
  <c r="AA6" i="3"/>
  <c r="M65" i="3" l="1"/>
  <c r="L24" i="4"/>
  <c r="L26" i="4" s="1"/>
  <c r="M11" i="4"/>
  <c r="N9" i="4"/>
  <c r="P22" i="4"/>
  <c r="P64" i="3"/>
  <c r="L36" i="3"/>
  <c r="L84" i="3"/>
  <c r="I11" i="7"/>
  <c r="K77" i="3"/>
  <c r="K79" i="3" s="1"/>
  <c r="K63" i="3"/>
  <c r="N150" i="2"/>
  <c r="J20" i="19"/>
  <c r="N166" i="23"/>
  <c r="L59" i="3"/>
  <c r="O6" i="2" s="1"/>
  <c r="L83" i="3"/>
  <c r="L55" i="3"/>
  <c r="L78" i="3" s="1"/>
  <c r="X51" i="3"/>
  <c r="Y51" i="3" s="1"/>
  <c r="N28" i="3"/>
  <c r="V17" i="3"/>
  <c r="W16" i="3"/>
  <c r="L82" i="3"/>
  <c r="L58" i="3"/>
  <c r="O5" i="2" s="1"/>
  <c r="M33" i="3"/>
  <c r="M34" i="3" s="1"/>
  <c r="M52" i="3"/>
  <c r="M53" i="3" s="1"/>
  <c r="M40" i="3"/>
  <c r="M49" i="3" s="1"/>
  <c r="M152" i="2"/>
  <c r="M154" i="2"/>
  <c r="N67" i="23"/>
  <c r="N142" i="23" s="1"/>
  <c r="N51" i="2"/>
  <c r="N126" i="2" s="1"/>
  <c r="L29" i="3"/>
  <c r="L69" i="3"/>
  <c r="L3" i="9"/>
  <c r="L28" i="9"/>
  <c r="N17" i="2"/>
  <c r="J24" i="17" s="1"/>
  <c r="J16" i="17"/>
  <c r="N154" i="2"/>
  <c r="O1" i="3"/>
  <c r="N6" i="3"/>
  <c r="N4" i="3"/>
  <c r="N32" i="3"/>
  <c r="U43" i="3"/>
  <c r="V42" i="3"/>
  <c r="M5" i="9"/>
  <c r="M6" i="9"/>
  <c r="K23" i="17"/>
  <c r="K32" i="17"/>
  <c r="K20" i="17"/>
  <c r="K21" i="17" s="1"/>
  <c r="L4" i="9"/>
  <c r="J17" i="17"/>
  <c r="U18" i="3"/>
  <c r="U19" i="3"/>
  <c r="U22" i="3"/>
  <c r="M170" i="23"/>
  <c r="M168" i="23"/>
  <c r="T45" i="3"/>
  <c r="T44" i="3"/>
  <c r="T48" i="3" s="1"/>
  <c r="N50" i="2"/>
  <c r="N125" i="2" s="1"/>
  <c r="N66" i="23"/>
  <c r="N141" i="23" s="1"/>
  <c r="N54" i="3"/>
  <c r="M60" i="3"/>
  <c r="P8" i="2" s="1"/>
  <c r="L68" i="3"/>
  <c r="L86" i="3"/>
  <c r="L72" i="3" s="1"/>
  <c r="S31" i="3"/>
  <c r="M7" i="3"/>
  <c r="O149" i="2"/>
  <c r="M8" i="3"/>
  <c r="O165" i="23"/>
  <c r="M14" i="3"/>
  <c r="M23" i="3" s="1"/>
  <c r="M26" i="3"/>
  <c r="M27" i="3" s="1"/>
  <c r="K57" i="3"/>
  <c r="I22" i="19"/>
  <c r="G26" i="7"/>
  <c r="U3" i="7"/>
  <c r="X129" i="23"/>
  <c r="I12" i="7"/>
  <c r="I18" i="7" s="1"/>
  <c r="I19" i="7" s="1"/>
  <c r="I407" i="14"/>
  <c r="I422" i="14" s="1"/>
  <c r="I66" i="14"/>
  <c r="N7" i="7"/>
  <c r="M8" i="7"/>
  <c r="H22" i="7"/>
  <c r="H24" i="7" s="1"/>
  <c r="H25" i="7" s="1"/>
  <c r="H21" i="7"/>
  <c r="P8" i="31"/>
  <c r="Z12" i="23"/>
  <c r="Y48" i="23"/>
  <c r="O26" i="31"/>
  <c r="S153" i="23"/>
  <c r="S155" i="23"/>
  <c r="T6" i="7"/>
  <c r="T5" i="7"/>
  <c r="Z108" i="23"/>
  <c r="U109" i="23"/>
  <c r="T113" i="23"/>
  <c r="F33" i="7"/>
  <c r="F36" i="7" s="1"/>
  <c r="Q4" i="31"/>
  <c r="AA5" i="23"/>
  <c r="P11" i="31"/>
  <c r="Z19" i="23"/>
  <c r="P13" i="31"/>
  <c r="Z23" i="23"/>
  <c r="O12" i="31"/>
  <c r="Y29" i="23"/>
  <c r="O16" i="31"/>
  <c r="Q15" i="31"/>
  <c r="AA27" i="23"/>
  <c r="Z25" i="23"/>
  <c r="P14" i="31"/>
  <c r="Q9" i="31"/>
  <c r="Q17" i="31"/>
  <c r="Q10" i="31"/>
  <c r="N65" i="3" l="1"/>
  <c r="M24" i="4"/>
  <c r="M26" i="4" s="1"/>
  <c r="N11" i="4"/>
  <c r="O9" i="4"/>
  <c r="Q22" i="4"/>
  <c r="Q64" i="3"/>
  <c r="N3" i="2"/>
  <c r="N18" i="2" s="1"/>
  <c r="I21" i="19"/>
  <c r="J18" i="17"/>
  <c r="M36" i="3"/>
  <c r="M84" i="3"/>
  <c r="M82" i="3"/>
  <c r="J22" i="19"/>
  <c r="N33" i="3"/>
  <c r="N34" i="3" s="1"/>
  <c r="N36" i="3" s="1"/>
  <c r="N52" i="3"/>
  <c r="N53" i="3" s="1"/>
  <c r="N40" i="3"/>
  <c r="N49" i="3" s="1"/>
  <c r="N63" i="23"/>
  <c r="N137" i="23" s="1"/>
  <c r="N47" i="2"/>
  <c r="N121" i="2" s="1"/>
  <c r="O28" i="3"/>
  <c r="J96" i="18"/>
  <c r="J97" i="18" s="1"/>
  <c r="M83" i="3"/>
  <c r="M55" i="3"/>
  <c r="M78" i="3" s="1"/>
  <c r="M4" i="9"/>
  <c r="K17" i="17"/>
  <c r="M59" i="3"/>
  <c r="P6" i="2" s="1"/>
  <c r="M69" i="3"/>
  <c r="M29" i="3"/>
  <c r="L57" i="3"/>
  <c r="L63" i="3"/>
  <c r="L77" i="3"/>
  <c r="L79" i="3" s="1"/>
  <c r="N5" i="9"/>
  <c r="L23" i="17"/>
  <c r="L32" i="17"/>
  <c r="N6" i="9"/>
  <c r="L20" i="17"/>
  <c r="L21" i="17" s="1"/>
  <c r="V43" i="3"/>
  <c r="W42" i="3"/>
  <c r="N26" i="3"/>
  <c r="N27" i="3" s="1"/>
  <c r="N14" i="3"/>
  <c r="N23" i="3" s="1"/>
  <c r="P149" i="2"/>
  <c r="P165" i="23"/>
  <c r="N7" i="3"/>
  <c r="N8" i="3" s="1"/>
  <c r="V18" i="3"/>
  <c r="V19" i="3"/>
  <c r="V22" i="3" s="1"/>
  <c r="Z51" i="3"/>
  <c r="AA51" i="3" s="1"/>
  <c r="N170" i="23"/>
  <c r="N48" i="2"/>
  <c r="N138" i="23"/>
  <c r="N122" i="2"/>
  <c r="J91" i="18" s="1"/>
  <c r="N64" i="23"/>
  <c r="O67" i="23"/>
  <c r="O142" i="23" s="1"/>
  <c r="O51" i="2"/>
  <c r="O150" i="2"/>
  <c r="O154" i="2" s="1"/>
  <c r="O166" i="23"/>
  <c r="O170" i="23" s="1"/>
  <c r="K20" i="19"/>
  <c r="T31" i="3"/>
  <c r="O66" i="23"/>
  <c r="O141" i="23" s="1"/>
  <c r="O50" i="2"/>
  <c r="O125" i="2" s="1"/>
  <c r="X16" i="3"/>
  <c r="W17" i="3"/>
  <c r="M58" i="3"/>
  <c r="P5" i="2" s="1"/>
  <c r="M68" i="3"/>
  <c r="K22" i="19" s="1"/>
  <c r="O54" i="3"/>
  <c r="N60" i="3"/>
  <c r="Q8" i="2" s="1"/>
  <c r="N84" i="3"/>
  <c r="U44" i="3"/>
  <c r="U48" i="3" s="1"/>
  <c r="U45" i="3"/>
  <c r="P1" i="3"/>
  <c r="O4" i="3"/>
  <c r="O6" i="3"/>
  <c r="O32" i="3"/>
  <c r="O126" i="2"/>
  <c r="M86" i="3"/>
  <c r="M72" i="3" s="1"/>
  <c r="M28" i="9"/>
  <c r="O17" i="2"/>
  <c r="K24" i="17" s="1"/>
  <c r="M3" i="9"/>
  <c r="K16" i="17"/>
  <c r="M70" i="3"/>
  <c r="H26" i="7"/>
  <c r="F37" i="7"/>
  <c r="F43" i="7"/>
  <c r="AA108" i="23"/>
  <c r="P26" i="31"/>
  <c r="Z48" i="23"/>
  <c r="Y129" i="23"/>
  <c r="V3" i="7"/>
  <c r="T153" i="23"/>
  <c r="T155" i="23"/>
  <c r="Q8" i="31"/>
  <c r="AA12" i="23"/>
  <c r="I22" i="7"/>
  <c r="I24" i="7" s="1"/>
  <c r="I25" i="7"/>
  <c r="I26" i="7"/>
  <c r="I21" i="7"/>
  <c r="U6" i="7"/>
  <c r="U5" i="7"/>
  <c r="V109" i="23"/>
  <c r="U113" i="23"/>
  <c r="O7" i="7"/>
  <c r="N8" i="7"/>
  <c r="J11" i="7"/>
  <c r="I69" i="14"/>
  <c r="I74" i="14" s="1"/>
  <c r="I84" i="14" s="1"/>
  <c r="I349" i="14"/>
  <c r="G31" i="7"/>
  <c r="G32" i="7" s="1"/>
  <c r="H29" i="7" s="1"/>
  <c r="G33" i="7"/>
  <c r="G36" i="7" s="1"/>
  <c r="AB5" i="23"/>
  <c r="R4" i="31"/>
  <c r="Q11" i="31"/>
  <c r="AA19" i="23"/>
  <c r="Q13" i="31"/>
  <c r="AA23" i="23"/>
  <c r="P12" i="31"/>
  <c r="P16" i="31"/>
  <c r="Z29" i="23"/>
  <c r="AB27" i="23"/>
  <c r="R15" i="31"/>
  <c r="AA25" i="23"/>
  <c r="Q14" i="31"/>
  <c r="R9" i="31"/>
  <c r="R17" i="31"/>
  <c r="R10" i="31"/>
  <c r="O65" i="3" l="1"/>
  <c r="N24" i="4"/>
  <c r="N26" i="4" s="1"/>
  <c r="O11" i="4"/>
  <c r="P9" i="4"/>
  <c r="R64" i="3"/>
  <c r="R22" i="4"/>
  <c r="L2" i="9"/>
  <c r="N49" i="2" s="1"/>
  <c r="I7" i="22"/>
  <c r="I28" i="22" s="1"/>
  <c r="J7" i="17"/>
  <c r="J10" i="17" s="1"/>
  <c r="J13" i="17" s="1"/>
  <c r="N151" i="2"/>
  <c r="N152" i="2" s="1"/>
  <c r="N9" i="23"/>
  <c r="N7" i="23"/>
  <c r="E3" i="31"/>
  <c r="N167" i="23"/>
  <c r="N168" i="23" s="1"/>
  <c r="N18" i="23"/>
  <c r="D31" i="29"/>
  <c r="N15" i="23"/>
  <c r="J21" i="19"/>
  <c r="K18" i="17"/>
  <c r="N69" i="3"/>
  <c r="L20" i="19"/>
  <c r="P150" i="2"/>
  <c r="P154" i="2" s="1"/>
  <c r="P166" i="23"/>
  <c r="P170" i="23" s="1"/>
  <c r="N70" i="3"/>
  <c r="K96" i="18"/>
  <c r="K97" i="18" s="1"/>
  <c r="N4" i="9"/>
  <c r="L17" i="17"/>
  <c r="N82" i="3"/>
  <c r="N58" i="3"/>
  <c r="Q5" i="2" s="1"/>
  <c r="Q1" i="3"/>
  <c r="P4" i="3"/>
  <c r="P6" i="3"/>
  <c r="P32" i="3"/>
  <c r="L16" i="17"/>
  <c r="L18" i="17" s="1"/>
  <c r="P17" i="2"/>
  <c r="L24" i="17" s="1"/>
  <c r="N28" i="9"/>
  <c r="N3" i="9"/>
  <c r="P47" i="2" s="1"/>
  <c r="AB51" i="3"/>
  <c r="V44" i="3"/>
  <c r="V48" i="3"/>
  <c r="V45" i="3"/>
  <c r="O3" i="2"/>
  <c r="P28" i="3"/>
  <c r="N83" i="3"/>
  <c r="N55" i="3"/>
  <c r="N78" i="3" s="1"/>
  <c r="N59" i="3"/>
  <c r="Q6" i="2" s="1"/>
  <c r="X42" i="3"/>
  <c r="W43" i="3"/>
  <c r="O33" i="3"/>
  <c r="O34" i="3" s="1"/>
  <c r="O36" i="3" s="1"/>
  <c r="O52" i="3"/>
  <c r="O53" i="3" s="1"/>
  <c r="O40" i="3"/>
  <c r="O49" i="3" s="1"/>
  <c r="O6" i="9"/>
  <c r="O5" i="9"/>
  <c r="M23" i="17"/>
  <c r="M32" i="17"/>
  <c r="M20" i="17"/>
  <c r="M21" i="17" s="1"/>
  <c r="W18" i="3"/>
  <c r="W22" i="3"/>
  <c r="W19" i="3"/>
  <c r="N68" i="3"/>
  <c r="P66" i="23"/>
  <c r="P141" i="23" s="1"/>
  <c r="P50" i="2"/>
  <c r="P125" i="2" s="1"/>
  <c r="O122" i="2"/>
  <c r="K91" i="18" s="1"/>
  <c r="O138" i="23"/>
  <c r="O64" i="23"/>
  <c r="O48" i="2"/>
  <c r="L29" i="9"/>
  <c r="J90" i="18"/>
  <c r="J92" i="18" s="1"/>
  <c r="J98" i="18" s="1"/>
  <c r="N86" i="3"/>
  <c r="N72" i="3" s="1"/>
  <c r="O63" i="23"/>
  <c r="O137" i="23" s="1"/>
  <c r="O47" i="2"/>
  <c r="O121" i="2" s="1"/>
  <c r="M77" i="3"/>
  <c r="M79" i="3" s="1"/>
  <c r="M57" i="3"/>
  <c r="M63" i="3"/>
  <c r="O26" i="3"/>
  <c r="O27" i="3" s="1"/>
  <c r="O7" i="3"/>
  <c r="O8" i="3" s="1"/>
  <c r="Q165" i="23"/>
  <c r="Q149" i="2"/>
  <c r="O14" i="3"/>
  <c r="O23" i="3" s="1"/>
  <c r="P54" i="3"/>
  <c r="O60" i="3"/>
  <c r="R8" i="2" s="1"/>
  <c r="Y16" i="3"/>
  <c r="X17" i="3"/>
  <c r="U31" i="3"/>
  <c r="N29" i="3"/>
  <c r="P51" i="2"/>
  <c r="P126" i="2" s="1"/>
  <c r="P67" i="23"/>
  <c r="P142" i="23" s="1"/>
  <c r="N158" i="2"/>
  <c r="I10" i="22" s="1"/>
  <c r="N135" i="2"/>
  <c r="P7" i="7"/>
  <c r="O8" i="7"/>
  <c r="W109" i="23"/>
  <c r="V113" i="23"/>
  <c r="R8" i="31"/>
  <c r="AB12" i="23"/>
  <c r="AA48" i="23"/>
  <c r="Q26" i="31"/>
  <c r="I343" i="14"/>
  <c r="I347" i="14"/>
  <c r="I99" i="14"/>
  <c r="I89" i="14"/>
  <c r="I341" i="14"/>
  <c r="I31" i="7"/>
  <c r="I33" i="7" s="1"/>
  <c r="F39" i="7"/>
  <c r="F41" i="7" s="1"/>
  <c r="F42" i="7" s="1"/>
  <c r="F45" i="7"/>
  <c r="G43" i="7"/>
  <c r="F44" i="7" s="1"/>
  <c r="G37" i="7"/>
  <c r="J12" i="7"/>
  <c r="J18" i="7" s="1"/>
  <c r="J19" i="7" s="1"/>
  <c r="V6" i="7"/>
  <c r="V5" i="7"/>
  <c r="AB108" i="23"/>
  <c r="H31" i="7"/>
  <c r="H32" i="7" s="1"/>
  <c r="I29" i="7" s="1"/>
  <c r="U153" i="23"/>
  <c r="U155" i="23"/>
  <c r="W3" i="7"/>
  <c r="Z129" i="23"/>
  <c r="S4" i="31"/>
  <c r="AC5" i="23"/>
  <c r="R11" i="31"/>
  <c r="AB19" i="23"/>
  <c r="R13" i="31"/>
  <c r="AB23" i="23"/>
  <c r="Q12" i="31"/>
  <c r="Q16" i="31"/>
  <c r="AA29" i="23"/>
  <c r="S15" i="31"/>
  <c r="AC27" i="23"/>
  <c r="AB25" i="23"/>
  <c r="R14" i="31"/>
  <c r="S9" i="31"/>
  <c r="S17" i="31"/>
  <c r="S10" i="31"/>
  <c r="N124" i="2" l="1"/>
  <c r="J84" i="18" s="1"/>
  <c r="J88" i="18" s="1"/>
  <c r="I8" i="22"/>
  <c r="I11" i="22"/>
  <c r="S22" i="4"/>
  <c r="S64" i="3"/>
  <c r="P65" i="3"/>
  <c r="O24" i="4"/>
  <c r="O26" i="4" s="1"/>
  <c r="D27" i="4" s="1"/>
  <c r="N140" i="23"/>
  <c r="N65" i="23"/>
  <c r="Q9" i="4"/>
  <c r="P11" i="4"/>
  <c r="C7" i="26"/>
  <c r="C8" i="26" s="1"/>
  <c r="E5" i="31"/>
  <c r="D32" i="29"/>
  <c r="D33" i="29" s="1"/>
  <c r="N8" i="23"/>
  <c r="D37" i="29"/>
  <c r="E6" i="31"/>
  <c r="N10" i="23"/>
  <c r="E7" i="31"/>
  <c r="O70" i="3"/>
  <c r="O86" i="3"/>
  <c r="O72" i="3" s="1"/>
  <c r="O84" i="3"/>
  <c r="L96" i="18"/>
  <c r="L97" i="18" s="1"/>
  <c r="N77" i="3"/>
  <c r="N79" i="3" s="1"/>
  <c r="N63" i="3"/>
  <c r="V31" i="3"/>
  <c r="P5" i="9"/>
  <c r="P6" i="9"/>
  <c r="N23" i="17"/>
  <c r="N32" i="17"/>
  <c r="N20" i="17"/>
  <c r="N21" i="17" s="1"/>
  <c r="K21" i="19"/>
  <c r="Q66" i="23"/>
  <c r="Q141" i="23" s="1"/>
  <c r="Q50" i="2"/>
  <c r="Q125" i="2" s="1"/>
  <c r="O151" i="2"/>
  <c r="O152" i="2" s="1"/>
  <c r="M2" i="9"/>
  <c r="K7" i="17"/>
  <c r="K10" i="17" s="1"/>
  <c r="K13" i="17" s="1"/>
  <c r="O18" i="2"/>
  <c r="J7" i="22"/>
  <c r="P33" i="3"/>
  <c r="P34" i="3" s="1"/>
  <c r="P52" i="3"/>
  <c r="P53" i="3" s="1"/>
  <c r="P40" i="3"/>
  <c r="P49" i="3" s="1"/>
  <c r="P64" i="23"/>
  <c r="P48" i="2"/>
  <c r="P138" i="23"/>
  <c r="P122" i="2"/>
  <c r="L91" i="18" s="1"/>
  <c r="M20" i="19"/>
  <c r="Q166" i="23"/>
  <c r="Q170" i="23" s="1"/>
  <c r="Q150" i="2"/>
  <c r="Q154" i="2" s="1"/>
  <c r="P121" i="2"/>
  <c r="K90" i="18"/>
  <c r="K92" i="18" s="1"/>
  <c r="K98" i="18" s="1"/>
  <c r="M29" i="9"/>
  <c r="O83" i="3"/>
  <c r="O55" i="3"/>
  <c r="O78" i="3" s="1"/>
  <c r="O59" i="3"/>
  <c r="R6" i="2" s="1"/>
  <c r="Y42" i="3"/>
  <c r="X43" i="3"/>
  <c r="R1" i="3"/>
  <c r="Q4" i="3"/>
  <c r="Q6" i="3"/>
  <c r="Q32" i="3"/>
  <c r="X18" i="3"/>
  <c r="X19" i="3"/>
  <c r="X22" i="3" s="1"/>
  <c r="Q54" i="3"/>
  <c r="P60" i="3"/>
  <c r="S8" i="2" s="1"/>
  <c r="P3" i="2"/>
  <c r="P63" i="23"/>
  <c r="P137" i="23" s="1"/>
  <c r="L22" i="19"/>
  <c r="Q51" i="2"/>
  <c r="Q126" i="2" s="1"/>
  <c r="Q67" i="23"/>
  <c r="Q142" i="23" s="1"/>
  <c r="M17" i="17"/>
  <c r="O4" i="9"/>
  <c r="Q28" i="3"/>
  <c r="O9" i="23"/>
  <c r="F7" i="31" s="1"/>
  <c r="F3" i="31"/>
  <c r="O167" i="23"/>
  <c r="O168" i="23" s="1"/>
  <c r="O7" i="23"/>
  <c r="E31" i="29"/>
  <c r="E32" i="29" s="1"/>
  <c r="P7" i="3"/>
  <c r="P8" i="3" s="1"/>
  <c r="P14" i="3"/>
  <c r="P23" i="3" s="1"/>
  <c r="P26" i="3"/>
  <c r="P27" i="3" s="1"/>
  <c r="R149" i="2"/>
  <c r="R165" i="23"/>
  <c r="Q17" i="2"/>
  <c r="M24" i="17" s="1"/>
  <c r="O3" i="9"/>
  <c r="O28" i="9"/>
  <c r="M16" i="17"/>
  <c r="M18" i="17" s="1"/>
  <c r="Y17" i="3"/>
  <c r="Z16" i="3"/>
  <c r="O68" i="3"/>
  <c r="O69" i="3"/>
  <c r="O29" i="3"/>
  <c r="M30" i="9"/>
  <c r="L32" i="9"/>
  <c r="L7" i="9" s="1"/>
  <c r="O82" i="3"/>
  <c r="O58" i="3"/>
  <c r="R5" i="2" s="1"/>
  <c r="W45" i="3"/>
  <c r="W44" i="3"/>
  <c r="W48" i="3" s="1"/>
  <c r="N57" i="3"/>
  <c r="H33" i="7"/>
  <c r="I32" i="7"/>
  <c r="J29" i="7" s="1"/>
  <c r="K11" i="7"/>
  <c r="AC108" i="23"/>
  <c r="Q7" i="7"/>
  <c r="P8" i="7"/>
  <c r="AA129" i="23"/>
  <c r="X3" i="7"/>
  <c r="J22" i="7"/>
  <c r="J24" i="7" s="1"/>
  <c r="J25" i="7" s="1"/>
  <c r="J26" i="7" s="1"/>
  <c r="J21" i="7"/>
  <c r="H26" i="2"/>
  <c r="F46" i="7"/>
  <c r="H42" i="23"/>
  <c r="V153" i="23"/>
  <c r="V155" i="23"/>
  <c r="W6" i="7"/>
  <c r="W5" i="7"/>
  <c r="G39" i="7"/>
  <c r="G41" i="7" s="1"/>
  <c r="G45" i="7"/>
  <c r="I96" i="14"/>
  <c r="I98" i="14"/>
  <c r="I504" i="14"/>
  <c r="I515" i="14" s="1"/>
  <c r="I533" i="14" s="1"/>
  <c r="I541" i="14" s="1"/>
  <c r="I544" i="14" s="1"/>
  <c r="R26" i="31"/>
  <c r="AB48" i="23"/>
  <c r="X109" i="23"/>
  <c r="W113" i="23"/>
  <c r="H44" i="7"/>
  <c r="I44" i="7"/>
  <c r="G44" i="7"/>
  <c r="J44" i="7"/>
  <c r="K44" i="7"/>
  <c r="S8" i="31"/>
  <c r="AC12" i="23"/>
  <c r="AD5" i="23"/>
  <c r="T4" i="31"/>
  <c r="AC19" i="23"/>
  <c r="S11" i="31"/>
  <c r="AC23" i="23"/>
  <c r="S13" i="31"/>
  <c r="R12" i="31"/>
  <c r="R16" i="31"/>
  <c r="AB29" i="23"/>
  <c r="T15" i="31"/>
  <c r="AD27" i="23"/>
  <c r="AC25" i="23"/>
  <c r="S14" i="31"/>
  <c r="T10" i="31"/>
  <c r="T9" i="31"/>
  <c r="T17" i="31"/>
  <c r="Q11" i="4" l="1"/>
  <c r="R9" i="4"/>
  <c r="T64" i="3"/>
  <c r="T22" i="4"/>
  <c r="Q65" i="3"/>
  <c r="P24" i="4"/>
  <c r="N33" i="23"/>
  <c r="N34" i="23" s="1"/>
  <c r="B6" i="31"/>
  <c r="E18" i="31"/>
  <c r="E34" i="31"/>
  <c r="E30" i="29"/>
  <c r="E33" i="29" s="1"/>
  <c r="D38" i="29"/>
  <c r="D43" i="29"/>
  <c r="D44" i="29" s="1"/>
  <c r="P36" i="3"/>
  <c r="P57" i="3" s="1"/>
  <c r="P84" i="3"/>
  <c r="L21" i="19"/>
  <c r="M96" i="18"/>
  <c r="M97" i="18" s="1"/>
  <c r="N20" i="19"/>
  <c r="R150" i="2"/>
  <c r="R154" i="2" s="1"/>
  <c r="R166" i="23"/>
  <c r="R170" i="23" s="1"/>
  <c r="P70" i="3"/>
  <c r="R126" i="2"/>
  <c r="Z17" i="3"/>
  <c r="AA16" i="3"/>
  <c r="AA17" i="3" s="1"/>
  <c r="Q7" i="3"/>
  <c r="Q8" i="3" s="1"/>
  <c r="S165" i="23"/>
  <c r="S149" i="2"/>
  <c r="Q26" i="3"/>
  <c r="Q27" i="3" s="1"/>
  <c r="Q14" i="3"/>
  <c r="Q23" i="3" s="1"/>
  <c r="N30" i="9"/>
  <c r="M32" i="9"/>
  <c r="M7" i="9" s="1"/>
  <c r="O135" i="2"/>
  <c r="O158" i="2"/>
  <c r="J10" i="22" s="1"/>
  <c r="J11" i="22" s="1"/>
  <c r="R67" i="23"/>
  <c r="R142" i="23" s="1"/>
  <c r="R51" i="2"/>
  <c r="Y43" i="3"/>
  <c r="Z42" i="3"/>
  <c r="P83" i="3"/>
  <c r="P55" i="3"/>
  <c r="P78" i="3" s="1"/>
  <c r="P59" i="3"/>
  <c r="S6" i="2" s="1"/>
  <c r="Q3" i="2"/>
  <c r="P3" i="9"/>
  <c r="P28" i="9"/>
  <c r="N16" i="17"/>
  <c r="R17" i="2"/>
  <c r="N24" i="17" s="1"/>
  <c r="Y18" i="3"/>
  <c r="Y22" i="3" s="1"/>
  <c r="Y19" i="3"/>
  <c r="F5" i="31"/>
  <c r="D7" i="26"/>
  <c r="Q138" i="23"/>
  <c r="Q48" i="2"/>
  <c r="Q122" i="2"/>
  <c r="M91" i="18" s="1"/>
  <c r="Q64" i="23"/>
  <c r="P4" i="9"/>
  <c r="N17" i="17"/>
  <c r="P86" i="3"/>
  <c r="P72" i="3" s="1"/>
  <c r="R50" i="2"/>
  <c r="R125" i="2" s="1"/>
  <c r="R66" i="23"/>
  <c r="R141" i="23" s="1"/>
  <c r="O77" i="3"/>
  <c r="O79" i="3" s="1"/>
  <c r="O63" i="3"/>
  <c r="P29" i="3"/>
  <c r="P69" i="3"/>
  <c r="F30" i="29"/>
  <c r="Q5" i="9"/>
  <c r="Q6" i="9"/>
  <c r="O23" i="17"/>
  <c r="O32" i="17"/>
  <c r="O20" i="17"/>
  <c r="O21" i="17" s="1"/>
  <c r="S1" i="3"/>
  <c r="R4" i="3"/>
  <c r="R6" i="3"/>
  <c r="R32" i="3"/>
  <c r="N29" i="9"/>
  <c r="O30" i="9" s="1"/>
  <c r="L90" i="18"/>
  <c r="L92" i="18" s="1"/>
  <c r="L98" i="18" s="1"/>
  <c r="O49" i="2"/>
  <c r="O124" i="2"/>
  <c r="K84" i="18" s="1"/>
  <c r="K88" i="18" s="1"/>
  <c r="O65" i="23"/>
  <c r="O140" i="23"/>
  <c r="W31" i="3"/>
  <c r="Q47" i="2"/>
  <c r="Q121" i="2" s="1"/>
  <c r="Q63" i="23"/>
  <c r="Q137" i="23" s="1"/>
  <c r="R28" i="3"/>
  <c r="N2" i="9"/>
  <c r="P151" i="2"/>
  <c r="P152" i="2" s="1"/>
  <c r="L7" i="17"/>
  <c r="L10" i="17" s="1"/>
  <c r="L13" i="17" s="1"/>
  <c r="K7" i="22"/>
  <c r="P18" i="2"/>
  <c r="N70" i="23"/>
  <c r="N107" i="2"/>
  <c r="J15" i="18" s="1"/>
  <c r="J31" i="18" s="1"/>
  <c r="L8" i="9"/>
  <c r="L9" i="9" s="1"/>
  <c r="L10" i="9" s="1"/>
  <c r="N54" i="2"/>
  <c r="N123" i="23"/>
  <c r="M22" i="19"/>
  <c r="P68" i="3"/>
  <c r="O33" i="23"/>
  <c r="F6" i="31"/>
  <c r="C6" i="31" s="1"/>
  <c r="E37" i="29"/>
  <c r="P9" i="23"/>
  <c r="G7" i="31" s="1"/>
  <c r="P7" i="23"/>
  <c r="G3" i="31"/>
  <c r="F31" i="29"/>
  <c r="F32" i="29" s="1"/>
  <c r="P167" i="23"/>
  <c r="P168" i="23" s="1"/>
  <c r="R54" i="3"/>
  <c r="Q60" i="3"/>
  <c r="T8" i="2" s="1"/>
  <c r="Q33" i="3"/>
  <c r="Q34" i="3" s="1"/>
  <c r="Q36" i="3" s="1"/>
  <c r="Q52" i="3"/>
  <c r="Q53" i="3" s="1"/>
  <c r="Q40" i="3"/>
  <c r="Q49" i="3" s="1"/>
  <c r="X45" i="3"/>
  <c r="X48" i="3" s="1"/>
  <c r="X44" i="3"/>
  <c r="O57" i="3"/>
  <c r="P82" i="3"/>
  <c r="P58" i="3"/>
  <c r="S5" i="2" s="1"/>
  <c r="J28" i="22"/>
  <c r="J8" i="22"/>
  <c r="K12" i="7"/>
  <c r="K18" i="7" s="1"/>
  <c r="K19" i="7" s="1"/>
  <c r="W153" i="23"/>
  <c r="W155" i="23"/>
  <c r="H41" i="7"/>
  <c r="G42" i="7"/>
  <c r="J31" i="7"/>
  <c r="J32" i="7" s="1"/>
  <c r="K29" i="7" s="1"/>
  <c r="T8" i="31"/>
  <c r="AD12" i="23"/>
  <c r="AC48" i="23"/>
  <c r="S26" i="31"/>
  <c r="X6" i="7"/>
  <c r="X5" i="7"/>
  <c r="R7" i="7"/>
  <c r="Q8" i="7"/>
  <c r="AD108" i="23"/>
  <c r="Y109" i="23"/>
  <c r="X113" i="23"/>
  <c r="H43" i="23"/>
  <c r="H49" i="23" s="1"/>
  <c r="H176" i="23"/>
  <c r="H177" i="23" s="1"/>
  <c r="H181" i="23" s="1"/>
  <c r="G46" i="7"/>
  <c r="I42" i="23"/>
  <c r="I26" i="2"/>
  <c r="H27" i="2"/>
  <c r="H160" i="2"/>
  <c r="D68" i="17"/>
  <c r="D70" i="17" s="1"/>
  <c r="D72" i="17" s="1"/>
  <c r="D74" i="17" s="1"/>
  <c r="D25" i="19"/>
  <c r="Y3" i="7"/>
  <c r="AB129" i="23"/>
  <c r="K22" i="7"/>
  <c r="K24" i="7" s="1"/>
  <c r="K25" i="7" s="1"/>
  <c r="K21" i="7"/>
  <c r="AE5" i="23"/>
  <c r="U4" i="31"/>
  <c r="T11" i="31"/>
  <c r="AD19" i="23"/>
  <c r="T13" i="31"/>
  <c r="AD23" i="23"/>
  <c r="S12" i="31"/>
  <c r="S16" i="31"/>
  <c r="AC29" i="23"/>
  <c r="AE27" i="23"/>
  <c r="V15" i="31" s="1"/>
  <c r="U15" i="31"/>
  <c r="AD25" i="23"/>
  <c r="T14" i="31"/>
  <c r="U10" i="31"/>
  <c r="U9" i="31"/>
  <c r="U17" i="31"/>
  <c r="R11" i="4" l="1"/>
  <c r="S9" i="4"/>
  <c r="U22" i="4"/>
  <c r="U64" i="3"/>
  <c r="R65" i="3"/>
  <c r="Q24" i="4"/>
  <c r="D47" i="29"/>
  <c r="D49" i="29" s="1"/>
  <c r="C17" i="26" s="1"/>
  <c r="N51" i="23"/>
  <c r="D39" i="29"/>
  <c r="E36" i="29"/>
  <c r="E19" i="31"/>
  <c r="C9" i="26"/>
  <c r="N151" i="23"/>
  <c r="N174" i="23"/>
  <c r="C10" i="26"/>
  <c r="C12" i="26" s="1"/>
  <c r="D45" i="29"/>
  <c r="E42" i="29"/>
  <c r="Q70" i="3"/>
  <c r="Q84" i="3"/>
  <c r="Q68" i="3"/>
  <c r="F33" i="29"/>
  <c r="M21" i="19"/>
  <c r="M90" i="18"/>
  <c r="M92" i="18" s="1"/>
  <c r="M98" i="18" s="1"/>
  <c r="O29" i="9"/>
  <c r="N96" i="18"/>
  <c r="N97" i="18" s="1"/>
  <c r="P124" i="2"/>
  <c r="L84" i="18" s="1"/>
  <c r="L88" i="18" s="1"/>
  <c r="P49" i="2"/>
  <c r="P140" i="23"/>
  <c r="P65" i="23"/>
  <c r="Q4" i="9"/>
  <c r="O17" i="17"/>
  <c r="Y44" i="3"/>
  <c r="Y45" i="3"/>
  <c r="Y48" i="3" s="1"/>
  <c r="R3" i="2"/>
  <c r="Q82" i="3"/>
  <c r="Q58" i="3"/>
  <c r="T5" i="2" s="1"/>
  <c r="R5" i="9"/>
  <c r="P23" i="17"/>
  <c r="R6" i="9"/>
  <c r="P32" i="17"/>
  <c r="P20" i="17"/>
  <c r="P21" i="17" s="1"/>
  <c r="G30" i="29"/>
  <c r="E38" i="29"/>
  <c r="F36" i="29" s="1"/>
  <c r="E43" i="29"/>
  <c r="L11" i="9"/>
  <c r="N122" i="23"/>
  <c r="N106" i="2"/>
  <c r="J9" i="18" s="1"/>
  <c r="J12" i="18" s="1"/>
  <c r="J32" i="18" s="1"/>
  <c r="J51" i="18" s="1"/>
  <c r="J69" i="18" s="1"/>
  <c r="K28" i="22"/>
  <c r="K8" i="22"/>
  <c r="X31" i="3"/>
  <c r="T1" i="3"/>
  <c r="S4" i="3"/>
  <c r="S6" i="3"/>
  <c r="S32" i="3"/>
  <c r="S67" i="23"/>
  <c r="S142" i="23" s="1"/>
  <c r="S51" i="2"/>
  <c r="S126" i="2" s="1"/>
  <c r="P63" i="3"/>
  <c r="P77" i="3"/>
  <c r="P79" i="3" s="1"/>
  <c r="R47" i="2"/>
  <c r="R121" i="2" s="1"/>
  <c r="R63" i="23"/>
  <c r="R137" i="23" s="1"/>
  <c r="S150" i="2"/>
  <c r="S154" i="2" s="1"/>
  <c r="S166" i="23"/>
  <c r="S170" i="23" s="1"/>
  <c r="O20" i="19"/>
  <c r="Q57" i="3"/>
  <c r="N22" i="19"/>
  <c r="P158" i="2"/>
  <c r="K10" i="22" s="1"/>
  <c r="K11" i="22" s="1"/>
  <c r="P135" i="2"/>
  <c r="S3" i="2"/>
  <c r="Q55" i="3"/>
  <c r="Q78" i="3" s="1"/>
  <c r="Q83" i="3"/>
  <c r="Q59" i="3"/>
  <c r="T6" i="2" s="1"/>
  <c r="S54" i="3"/>
  <c r="R60" i="3"/>
  <c r="U8" i="2" s="1"/>
  <c r="G5" i="31"/>
  <c r="E7" i="26"/>
  <c r="F34" i="31"/>
  <c r="F18" i="31"/>
  <c r="S28" i="3"/>
  <c r="R33" i="3"/>
  <c r="R34" i="3" s="1"/>
  <c r="R36" i="3" s="1"/>
  <c r="R52" i="3"/>
  <c r="R53" i="3" s="1"/>
  <c r="R40" i="3"/>
  <c r="R49" i="3" s="1"/>
  <c r="S50" i="2"/>
  <c r="S125" i="2" s="1"/>
  <c r="S66" i="23"/>
  <c r="S141" i="23" s="1"/>
  <c r="F32" i="31"/>
  <c r="D8" i="26"/>
  <c r="O2" i="9"/>
  <c r="M7" i="17"/>
  <c r="M10" i="17" s="1"/>
  <c r="M13" i="17" s="1"/>
  <c r="Q18" i="2"/>
  <c r="Q151" i="2"/>
  <c r="Q152" i="2" s="1"/>
  <c r="L7" i="22"/>
  <c r="O107" i="2"/>
  <c r="K15" i="18" s="1"/>
  <c r="K31" i="18" s="1"/>
  <c r="O54" i="2"/>
  <c r="O123" i="23"/>
  <c r="M8" i="9"/>
  <c r="M9" i="9" s="1"/>
  <c r="M10" i="9" s="1"/>
  <c r="O70" i="23"/>
  <c r="Q29" i="3"/>
  <c r="Q69" i="3"/>
  <c r="AA19" i="3"/>
  <c r="AA18" i="3"/>
  <c r="AA22" i="3"/>
  <c r="S17" i="2"/>
  <c r="O24" i="17" s="1"/>
  <c r="Q3" i="9"/>
  <c r="O16" i="17"/>
  <c r="Q28" i="9"/>
  <c r="Q86" i="3"/>
  <c r="Q72" i="3" s="1"/>
  <c r="P33" i="23"/>
  <c r="G6" i="31"/>
  <c r="F37" i="29"/>
  <c r="O51" i="23"/>
  <c r="O34" i="23"/>
  <c r="T165" i="23"/>
  <c r="R7" i="3"/>
  <c r="R8" i="3" s="1"/>
  <c r="R14" i="3"/>
  <c r="R23" i="3" s="1"/>
  <c r="T149" i="2"/>
  <c r="R26" i="3"/>
  <c r="R27" i="3" s="1"/>
  <c r="R122" i="2"/>
  <c r="N91" i="18" s="1"/>
  <c r="R64" i="23"/>
  <c r="R138" i="23"/>
  <c r="R48" i="2"/>
  <c r="N18" i="17"/>
  <c r="Q9" i="23"/>
  <c r="H7" i="31" s="1"/>
  <c r="H3" i="31"/>
  <c r="Q7" i="23"/>
  <c r="G31" i="29"/>
  <c r="G32" i="29" s="1"/>
  <c r="Q167" i="23"/>
  <c r="Q168" i="23" s="1"/>
  <c r="AA42" i="3"/>
  <c r="Z43" i="3"/>
  <c r="N32" i="9"/>
  <c r="N7" i="9" s="1"/>
  <c r="Z18" i="3"/>
  <c r="Z19" i="3"/>
  <c r="Z22" i="3"/>
  <c r="J33" i="7"/>
  <c r="L11" i="7"/>
  <c r="K26" i="7"/>
  <c r="AC129" i="23"/>
  <c r="Z3" i="7"/>
  <c r="C16" i="22"/>
  <c r="C18" i="22" s="1"/>
  <c r="H161" i="2"/>
  <c r="H165" i="2" s="1"/>
  <c r="Z109" i="23"/>
  <c r="Y113" i="23"/>
  <c r="S7" i="7"/>
  <c r="R8" i="7"/>
  <c r="T26" i="31"/>
  <c r="AD48" i="23"/>
  <c r="Y6" i="7"/>
  <c r="Y5" i="7"/>
  <c r="D61" i="21"/>
  <c r="H33" i="2"/>
  <c r="U8" i="31"/>
  <c r="AE12" i="23"/>
  <c r="V8" i="31" s="1"/>
  <c r="H42" i="7"/>
  <c r="I41" i="7"/>
  <c r="AE108" i="23"/>
  <c r="I176" i="23"/>
  <c r="I177" i="23" s="1"/>
  <c r="I181" i="23" s="1"/>
  <c r="I43" i="23"/>
  <c r="I49" i="23" s="1"/>
  <c r="I27" i="2"/>
  <c r="J86" i="14"/>
  <c r="J89" i="14" s="1"/>
  <c r="I160" i="2"/>
  <c r="E25" i="19"/>
  <c r="E68" i="17"/>
  <c r="E70" i="17" s="1"/>
  <c r="E72" i="17" s="1"/>
  <c r="E74" i="17" s="1"/>
  <c r="X153" i="23"/>
  <c r="X155" i="23"/>
  <c r="V4" i="31"/>
  <c r="AE19" i="23"/>
  <c r="V11" i="31" s="1"/>
  <c r="U11" i="31"/>
  <c r="U13" i="31"/>
  <c r="AE23" i="23"/>
  <c r="V13" i="31" s="1"/>
  <c r="T12" i="31"/>
  <c r="T16" i="31"/>
  <c r="AD29" i="23"/>
  <c r="AE25" i="23"/>
  <c r="U14" i="31"/>
  <c r="V64" i="3" l="1"/>
  <c r="V22" i="4"/>
  <c r="T9" i="4"/>
  <c r="S11" i="4"/>
  <c r="S65" i="3"/>
  <c r="R24" i="4"/>
  <c r="E24" i="31"/>
  <c r="C14" i="26"/>
  <c r="C18" i="26" s="1"/>
  <c r="C19" i="26" s="1"/>
  <c r="C27" i="26" s="1"/>
  <c r="C29" i="26" s="1"/>
  <c r="E21" i="31"/>
  <c r="E29" i="31"/>
  <c r="O22" i="19"/>
  <c r="O18" i="17"/>
  <c r="E39" i="29"/>
  <c r="P29" i="9"/>
  <c r="N90" i="18"/>
  <c r="N92" i="18" s="1"/>
  <c r="N98" i="18" s="1"/>
  <c r="T125" i="2"/>
  <c r="O96" i="18"/>
  <c r="O97" i="18" s="1"/>
  <c r="T166" i="23"/>
  <c r="T170" i="23" s="1"/>
  <c r="P20" i="19"/>
  <c r="T150" i="2"/>
  <c r="R70" i="3"/>
  <c r="R86" i="3"/>
  <c r="R72" i="3" s="1"/>
  <c r="R84" i="3"/>
  <c r="G34" i="31"/>
  <c r="G18" i="31"/>
  <c r="S5" i="9"/>
  <c r="S6" i="9"/>
  <c r="Q23" i="17"/>
  <c r="Q32" i="17"/>
  <c r="Q20" i="17"/>
  <c r="Q21" i="17" s="1"/>
  <c r="T3" i="2"/>
  <c r="P30" i="9"/>
  <c r="O32" i="9"/>
  <c r="O7" i="9" s="1"/>
  <c r="Z44" i="3"/>
  <c r="Z48" i="3" s="1"/>
  <c r="Z45" i="3"/>
  <c r="P51" i="23"/>
  <c r="P34" i="23"/>
  <c r="Q135" i="2"/>
  <c r="Q158" i="2"/>
  <c r="L10" i="22" s="1"/>
  <c r="L11" i="22" s="1"/>
  <c r="T28" i="3"/>
  <c r="T54" i="3"/>
  <c r="S60" i="3"/>
  <c r="V8" i="2" s="1"/>
  <c r="S9" i="23"/>
  <c r="J7" i="31" s="1"/>
  <c r="I31" i="29"/>
  <c r="I32" i="29" s="1"/>
  <c r="S7" i="23"/>
  <c r="S167" i="23"/>
  <c r="S168" i="23" s="1"/>
  <c r="J3" i="31"/>
  <c r="AA43" i="3"/>
  <c r="AB42" i="3"/>
  <c r="AB43" i="3" s="1"/>
  <c r="G37" i="29"/>
  <c r="Q33" i="23"/>
  <c r="H6" i="31"/>
  <c r="R29" i="3"/>
  <c r="R69" i="3"/>
  <c r="S47" i="2"/>
  <c r="S121" i="2" s="1"/>
  <c r="S63" i="23"/>
  <c r="S137" i="23" s="1"/>
  <c r="D9" i="26"/>
  <c r="F19" i="31"/>
  <c r="G32" i="31"/>
  <c r="E8" i="26"/>
  <c r="R4" i="9"/>
  <c r="P17" i="17"/>
  <c r="N7" i="22"/>
  <c r="Q2" i="9"/>
  <c r="S18" i="2"/>
  <c r="S151" i="2"/>
  <c r="S152" i="2" s="1"/>
  <c r="O7" i="17"/>
  <c r="O10" i="17" s="1"/>
  <c r="O13" i="17" s="1"/>
  <c r="S33" i="3"/>
  <c r="S34" i="3" s="1"/>
  <c r="S36" i="3" s="1"/>
  <c r="S40" i="3"/>
  <c r="S49" i="3" s="1"/>
  <c r="S52" i="3"/>
  <c r="S53" i="3" s="1"/>
  <c r="Y31" i="3"/>
  <c r="E44" i="29"/>
  <c r="T66" i="23"/>
  <c r="T141" i="23" s="1"/>
  <c r="T50" i="2"/>
  <c r="R9" i="23"/>
  <c r="I7" i="31" s="1"/>
  <c r="H31" i="29"/>
  <c r="H32" i="29" s="1"/>
  <c r="I3" i="31"/>
  <c r="R7" i="23"/>
  <c r="R167" i="23"/>
  <c r="R168" i="23" s="1"/>
  <c r="P107" i="2"/>
  <c r="L15" i="18" s="1"/>
  <c r="L31" i="18" s="1"/>
  <c r="N8" i="9"/>
  <c r="N9" i="9" s="1"/>
  <c r="N10" i="9" s="1"/>
  <c r="P70" i="23"/>
  <c r="P123" i="23"/>
  <c r="P54" i="2"/>
  <c r="R68" i="3"/>
  <c r="R82" i="3"/>
  <c r="R58" i="3"/>
  <c r="U5" i="2" s="1"/>
  <c r="N53" i="2"/>
  <c r="N163" i="2" s="1"/>
  <c r="I24" i="22" s="1"/>
  <c r="I25" i="22" s="1"/>
  <c r="L12" i="9"/>
  <c r="N69" i="23"/>
  <c r="N179" i="23" s="1"/>
  <c r="T51" i="2"/>
  <c r="T126" i="2" s="1"/>
  <c r="T67" i="23"/>
  <c r="T142" i="23" s="1"/>
  <c r="S138" i="23"/>
  <c r="S64" i="23"/>
  <c r="S48" i="2"/>
  <c r="S122" i="2"/>
  <c r="O91" i="18" s="1"/>
  <c r="H30" i="29"/>
  <c r="D10" i="26"/>
  <c r="D12" i="26" s="1"/>
  <c r="O151" i="23"/>
  <c r="O174" i="23"/>
  <c r="R83" i="3"/>
  <c r="R55" i="3"/>
  <c r="R78" i="3" s="1"/>
  <c r="R59" i="3"/>
  <c r="U6" i="2" s="1"/>
  <c r="U1" i="3"/>
  <c r="T4" i="3"/>
  <c r="T6" i="3"/>
  <c r="T32" i="3"/>
  <c r="G33" i="29"/>
  <c r="M7" i="22"/>
  <c r="R151" i="2"/>
  <c r="R152" i="2" s="1"/>
  <c r="P2" i="9"/>
  <c r="N7" i="17"/>
  <c r="N10" i="17" s="1"/>
  <c r="N13" i="17" s="1"/>
  <c r="R18" i="2"/>
  <c r="H5" i="31"/>
  <c r="F7" i="26"/>
  <c r="F43" i="29"/>
  <c r="F44" i="29" s="1"/>
  <c r="F38" i="29"/>
  <c r="G36" i="29" s="1"/>
  <c r="Q63" i="3"/>
  <c r="Q77" i="3"/>
  <c r="Q79" i="3" s="1"/>
  <c r="O122" i="23"/>
  <c r="O106" i="2"/>
  <c r="K9" i="18" s="1"/>
  <c r="K12" i="18" s="1"/>
  <c r="K32" i="18" s="1"/>
  <c r="K51" i="18" s="1"/>
  <c r="K69" i="18" s="1"/>
  <c r="M11" i="9"/>
  <c r="L28" i="22"/>
  <c r="L8" i="22"/>
  <c r="Q140" i="23"/>
  <c r="Q124" i="2"/>
  <c r="M84" i="18" s="1"/>
  <c r="M88" i="18" s="1"/>
  <c r="Q65" i="23"/>
  <c r="Q49" i="2"/>
  <c r="N21" i="19"/>
  <c r="U165" i="23"/>
  <c r="S26" i="3"/>
  <c r="S27" i="3" s="1"/>
  <c r="S14" i="3"/>
  <c r="S23" i="3" s="1"/>
  <c r="U149" i="2"/>
  <c r="S7" i="3"/>
  <c r="S8" i="3" s="1"/>
  <c r="N127" i="23"/>
  <c r="N159" i="23"/>
  <c r="N154" i="23"/>
  <c r="N156" i="23"/>
  <c r="T17" i="2"/>
  <c r="P24" i="17" s="1"/>
  <c r="P16" i="17"/>
  <c r="R28" i="9"/>
  <c r="R3" i="9"/>
  <c r="T154" i="2"/>
  <c r="L12" i="7"/>
  <c r="M11" i="7"/>
  <c r="I161" i="2"/>
  <c r="I165" i="2" s="1"/>
  <c r="D16" i="22"/>
  <c r="D18" i="22" s="1"/>
  <c r="AA109" i="23"/>
  <c r="Z113" i="23"/>
  <c r="Z6" i="7"/>
  <c r="Z5" i="7"/>
  <c r="J96" i="14"/>
  <c r="J98" i="14"/>
  <c r="J504" i="14"/>
  <c r="J515" i="14" s="1"/>
  <c r="J533" i="14" s="1"/>
  <c r="J541" i="14" s="1"/>
  <c r="J544" i="14" s="1"/>
  <c r="AA3" i="7"/>
  <c r="AD129" i="23"/>
  <c r="I42" i="7"/>
  <c r="J41" i="7"/>
  <c r="H44" i="23"/>
  <c r="H45" i="23" s="1"/>
  <c r="H47" i="23" s="1"/>
  <c r="H28" i="2"/>
  <c r="H29" i="2" s="1"/>
  <c r="H31" i="2" s="1"/>
  <c r="T7" i="7"/>
  <c r="S8" i="7"/>
  <c r="C30" i="22"/>
  <c r="C19" i="22"/>
  <c r="K31" i="7"/>
  <c r="K32" i="7" s="1"/>
  <c r="L29" i="7" s="1"/>
  <c r="E61" i="21"/>
  <c r="I33" i="2"/>
  <c r="AE48" i="23"/>
  <c r="V26" i="31" s="1"/>
  <c r="U26" i="31"/>
  <c r="Y155" i="23"/>
  <c r="Y153" i="23"/>
  <c r="V12" i="31"/>
  <c r="U12" i="31"/>
  <c r="AE29" i="23"/>
  <c r="V16" i="31" s="1"/>
  <c r="U16" i="31"/>
  <c r="V14" i="31"/>
  <c r="U9" i="4" l="1"/>
  <c r="T11" i="4"/>
  <c r="W22" i="4"/>
  <c r="W64" i="3"/>
  <c r="T65" i="3"/>
  <c r="S24" i="4"/>
  <c r="E23" i="31"/>
  <c r="E25" i="31" s="1"/>
  <c r="E30" i="31"/>
  <c r="P18" i="17"/>
  <c r="S84" i="3"/>
  <c r="O21" i="19"/>
  <c r="H33" i="29"/>
  <c r="Q29" i="9"/>
  <c r="O90" i="18"/>
  <c r="O92" i="18" s="1"/>
  <c r="O98" i="18" s="1"/>
  <c r="U126" i="2"/>
  <c r="F8" i="26"/>
  <c r="H32" i="31"/>
  <c r="R140" i="23"/>
  <c r="R49" i="2"/>
  <c r="R65" i="23"/>
  <c r="R124" i="2"/>
  <c r="N84" i="18" s="1"/>
  <c r="N88" i="18" s="1"/>
  <c r="Q17" i="17"/>
  <c r="S4" i="9"/>
  <c r="K85" i="3"/>
  <c r="K71" i="3" s="1"/>
  <c r="N21" i="2"/>
  <c r="F42" i="29"/>
  <c r="F45" i="29" s="1"/>
  <c r="E47" i="29"/>
  <c r="E49" i="29" s="1"/>
  <c r="D17" i="26" s="1"/>
  <c r="S135" i="2"/>
  <c r="S158" i="2"/>
  <c r="N10" i="22" s="1"/>
  <c r="N11" i="22" s="1"/>
  <c r="AB44" i="3"/>
  <c r="AB48" i="3" s="1"/>
  <c r="AB45" i="3"/>
  <c r="Q54" i="2"/>
  <c r="Q70" i="23"/>
  <c r="Q123" i="23"/>
  <c r="O8" i="9"/>
  <c r="O9" i="9" s="1"/>
  <c r="O10" i="9" s="1"/>
  <c r="Q107" i="2"/>
  <c r="M15" i="18" s="1"/>
  <c r="M31" i="18" s="1"/>
  <c r="U66" i="23"/>
  <c r="U141" i="23" s="1"/>
  <c r="U50" i="2"/>
  <c r="U125" i="2" s="1"/>
  <c r="P96" i="18"/>
  <c r="P97" i="18" s="1"/>
  <c r="S68" i="3"/>
  <c r="O127" i="23"/>
  <c r="O154" i="23"/>
  <c r="O159" i="23"/>
  <c r="O156" i="23"/>
  <c r="G42" i="29"/>
  <c r="F47" i="29"/>
  <c r="T14" i="3"/>
  <c r="T23" i="3" s="1"/>
  <c r="T7" i="3"/>
  <c r="T8" i="3" s="1"/>
  <c r="V149" i="2"/>
  <c r="V165" i="23"/>
  <c r="T26" i="3"/>
  <c r="T27" i="3" s="1"/>
  <c r="P22" i="19"/>
  <c r="P122" i="23"/>
  <c r="N11" i="9"/>
  <c r="P106" i="2"/>
  <c r="L9" i="18" s="1"/>
  <c r="L12" i="18" s="1"/>
  <c r="L32" i="18" s="1"/>
  <c r="L51" i="18" s="1"/>
  <c r="L69" i="18" s="1"/>
  <c r="I6" i="31"/>
  <c r="H37" i="29"/>
  <c r="R33" i="23"/>
  <c r="Z31" i="3"/>
  <c r="S86" i="3"/>
  <c r="S72" i="3" s="1"/>
  <c r="S49" i="2"/>
  <c r="S65" i="23"/>
  <c r="S140" i="23"/>
  <c r="S124" i="2"/>
  <c r="O84" i="18" s="1"/>
  <c r="O88" i="18" s="1"/>
  <c r="H18" i="31"/>
  <c r="H34" i="31"/>
  <c r="AA48" i="3"/>
  <c r="AA44" i="3"/>
  <c r="AA45" i="3"/>
  <c r="S33" i="23"/>
  <c r="J6" i="31"/>
  <c r="I37" i="29"/>
  <c r="T6" i="9"/>
  <c r="T5" i="9"/>
  <c r="R23" i="17"/>
  <c r="R32" i="17"/>
  <c r="R20" i="17"/>
  <c r="R21" i="17" s="1"/>
  <c r="E9" i="26"/>
  <c r="G19" i="31"/>
  <c r="T33" i="3"/>
  <c r="T34" i="3" s="1"/>
  <c r="T36" i="3" s="1"/>
  <c r="T52" i="3"/>
  <c r="T53" i="3" s="1"/>
  <c r="T40" i="3"/>
  <c r="T49" i="3" s="1"/>
  <c r="S82" i="3"/>
  <c r="S58" i="3"/>
  <c r="V5" i="2" s="1"/>
  <c r="T64" i="23"/>
  <c r="T48" i="2"/>
  <c r="T122" i="2"/>
  <c r="P91" i="18" s="1"/>
  <c r="T138" i="23"/>
  <c r="U28" i="3"/>
  <c r="T63" i="23"/>
  <c r="T137" i="23" s="1"/>
  <c r="T47" i="2"/>
  <c r="T121" i="2" s="1"/>
  <c r="F39" i="29"/>
  <c r="S69" i="3"/>
  <c r="S29" i="3"/>
  <c r="R135" i="2"/>
  <c r="R158" i="2"/>
  <c r="M10" i="22" s="1"/>
  <c r="M11" i="22" s="1"/>
  <c r="M28" i="22"/>
  <c r="M8" i="22"/>
  <c r="S3" i="9"/>
  <c r="Q16" i="17"/>
  <c r="U17" i="2"/>
  <c r="Q24" i="17" s="1"/>
  <c r="S28" i="9"/>
  <c r="G7" i="26"/>
  <c r="I5" i="31"/>
  <c r="N8" i="22"/>
  <c r="N28" i="22"/>
  <c r="Q51" i="23"/>
  <c r="Q34" i="23"/>
  <c r="J30" i="29"/>
  <c r="T60" i="3"/>
  <c r="W8" i="2" s="1"/>
  <c r="U54" i="3"/>
  <c r="T9" i="23"/>
  <c r="K7" i="31" s="1"/>
  <c r="J31" i="29"/>
  <c r="J32" i="29" s="1"/>
  <c r="T7" i="23"/>
  <c r="T167" i="23"/>
  <c r="T168" i="23" s="1"/>
  <c r="K3" i="31"/>
  <c r="U166" i="23"/>
  <c r="U170" i="23" s="1"/>
  <c r="U150" i="2"/>
  <c r="U154" i="2" s="1"/>
  <c r="Q20" i="19"/>
  <c r="O69" i="23"/>
  <c r="O179" i="23" s="1"/>
  <c r="O53" i="2"/>
  <c r="O163" i="2" s="1"/>
  <c r="J24" i="22" s="1"/>
  <c r="J25" i="22" s="1"/>
  <c r="M12" i="9"/>
  <c r="V1" i="3"/>
  <c r="U4" i="3"/>
  <c r="U6" i="3"/>
  <c r="U32" i="3"/>
  <c r="I30" i="29"/>
  <c r="I33" i="29" s="1"/>
  <c r="E45" i="29"/>
  <c r="S55" i="3"/>
  <c r="S78" i="3" s="1"/>
  <c r="S83" i="3"/>
  <c r="S59" i="3"/>
  <c r="V6" i="2" s="1"/>
  <c r="F29" i="31"/>
  <c r="F21" i="31"/>
  <c r="G43" i="29"/>
  <c r="G44" i="29" s="1"/>
  <c r="G38" i="29"/>
  <c r="H36" i="29" s="1"/>
  <c r="H7" i="26"/>
  <c r="J5" i="31"/>
  <c r="S70" i="3"/>
  <c r="E10" i="26"/>
  <c r="E12" i="26" s="1"/>
  <c r="P151" i="23"/>
  <c r="P174" i="23"/>
  <c r="T151" i="2"/>
  <c r="T152" i="2" s="1"/>
  <c r="R2" i="9"/>
  <c r="P7" i="17"/>
  <c r="P10" i="17" s="1"/>
  <c r="P13" i="17" s="1"/>
  <c r="T18" i="2"/>
  <c r="O7" i="22"/>
  <c r="U67" i="23"/>
  <c r="U142" i="23" s="1"/>
  <c r="U51" i="2"/>
  <c r="R77" i="3"/>
  <c r="R79" i="3" s="1"/>
  <c r="R63" i="3"/>
  <c r="R57" i="3"/>
  <c r="Q30" i="9"/>
  <c r="P32" i="9"/>
  <c r="P7" i="9" s="1"/>
  <c r="N19" i="2"/>
  <c r="N35" i="23"/>
  <c r="L18" i="7"/>
  <c r="M12" i="7"/>
  <c r="I44" i="23"/>
  <c r="I45" i="23" s="1"/>
  <c r="I47" i="23" s="1"/>
  <c r="I28" i="2"/>
  <c r="I29" i="2" s="1"/>
  <c r="I31" i="2" s="1"/>
  <c r="J42" i="7"/>
  <c r="K41" i="7"/>
  <c r="K42" i="7" s="1"/>
  <c r="AE129" i="23"/>
  <c r="AB3" i="7"/>
  <c r="Z153" i="23"/>
  <c r="Z155" i="23"/>
  <c r="D30" i="22"/>
  <c r="E31" i="22" s="1"/>
  <c r="D19" i="22"/>
  <c r="H45" i="2"/>
  <c r="H56" i="2" s="1"/>
  <c r="D46" i="21"/>
  <c r="D49" i="21" s="1"/>
  <c r="H136" i="2"/>
  <c r="H152" i="23"/>
  <c r="H61" i="23"/>
  <c r="H72" i="23" s="1"/>
  <c r="K33" i="7"/>
  <c r="U7" i="7"/>
  <c r="T8" i="7"/>
  <c r="AA6" i="7"/>
  <c r="AA5" i="7"/>
  <c r="AB109" i="23"/>
  <c r="AA113" i="23"/>
  <c r="AA155" i="23" s="1"/>
  <c r="X22" i="4" l="1"/>
  <c r="X64" i="3"/>
  <c r="U65" i="3"/>
  <c r="T24" i="4"/>
  <c r="V9" i="4"/>
  <c r="U11" i="4"/>
  <c r="E31" i="31"/>
  <c r="E27" i="31"/>
  <c r="T84" i="3"/>
  <c r="P21" i="19"/>
  <c r="Q18" i="17"/>
  <c r="Q22" i="19"/>
  <c r="J33" i="29"/>
  <c r="Q96" i="18"/>
  <c r="Q97" i="18" s="1"/>
  <c r="R29" i="9"/>
  <c r="P90" i="18"/>
  <c r="P92" i="18" s="1"/>
  <c r="P98" i="18" s="1"/>
  <c r="V150" i="2"/>
  <c r="V154" i="2" s="1"/>
  <c r="R20" i="19"/>
  <c r="V166" i="23"/>
  <c r="V170" i="23" s="1"/>
  <c r="T57" i="3"/>
  <c r="T70" i="3"/>
  <c r="O28" i="22"/>
  <c r="O8" i="22"/>
  <c r="T4" i="9"/>
  <c r="R17" i="17"/>
  <c r="T82" i="3"/>
  <c r="T58" i="3"/>
  <c r="W5" i="2" s="1"/>
  <c r="S77" i="3"/>
  <c r="S79" i="3" s="1"/>
  <c r="S63" i="3"/>
  <c r="T29" i="3"/>
  <c r="T69" i="3"/>
  <c r="R107" i="2"/>
  <c r="N15" i="18" s="1"/>
  <c r="N31" i="18" s="1"/>
  <c r="P8" i="9"/>
  <c r="P9" i="9" s="1"/>
  <c r="P10" i="9" s="1"/>
  <c r="R123" i="23"/>
  <c r="R70" i="23"/>
  <c r="R54" i="2"/>
  <c r="T158" i="2"/>
  <c r="O10" i="22" s="1"/>
  <c r="O11" i="22" s="1"/>
  <c r="T135" i="2"/>
  <c r="H42" i="29"/>
  <c r="G47" i="29"/>
  <c r="G49" i="29" s="1"/>
  <c r="F17" i="26" s="1"/>
  <c r="W1" i="3"/>
  <c r="V4" i="3"/>
  <c r="V6" i="3"/>
  <c r="V32" i="3"/>
  <c r="J37" i="29"/>
  <c r="K6" i="31"/>
  <c r="T33" i="23"/>
  <c r="U60" i="3"/>
  <c r="X8" i="2" s="1"/>
  <c r="V54" i="3"/>
  <c r="Q174" i="23"/>
  <c r="Q151" i="23"/>
  <c r="F10" i="26"/>
  <c r="F12" i="26" s="1"/>
  <c r="V17" i="2"/>
  <c r="R24" i="17" s="1"/>
  <c r="R16" i="17"/>
  <c r="T28" i="9"/>
  <c r="T3" i="9"/>
  <c r="T55" i="3"/>
  <c r="T78" i="3" s="1"/>
  <c r="T83" i="3"/>
  <c r="T59" i="3"/>
  <c r="W6" i="2" s="1"/>
  <c r="V66" i="23"/>
  <c r="V141" i="23" s="1"/>
  <c r="V50" i="2"/>
  <c r="V125" i="2" s="1"/>
  <c r="S51" i="23"/>
  <c r="S34" i="23"/>
  <c r="I34" i="31"/>
  <c r="I18" i="31"/>
  <c r="T68" i="3"/>
  <c r="U3" i="2"/>
  <c r="T124" i="2"/>
  <c r="P84" i="18" s="1"/>
  <c r="P88" i="18" s="1"/>
  <c r="T65" i="23"/>
  <c r="T49" i="2"/>
  <c r="T140" i="23"/>
  <c r="U47" i="2"/>
  <c r="U121" i="2" s="1"/>
  <c r="U63" i="23"/>
  <c r="U137" i="23" s="1"/>
  <c r="V28" i="3"/>
  <c r="G29" i="31"/>
  <c r="G21" i="31"/>
  <c r="J18" i="31"/>
  <c r="J34" i="31"/>
  <c r="H43" i="29"/>
  <c r="H44" i="29" s="1"/>
  <c r="H38" i="29"/>
  <c r="I36" i="29" s="1"/>
  <c r="P159" i="23"/>
  <c r="P154" i="23"/>
  <c r="P127" i="23"/>
  <c r="U48" i="2"/>
  <c r="U138" i="23"/>
  <c r="U122" i="2"/>
  <c r="Q91" i="18" s="1"/>
  <c r="U64" i="23"/>
  <c r="J32" i="31"/>
  <c r="H8" i="26"/>
  <c r="F30" i="31"/>
  <c r="F23" i="31"/>
  <c r="F25" i="31" s="1"/>
  <c r="U52" i="3"/>
  <c r="U53" i="3" s="1"/>
  <c r="U40" i="3"/>
  <c r="U49" i="3" s="1"/>
  <c r="U33" i="3"/>
  <c r="U34" i="3" s="1"/>
  <c r="U36" i="3" s="1"/>
  <c r="O21" i="2"/>
  <c r="L85" i="3"/>
  <c r="L71" i="3" s="1"/>
  <c r="K30" i="29"/>
  <c r="U6" i="9"/>
  <c r="S23" i="17"/>
  <c r="S32" i="17"/>
  <c r="U5" i="9"/>
  <c r="S20" i="17"/>
  <c r="S21" i="17" s="1"/>
  <c r="G8" i="26"/>
  <c r="I32" i="31"/>
  <c r="T86" i="3"/>
  <c r="T72" i="3" s="1"/>
  <c r="V51" i="2"/>
  <c r="V126" i="2" s="1"/>
  <c r="V67" i="23"/>
  <c r="V142" i="23" s="1"/>
  <c r="F9" i="26"/>
  <c r="H19" i="31"/>
  <c r="AA31" i="3"/>
  <c r="D14" i="26"/>
  <c r="D18" i="26" s="1"/>
  <c r="D19" i="26" s="1"/>
  <c r="D27" i="26" s="1"/>
  <c r="F49" i="29"/>
  <c r="E17" i="26" s="1"/>
  <c r="J23" i="19"/>
  <c r="J34" i="17"/>
  <c r="J37" i="17" s="1"/>
  <c r="U7" i="3"/>
  <c r="U8" i="3" s="1"/>
  <c r="W165" i="23"/>
  <c r="U26" i="3"/>
  <c r="U27" i="3" s="1"/>
  <c r="U14" i="3"/>
  <c r="U23" i="3" s="1"/>
  <c r="W149" i="2"/>
  <c r="S57" i="3"/>
  <c r="K5" i="31"/>
  <c r="I7" i="26"/>
  <c r="G39" i="29"/>
  <c r="I38" i="29"/>
  <c r="J36" i="29" s="1"/>
  <c r="I43" i="29"/>
  <c r="I44" i="29" s="1"/>
  <c r="R51" i="23"/>
  <c r="R34" i="23"/>
  <c r="N12" i="9"/>
  <c r="P69" i="23"/>
  <c r="P179" i="23" s="1"/>
  <c r="P53" i="2"/>
  <c r="P163" i="2" s="1"/>
  <c r="K24" i="22" s="1"/>
  <c r="K25" i="22" s="1"/>
  <c r="G45" i="29"/>
  <c r="O11" i="9"/>
  <c r="Q106" i="2"/>
  <c r="M9" i="18" s="1"/>
  <c r="M12" i="18" s="1"/>
  <c r="M32" i="18" s="1"/>
  <c r="M51" i="18" s="1"/>
  <c r="M69" i="18" s="1"/>
  <c r="Q122" i="23"/>
  <c r="R30" i="9"/>
  <c r="Q32" i="9"/>
  <c r="Q7" i="9" s="1"/>
  <c r="M18" i="7"/>
  <c r="O19" i="2"/>
  <c r="O35" i="23"/>
  <c r="N46" i="2"/>
  <c r="N114" i="2" s="1"/>
  <c r="N162" i="2"/>
  <c r="I21" i="22" s="1"/>
  <c r="I22" i="22" s="1"/>
  <c r="N22" i="2"/>
  <c r="J47" i="21"/>
  <c r="J26" i="19"/>
  <c r="N159" i="2"/>
  <c r="I13" i="22" s="1"/>
  <c r="I14" i="22" s="1"/>
  <c r="L17" i="7"/>
  <c r="J25" i="17"/>
  <c r="J28" i="17" s="1"/>
  <c r="J31" i="17" s="1"/>
  <c r="J33" i="17" s="1"/>
  <c r="N25" i="2"/>
  <c r="L16" i="7" s="1"/>
  <c r="L35" i="7" s="1"/>
  <c r="N11" i="7"/>
  <c r="N41" i="23"/>
  <c r="N38" i="23"/>
  <c r="N178" i="23"/>
  <c r="N175" i="23"/>
  <c r="N62" i="23"/>
  <c r="N130" i="23" s="1"/>
  <c r="N131" i="23" s="1"/>
  <c r="N147" i="23" s="1"/>
  <c r="N157" i="23" s="1"/>
  <c r="AB6" i="7"/>
  <c r="AB5" i="7"/>
  <c r="AC3" i="7"/>
  <c r="AC109" i="23"/>
  <c r="AB113" i="23"/>
  <c r="AB155" i="23" s="1"/>
  <c r="V7" i="7"/>
  <c r="U8" i="7"/>
  <c r="I45" i="2"/>
  <c r="I56" i="2" s="1"/>
  <c r="E46" i="21"/>
  <c r="E49" i="21" s="1"/>
  <c r="I136" i="2"/>
  <c r="I61" i="23"/>
  <c r="I72" i="23" s="1"/>
  <c r="I152" i="23"/>
  <c r="D31" i="22"/>
  <c r="V65" i="3" l="1"/>
  <c r="U24" i="4"/>
  <c r="V11" i="4"/>
  <c r="W9" i="4"/>
  <c r="Y22" i="4"/>
  <c r="Y64" i="3"/>
  <c r="Q21" i="19"/>
  <c r="R18" i="17"/>
  <c r="J38" i="17"/>
  <c r="J66" i="17" s="1"/>
  <c r="I39" i="29"/>
  <c r="E14" i="26"/>
  <c r="E18" i="26" s="1"/>
  <c r="E19" i="26" s="1"/>
  <c r="E27" i="26" s="1"/>
  <c r="E29" i="26" s="1"/>
  <c r="Q90" i="18"/>
  <c r="Q92" i="18" s="1"/>
  <c r="Q98" i="18" s="1"/>
  <c r="S29" i="9"/>
  <c r="R96" i="18"/>
  <c r="R97" i="18" s="1"/>
  <c r="Q127" i="23"/>
  <c r="Q159" i="23"/>
  <c r="Q154" i="23"/>
  <c r="G10" i="26"/>
  <c r="G12" i="26" s="1"/>
  <c r="R174" i="23"/>
  <c r="R151" i="23"/>
  <c r="V3" i="2"/>
  <c r="W28" i="3"/>
  <c r="X1" i="3"/>
  <c r="W4" i="3"/>
  <c r="W6" i="3"/>
  <c r="W32" i="3"/>
  <c r="R106" i="2"/>
  <c r="N9" i="18" s="1"/>
  <c r="N12" i="18" s="1"/>
  <c r="N32" i="18" s="1"/>
  <c r="N51" i="18" s="1"/>
  <c r="N69" i="18" s="1"/>
  <c r="R122" i="23"/>
  <c r="P11" i="9"/>
  <c r="W166" i="23"/>
  <c r="W170" i="23" s="1"/>
  <c r="W150" i="2"/>
  <c r="W154" i="2" s="1"/>
  <c r="S20" i="19"/>
  <c r="W67" i="23"/>
  <c r="W142" i="23" s="1"/>
  <c r="W51" i="2"/>
  <c r="W126" i="2" s="1"/>
  <c r="K23" i="19"/>
  <c r="K34" i="17"/>
  <c r="K37" i="17" s="1"/>
  <c r="U151" i="2"/>
  <c r="U152" i="2" s="1"/>
  <c r="P7" i="22"/>
  <c r="S2" i="9"/>
  <c r="U18" i="2"/>
  <c r="Q7" i="17"/>
  <c r="Q10" i="17" s="1"/>
  <c r="Q13" i="17" s="1"/>
  <c r="U4" i="9"/>
  <c r="S17" i="17"/>
  <c r="V33" i="3"/>
  <c r="V34" i="3" s="1"/>
  <c r="V36" i="3" s="1"/>
  <c r="V52" i="3"/>
  <c r="V53" i="3" s="1"/>
  <c r="V40" i="3"/>
  <c r="V49" i="3" s="1"/>
  <c r="S107" i="2"/>
  <c r="O15" i="18" s="1"/>
  <c r="O31" i="18" s="1"/>
  <c r="S123" i="23"/>
  <c r="Q8" i="9"/>
  <c r="Q9" i="9" s="1"/>
  <c r="Q10" i="9" s="1"/>
  <c r="S54" i="2"/>
  <c r="S70" i="23"/>
  <c r="Q53" i="2"/>
  <c r="Q163" i="2" s="1"/>
  <c r="L24" i="22" s="1"/>
  <c r="L25" i="22" s="1"/>
  <c r="Q69" i="23"/>
  <c r="Q179" i="23" s="1"/>
  <c r="O12" i="9"/>
  <c r="J42" i="29"/>
  <c r="I47" i="29"/>
  <c r="U68" i="3"/>
  <c r="D29" i="26"/>
  <c r="T77" i="3"/>
  <c r="T79" i="3" s="1"/>
  <c r="T63" i="3"/>
  <c r="W66" i="23"/>
  <c r="W141" i="23" s="1"/>
  <c r="W50" i="2"/>
  <c r="W125" i="2" s="1"/>
  <c r="U86" i="3"/>
  <c r="U72" i="3" s="1"/>
  <c r="R22" i="19"/>
  <c r="T51" i="23"/>
  <c r="T34" i="23"/>
  <c r="V14" i="3"/>
  <c r="V23" i="3" s="1"/>
  <c r="X165" i="23"/>
  <c r="V7" i="3"/>
  <c r="V8" i="3" s="1"/>
  <c r="X149" i="2"/>
  <c r="V26" i="3"/>
  <c r="V27" i="3" s="1"/>
  <c r="H45" i="29"/>
  <c r="S30" i="9"/>
  <c r="R32" i="9"/>
  <c r="R7" i="9" s="1"/>
  <c r="U83" i="3"/>
  <c r="U55" i="3"/>
  <c r="U78" i="3" s="1"/>
  <c r="U59" i="3"/>
  <c r="X6" i="2" s="1"/>
  <c r="H9" i="26"/>
  <c r="J19" i="31"/>
  <c r="U9" i="23"/>
  <c r="L7" i="31" s="1"/>
  <c r="U7" i="23"/>
  <c r="U167" i="23"/>
  <c r="U168" i="23" s="1"/>
  <c r="L3" i="31"/>
  <c r="K31" i="29"/>
  <c r="K32" i="29" s="1"/>
  <c r="V47" i="2"/>
  <c r="V121" i="2" s="1"/>
  <c r="V63" i="23"/>
  <c r="V137" i="23" s="1"/>
  <c r="W54" i="3"/>
  <c r="V60" i="3"/>
  <c r="Y8" i="2" s="1"/>
  <c r="V84" i="3"/>
  <c r="J38" i="29"/>
  <c r="K36" i="29" s="1"/>
  <c r="J43" i="29"/>
  <c r="J44" i="29" s="1"/>
  <c r="H21" i="31"/>
  <c r="H29" i="31"/>
  <c r="F27" i="31"/>
  <c r="F31" i="31"/>
  <c r="I42" i="29"/>
  <c r="I45" i="29" s="1"/>
  <c r="H47" i="29"/>
  <c r="H49" i="29" s="1"/>
  <c r="G17" i="26" s="1"/>
  <c r="G30" i="31"/>
  <c r="G23" i="31"/>
  <c r="G25" i="31" s="1"/>
  <c r="S151" i="23"/>
  <c r="H10" i="26"/>
  <c r="H12" i="26" s="1"/>
  <c r="S174" i="23"/>
  <c r="V5" i="9"/>
  <c r="V6" i="9"/>
  <c r="T23" i="17"/>
  <c r="T32" i="17"/>
  <c r="T20" i="17"/>
  <c r="T21" i="17" s="1"/>
  <c r="W3" i="2"/>
  <c r="P21" i="2"/>
  <c r="M85" i="3"/>
  <c r="M71" i="3" s="1"/>
  <c r="I8" i="26"/>
  <c r="K32" i="31"/>
  <c r="U29" i="3"/>
  <c r="U69" i="3"/>
  <c r="AB31" i="3"/>
  <c r="U82" i="3"/>
  <c r="U58" i="3"/>
  <c r="X5" i="2" s="1"/>
  <c r="U70" i="3"/>
  <c r="H39" i="29"/>
  <c r="G9" i="26"/>
  <c r="I19" i="31"/>
  <c r="U84" i="3"/>
  <c r="K34" i="31"/>
  <c r="K18" i="31"/>
  <c r="W17" i="2"/>
  <c r="S24" i="17" s="1"/>
  <c r="U28" i="9"/>
  <c r="U3" i="9"/>
  <c r="S16" i="17"/>
  <c r="V122" i="2"/>
  <c r="R91" i="18" s="1"/>
  <c r="V138" i="23"/>
  <c r="V64" i="23"/>
  <c r="V48" i="2"/>
  <c r="L30" i="7"/>
  <c r="L19" i="7"/>
  <c r="L21" i="7" s="1"/>
  <c r="N148" i="23"/>
  <c r="N12" i="7"/>
  <c r="N115" i="2"/>
  <c r="J116" i="18"/>
  <c r="J117" i="18" s="1"/>
  <c r="O41" i="23"/>
  <c r="O38" i="23"/>
  <c r="O178" i="23"/>
  <c r="O175" i="23"/>
  <c r="O62" i="23"/>
  <c r="O130" i="23" s="1"/>
  <c r="O159" i="2"/>
  <c r="J13" i="22" s="1"/>
  <c r="J14" i="22" s="1"/>
  <c r="K26" i="19"/>
  <c r="K47" i="21"/>
  <c r="O25" i="2"/>
  <c r="M16" i="7" s="1"/>
  <c r="M30" i="7" s="1"/>
  <c r="K25" i="17"/>
  <c r="K28" i="17" s="1"/>
  <c r="K31" i="17" s="1"/>
  <c r="K33" i="17" s="1"/>
  <c r="O22" i="2"/>
  <c r="O46" i="2"/>
  <c r="O114" i="2" s="1"/>
  <c r="O162" i="2"/>
  <c r="J21" i="22" s="1"/>
  <c r="J22" i="22" s="1"/>
  <c r="M17" i="7"/>
  <c r="W7" i="7"/>
  <c r="V8" i="7"/>
  <c r="AC6" i="7"/>
  <c r="AC5" i="7"/>
  <c r="L43" i="7"/>
  <c r="L37" i="7"/>
  <c r="AD109" i="23"/>
  <c r="AC113" i="23"/>
  <c r="AC155" i="23" s="1"/>
  <c r="W65" i="3" l="1"/>
  <c r="V24" i="4"/>
  <c r="X9" i="4"/>
  <c r="W11" i="4"/>
  <c r="Z64" i="3"/>
  <c r="Z22" i="4"/>
  <c r="K38" i="17"/>
  <c r="K66" i="17" s="1"/>
  <c r="R21" i="19"/>
  <c r="S18" i="17"/>
  <c r="V70" i="3"/>
  <c r="V68" i="3"/>
  <c r="K33" i="29"/>
  <c r="L22" i="7"/>
  <c r="L24" i="7" s="1"/>
  <c r="L25" i="7" s="1"/>
  <c r="L26" i="7" s="1"/>
  <c r="M19" i="7"/>
  <c r="M21" i="7" s="1"/>
  <c r="F14" i="26"/>
  <c r="F18" i="26" s="1"/>
  <c r="F19" i="26" s="1"/>
  <c r="F27" i="26" s="1"/>
  <c r="F29" i="26" s="1"/>
  <c r="J39" i="29"/>
  <c r="S96" i="18"/>
  <c r="S97" i="18" s="1"/>
  <c r="X126" i="2"/>
  <c r="W47" i="2"/>
  <c r="W121" i="2" s="1"/>
  <c r="W63" i="23"/>
  <c r="W137" i="23" s="1"/>
  <c r="X66" i="23"/>
  <c r="X141" i="23" s="1"/>
  <c r="X50" i="2"/>
  <c r="X125" i="2" s="1"/>
  <c r="H30" i="31"/>
  <c r="H23" i="31"/>
  <c r="H25" i="31" s="1"/>
  <c r="J7" i="26"/>
  <c r="L5" i="31"/>
  <c r="Q21" i="2"/>
  <c r="N85" i="3"/>
  <c r="N71" i="3" s="1"/>
  <c r="R127" i="23"/>
  <c r="R159" i="23"/>
  <c r="R154" i="23"/>
  <c r="K42" i="29"/>
  <c r="J47" i="29"/>
  <c r="J49" i="29" s="1"/>
  <c r="I17" i="26" s="1"/>
  <c r="X54" i="3"/>
  <c r="W60" i="3"/>
  <c r="Z8" i="2" s="1"/>
  <c r="T54" i="2"/>
  <c r="T107" i="2"/>
  <c r="P15" i="18" s="1"/>
  <c r="P31" i="18" s="1"/>
  <c r="T123" i="23"/>
  <c r="R8" i="9"/>
  <c r="R9" i="9" s="1"/>
  <c r="R10" i="9" s="1"/>
  <c r="T70" i="23"/>
  <c r="V29" i="3"/>
  <c r="V69" i="3"/>
  <c r="S22" i="19"/>
  <c r="V55" i="3"/>
  <c r="V78" i="3" s="1"/>
  <c r="V83" i="3"/>
  <c r="V59" i="3"/>
  <c r="Y6" i="2" s="1"/>
  <c r="Y1" i="3"/>
  <c r="X4" i="3"/>
  <c r="X6" i="3"/>
  <c r="X32" i="3"/>
  <c r="V9" i="23"/>
  <c r="M7" i="31" s="1"/>
  <c r="M3" i="31"/>
  <c r="L31" i="29"/>
  <c r="L32" i="29" s="1"/>
  <c r="V167" i="23"/>
  <c r="V168" i="23" s="1"/>
  <c r="V7" i="23"/>
  <c r="T30" i="9"/>
  <c r="S32" i="9"/>
  <c r="S7" i="9" s="1"/>
  <c r="I29" i="31"/>
  <c r="I21" i="31"/>
  <c r="X17" i="2"/>
  <c r="T24" i="17" s="1"/>
  <c r="V28" i="9"/>
  <c r="T16" i="17"/>
  <c r="V3" i="9"/>
  <c r="W9" i="23"/>
  <c r="N7" i="31" s="1"/>
  <c r="M31" i="29"/>
  <c r="M32" i="29" s="1"/>
  <c r="W167" i="23"/>
  <c r="W168" i="23" s="1"/>
  <c r="N3" i="31"/>
  <c r="W7" i="23"/>
  <c r="L6" i="31"/>
  <c r="K37" i="29"/>
  <c r="U33" i="23"/>
  <c r="V4" i="9"/>
  <c r="T17" i="17"/>
  <c r="I10" i="26"/>
  <c r="I12" i="26" s="1"/>
  <c r="T174" i="23"/>
  <c r="T151" i="23"/>
  <c r="U63" i="3"/>
  <c r="U77" i="3"/>
  <c r="U79" i="3" s="1"/>
  <c r="I49" i="29"/>
  <c r="H17" i="26" s="1"/>
  <c r="V86" i="3"/>
  <c r="V72" i="3" s="1"/>
  <c r="U135" i="2"/>
  <c r="U158" i="2"/>
  <c r="P10" i="22" s="1"/>
  <c r="P11" i="22" s="1"/>
  <c r="U57" i="3"/>
  <c r="W33" i="3"/>
  <c r="W34" i="3" s="1"/>
  <c r="W36" i="3" s="1"/>
  <c r="W52" i="3"/>
  <c r="W53" i="3" s="1"/>
  <c r="W40" i="3"/>
  <c r="W49" i="3" s="1"/>
  <c r="W5" i="9"/>
  <c r="W6" i="9"/>
  <c r="U23" i="17"/>
  <c r="U32" i="17"/>
  <c r="U20" i="17"/>
  <c r="U21" i="17" s="1"/>
  <c r="J29" i="31"/>
  <c r="J21" i="31"/>
  <c r="V82" i="3"/>
  <c r="V58" i="3"/>
  <c r="Y5" i="2" s="1"/>
  <c r="W122" i="2"/>
  <c r="S91" i="18" s="1"/>
  <c r="W138" i="23"/>
  <c r="W64" i="23"/>
  <c r="W48" i="2"/>
  <c r="P8" i="22"/>
  <c r="P28" i="22"/>
  <c r="V151" i="2"/>
  <c r="V152" i="2" s="1"/>
  <c r="Q7" i="22"/>
  <c r="T2" i="9"/>
  <c r="V18" i="2"/>
  <c r="R7" i="17"/>
  <c r="R10" i="17" s="1"/>
  <c r="R13" i="17" s="1"/>
  <c r="T29" i="9"/>
  <c r="R90" i="18"/>
  <c r="R92" i="18" s="1"/>
  <c r="R98" i="18" s="1"/>
  <c r="L23" i="19"/>
  <c r="L34" i="17"/>
  <c r="L37" i="17" s="1"/>
  <c r="G31" i="31"/>
  <c r="G27" i="31"/>
  <c r="S106" i="2"/>
  <c r="O9" i="18" s="1"/>
  <c r="O12" i="18" s="1"/>
  <c r="O32" i="18" s="1"/>
  <c r="O51" i="18" s="1"/>
  <c r="O69" i="18" s="1"/>
  <c r="S122" i="23"/>
  <c r="Q11" i="9"/>
  <c r="I9" i="26"/>
  <c r="K19" i="31"/>
  <c r="W18" i="2"/>
  <c r="S7" i="17"/>
  <c r="S10" i="17" s="1"/>
  <c r="S13" i="17" s="1"/>
  <c r="U2" i="9"/>
  <c r="R7" i="22"/>
  <c r="W151" i="2"/>
  <c r="W152" i="2" s="1"/>
  <c r="X51" i="2"/>
  <c r="X67" i="23"/>
  <c r="X142" i="23" s="1"/>
  <c r="L30" i="29"/>
  <c r="X166" i="23"/>
  <c r="X170" i="23" s="1"/>
  <c r="T20" i="19"/>
  <c r="X150" i="2"/>
  <c r="X154" i="2" s="1"/>
  <c r="J45" i="29"/>
  <c r="U124" i="2"/>
  <c r="Q84" i="18" s="1"/>
  <c r="Q88" i="18" s="1"/>
  <c r="U65" i="23"/>
  <c r="U140" i="23"/>
  <c r="U49" i="2"/>
  <c r="P12" i="9"/>
  <c r="R53" i="2"/>
  <c r="R163" i="2" s="1"/>
  <c r="M24" i="22" s="1"/>
  <c r="M25" i="22" s="1"/>
  <c r="R69" i="23"/>
  <c r="R179" i="23" s="1"/>
  <c r="W26" i="3"/>
  <c r="W27" i="3" s="1"/>
  <c r="Y165" i="23"/>
  <c r="W7" i="3"/>
  <c r="W8" i="3" s="1"/>
  <c r="Y149" i="2"/>
  <c r="W14" i="3"/>
  <c r="W23" i="3" s="1"/>
  <c r="X28" i="3"/>
  <c r="O131" i="23"/>
  <c r="O147" i="23" s="1"/>
  <c r="P19" i="2"/>
  <c r="P35" i="23"/>
  <c r="N18" i="7"/>
  <c r="M35" i="7"/>
  <c r="M37" i="7" s="1"/>
  <c r="O115" i="2"/>
  <c r="K116" i="18"/>
  <c r="K117" i="18" s="1"/>
  <c r="O11" i="7"/>
  <c r="AE109" i="23"/>
  <c r="AE113" i="23" s="1"/>
  <c r="AE155" i="23" s="1"/>
  <c r="AD113" i="23"/>
  <c r="AD155" i="23" s="1"/>
  <c r="L44" i="7"/>
  <c r="L39" i="7"/>
  <c r="L41" i="7" s="1"/>
  <c r="L42" i="7" s="1"/>
  <c r="L45" i="7"/>
  <c r="X7" i="7"/>
  <c r="W8" i="7"/>
  <c r="AA64" i="3" l="1"/>
  <c r="Y9" i="4"/>
  <c r="X11" i="4"/>
  <c r="X65" i="3"/>
  <c r="W24" i="4"/>
  <c r="W84" i="3"/>
  <c r="T22" i="19"/>
  <c r="T18" i="17"/>
  <c r="W70" i="3"/>
  <c r="M22" i="7"/>
  <c r="M24" i="7" s="1"/>
  <c r="M25" i="7" s="1"/>
  <c r="N23" i="7" s="1"/>
  <c r="L33" i="29"/>
  <c r="T96" i="18"/>
  <c r="T97" i="18" s="1"/>
  <c r="R8" i="22"/>
  <c r="R28" i="22"/>
  <c r="K29" i="31"/>
  <c r="K21" i="31"/>
  <c r="V77" i="3"/>
  <c r="V79" i="3" s="1"/>
  <c r="V63" i="3"/>
  <c r="I30" i="31"/>
  <c r="I23" i="31"/>
  <c r="I25" i="31" s="1"/>
  <c r="M5" i="31"/>
  <c r="K7" i="26"/>
  <c r="U51" i="23"/>
  <c r="U34" i="23"/>
  <c r="N30" i="29"/>
  <c r="M6" i="31"/>
  <c r="L37" i="29"/>
  <c r="V33" i="23"/>
  <c r="H27" i="31"/>
  <c r="H31" i="31"/>
  <c r="Y28" i="3"/>
  <c r="O85" i="3"/>
  <c r="O71" i="3" s="1"/>
  <c r="R21" i="2"/>
  <c r="Q12" i="9"/>
  <c r="S53" i="2"/>
  <c r="S163" i="2" s="1"/>
  <c r="N24" i="22" s="1"/>
  <c r="N25" i="22" s="1"/>
  <c r="S69" i="23"/>
  <c r="S179" i="23" s="1"/>
  <c r="V158" i="2"/>
  <c r="Q10" i="22" s="1"/>
  <c r="Q11" i="22" s="1"/>
  <c r="V135" i="2"/>
  <c r="J30" i="31"/>
  <c r="J23" i="31"/>
  <c r="J25" i="31" s="1"/>
  <c r="W55" i="3"/>
  <c r="W78" i="3" s="1"/>
  <c r="W83" i="3"/>
  <c r="W59" i="3"/>
  <c r="Z6" i="2" s="1"/>
  <c r="K43" i="29"/>
  <c r="K44" i="29" s="1"/>
  <c r="K38" i="29"/>
  <c r="N6" i="31"/>
  <c r="M37" i="29"/>
  <c r="W33" i="23"/>
  <c r="U70" i="23"/>
  <c r="S8" i="9"/>
  <c r="S9" i="9" s="1"/>
  <c r="S10" i="9" s="1"/>
  <c r="U107" i="2"/>
  <c r="Q15" i="18" s="1"/>
  <c r="Q31" i="18" s="1"/>
  <c r="U54" i="2"/>
  <c r="U123" i="23"/>
  <c r="X33" i="3"/>
  <c r="X34" i="3" s="1"/>
  <c r="X36" i="3" s="1"/>
  <c r="X52" i="3"/>
  <c r="X53" i="3" s="1"/>
  <c r="X40" i="3"/>
  <c r="X49" i="3" s="1"/>
  <c r="U17" i="17"/>
  <c r="W4" i="9"/>
  <c r="X6" i="9"/>
  <c r="X5" i="9"/>
  <c r="V23" i="17"/>
  <c r="V32" i="17"/>
  <c r="V20" i="17"/>
  <c r="V21" i="17" s="1"/>
  <c r="U30" i="9"/>
  <c r="T32" i="9"/>
  <c r="T7" i="9" s="1"/>
  <c r="Q8" i="22"/>
  <c r="Q28" i="22"/>
  <c r="W28" i="9"/>
  <c r="W3" i="9"/>
  <c r="Y17" i="2"/>
  <c r="U24" i="17" s="1"/>
  <c r="U16" i="17"/>
  <c r="Y66" i="23"/>
  <c r="Y141" i="23" s="1"/>
  <c r="Y50" i="2"/>
  <c r="Y125" i="2" s="1"/>
  <c r="X3" i="2"/>
  <c r="X64" i="23"/>
  <c r="X122" i="2"/>
  <c r="T91" i="18" s="1"/>
  <c r="X48" i="2"/>
  <c r="X138" i="23"/>
  <c r="X63" i="23"/>
  <c r="X137" i="23" s="1"/>
  <c r="X47" i="2"/>
  <c r="X121" i="2" s="1"/>
  <c r="W57" i="3"/>
  <c r="Y166" i="23"/>
  <c r="Y170" i="23" s="1"/>
  <c r="U20" i="19"/>
  <c r="Y150" i="2"/>
  <c r="Y154" i="2" s="1"/>
  <c r="V57" i="3"/>
  <c r="W65" i="23"/>
  <c r="W124" i="2"/>
  <c r="S84" i="18" s="1"/>
  <c r="S88" i="18" s="1"/>
  <c r="W49" i="2"/>
  <c r="W140" i="23"/>
  <c r="W82" i="3"/>
  <c r="W58" i="3"/>
  <c r="Z5" i="2" s="1"/>
  <c r="Z1" i="3"/>
  <c r="Y4" i="3"/>
  <c r="Y6" i="3"/>
  <c r="Y32" i="3"/>
  <c r="T106" i="2"/>
  <c r="P9" i="18" s="1"/>
  <c r="P12" i="18" s="1"/>
  <c r="P32" i="18" s="1"/>
  <c r="P51" i="18" s="1"/>
  <c r="P69" i="18" s="1"/>
  <c r="T122" i="23"/>
  <c r="R11" i="9"/>
  <c r="M34" i="17"/>
  <c r="M37" i="17" s="1"/>
  <c r="M23" i="19"/>
  <c r="W68" i="3"/>
  <c r="W29" i="3"/>
  <c r="W69" i="3"/>
  <c r="H14" i="26"/>
  <c r="H18" i="26" s="1"/>
  <c r="H19" i="26" s="1"/>
  <c r="H27" i="26" s="1"/>
  <c r="H29" i="26" s="1"/>
  <c r="W158" i="2"/>
  <c r="R10" i="22" s="1"/>
  <c r="R11" i="22" s="1"/>
  <c r="W135" i="2"/>
  <c r="S159" i="23"/>
  <c r="S154" i="23"/>
  <c r="S127" i="23"/>
  <c r="S90" i="18"/>
  <c r="S92" i="18" s="1"/>
  <c r="S98" i="18" s="1"/>
  <c r="U29" i="9"/>
  <c r="V49" i="2"/>
  <c r="V140" i="23"/>
  <c r="V65" i="23"/>
  <c r="V124" i="2"/>
  <c r="R84" i="18" s="1"/>
  <c r="R88" i="18" s="1"/>
  <c r="Y67" i="23"/>
  <c r="Y142" i="23" s="1"/>
  <c r="Y51" i="2"/>
  <c r="Y126" i="2" s="1"/>
  <c r="W86" i="3"/>
  <c r="W72" i="3" s="1"/>
  <c r="S21" i="19"/>
  <c r="L34" i="31"/>
  <c r="L18" i="31"/>
  <c r="L7" i="26"/>
  <c r="N5" i="31"/>
  <c r="M30" i="29"/>
  <c r="M33" i="29" s="1"/>
  <c r="X14" i="3"/>
  <c r="X23" i="3" s="1"/>
  <c r="Z149" i="2"/>
  <c r="X7" i="3"/>
  <c r="X8" i="3" s="1"/>
  <c r="Z165" i="23"/>
  <c r="X26" i="3"/>
  <c r="X27" i="3" s="1"/>
  <c r="X60" i="3"/>
  <c r="AA8" i="2" s="1"/>
  <c r="Y54" i="3"/>
  <c r="G14" i="26"/>
  <c r="G18" i="26" s="1"/>
  <c r="G19" i="26" s="1"/>
  <c r="G27" i="26" s="1"/>
  <c r="L32" i="31"/>
  <c r="J8" i="26"/>
  <c r="M43" i="7"/>
  <c r="M44" i="7" s="1"/>
  <c r="O12" i="7"/>
  <c r="P11" i="7" s="1"/>
  <c r="P41" i="23"/>
  <c r="P38" i="23"/>
  <c r="P178" i="23"/>
  <c r="P175" i="23"/>
  <c r="P62" i="23"/>
  <c r="P130" i="23" s="1"/>
  <c r="P131" i="23" s="1"/>
  <c r="L47" i="21"/>
  <c r="L25" i="17"/>
  <c r="L28" i="17" s="1"/>
  <c r="L31" i="17" s="1"/>
  <c r="L33" i="17" s="1"/>
  <c r="L38" i="17" s="1"/>
  <c r="L66" i="17" s="1"/>
  <c r="P46" i="2"/>
  <c r="P114" i="2" s="1"/>
  <c r="P25" i="2"/>
  <c r="N16" i="7" s="1"/>
  <c r="P162" i="2"/>
  <c r="K21" i="22" s="1"/>
  <c r="K22" i="22" s="1"/>
  <c r="P22" i="2"/>
  <c r="N17" i="7"/>
  <c r="L26" i="19"/>
  <c r="P159" i="2"/>
  <c r="K13" i="22" s="1"/>
  <c r="K14" i="22" s="1"/>
  <c r="O157" i="23"/>
  <c r="O148" i="23"/>
  <c r="M39" i="7"/>
  <c r="M41" i="7" s="1"/>
  <c r="L31" i="7"/>
  <c r="L32" i="7" s="1"/>
  <c r="M29" i="7" s="1"/>
  <c r="N26" i="2"/>
  <c r="L46" i="7"/>
  <c r="N42" i="23"/>
  <c r="Y7" i="7"/>
  <c r="X8" i="7"/>
  <c r="Y65" i="3" l="1"/>
  <c r="X24" i="4"/>
  <c r="Z9" i="4"/>
  <c r="Z11" i="4" s="1"/>
  <c r="Y11" i="4"/>
  <c r="M26" i="7"/>
  <c r="M31" i="7" s="1"/>
  <c r="M32" i="7" s="1"/>
  <c r="N29" i="7" s="1"/>
  <c r="T21" i="19"/>
  <c r="X84" i="3"/>
  <c r="U18" i="17"/>
  <c r="I14" i="26"/>
  <c r="I18" i="26" s="1"/>
  <c r="I19" i="26" s="1"/>
  <c r="I27" i="26" s="1"/>
  <c r="I29" i="26" s="1"/>
  <c r="U96" i="18"/>
  <c r="U97" i="18" s="1"/>
  <c r="Z126" i="2"/>
  <c r="G29" i="26"/>
  <c r="X29" i="3"/>
  <c r="X69" i="3"/>
  <c r="V20" i="19"/>
  <c r="Z166" i="23"/>
  <c r="Z170" i="23" s="1"/>
  <c r="Z150" i="2"/>
  <c r="Z154" i="2" s="1"/>
  <c r="R12" i="9"/>
  <c r="T69" i="23"/>
  <c r="T179" i="23" s="1"/>
  <c r="T53" i="2"/>
  <c r="T163" i="2" s="1"/>
  <c r="O24" i="22" s="1"/>
  <c r="O25" i="22" s="1"/>
  <c r="Y26" i="3"/>
  <c r="Y27" i="3" s="1"/>
  <c r="AA165" i="23"/>
  <c r="Y14" i="3"/>
  <c r="Y23" i="3" s="1"/>
  <c r="Y7" i="3"/>
  <c r="Y8" i="3" s="1"/>
  <c r="Y10" i="3" s="1"/>
  <c r="AB3" i="23" s="1"/>
  <c r="AA149" i="2"/>
  <c r="X9" i="23"/>
  <c r="O7" i="31" s="1"/>
  <c r="X7" i="23"/>
  <c r="X167" i="23"/>
  <c r="X168" i="23" s="1"/>
  <c r="N31" i="29"/>
  <c r="N32" i="29" s="1"/>
  <c r="O3" i="31"/>
  <c r="Z66" i="23"/>
  <c r="Z141" i="23" s="1"/>
  <c r="Z50" i="2"/>
  <c r="Z125" i="2" s="1"/>
  <c r="I27" i="31"/>
  <c r="I31" i="31"/>
  <c r="X68" i="3"/>
  <c r="L8" i="26"/>
  <c r="N32" i="31"/>
  <c r="T154" i="23"/>
  <c r="T159" i="23"/>
  <c r="T127" i="23"/>
  <c r="Y3" i="2"/>
  <c r="X151" i="2"/>
  <c r="X152" i="2" s="1"/>
  <c r="X18" i="2"/>
  <c r="T7" i="17"/>
  <c r="T10" i="17" s="1"/>
  <c r="T13" i="17" s="1"/>
  <c r="S7" i="22"/>
  <c r="V2" i="9"/>
  <c r="L42" i="29"/>
  <c r="K47" i="29"/>
  <c r="K49" i="29" s="1"/>
  <c r="J17" i="26" s="1"/>
  <c r="S21" i="2"/>
  <c r="P85" i="3"/>
  <c r="P71" i="3" s="1"/>
  <c r="K45" i="29"/>
  <c r="V30" i="9"/>
  <c r="U32" i="9"/>
  <c r="U7" i="9" s="1"/>
  <c r="AA1" i="3"/>
  <c r="Z4" i="3"/>
  <c r="Z6" i="3"/>
  <c r="Z32" i="3"/>
  <c r="Y138" i="23"/>
  <c r="Y48" i="2"/>
  <c r="Y64" i="23"/>
  <c r="Y122" i="2"/>
  <c r="U91" i="18" s="1"/>
  <c r="X86" i="3"/>
  <c r="X72" i="3" s="1"/>
  <c r="S11" i="9"/>
  <c r="U122" i="23"/>
  <c r="U106" i="2"/>
  <c r="Q9" i="18" s="1"/>
  <c r="Q12" i="18" s="1"/>
  <c r="Q32" i="18" s="1"/>
  <c r="Q51" i="18" s="1"/>
  <c r="Q69" i="18" s="1"/>
  <c r="M38" i="29"/>
  <c r="N36" i="29" s="1"/>
  <c r="M43" i="29"/>
  <c r="M44" i="29" s="1"/>
  <c r="N34" i="17"/>
  <c r="N37" i="17" s="1"/>
  <c r="N23" i="19"/>
  <c r="V51" i="23"/>
  <c r="V34" i="23"/>
  <c r="X82" i="3"/>
  <c r="X58" i="3"/>
  <c r="AA5" i="2" s="1"/>
  <c r="L36" i="29"/>
  <c r="K39" i="29"/>
  <c r="X4" i="9"/>
  <c r="V17" i="17"/>
  <c r="X70" i="3"/>
  <c r="M34" i="31"/>
  <c r="M18" i="31"/>
  <c r="K23" i="31"/>
  <c r="K25" i="31" s="1"/>
  <c r="K30" i="31"/>
  <c r="U22" i="19"/>
  <c r="Z3" i="2"/>
  <c r="Z51" i="2"/>
  <c r="Z67" i="23"/>
  <c r="Z142" i="23" s="1"/>
  <c r="X55" i="3"/>
  <c r="X78" i="3" s="1"/>
  <c r="X83" i="3"/>
  <c r="X59" i="3"/>
  <c r="AA6" i="2" s="1"/>
  <c r="W51" i="23"/>
  <c r="W34" i="23"/>
  <c r="Z28" i="3"/>
  <c r="Y60" i="3"/>
  <c r="AB8" i="2" s="1"/>
  <c r="Z54" i="3"/>
  <c r="Y6" i="9"/>
  <c r="W23" i="17"/>
  <c r="W32" i="17"/>
  <c r="Y5" i="9"/>
  <c r="W20" i="17"/>
  <c r="W21" i="17" s="1"/>
  <c r="J9" i="26"/>
  <c r="L19" i="31"/>
  <c r="W63" i="3"/>
  <c r="W77" i="3"/>
  <c r="W79" i="3" s="1"/>
  <c r="V29" i="9"/>
  <c r="T90" i="18"/>
  <c r="T92" i="18" s="1"/>
  <c r="T98" i="18" s="1"/>
  <c r="Y33" i="3"/>
  <c r="Y34" i="3" s="1"/>
  <c r="Y36" i="3" s="1"/>
  <c r="Y52" i="3"/>
  <c r="Y53" i="3" s="1"/>
  <c r="Y40" i="3"/>
  <c r="Y49" i="3" s="1"/>
  <c r="X3" i="9"/>
  <c r="X28" i="9"/>
  <c r="Z17" i="2"/>
  <c r="V24" i="17" s="1"/>
  <c r="V16" i="17"/>
  <c r="V18" i="17" s="1"/>
  <c r="Y47" i="2"/>
  <c r="Y121" i="2" s="1"/>
  <c r="Y63" i="23"/>
  <c r="Y137" i="23" s="1"/>
  <c r="V54" i="2"/>
  <c r="V70" i="23"/>
  <c r="V107" i="2"/>
  <c r="R15" i="18" s="1"/>
  <c r="R31" i="18" s="1"/>
  <c r="T8" i="9"/>
  <c r="T9" i="9" s="1"/>
  <c r="T10" i="9" s="1"/>
  <c r="V123" i="23"/>
  <c r="N34" i="31"/>
  <c r="N18" i="31"/>
  <c r="J27" i="31"/>
  <c r="J31" i="31"/>
  <c r="L43" i="29"/>
  <c r="L44" i="29" s="1"/>
  <c r="L38" i="29"/>
  <c r="M36" i="29" s="1"/>
  <c r="U151" i="23"/>
  <c r="J10" i="26"/>
  <c r="J12" i="26" s="1"/>
  <c r="U174" i="23"/>
  <c r="K8" i="26"/>
  <c r="M32" i="31"/>
  <c r="P115" i="2"/>
  <c r="L116" i="18"/>
  <c r="L117" i="18" s="1"/>
  <c r="M45" i="7"/>
  <c r="O26" i="2" s="1"/>
  <c r="P12" i="7"/>
  <c r="Q11" i="7" s="1"/>
  <c r="Q19" i="2"/>
  <c r="Q35" i="23"/>
  <c r="O18" i="7"/>
  <c r="N19" i="7"/>
  <c r="N35" i="7"/>
  <c r="N30" i="7"/>
  <c r="J68" i="17"/>
  <c r="J70" i="17" s="1"/>
  <c r="J72" i="17" s="1"/>
  <c r="J74" i="17" s="1"/>
  <c r="J25" i="19"/>
  <c r="N160" i="2"/>
  <c r="N27" i="2"/>
  <c r="M42" i="7"/>
  <c r="N176" i="23"/>
  <c r="N177" i="23" s="1"/>
  <c r="N181" i="23" s="1"/>
  <c r="N43" i="23"/>
  <c r="N49" i="23" s="1"/>
  <c r="Z7" i="7"/>
  <c r="Y8" i="7"/>
  <c r="L33" i="7"/>
  <c r="Z65" i="3" l="1"/>
  <c r="Y24" i="4"/>
  <c r="AA65" i="3"/>
  <c r="Z24" i="4"/>
  <c r="O42" i="23"/>
  <c r="O176" i="23" s="1"/>
  <c r="O177" i="23" s="1"/>
  <c r="O181" i="23" s="1"/>
  <c r="M33" i="7"/>
  <c r="Y70" i="3"/>
  <c r="M39" i="29"/>
  <c r="N33" i="29"/>
  <c r="V96" i="18"/>
  <c r="V97" i="18" s="1"/>
  <c r="U90" i="18"/>
  <c r="U92" i="18" s="1"/>
  <c r="U98" i="18" s="1"/>
  <c r="W29" i="9"/>
  <c r="Z5" i="9"/>
  <c r="X23" i="17"/>
  <c r="X32" i="17"/>
  <c r="X20" i="17"/>
  <c r="X21" i="17" s="1"/>
  <c r="Z6" i="9"/>
  <c r="Z33" i="3"/>
  <c r="Z34" i="3" s="1"/>
  <c r="Z36" i="3" s="1"/>
  <c r="Z52" i="3"/>
  <c r="Z53" i="3" s="1"/>
  <c r="Z40" i="3"/>
  <c r="Z49" i="3" s="1"/>
  <c r="O34" i="17"/>
  <c r="O37" i="17" s="1"/>
  <c r="O23" i="19"/>
  <c r="O30" i="29"/>
  <c r="V106" i="2"/>
  <c r="R9" i="18" s="1"/>
  <c r="R12" i="18" s="1"/>
  <c r="R32" i="18" s="1"/>
  <c r="R51" i="18" s="1"/>
  <c r="R69" i="18" s="1"/>
  <c r="V122" i="23"/>
  <c r="T11" i="9"/>
  <c r="Y86" i="3"/>
  <c r="Y72" i="3" s="1"/>
  <c r="AA67" i="23"/>
  <c r="AA142" i="23" s="1"/>
  <c r="AA51" i="2"/>
  <c r="AA126" i="2" s="1"/>
  <c r="W17" i="17"/>
  <c r="Y4" i="9"/>
  <c r="L39" i="29"/>
  <c r="K10" i="26"/>
  <c r="K12" i="26" s="1"/>
  <c r="V151" i="23"/>
  <c r="V174" i="23"/>
  <c r="N42" i="29"/>
  <c r="M47" i="29"/>
  <c r="S12" i="9"/>
  <c r="U69" i="23"/>
  <c r="U179" i="23" s="1"/>
  <c r="U53" i="2"/>
  <c r="U163" i="2" s="1"/>
  <c r="P24" i="22" s="1"/>
  <c r="P25" i="22" s="1"/>
  <c r="Z14" i="3"/>
  <c r="Z23" i="3" s="1"/>
  <c r="Z7" i="3"/>
  <c r="Z8" i="3" s="1"/>
  <c r="Z10" i="3" s="1"/>
  <c r="AC3" i="23" s="1"/>
  <c r="AB165" i="23"/>
  <c r="AB149" i="2"/>
  <c r="Z26" i="3"/>
  <c r="Z27" i="3" s="1"/>
  <c r="T7" i="22"/>
  <c r="Y18" i="2"/>
  <c r="Y151" i="2"/>
  <c r="Y152" i="2" s="1"/>
  <c r="W2" i="9"/>
  <c r="U7" i="17"/>
  <c r="U10" i="17" s="1"/>
  <c r="U13" i="17" s="1"/>
  <c r="AA166" i="23"/>
  <c r="AA170" i="23" s="1"/>
  <c r="AA150" i="2"/>
  <c r="AA154" i="2" s="1"/>
  <c r="W20" i="19"/>
  <c r="Y57" i="3"/>
  <c r="X57" i="3"/>
  <c r="Y55" i="3"/>
  <c r="Y78" i="3" s="1"/>
  <c r="Y83" i="3"/>
  <c r="Y59" i="3"/>
  <c r="AB6" i="2" s="1"/>
  <c r="U127" i="23"/>
  <c r="U159" i="23"/>
  <c r="U154" i="23"/>
  <c r="W70" i="23"/>
  <c r="U8" i="9"/>
  <c r="U9" i="9" s="1"/>
  <c r="U10" i="9" s="1"/>
  <c r="W123" i="23"/>
  <c r="W107" i="2"/>
  <c r="S15" i="18" s="1"/>
  <c r="S31" i="18" s="1"/>
  <c r="W54" i="2"/>
  <c r="S28" i="22"/>
  <c r="S8" i="22"/>
  <c r="Y9" i="23"/>
  <c r="P7" i="31" s="1"/>
  <c r="P3" i="31"/>
  <c r="Y7" i="23"/>
  <c r="Y167" i="23"/>
  <c r="Y168" i="23" s="1"/>
  <c r="O31" i="29"/>
  <c r="O32" i="29" s="1"/>
  <c r="Y69" i="3"/>
  <c r="Y29" i="3"/>
  <c r="L9" i="26"/>
  <c r="N19" i="31"/>
  <c r="Z47" i="2"/>
  <c r="Z121" i="2" s="1"/>
  <c r="Z63" i="23"/>
  <c r="Z137" i="23" s="1"/>
  <c r="U21" i="19"/>
  <c r="AA66" i="23"/>
  <c r="AA141" i="23" s="1"/>
  <c r="AA50" i="2"/>
  <c r="AA125" i="2" s="1"/>
  <c r="Y84" i="3"/>
  <c r="X2" i="9"/>
  <c r="Z151" i="2"/>
  <c r="Z152" i="2" s="1"/>
  <c r="Z18" i="2"/>
  <c r="U7" i="22"/>
  <c r="V7" i="17"/>
  <c r="V10" i="17" s="1"/>
  <c r="V13" i="17" s="1"/>
  <c r="K31" i="31"/>
  <c r="K27" i="31"/>
  <c r="Y28" i="9"/>
  <c r="AA17" i="2"/>
  <c r="W24" i="17" s="1"/>
  <c r="W16" i="17"/>
  <c r="Y3" i="9"/>
  <c r="L45" i="29"/>
  <c r="X158" i="2"/>
  <c r="S10" i="22" s="1"/>
  <c r="S11" i="22" s="1"/>
  <c r="X135" i="2"/>
  <c r="O6" i="31"/>
  <c r="N37" i="29"/>
  <c r="X33" i="23"/>
  <c r="Y68" i="3"/>
  <c r="M42" i="29"/>
  <c r="M45" i="29" s="1"/>
  <c r="L47" i="29"/>
  <c r="L49" i="29" s="1"/>
  <c r="K17" i="26" s="1"/>
  <c r="Y82" i="3"/>
  <c r="Y58" i="3"/>
  <c r="AB5" i="2" s="1"/>
  <c r="W30" i="9"/>
  <c r="V32" i="9"/>
  <c r="V7" i="9" s="1"/>
  <c r="L21" i="31"/>
  <c r="L29" i="31"/>
  <c r="AA54" i="3"/>
  <c r="Z60" i="3"/>
  <c r="AC8" i="2" s="1"/>
  <c r="L10" i="26"/>
  <c r="L12" i="26" s="1"/>
  <c r="W151" i="23"/>
  <c r="W174" i="23"/>
  <c r="Z9" i="23"/>
  <c r="Q7" i="31" s="1"/>
  <c r="Z7" i="23"/>
  <c r="P31" i="29"/>
  <c r="P32" i="29" s="1"/>
  <c r="Z167" i="23"/>
  <c r="Z168" i="23" s="1"/>
  <c r="Q3" i="31"/>
  <c r="K9" i="26"/>
  <c r="M19" i="31"/>
  <c r="Z122" i="2"/>
  <c r="V91" i="18" s="1"/>
  <c r="Z64" i="23"/>
  <c r="Z48" i="2"/>
  <c r="Z138" i="23"/>
  <c r="X77" i="3"/>
  <c r="X79" i="3" s="1"/>
  <c r="X63" i="3"/>
  <c r="AA4" i="3"/>
  <c r="AA28" i="3" s="1"/>
  <c r="AB4" i="3"/>
  <c r="AB54" i="3" s="1"/>
  <c r="AA32" i="3"/>
  <c r="AB32" i="3"/>
  <c r="X124" i="2"/>
  <c r="T84" i="18" s="1"/>
  <c r="T88" i="18" s="1"/>
  <c r="X49" i="2"/>
  <c r="X140" i="23"/>
  <c r="X65" i="23"/>
  <c r="V22" i="19"/>
  <c r="O5" i="31"/>
  <c r="M7" i="26"/>
  <c r="T21" i="2"/>
  <c r="Q85" i="3"/>
  <c r="Q71" i="3" s="1"/>
  <c r="M46" i="7"/>
  <c r="N21" i="7"/>
  <c r="N22" i="7"/>
  <c r="N24" i="7" s="1"/>
  <c r="N25" i="7" s="1"/>
  <c r="O23" i="7" s="1"/>
  <c r="R19" i="2"/>
  <c r="P18" i="7"/>
  <c r="R35" i="23"/>
  <c r="Q38" i="23"/>
  <c r="Q175" i="23"/>
  <c r="Q62" i="23"/>
  <c r="Q130" i="23" s="1"/>
  <c r="Q131" i="23" s="1"/>
  <c r="Q41" i="23"/>
  <c r="Q178" i="23"/>
  <c r="N37" i="7"/>
  <c r="N43" i="7"/>
  <c r="N44" i="7" s="1"/>
  <c r="M47" i="21"/>
  <c r="Q162" i="2"/>
  <c r="L21" i="22" s="1"/>
  <c r="L22" i="22" s="1"/>
  <c r="Q22" i="2"/>
  <c r="Q46" i="2"/>
  <c r="Q114" i="2" s="1"/>
  <c r="M26" i="19"/>
  <c r="Q159" i="2"/>
  <c r="L13" i="22" s="1"/>
  <c r="L14" i="22" s="1"/>
  <c r="O17" i="7"/>
  <c r="M25" i="17"/>
  <c r="M28" i="17" s="1"/>
  <c r="M31" i="17" s="1"/>
  <c r="M33" i="17" s="1"/>
  <c r="M38" i="17" s="1"/>
  <c r="M66" i="17" s="1"/>
  <c r="Q25" i="2"/>
  <c r="O16" i="7" s="1"/>
  <c r="Q12" i="7"/>
  <c r="R11" i="7" s="1"/>
  <c r="K68" i="17"/>
  <c r="K70" i="17" s="1"/>
  <c r="K72" i="17" s="1"/>
  <c r="K74" i="17" s="1"/>
  <c r="K25" i="19"/>
  <c r="O160" i="2"/>
  <c r="O27" i="2"/>
  <c r="N33" i="2"/>
  <c r="O43" i="23"/>
  <c r="O49" i="23" s="1"/>
  <c r="AA7" i="7"/>
  <c r="Z8" i="7"/>
  <c r="I16" i="22"/>
  <c r="I18" i="22" s="1"/>
  <c r="N161" i="2"/>
  <c r="N165" i="2" s="1"/>
  <c r="Z84" i="3" l="1"/>
  <c r="V21" i="19"/>
  <c r="W18" i="17"/>
  <c r="Z68" i="3"/>
  <c r="Z70" i="3"/>
  <c r="J14" i="26"/>
  <c r="J18" i="26" s="1"/>
  <c r="J19" i="26" s="1"/>
  <c r="J27" i="26" s="1"/>
  <c r="J29" i="26" s="1"/>
  <c r="W96" i="18"/>
  <c r="W97" i="18" s="1"/>
  <c r="X29" i="9"/>
  <c r="V90" i="18"/>
  <c r="V92" i="18" s="1"/>
  <c r="V98" i="18" s="1"/>
  <c r="AC54" i="3"/>
  <c r="AB60" i="3"/>
  <c r="AE8" i="2" s="1"/>
  <c r="Y65" i="23"/>
  <c r="Y49" i="2"/>
  <c r="Y140" i="23"/>
  <c r="Y124" i="2"/>
  <c r="U84" i="18" s="1"/>
  <c r="U88" i="18" s="1"/>
  <c r="Z29" i="3"/>
  <c r="Z69" i="3"/>
  <c r="M49" i="29"/>
  <c r="L17" i="26" s="1"/>
  <c r="AB51" i="2"/>
  <c r="AB126" i="2" s="1"/>
  <c r="AB67" i="23"/>
  <c r="AB142" i="23" s="1"/>
  <c r="AB66" i="23"/>
  <c r="AB141" i="23" s="1"/>
  <c r="AB50" i="2"/>
  <c r="AB125" i="2" s="1"/>
  <c r="AD165" i="23"/>
  <c r="AB40" i="3"/>
  <c r="AB52" i="3"/>
  <c r="AB53" i="3" s="1"/>
  <c r="AB33" i="3"/>
  <c r="AB34" i="3" s="1"/>
  <c r="AB36" i="3" s="1"/>
  <c r="AD149" i="2"/>
  <c r="AA60" i="3"/>
  <c r="AD8" i="2" s="1"/>
  <c r="O34" i="31"/>
  <c r="O18" i="31"/>
  <c r="V53" i="2"/>
  <c r="V163" i="2" s="1"/>
  <c r="Q24" i="22" s="1"/>
  <c r="Q25" i="22" s="1"/>
  <c r="T12" i="9"/>
  <c r="V69" i="23"/>
  <c r="V179" i="23" s="1"/>
  <c r="X30" i="9"/>
  <c r="W32" i="9"/>
  <c r="W7" i="9" s="1"/>
  <c r="AA33" i="3"/>
  <c r="AA34" i="3" s="1"/>
  <c r="AA36" i="3" s="1"/>
  <c r="AA52" i="3"/>
  <c r="AA53" i="3" s="1"/>
  <c r="AA40" i="3"/>
  <c r="AA49" i="3" s="1"/>
  <c r="Q6" i="31"/>
  <c r="P37" i="29"/>
  <c r="Z33" i="23"/>
  <c r="Z28" i="9"/>
  <c r="AB17" i="2"/>
  <c r="X24" i="17" s="1"/>
  <c r="X16" i="17"/>
  <c r="Z3" i="9"/>
  <c r="W22" i="19"/>
  <c r="AA63" i="23"/>
  <c r="AA137" i="23" s="1"/>
  <c r="AA47" i="2"/>
  <c r="AA121" i="2" s="1"/>
  <c r="U28" i="22"/>
  <c r="U8" i="22"/>
  <c r="N21" i="31"/>
  <c r="N29" i="31"/>
  <c r="O37" i="29"/>
  <c r="P6" i="31"/>
  <c r="Y33" i="23"/>
  <c r="W106" i="2"/>
  <c r="S9" i="18" s="1"/>
  <c r="S12" i="18" s="1"/>
  <c r="S32" i="18" s="1"/>
  <c r="S51" i="18" s="1"/>
  <c r="S69" i="18" s="1"/>
  <c r="W122" i="23"/>
  <c r="U11" i="9"/>
  <c r="AA3" i="2"/>
  <c r="Y158" i="2"/>
  <c r="T10" i="22" s="1"/>
  <c r="T11" i="22" s="1"/>
  <c r="Y135" i="2"/>
  <c r="AA48" i="2"/>
  <c r="AA122" i="2"/>
  <c r="W91" i="18" s="1"/>
  <c r="AA64" i="23"/>
  <c r="AA138" i="23"/>
  <c r="V127" i="23"/>
  <c r="V159" i="23"/>
  <c r="V154" i="23"/>
  <c r="O33" i="29"/>
  <c r="Z83" i="3"/>
  <c r="Z55" i="3"/>
  <c r="Z78" i="3" s="1"/>
  <c r="Z59" i="3"/>
  <c r="AC6" i="2" s="1"/>
  <c r="P34" i="17"/>
  <c r="P37" i="17" s="1"/>
  <c r="P23" i="19"/>
  <c r="M21" i="31"/>
  <c r="M29" i="31"/>
  <c r="AA5" i="9"/>
  <c r="AA6" i="9"/>
  <c r="Y23" i="17"/>
  <c r="Y32" i="17"/>
  <c r="Y20" i="17"/>
  <c r="Y21" i="17" s="1"/>
  <c r="X70" i="23"/>
  <c r="V8" i="9"/>
  <c r="V9" i="9" s="1"/>
  <c r="V10" i="9" s="1"/>
  <c r="X54" i="2"/>
  <c r="X107" i="2"/>
  <c r="T15" i="18" s="1"/>
  <c r="T31" i="18" s="1"/>
  <c r="X123" i="23"/>
  <c r="N43" i="29"/>
  <c r="N44" i="29" s="1"/>
  <c r="N38" i="29"/>
  <c r="O36" i="29" s="1"/>
  <c r="P30" i="29"/>
  <c r="P33" i="29" s="1"/>
  <c r="Q30" i="29"/>
  <c r="Z65" i="23"/>
  <c r="Z124" i="2"/>
  <c r="V84" i="18" s="1"/>
  <c r="V88" i="18" s="1"/>
  <c r="Z140" i="23"/>
  <c r="Z49" i="2"/>
  <c r="Z58" i="3"/>
  <c r="AC5" i="2" s="1"/>
  <c r="M8" i="26"/>
  <c r="O32" i="31"/>
  <c r="AA14" i="3"/>
  <c r="AA23" i="3" s="1"/>
  <c r="AC165" i="23"/>
  <c r="AA7" i="3"/>
  <c r="AA8" i="3" s="1"/>
  <c r="AA10" i="3" s="1"/>
  <c r="AD3" i="23" s="1"/>
  <c r="AC149" i="2"/>
  <c r="AA26" i="3"/>
  <c r="AA27" i="3" s="1"/>
  <c r="Q5" i="31"/>
  <c r="O7" i="26"/>
  <c r="L30" i="31"/>
  <c r="L23" i="31"/>
  <c r="L25" i="31" s="1"/>
  <c r="X51" i="23"/>
  <c r="X34" i="23"/>
  <c r="Z135" i="2"/>
  <c r="Z158" i="2"/>
  <c r="U10" i="22" s="1"/>
  <c r="U11" i="22" s="1"/>
  <c r="N7" i="26"/>
  <c r="P5" i="31"/>
  <c r="Z4" i="9"/>
  <c r="X17" i="17"/>
  <c r="AB3" i="2"/>
  <c r="T8" i="22"/>
  <c r="T28" i="22"/>
  <c r="AB166" i="23"/>
  <c r="AB170" i="23" s="1"/>
  <c r="AB150" i="2"/>
  <c r="AB154" i="2" s="1"/>
  <c r="X20" i="19"/>
  <c r="U21" i="2"/>
  <c r="R85" i="3"/>
  <c r="R71" i="3" s="1"/>
  <c r="Y63" i="3"/>
  <c r="Y77" i="3"/>
  <c r="Y79" i="3" s="1"/>
  <c r="Z82" i="3"/>
  <c r="Z86" i="3"/>
  <c r="Z72" i="3" s="1"/>
  <c r="N26" i="7"/>
  <c r="N31" i="7" s="1"/>
  <c r="N33" i="7" s="1"/>
  <c r="O19" i="7"/>
  <c r="O35" i="7"/>
  <c r="O30" i="7"/>
  <c r="Q115" i="2"/>
  <c r="M116" i="18"/>
  <c r="M117" i="18" s="1"/>
  <c r="R38" i="23"/>
  <c r="R178" i="23"/>
  <c r="R175" i="23"/>
  <c r="R62" i="23"/>
  <c r="R130" i="23" s="1"/>
  <c r="R131" i="23" s="1"/>
  <c r="R41" i="23"/>
  <c r="R12" i="7"/>
  <c r="S11" i="7" s="1"/>
  <c r="N45" i="7"/>
  <c r="N39" i="7"/>
  <c r="N41" i="7" s="1"/>
  <c r="Q18" i="7"/>
  <c r="S35" i="23"/>
  <c r="S19" i="2"/>
  <c r="N25" i="17"/>
  <c r="N28" i="17" s="1"/>
  <c r="N31" i="17" s="1"/>
  <c r="N33" i="17" s="1"/>
  <c r="N38" i="17" s="1"/>
  <c r="N66" i="17" s="1"/>
  <c r="P17" i="7"/>
  <c r="R46" i="2"/>
  <c r="R114" i="2" s="1"/>
  <c r="R25" i="2"/>
  <c r="P16" i="7" s="1"/>
  <c r="R162" i="2"/>
  <c r="M21" i="22" s="1"/>
  <c r="M22" i="22" s="1"/>
  <c r="R22" i="2"/>
  <c r="N47" i="21"/>
  <c r="N26" i="19"/>
  <c r="R159" i="2"/>
  <c r="M13" i="22" s="1"/>
  <c r="M14" i="22" s="1"/>
  <c r="I19" i="22"/>
  <c r="I30" i="22"/>
  <c r="I31" i="22" s="1"/>
  <c r="J16" i="22"/>
  <c r="J18" i="22" s="1"/>
  <c r="O161" i="2"/>
  <c r="O165" i="2" s="1"/>
  <c r="AB7" i="7"/>
  <c r="AA8" i="7"/>
  <c r="O33" i="2"/>
  <c r="X22" i="19" l="1"/>
  <c r="AA68" i="3"/>
  <c r="AA70" i="3"/>
  <c r="B37" i="26"/>
  <c r="F37" i="26" s="1"/>
  <c r="N45" i="29"/>
  <c r="K14" i="26"/>
  <c r="K18" i="26" s="1"/>
  <c r="K19" i="26" s="1"/>
  <c r="K27" i="26" s="1"/>
  <c r="K29" i="26" s="1"/>
  <c r="Y29" i="9"/>
  <c r="W90" i="18"/>
  <c r="W92" i="18" s="1"/>
  <c r="W98" i="18" s="1"/>
  <c r="AC141" i="23"/>
  <c r="X96" i="18"/>
  <c r="X97" i="18" s="1"/>
  <c r="Q34" i="17"/>
  <c r="Q37" i="17" s="1"/>
  <c r="Q23" i="19"/>
  <c r="AB9" i="23"/>
  <c r="S7" i="31" s="1"/>
  <c r="AB167" i="23"/>
  <c r="AB168" i="23" s="1"/>
  <c r="S3" i="31"/>
  <c r="R31" i="29"/>
  <c r="R32" i="29" s="1"/>
  <c r="AB7" i="23"/>
  <c r="X174" i="23"/>
  <c r="X151" i="23"/>
  <c r="M10" i="26"/>
  <c r="M12" i="26" s="1"/>
  <c r="AC67" i="23"/>
  <c r="AC142" i="23" s="1"/>
  <c r="AC51" i="2"/>
  <c r="AC126" i="2" s="1"/>
  <c r="Y51" i="23"/>
  <c r="Y34" i="23"/>
  <c r="AA82" i="3"/>
  <c r="AA58" i="3"/>
  <c r="AD5" i="2" s="1"/>
  <c r="Z57" i="3"/>
  <c r="Y20" i="19"/>
  <c r="AC150" i="2"/>
  <c r="AC154" i="2" s="1"/>
  <c r="AC166" i="23"/>
  <c r="AC170" i="23" s="1"/>
  <c r="AC66" i="23"/>
  <c r="AC50" i="2"/>
  <c r="AC125" i="2" s="1"/>
  <c r="U12" i="9"/>
  <c r="W69" i="23"/>
  <c r="W179" i="23" s="1"/>
  <c r="W53" i="2"/>
  <c r="W163" i="2" s="1"/>
  <c r="R24" i="22" s="1"/>
  <c r="R25" i="22" s="1"/>
  <c r="P34" i="31"/>
  <c r="P18" i="31"/>
  <c r="Z51" i="23"/>
  <c r="Z34" i="23"/>
  <c r="AA55" i="3"/>
  <c r="AA78" i="3" s="1"/>
  <c r="AA83" i="3"/>
  <c r="AA59" i="3"/>
  <c r="AD6" i="2" s="1"/>
  <c r="AB84" i="3"/>
  <c r="AD166" i="23"/>
  <c r="AD170" i="23" s="1"/>
  <c r="AB86" i="3"/>
  <c r="AC34" i="3"/>
  <c r="AD150" i="2"/>
  <c r="Z20" i="19"/>
  <c r="AA32" i="17"/>
  <c r="AA23" i="17"/>
  <c r="AC6" i="9"/>
  <c r="AA20" i="17"/>
  <c r="AA21" i="17" s="1"/>
  <c r="AC5" i="9"/>
  <c r="Y30" i="9"/>
  <c r="X32" i="9"/>
  <c r="X7" i="9" s="1"/>
  <c r="N39" i="29"/>
  <c r="N8" i="26"/>
  <c r="P32" i="31"/>
  <c r="AA9" i="23"/>
  <c r="R7" i="31" s="1"/>
  <c r="AA167" i="23"/>
  <c r="AA168" i="23" s="1"/>
  <c r="Q31" i="29"/>
  <c r="Q32" i="29" s="1"/>
  <c r="AA7" i="23"/>
  <c r="R3" i="31"/>
  <c r="N30" i="31"/>
  <c r="N23" i="31"/>
  <c r="N25" i="31" s="1"/>
  <c r="M9" i="26"/>
  <c r="O19" i="31"/>
  <c r="W21" i="19"/>
  <c r="AB122" i="2"/>
  <c r="X91" i="18" s="1"/>
  <c r="AB64" i="23"/>
  <c r="AB138" i="23"/>
  <c r="AB48" i="2"/>
  <c r="L31" i="31"/>
  <c r="L27" i="31"/>
  <c r="Q32" i="31"/>
  <c r="O8" i="26"/>
  <c r="AC17" i="2"/>
  <c r="Y24" i="17" s="1"/>
  <c r="Y16" i="17"/>
  <c r="AA28" i="9"/>
  <c r="AA3" i="9"/>
  <c r="Q33" i="29"/>
  <c r="Y17" i="17"/>
  <c r="AA4" i="9"/>
  <c r="W127" i="23"/>
  <c r="W159" i="23"/>
  <c r="W154" i="23"/>
  <c r="O38" i="29"/>
  <c r="P36" i="29" s="1"/>
  <c r="O43" i="29"/>
  <c r="O44" i="29" s="1"/>
  <c r="AB63" i="23"/>
  <c r="AB137" i="23" s="1"/>
  <c r="AB47" i="2"/>
  <c r="AB121" i="2" s="1"/>
  <c r="P38" i="29"/>
  <c r="Q36" i="29" s="1"/>
  <c r="P43" i="29"/>
  <c r="P44" i="29" s="1"/>
  <c r="AA86" i="3"/>
  <c r="AA72" i="3" s="1"/>
  <c r="S85" i="3"/>
  <c r="S71" i="3" s="1"/>
  <c r="V21" i="2"/>
  <c r="AA84" i="3"/>
  <c r="AB83" i="3"/>
  <c r="AC53" i="3"/>
  <c r="AB59" i="3"/>
  <c r="AE6" i="2" s="1"/>
  <c r="Z77" i="3"/>
  <c r="Z79" i="3" s="1"/>
  <c r="Z63" i="3"/>
  <c r="AB151" i="2"/>
  <c r="AB152" i="2" s="1"/>
  <c r="AB18" i="2"/>
  <c r="X7" i="17"/>
  <c r="X10" i="17" s="1"/>
  <c r="X13" i="17" s="1"/>
  <c r="Z2" i="9"/>
  <c r="W7" i="22"/>
  <c r="AA69" i="3"/>
  <c r="AA29" i="3"/>
  <c r="O42" i="29"/>
  <c r="N47" i="29"/>
  <c r="N49" i="29" s="1"/>
  <c r="M17" i="26" s="1"/>
  <c r="V11" i="9"/>
  <c r="X106" i="2"/>
  <c r="T9" i="18" s="1"/>
  <c r="T12" i="18" s="1"/>
  <c r="T32" i="18" s="1"/>
  <c r="T51" i="18" s="1"/>
  <c r="T69" i="18" s="1"/>
  <c r="X122" i="23"/>
  <c r="M23" i="31"/>
  <c r="M25" i="31" s="1"/>
  <c r="M30" i="31"/>
  <c r="AA151" i="2"/>
  <c r="AA152" i="2" s="1"/>
  <c r="AA18" i="2"/>
  <c r="Y2" i="9"/>
  <c r="W7" i="17"/>
  <c r="W10" i="17" s="1"/>
  <c r="W13" i="17" s="1"/>
  <c r="V7" i="22"/>
  <c r="X18" i="17"/>
  <c r="L14" i="26"/>
  <c r="L18" i="26" s="1"/>
  <c r="L19" i="26" s="1"/>
  <c r="L27" i="26" s="1"/>
  <c r="L29" i="26" s="1"/>
  <c r="Q34" i="31"/>
  <c r="Q18" i="31"/>
  <c r="Y70" i="23"/>
  <c r="Y54" i="2"/>
  <c r="Y123" i="23"/>
  <c r="Y107" i="2"/>
  <c r="U15" i="18" s="1"/>
  <c r="U31" i="18" s="1"/>
  <c r="W8" i="9"/>
  <c r="W9" i="9" s="1"/>
  <c r="W10" i="9" s="1"/>
  <c r="AB5" i="9"/>
  <c r="AB6" i="9"/>
  <c r="Z23" i="17"/>
  <c r="Z32" i="17"/>
  <c r="Z20" i="17"/>
  <c r="Z21" i="17" s="1"/>
  <c r="AC40" i="3"/>
  <c r="AB49" i="3"/>
  <c r="AB55" i="3" s="1"/>
  <c r="AB78" i="3" s="1"/>
  <c r="N32" i="7"/>
  <c r="O29" i="7" s="1"/>
  <c r="N116" i="18"/>
  <c r="N117" i="18" s="1"/>
  <c r="R115" i="2"/>
  <c r="S12" i="7"/>
  <c r="T11" i="7" s="1"/>
  <c r="T19" i="2"/>
  <c r="R18" i="7"/>
  <c r="T35" i="23"/>
  <c r="N42" i="7"/>
  <c r="P30" i="7"/>
  <c r="P19" i="7"/>
  <c r="P35" i="7"/>
  <c r="S162" i="2"/>
  <c r="N21" i="22" s="1"/>
  <c r="N22" i="22" s="1"/>
  <c r="Q17" i="7"/>
  <c r="O47" i="21"/>
  <c r="S25" i="2"/>
  <c r="Q16" i="7" s="1"/>
  <c r="Q30" i="7" s="1"/>
  <c r="O25" i="17"/>
  <c r="O28" i="17" s="1"/>
  <c r="O31" i="17" s="1"/>
  <c r="O33" i="17" s="1"/>
  <c r="O38" i="17" s="1"/>
  <c r="O66" i="17" s="1"/>
  <c r="S22" i="2"/>
  <c r="S46" i="2"/>
  <c r="S114" i="2" s="1"/>
  <c r="O26" i="19"/>
  <c r="S159" i="2"/>
  <c r="N13" i="22" s="1"/>
  <c r="N14" i="22" s="1"/>
  <c r="P42" i="23"/>
  <c r="P26" i="2"/>
  <c r="N46" i="7"/>
  <c r="O37" i="7"/>
  <c r="O43" i="7"/>
  <c r="O44" i="7" s="1"/>
  <c r="S38" i="23"/>
  <c r="S178" i="23"/>
  <c r="S175" i="23"/>
  <c r="S62" i="23"/>
  <c r="S130" i="23" s="1"/>
  <c r="S41" i="23"/>
  <c r="O21" i="7"/>
  <c r="O22" i="7"/>
  <c r="O24" i="7" s="1"/>
  <c r="O25" i="7" s="1"/>
  <c r="P23" i="7" s="1"/>
  <c r="J30" i="22"/>
  <c r="J31" i="22" s="1"/>
  <c r="J19" i="22"/>
  <c r="AC7" i="7"/>
  <c r="AC8" i="7" s="1"/>
  <c r="AB8" i="7"/>
  <c r="X21" i="19" l="1"/>
  <c r="Y22" i="19"/>
  <c r="Y18" i="17"/>
  <c r="O45" i="29"/>
  <c r="Y96" i="18"/>
  <c r="Y97" i="18" s="1"/>
  <c r="AD126" i="2"/>
  <c r="Z29" i="9"/>
  <c r="X90" i="18"/>
  <c r="X92" i="18" s="1"/>
  <c r="X98" i="18" s="1"/>
  <c r="AC64" i="23"/>
  <c r="AC48" i="2"/>
  <c r="AC122" i="2"/>
  <c r="Y91" i="18" s="1"/>
  <c r="AC138" i="23"/>
  <c r="AC47" i="2"/>
  <c r="AC121" i="2" s="1"/>
  <c r="AC63" i="23"/>
  <c r="AC137" i="23" s="1"/>
  <c r="N31" i="31"/>
  <c r="N27" i="31"/>
  <c r="Z151" i="23"/>
  <c r="Z174" i="23"/>
  <c r="O10" i="26"/>
  <c r="O12" i="26" s="1"/>
  <c r="AD51" i="2"/>
  <c r="AD67" i="23"/>
  <c r="AD142" i="23" s="1"/>
  <c r="X53" i="2"/>
  <c r="X163" i="2" s="1"/>
  <c r="S24" i="22" s="1"/>
  <c r="S25" i="22" s="1"/>
  <c r="V12" i="9"/>
  <c r="X69" i="23"/>
  <c r="X179" i="23" s="1"/>
  <c r="R30" i="29"/>
  <c r="R33" i="29" s="1"/>
  <c r="AE66" i="23"/>
  <c r="AE50" i="2"/>
  <c r="AA20" i="19"/>
  <c r="AE166" i="23"/>
  <c r="AE170" i="23" s="1"/>
  <c r="AE150" i="2"/>
  <c r="AB4" i="9"/>
  <c r="Z17" i="17"/>
  <c r="Y151" i="23"/>
  <c r="N10" i="26"/>
  <c r="N12" i="26" s="1"/>
  <c r="Y174" i="23"/>
  <c r="R37" i="29"/>
  <c r="S6" i="31"/>
  <c r="AB33" i="23"/>
  <c r="O9" i="26"/>
  <c r="Q19" i="31"/>
  <c r="V28" i="22"/>
  <c r="V8" i="22"/>
  <c r="AB65" i="23"/>
  <c r="AB124" i="2"/>
  <c r="X84" i="18" s="1"/>
  <c r="X88" i="18" s="1"/>
  <c r="AB140" i="23"/>
  <c r="AB49" i="2"/>
  <c r="P39" i="29"/>
  <c r="R6" i="31"/>
  <c r="Q37" i="29"/>
  <c r="AA33" i="23"/>
  <c r="AB57" i="3"/>
  <c r="AB77" i="3"/>
  <c r="AC36" i="3"/>
  <c r="AD66" i="23"/>
  <c r="AD141" i="23" s="1"/>
  <c r="AD50" i="2"/>
  <c r="AD125" i="2" s="1"/>
  <c r="Z96" i="18" s="1"/>
  <c r="Z97" i="18" s="1"/>
  <c r="AA49" i="2"/>
  <c r="AA140" i="23"/>
  <c r="AA124" i="2"/>
  <c r="W84" i="18" s="1"/>
  <c r="W88" i="18" s="1"/>
  <c r="AA65" i="23"/>
  <c r="M27" i="31"/>
  <c r="M31" i="31"/>
  <c r="AB135" i="2"/>
  <c r="AB158" i="2"/>
  <c r="W10" i="22" s="1"/>
  <c r="W11" i="22" s="1"/>
  <c r="AC4" i="9"/>
  <c r="AA17" i="17"/>
  <c r="AA77" i="3"/>
  <c r="AA79" i="3" s="1"/>
  <c r="AA63" i="3"/>
  <c r="O39" i="29"/>
  <c r="O21" i="31"/>
  <c r="O29" i="31"/>
  <c r="AC3" i="2"/>
  <c r="S30" i="29"/>
  <c r="AB58" i="3"/>
  <c r="AE5" i="2" s="1"/>
  <c r="AB82" i="3"/>
  <c r="Z22" i="19" s="1"/>
  <c r="AC49" i="3"/>
  <c r="Y122" i="23"/>
  <c r="W11" i="9"/>
  <c r="Y106" i="2"/>
  <c r="U9" i="18" s="1"/>
  <c r="U12" i="18" s="1"/>
  <c r="U32" i="18" s="1"/>
  <c r="U51" i="18" s="1"/>
  <c r="U69" i="18" s="1"/>
  <c r="AA135" i="2"/>
  <c r="AA158" i="2"/>
  <c r="V10" i="22" s="1"/>
  <c r="V11" i="22" s="1"/>
  <c r="X154" i="23"/>
  <c r="X127" i="23"/>
  <c r="X159" i="23"/>
  <c r="W28" i="22"/>
  <c r="W8" i="22"/>
  <c r="R34" i="17"/>
  <c r="R37" i="17" s="1"/>
  <c r="R23" i="19"/>
  <c r="Q42" i="29"/>
  <c r="P47" i="29"/>
  <c r="P42" i="29"/>
  <c r="P45" i="29" s="1"/>
  <c r="O47" i="29"/>
  <c r="O49" i="29" s="1"/>
  <c r="N17" i="26" s="1"/>
  <c r="R5" i="31"/>
  <c r="P7" i="26"/>
  <c r="Z70" i="23"/>
  <c r="X8" i="9"/>
  <c r="X9" i="9" s="1"/>
  <c r="X10" i="9" s="1"/>
  <c r="Z107" i="2"/>
  <c r="V15" i="18" s="1"/>
  <c r="V31" i="18" s="1"/>
  <c r="Z123" i="23"/>
  <c r="Z54" i="2"/>
  <c r="AE51" i="2"/>
  <c r="AE67" i="23"/>
  <c r="N9" i="26"/>
  <c r="P19" i="31"/>
  <c r="T85" i="3"/>
  <c r="T71" i="3" s="1"/>
  <c r="W21" i="2"/>
  <c r="AA57" i="3"/>
  <c r="AB3" i="9"/>
  <c r="AD17" i="2"/>
  <c r="Z24" i="17" s="1"/>
  <c r="Z16" i="17"/>
  <c r="AD154" i="2"/>
  <c r="AB28" i="9"/>
  <c r="Q7" i="26"/>
  <c r="S5" i="31"/>
  <c r="Z30" i="9"/>
  <c r="Y32" i="9"/>
  <c r="Y7" i="9" s="1"/>
  <c r="Q19" i="7"/>
  <c r="Q21" i="7" s="1"/>
  <c r="Q35" i="7"/>
  <c r="Q43" i="7" s="1"/>
  <c r="P43" i="7"/>
  <c r="P44" i="7" s="1"/>
  <c r="P37" i="7"/>
  <c r="R17" i="7"/>
  <c r="T46" i="2"/>
  <c r="T114" i="2" s="1"/>
  <c r="P25" i="17"/>
  <c r="P28" i="17" s="1"/>
  <c r="P31" i="17" s="1"/>
  <c r="P33" i="17" s="1"/>
  <c r="P38" i="17" s="1"/>
  <c r="P66" i="17" s="1"/>
  <c r="T162" i="2"/>
  <c r="O21" i="22" s="1"/>
  <c r="O22" i="22" s="1"/>
  <c r="T25" i="2"/>
  <c r="R16" i="7" s="1"/>
  <c r="R30" i="7" s="1"/>
  <c r="P26" i="19"/>
  <c r="T22" i="2"/>
  <c r="P47" i="21"/>
  <c r="T159" i="2"/>
  <c r="O13" i="22" s="1"/>
  <c r="O14" i="22" s="1"/>
  <c r="L25" i="19"/>
  <c r="L68" i="17"/>
  <c r="L70" i="17" s="1"/>
  <c r="L72" i="17" s="1"/>
  <c r="L74" i="17" s="1"/>
  <c r="P160" i="2"/>
  <c r="P27" i="2"/>
  <c r="S115" i="2"/>
  <c r="O116" i="18"/>
  <c r="O117" i="18" s="1"/>
  <c r="P22" i="7"/>
  <c r="P24" i="7" s="1"/>
  <c r="P25" i="7" s="1"/>
  <c r="P26" i="7" s="1"/>
  <c r="P21" i="7"/>
  <c r="T12" i="7"/>
  <c r="U11" i="7" s="1"/>
  <c r="O26" i="7"/>
  <c r="O31" i="7" s="1"/>
  <c r="S131" i="23"/>
  <c r="P176" i="23"/>
  <c r="P177" i="23" s="1"/>
  <c r="P181" i="23" s="1"/>
  <c r="P43" i="23"/>
  <c r="P49" i="23" s="1"/>
  <c r="T178" i="23"/>
  <c r="T175" i="23"/>
  <c r="T62" i="23"/>
  <c r="T130" i="23" s="1"/>
  <c r="T131" i="23" s="1"/>
  <c r="T41" i="23"/>
  <c r="T38" i="23"/>
  <c r="U35" i="23"/>
  <c r="S18" i="7"/>
  <c r="U19" i="2"/>
  <c r="O39" i="7"/>
  <c r="O41" i="7" s="1"/>
  <c r="O42" i="7" s="1"/>
  <c r="O45" i="7"/>
  <c r="Q37" i="7"/>
  <c r="Z18" i="17" l="1"/>
  <c r="AE142" i="23"/>
  <c r="Y21" i="19"/>
  <c r="Q22" i="7"/>
  <c r="Q24" i="7" s="1"/>
  <c r="Q25" i="7" s="1"/>
  <c r="Q26" i="7" s="1"/>
  <c r="M14" i="26"/>
  <c r="M18" i="26" s="1"/>
  <c r="M19" i="26" s="1"/>
  <c r="M27" i="26" s="1"/>
  <c r="M29" i="26" s="1"/>
  <c r="P49" i="29"/>
  <c r="O17" i="26" s="1"/>
  <c r="AA29" i="9"/>
  <c r="Y90" i="18"/>
  <c r="Y92" i="18" s="1"/>
  <c r="Y98" i="18" s="1"/>
  <c r="S23" i="19"/>
  <c r="S34" i="17"/>
  <c r="S37" i="17" s="1"/>
  <c r="AC28" i="9"/>
  <c r="AA16" i="17"/>
  <c r="AA18" i="17" s="1"/>
  <c r="AC3" i="9"/>
  <c r="AE154" i="2"/>
  <c r="AE17" i="2"/>
  <c r="AA24" i="17" s="1"/>
  <c r="AC9" i="23"/>
  <c r="T7" i="31" s="1"/>
  <c r="AC7" i="23"/>
  <c r="S31" i="29"/>
  <c r="S32" i="29" s="1"/>
  <c r="T3" i="31"/>
  <c r="AC167" i="23"/>
  <c r="AC168" i="23" s="1"/>
  <c r="AA70" i="23"/>
  <c r="AA107" i="2"/>
  <c r="W15" i="18" s="1"/>
  <c r="W31" i="18" s="1"/>
  <c r="AA123" i="23"/>
  <c r="Y8" i="9"/>
  <c r="Y9" i="9" s="1"/>
  <c r="Y10" i="9" s="1"/>
  <c r="AA54" i="2"/>
  <c r="Z106" i="2"/>
  <c r="V9" i="18" s="1"/>
  <c r="V12" i="18" s="1"/>
  <c r="V32" i="18" s="1"/>
  <c r="V51" i="18" s="1"/>
  <c r="V69" i="18" s="1"/>
  <c r="Z122" i="23"/>
  <c r="X11" i="9"/>
  <c r="Y127" i="23"/>
  <c r="Y159" i="23"/>
  <c r="Y154" i="23"/>
  <c r="R35" i="7"/>
  <c r="AD47" i="2"/>
  <c r="AD121" i="2" s="1"/>
  <c r="AD63" i="23"/>
  <c r="AD137" i="23" s="1"/>
  <c r="P21" i="31"/>
  <c r="P29" i="31"/>
  <c r="O30" i="31"/>
  <c r="O23" i="31"/>
  <c r="O25" i="31" s="1"/>
  <c r="Q38" i="29"/>
  <c r="Q43" i="29"/>
  <c r="Q44" i="29" s="1"/>
  <c r="S34" i="31"/>
  <c r="S18" i="31"/>
  <c r="AD122" i="2"/>
  <c r="Z91" i="18" s="1"/>
  <c r="AD138" i="23"/>
  <c r="AD64" i="23"/>
  <c r="AD48" i="2"/>
  <c r="AE125" i="2"/>
  <c r="AA96" i="18" s="1"/>
  <c r="AA97" i="18" s="1"/>
  <c r="Q8" i="26"/>
  <c r="S32" i="31"/>
  <c r="W12" i="9"/>
  <c r="Y69" i="23"/>
  <c r="Y179" i="23" s="1"/>
  <c r="Y53" i="2"/>
  <c r="Y163" i="2" s="1"/>
  <c r="T24" i="22" s="1"/>
  <c r="T25" i="22" s="1"/>
  <c r="AE3" i="2"/>
  <c r="X21" i="2"/>
  <c r="U85" i="3"/>
  <c r="U71" i="3" s="1"/>
  <c r="AE126" i="2"/>
  <c r="R32" i="31"/>
  <c r="P8" i="26"/>
  <c r="AA51" i="23"/>
  <c r="AA34" i="23"/>
  <c r="AB51" i="23"/>
  <c r="AB34" i="23"/>
  <c r="R19" i="7"/>
  <c r="R21" i="7" s="1"/>
  <c r="AD3" i="2"/>
  <c r="X7" i="22"/>
  <c r="AA2" i="9"/>
  <c r="AC151" i="2"/>
  <c r="AC152" i="2" s="1"/>
  <c r="AC18" i="2"/>
  <c r="Y7" i="17"/>
  <c r="Y10" i="17" s="1"/>
  <c r="Y13" i="17" s="1"/>
  <c r="AE138" i="23"/>
  <c r="AE122" i="2"/>
  <c r="AA91" i="18" s="1"/>
  <c r="AE64" i="23"/>
  <c r="AE48" i="2"/>
  <c r="Z21" i="19"/>
  <c r="AB79" i="3"/>
  <c r="R34" i="31"/>
  <c r="R18" i="31"/>
  <c r="Q29" i="31"/>
  <c r="Q21" i="31"/>
  <c r="R43" i="29"/>
  <c r="R44" i="29" s="1"/>
  <c r="R38" i="29"/>
  <c r="S36" i="29" s="1"/>
  <c r="AE141" i="23"/>
  <c r="AA30" i="9"/>
  <c r="Z32" i="9"/>
  <c r="Z7" i="9" s="1"/>
  <c r="Q23" i="7"/>
  <c r="U12" i="7"/>
  <c r="V11" i="7" s="1"/>
  <c r="P33" i="2"/>
  <c r="S17" i="7"/>
  <c r="Q25" i="17"/>
  <c r="Q28" i="17" s="1"/>
  <c r="Q31" i="17" s="1"/>
  <c r="Q33" i="17" s="1"/>
  <c r="Q38" i="17" s="1"/>
  <c r="Q66" i="17" s="1"/>
  <c r="U162" i="2"/>
  <c r="P21" i="22" s="1"/>
  <c r="P22" i="22" s="1"/>
  <c r="Q47" i="21"/>
  <c r="U46" i="2"/>
  <c r="U114" i="2" s="1"/>
  <c r="U25" i="2"/>
  <c r="S16" i="7" s="1"/>
  <c r="S35" i="7" s="1"/>
  <c r="Q26" i="19"/>
  <c r="U22" i="2"/>
  <c r="U159" i="2"/>
  <c r="P13" i="22" s="1"/>
  <c r="P14" i="22" s="1"/>
  <c r="O33" i="7"/>
  <c r="O32" i="7"/>
  <c r="P29" i="7" s="1"/>
  <c r="K16" i="22"/>
  <c r="K18" i="22" s="1"/>
  <c r="P161" i="2"/>
  <c r="P165" i="2" s="1"/>
  <c r="P39" i="7"/>
  <c r="P41" i="7" s="1"/>
  <c r="P42" i="7" s="1"/>
  <c r="P45" i="7"/>
  <c r="O46" i="7"/>
  <c r="Q26" i="2"/>
  <c r="Q42" i="23"/>
  <c r="U175" i="23"/>
  <c r="U62" i="23"/>
  <c r="U130" i="23" s="1"/>
  <c r="U131" i="23" s="1"/>
  <c r="U41" i="23"/>
  <c r="U38" i="23"/>
  <c r="U178" i="23"/>
  <c r="V35" i="23"/>
  <c r="T18" i="7"/>
  <c r="V19" i="2"/>
  <c r="T115" i="2"/>
  <c r="P116" i="18"/>
  <c r="P117" i="18" s="1"/>
  <c r="Q39" i="7"/>
  <c r="Q45" i="7"/>
  <c r="Q44" i="7"/>
  <c r="S30" i="7" l="1"/>
  <c r="P31" i="7"/>
  <c r="P33" i="7" s="1"/>
  <c r="S33" i="29"/>
  <c r="R22" i="7"/>
  <c r="R24" i="7" s="1"/>
  <c r="R25" i="7" s="1"/>
  <c r="R26" i="7" s="1"/>
  <c r="R23" i="7"/>
  <c r="O14" i="26"/>
  <c r="O18" i="26" s="1"/>
  <c r="O19" i="26" s="1"/>
  <c r="O27" i="26" s="1"/>
  <c r="O29" i="26" s="1"/>
  <c r="N14" i="26"/>
  <c r="N18" i="26" s="1"/>
  <c r="N19" i="26" s="1"/>
  <c r="N27" i="26" s="1"/>
  <c r="N29" i="26" s="1"/>
  <c r="Z90" i="18"/>
  <c r="Z92" i="18" s="1"/>
  <c r="Z98" i="18" s="1"/>
  <c r="AB29" i="9"/>
  <c r="P9" i="26"/>
  <c r="R19" i="31"/>
  <c r="Q10" i="26"/>
  <c r="Q12" i="26" s="1"/>
  <c r="AB174" i="23"/>
  <c r="AB151" i="23"/>
  <c r="T34" i="17"/>
  <c r="T37" i="17" s="1"/>
  <c r="T23" i="19"/>
  <c r="T6" i="31"/>
  <c r="S37" i="29"/>
  <c r="AC33" i="23"/>
  <c r="V85" i="3"/>
  <c r="V71" i="3" s="1"/>
  <c r="Y21" i="2"/>
  <c r="P30" i="31"/>
  <c r="P23" i="31"/>
  <c r="P25" i="31" s="1"/>
  <c r="Z154" i="23"/>
  <c r="Z127" i="23"/>
  <c r="Z159" i="23"/>
  <c r="R36" i="29"/>
  <c r="R39" i="29" s="1"/>
  <c r="Q39" i="29"/>
  <c r="Z53" i="2"/>
  <c r="Z163" i="2" s="1"/>
  <c r="U24" i="22" s="1"/>
  <c r="U25" i="22" s="1"/>
  <c r="X12" i="9"/>
  <c r="Z69" i="23"/>
  <c r="Z179" i="23" s="1"/>
  <c r="AC135" i="2"/>
  <c r="AC158" i="2"/>
  <c r="X10" i="22" s="1"/>
  <c r="X11" i="22" s="1"/>
  <c r="O27" i="31"/>
  <c r="O31" i="31"/>
  <c r="Q30" i="31"/>
  <c r="Q23" i="31"/>
  <c r="Q25" i="31" s="1"/>
  <c r="AA174" i="23"/>
  <c r="AA151" i="23"/>
  <c r="P10" i="26"/>
  <c r="P12" i="26" s="1"/>
  <c r="AE9" i="23"/>
  <c r="V7" i="31" s="1"/>
  <c r="V3" i="31"/>
  <c r="AE7" i="23"/>
  <c r="AE167" i="23"/>
  <c r="AE168" i="23" s="1"/>
  <c r="U31" i="29"/>
  <c r="U32" i="29" s="1"/>
  <c r="R7" i="26"/>
  <c r="T5" i="31"/>
  <c r="AB30" i="9"/>
  <c r="AA32" i="9"/>
  <c r="AA7" i="9" s="1"/>
  <c r="X28" i="22"/>
  <c r="X8" i="22"/>
  <c r="Y11" i="9"/>
  <c r="AA122" i="23"/>
  <c r="AA106" i="2"/>
  <c r="W9" i="18" s="1"/>
  <c r="W12" i="18" s="1"/>
  <c r="W32" i="18" s="1"/>
  <c r="W51" i="18" s="1"/>
  <c r="W69" i="18" s="1"/>
  <c r="AE47" i="2"/>
  <c r="AE121" i="2" s="1"/>
  <c r="AE63" i="23"/>
  <c r="AE137" i="23" s="1"/>
  <c r="S42" i="29"/>
  <c r="R47" i="29"/>
  <c r="AD9" i="23"/>
  <c r="U7" i="31" s="1"/>
  <c r="AD7" i="23"/>
  <c r="AD167" i="23"/>
  <c r="AD168" i="23" s="1"/>
  <c r="U3" i="31"/>
  <c r="T31" i="29"/>
  <c r="T32" i="29" s="1"/>
  <c r="AE18" i="2"/>
  <c r="AC2" i="9"/>
  <c r="AE151" i="2"/>
  <c r="AE152" i="2" s="1"/>
  <c r="Z7" i="22"/>
  <c r="AA7" i="17"/>
  <c r="AA10" i="17" s="1"/>
  <c r="AA13" i="17" s="1"/>
  <c r="Q9" i="26"/>
  <c r="S19" i="31"/>
  <c r="Y7" i="22"/>
  <c r="AD151" i="2"/>
  <c r="AD152" i="2" s="1"/>
  <c r="AD18" i="2"/>
  <c r="Z7" i="17"/>
  <c r="Z10" i="17" s="1"/>
  <c r="Z13" i="17" s="1"/>
  <c r="AB2" i="9"/>
  <c r="AB123" i="23"/>
  <c r="AB70" i="23"/>
  <c r="AB107" i="2"/>
  <c r="X15" i="18" s="1"/>
  <c r="X31" i="18" s="1"/>
  <c r="AB54" i="2"/>
  <c r="Z8" i="9"/>
  <c r="Z9" i="9" s="1"/>
  <c r="Z10" i="9" s="1"/>
  <c r="AC140" i="23"/>
  <c r="AC49" i="2"/>
  <c r="AC124" i="2"/>
  <c r="Y84" i="18" s="1"/>
  <c r="Y88" i="18" s="1"/>
  <c r="AC65" i="23"/>
  <c r="R42" i="29"/>
  <c r="R45" i="29" s="1"/>
  <c r="Q47" i="29"/>
  <c r="Q49" i="29" s="1"/>
  <c r="P17" i="26" s="1"/>
  <c r="Q45" i="29"/>
  <c r="T30" i="29"/>
  <c r="V12" i="7"/>
  <c r="W11" i="7" s="1"/>
  <c r="Q160" i="2"/>
  <c r="M25" i="19"/>
  <c r="M68" i="17"/>
  <c r="M70" i="17" s="1"/>
  <c r="M72" i="17" s="1"/>
  <c r="M74" i="17" s="1"/>
  <c r="Q27" i="2"/>
  <c r="Q41" i="7"/>
  <c r="Q42" i="7" s="1"/>
  <c r="S19" i="7"/>
  <c r="S21" i="7" s="1"/>
  <c r="V178" i="23"/>
  <c r="V62" i="23"/>
  <c r="V130" i="23" s="1"/>
  <c r="V131" i="23" s="1"/>
  <c r="V41" i="23"/>
  <c r="V38" i="23"/>
  <c r="V175" i="23"/>
  <c r="Q116" i="18"/>
  <c r="Q117" i="18" s="1"/>
  <c r="U115" i="2"/>
  <c r="K30" i="22"/>
  <c r="K31" i="22" s="1"/>
  <c r="K19" i="22"/>
  <c r="T17" i="7"/>
  <c r="V162" i="2"/>
  <c r="Q21" i="22" s="1"/>
  <c r="Q22" i="22" s="1"/>
  <c r="R26" i="19"/>
  <c r="V25" i="2"/>
  <c r="T16" i="7" s="1"/>
  <c r="T35" i="7" s="1"/>
  <c r="V46" i="2"/>
  <c r="V114" i="2" s="1"/>
  <c r="V22" i="2"/>
  <c r="R47" i="21"/>
  <c r="V159" i="2"/>
  <c r="Q13" i="22" s="1"/>
  <c r="Q14" i="22" s="1"/>
  <c r="R25" i="17"/>
  <c r="R28" i="17" s="1"/>
  <c r="R31" i="17" s="1"/>
  <c r="R33" i="17" s="1"/>
  <c r="R38" i="17" s="1"/>
  <c r="R66" i="17" s="1"/>
  <c r="Q176" i="23"/>
  <c r="Q177" i="23" s="1"/>
  <c r="Q181" i="23" s="1"/>
  <c r="Q43" i="23"/>
  <c r="Q49" i="23" s="1"/>
  <c r="R26" i="2"/>
  <c r="R42" i="23"/>
  <c r="P46" i="7"/>
  <c r="W19" i="2"/>
  <c r="W35" i="23"/>
  <c r="U18" i="7"/>
  <c r="S26" i="2"/>
  <c r="Q46" i="7"/>
  <c r="S42" i="23"/>
  <c r="P32" i="7" l="1"/>
  <c r="Q29" i="7" s="1"/>
  <c r="S23" i="7"/>
  <c r="T33" i="29"/>
  <c r="AA90" i="18"/>
  <c r="AA92" i="18" s="1"/>
  <c r="AA98" i="18" s="1"/>
  <c r="AC29" i="9"/>
  <c r="S29" i="31"/>
  <c r="S21" i="31"/>
  <c r="U30" i="29"/>
  <c r="U33" i="29" s="1"/>
  <c r="Z21" i="2"/>
  <c r="W85" i="3"/>
  <c r="W71" i="3" s="1"/>
  <c r="S43" i="29"/>
  <c r="S44" i="29" s="1"/>
  <c r="S38" i="29"/>
  <c r="T36" i="29" s="1"/>
  <c r="AD158" i="2"/>
  <c r="Y10" i="22" s="1"/>
  <c r="Y11" i="22" s="1"/>
  <c r="AD135" i="2"/>
  <c r="AE124" i="2"/>
  <c r="AA84" i="18" s="1"/>
  <c r="AA88" i="18" s="1"/>
  <c r="AE140" i="23"/>
  <c r="AE65" i="23"/>
  <c r="AE49" i="2"/>
  <c r="U5" i="31"/>
  <c r="S7" i="26"/>
  <c r="R49" i="29"/>
  <c r="Q17" i="26" s="1"/>
  <c r="Q27" i="31"/>
  <c r="Q31" i="31"/>
  <c r="U34" i="17"/>
  <c r="U37" i="17" s="1"/>
  <c r="U23" i="19"/>
  <c r="T34" i="31"/>
  <c r="T18" i="31"/>
  <c r="Z11" i="9"/>
  <c r="AB122" i="23"/>
  <c r="AB106" i="2"/>
  <c r="X9" i="18" s="1"/>
  <c r="X12" i="18" s="1"/>
  <c r="X32" i="18" s="1"/>
  <c r="X51" i="18" s="1"/>
  <c r="X69" i="18" s="1"/>
  <c r="T7" i="26"/>
  <c r="V5" i="31"/>
  <c r="AE135" i="2"/>
  <c r="AE158" i="2"/>
  <c r="Z10" i="22" s="1"/>
  <c r="AA127" i="23"/>
  <c r="AA159" i="23"/>
  <c r="AA154" i="23"/>
  <c r="T32" i="31"/>
  <c r="R8" i="26"/>
  <c r="AC30" i="9"/>
  <c r="AB32" i="9"/>
  <c r="AB7" i="9" s="1"/>
  <c r="T19" i="7"/>
  <c r="T21" i="7" s="1"/>
  <c r="AD124" i="2"/>
  <c r="Z84" i="18" s="1"/>
  <c r="Z88" i="18" s="1"/>
  <c r="AD140" i="23"/>
  <c r="AD65" i="23"/>
  <c r="AD49" i="2"/>
  <c r="Y8" i="22"/>
  <c r="Y28" i="22"/>
  <c r="Z28" i="22"/>
  <c r="Z8" i="22"/>
  <c r="T37" i="29"/>
  <c r="U6" i="31"/>
  <c r="AD33" i="23"/>
  <c r="AA69" i="23"/>
  <c r="AA179" i="23" s="1"/>
  <c r="Y12" i="9"/>
  <c r="AA53" i="2"/>
  <c r="AA163" i="2" s="1"/>
  <c r="V24" i="22" s="1"/>
  <c r="V25" i="22" s="1"/>
  <c r="AA8" i="9"/>
  <c r="AA9" i="9" s="1"/>
  <c r="AA10" i="9" s="1"/>
  <c r="AC54" i="2"/>
  <c r="AC70" i="23"/>
  <c r="AC107" i="2"/>
  <c r="Y15" i="18" s="1"/>
  <c r="Y31" i="18" s="1"/>
  <c r="AC123" i="23"/>
  <c r="U37" i="29"/>
  <c r="V6" i="31"/>
  <c r="AE33" i="23"/>
  <c r="P27" i="31"/>
  <c r="P31" i="31"/>
  <c r="AC51" i="23"/>
  <c r="AC34" i="23"/>
  <c r="R29" i="31"/>
  <c r="R21" i="31"/>
  <c r="V115" i="2"/>
  <c r="R116" i="18"/>
  <c r="R117" i="18" s="1"/>
  <c r="W38" i="23"/>
  <c r="W178" i="23"/>
  <c r="W175" i="23"/>
  <c r="W62" i="23"/>
  <c r="W130" i="23" s="1"/>
  <c r="W131" i="23" s="1"/>
  <c r="W41" i="23"/>
  <c r="S25" i="17"/>
  <c r="S28" i="17" s="1"/>
  <c r="S31" i="17" s="1"/>
  <c r="S33" i="17" s="1"/>
  <c r="S38" i="17" s="1"/>
  <c r="S66" i="17" s="1"/>
  <c r="S26" i="19"/>
  <c r="S47" i="21"/>
  <c r="W25" i="2"/>
  <c r="U16" i="7" s="1"/>
  <c r="W162" i="2"/>
  <c r="R21" i="22" s="1"/>
  <c r="R22" i="22" s="1"/>
  <c r="W22" i="2"/>
  <c r="U17" i="7"/>
  <c r="W46" i="2"/>
  <c r="W114" i="2" s="1"/>
  <c r="W159" i="2"/>
  <c r="R13" i="22" s="1"/>
  <c r="R14" i="22" s="1"/>
  <c r="L16" i="22"/>
  <c r="L18" i="22" s="1"/>
  <c r="Q161" i="2"/>
  <c r="Q165" i="2" s="1"/>
  <c r="S22" i="7"/>
  <c r="S24" i="7" s="1"/>
  <c r="S25" i="7" s="1"/>
  <c r="T30" i="7"/>
  <c r="Q33" i="2"/>
  <c r="W12" i="7"/>
  <c r="X11" i="7" s="1"/>
  <c r="R27" i="2"/>
  <c r="N25" i="19"/>
  <c r="R160" i="2"/>
  <c r="N68" i="17"/>
  <c r="N70" i="17" s="1"/>
  <c r="N72" i="17" s="1"/>
  <c r="N74" i="17" s="1"/>
  <c r="R176" i="23"/>
  <c r="R177" i="23" s="1"/>
  <c r="R181" i="23" s="1"/>
  <c r="R43" i="23"/>
  <c r="R49" i="23" s="1"/>
  <c r="V18" i="7"/>
  <c r="X35" i="23"/>
  <c r="X19" i="2"/>
  <c r="S176" i="23"/>
  <c r="S177" i="23" s="1"/>
  <c r="S181" i="23" s="1"/>
  <c r="S43" i="23"/>
  <c r="S49" i="23" s="1"/>
  <c r="O68" i="17"/>
  <c r="O70" i="17" s="1"/>
  <c r="O72" i="17" s="1"/>
  <c r="O74" i="17" s="1"/>
  <c r="S160" i="2"/>
  <c r="O25" i="19"/>
  <c r="S27" i="2"/>
  <c r="Q31" i="7" l="1"/>
  <c r="Q33" i="7" s="1"/>
  <c r="T23" i="7"/>
  <c r="S39" i="29"/>
  <c r="S45" i="29"/>
  <c r="X12" i="7"/>
  <c r="Y11" i="7" s="1"/>
  <c r="Y12" i="7" s="1"/>
  <c r="U19" i="7"/>
  <c r="U21" i="7" s="1"/>
  <c r="T22" i="7"/>
  <c r="T24" i="7" s="1"/>
  <c r="T25" i="7" s="1"/>
  <c r="T26" i="7" s="1"/>
  <c r="U30" i="7"/>
  <c r="S26" i="7"/>
  <c r="Q14" i="26"/>
  <c r="Q18" i="26" s="1"/>
  <c r="Q19" i="26" s="1"/>
  <c r="Q27" i="26" s="1"/>
  <c r="Q29" i="26" s="1"/>
  <c r="AC151" i="23"/>
  <c r="R10" i="26"/>
  <c r="R12" i="26" s="1"/>
  <c r="AC174" i="23"/>
  <c r="AA21" i="2"/>
  <c r="X85" i="3"/>
  <c r="X71" i="3" s="1"/>
  <c r="S23" i="31"/>
  <c r="S25" i="31" s="1"/>
  <c r="S30" i="31"/>
  <c r="R23" i="31"/>
  <c r="R25" i="31" s="1"/>
  <c r="R30" i="31"/>
  <c r="U38" i="29"/>
  <c r="U43" i="29"/>
  <c r="U44" i="29" s="1"/>
  <c r="AB154" i="23"/>
  <c r="AB159" i="23"/>
  <c r="AB127" i="23"/>
  <c r="U32" i="31"/>
  <c r="S8" i="26"/>
  <c r="V34" i="17"/>
  <c r="V37" i="17" s="1"/>
  <c r="V23" i="19"/>
  <c r="AE51" i="23"/>
  <c r="AE34" i="23"/>
  <c r="U34" i="31"/>
  <c r="U18" i="31"/>
  <c r="V34" i="31"/>
  <c r="V18" i="31"/>
  <c r="T38" i="29"/>
  <c r="U36" i="29" s="1"/>
  <c r="T43" i="29"/>
  <c r="T44" i="29" s="1"/>
  <c r="AC122" i="23"/>
  <c r="AC106" i="2"/>
  <c r="Y9" i="18" s="1"/>
  <c r="Y12" i="18" s="1"/>
  <c r="Y32" i="18" s="1"/>
  <c r="Y51" i="18" s="1"/>
  <c r="Y69" i="18" s="1"/>
  <c r="AA11" i="9"/>
  <c r="AD51" i="23"/>
  <c r="AD34" i="23"/>
  <c r="AB8" i="9"/>
  <c r="AB9" i="9" s="1"/>
  <c r="AB10" i="9" s="1"/>
  <c r="AD107" i="2"/>
  <c r="Z15" i="18" s="1"/>
  <c r="Z31" i="18" s="1"/>
  <c r="AD123" i="23"/>
  <c r="AD70" i="23"/>
  <c r="AD54" i="2"/>
  <c r="P14" i="26"/>
  <c r="P18" i="26" s="1"/>
  <c r="P19" i="26" s="1"/>
  <c r="P27" i="26" s="1"/>
  <c r="P29" i="26" s="1"/>
  <c r="T8" i="26"/>
  <c r="V32" i="31"/>
  <c r="AB53" i="2"/>
  <c r="AB163" i="2" s="1"/>
  <c r="W24" i="22" s="1"/>
  <c r="W25" i="22" s="1"/>
  <c r="AB69" i="23"/>
  <c r="AB179" i="23" s="1"/>
  <c r="Z12" i="9"/>
  <c r="AC32" i="9"/>
  <c r="AC7" i="9" s="1"/>
  <c r="D101" i="22"/>
  <c r="Z11" i="22"/>
  <c r="T19" i="31"/>
  <c r="R9" i="26"/>
  <c r="T42" i="29"/>
  <c r="S47" i="29"/>
  <c r="S49" i="29" s="1"/>
  <c r="R17" i="26" s="1"/>
  <c r="S116" i="18"/>
  <c r="S117" i="18" s="1"/>
  <c r="W115" i="2"/>
  <c r="T25" i="17"/>
  <c r="T28" i="17" s="1"/>
  <c r="T31" i="17" s="1"/>
  <c r="T33" i="17" s="1"/>
  <c r="T38" i="17" s="1"/>
  <c r="T66" i="17" s="1"/>
  <c r="X22" i="2"/>
  <c r="X162" i="2"/>
  <c r="S21" i="22" s="1"/>
  <c r="S22" i="22" s="1"/>
  <c r="X25" i="2"/>
  <c r="V16" i="7" s="1"/>
  <c r="V35" i="7" s="1"/>
  <c r="V17" i="7"/>
  <c r="T26" i="19"/>
  <c r="X159" i="2"/>
  <c r="S13" i="22" s="1"/>
  <c r="S14" i="22" s="1"/>
  <c r="T47" i="21"/>
  <c r="X46" i="2"/>
  <c r="X114" i="2" s="1"/>
  <c r="L19" i="22"/>
  <c r="L30" i="22"/>
  <c r="L31" i="22" s="1"/>
  <c r="X41" i="23"/>
  <c r="X38" i="23"/>
  <c r="X178" i="23"/>
  <c r="X175" i="23"/>
  <c r="X62" i="23"/>
  <c r="X130" i="23" s="1"/>
  <c r="X131" i="23" s="1"/>
  <c r="R161" i="2"/>
  <c r="R165" i="2" s="1"/>
  <c r="M16" i="22"/>
  <c r="M18" i="22" s="1"/>
  <c r="W18" i="7"/>
  <c r="Y35" i="23"/>
  <c r="Y19" i="2"/>
  <c r="R33" i="2"/>
  <c r="U35" i="7"/>
  <c r="S33" i="2"/>
  <c r="N16" i="22"/>
  <c r="N18" i="22" s="1"/>
  <c r="S161" i="2"/>
  <c r="S165" i="2" s="1"/>
  <c r="Q32" i="7" l="1"/>
  <c r="R29" i="7" s="1"/>
  <c r="U22" i="7"/>
  <c r="U24" i="7" s="1"/>
  <c r="U25" i="7" s="1"/>
  <c r="U26" i="7" s="1"/>
  <c r="X18" i="7"/>
  <c r="Z35" i="23"/>
  <c r="Z19" i="2"/>
  <c r="U23" i="7"/>
  <c r="T45" i="29"/>
  <c r="U39" i="29"/>
  <c r="T39" i="29"/>
  <c r="U47" i="29"/>
  <c r="AE54" i="2"/>
  <c r="AE107" i="2"/>
  <c r="AA15" i="18" s="1"/>
  <c r="AA31" i="18" s="1"/>
  <c r="AE123" i="23"/>
  <c r="AE70" i="23"/>
  <c r="AC8" i="9"/>
  <c r="AC9" i="9" s="1"/>
  <c r="AC10" i="9" s="1"/>
  <c r="T9" i="26"/>
  <c r="V19" i="31"/>
  <c r="AE174" i="23"/>
  <c r="T10" i="26"/>
  <c r="T12" i="26" s="1"/>
  <c r="AE151" i="23"/>
  <c r="R27" i="31"/>
  <c r="R31" i="31"/>
  <c r="W23" i="19"/>
  <c r="W34" i="17"/>
  <c r="W37" i="17" s="1"/>
  <c r="T29" i="31"/>
  <c r="T21" i="31"/>
  <c r="AD174" i="23"/>
  <c r="AD151" i="23"/>
  <c r="S10" i="26"/>
  <c r="S12" i="26" s="1"/>
  <c r="AC159" i="23"/>
  <c r="AC154" i="23"/>
  <c r="AC127" i="23"/>
  <c r="V30" i="7"/>
  <c r="AB21" i="2"/>
  <c r="Y85" i="3"/>
  <c r="Y71" i="3" s="1"/>
  <c r="U42" i="29"/>
  <c r="U45" i="29" s="1"/>
  <c r="T47" i="29"/>
  <c r="T49" i="29" s="1"/>
  <c r="S17" i="26" s="1"/>
  <c r="S9" i="26"/>
  <c r="U19" i="31"/>
  <c r="S27" i="31"/>
  <c r="S31" i="31"/>
  <c r="AD106" i="2"/>
  <c r="Z9" i="18" s="1"/>
  <c r="Z12" i="18" s="1"/>
  <c r="Z32" i="18" s="1"/>
  <c r="Z51" i="18" s="1"/>
  <c r="Z69" i="18" s="1"/>
  <c r="AD122" i="23"/>
  <c r="AB11" i="9"/>
  <c r="V19" i="7"/>
  <c r="V21" i="7" s="1"/>
  <c r="AC69" i="23"/>
  <c r="AC179" i="23" s="1"/>
  <c r="AC53" i="2"/>
  <c r="AC163" i="2" s="1"/>
  <c r="X24" i="22" s="1"/>
  <c r="X25" i="22" s="1"/>
  <c r="AA12" i="9"/>
  <c r="T116" i="18"/>
  <c r="T117" i="18" s="1"/>
  <c r="X115" i="2"/>
  <c r="W17" i="7"/>
  <c r="Y46" i="2"/>
  <c r="Y114" i="2" s="1"/>
  <c r="Y159" i="2"/>
  <c r="T13" i="22" s="1"/>
  <c r="T14" i="22" s="1"/>
  <c r="U26" i="19"/>
  <c r="Y162" i="2"/>
  <c r="T21" i="22" s="1"/>
  <c r="T22" i="22" s="1"/>
  <c r="U25" i="17"/>
  <c r="U28" i="17" s="1"/>
  <c r="U31" i="17" s="1"/>
  <c r="U33" i="17" s="1"/>
  <c r="U38" i="17" s="1"/>
  <c r="U66" i="17" s="1"/>
  <c r="U47" i="21"/>
  <c r="Y25" i="2"/>
  <c r="W16" i="7" s="1"/>
  <c r="W30" i="7" s="1"/>
  <c r="Y22" i="2"/>
  <c r="Y62" i="23"/>
  <c r="Y130" i="23" s="1"/>
  <c r="Y178" i="23"/>
  <c r="Y175" i="23"/>
  <c r="Y41" i="23"/>
  <c r="Y38" i="23"/>
  <c r="M19" i="22"/>
  <c r="M30" i="22"/>
  <c r="M31" i="22" s="1"/>
  <c r="N19" i="22"/>
  <c r="N30" i="22"/>
  <c r="Y18" i="7"/>
  <c r="AA19" i="2"/>
  <c r="AA35" i="23"/>
  <c r="Z11" i="7"/>
  <c r="N31" i="22" l="1"/>
  <c r="R31" i="7"/>
  <c r="R33" i="7" s="1"/>
  <c r="R36" i="7" s="1"/>
  <c r="V22" i="7"/>
  <c r="V24" i="7" s="1"/>
  <c r="V25" i="7" s="1"/>
  <c r="W19" i="7"/>
  <c r="W21" i="7" s="1"/>
  <c r="V26" i="19"/>
  <c r="Z22" i="2"/>
  <c r="Z25" i="2"/>
  <c r="X16" i="7" s="1"/>
  <c r="X19" i="7" s="1"/>
  <c r="X17" i="7"/>
  <c r="V47" i="21"/>
  <c r="Z159" i="2"/>
  <c r="U13" i="22" s="1"/>
  <c r="U14" i="22" s="1"/>
  <c r="Z46" i="2"/>
  <c r="Z162" i="2"/>
  <c r="U21" i="22" s="1"/>
  <c r="U22" i="22" s="1"/>
  <c r="V25" i="17"/>
  <c r="V28" i="17" s="1"/>
  <c r="V31" i="17" s="1"/>
  <c r="V33" i="17" s="1"/>
  <c r="V38" i="17" s="1"/>
  <c r="V66" i="17" s="1"/>
  <c r="Z178" i="23"/>
  <c r="Z175" i="23"/>
  <c r="Z62" i="23"/>
  <c r="Z41" i="23"/>
  <c r="Z38" i="23"/>
  <c r="Z114" i="2"/>
  <c r="Z115" i="2" s="1"/>
  <c r="V23" i="7"/>
  <c r="T23" i="31"/>
  <c r="T25" i="31" s="1"/>
  <c r="T30" i="31"/>
  <c r="R14" i="26"/>
  <c r="R18" i="26" s="1"/>
  <c r="R19" i="26" s="1"/>
  <c r="R27" i="26" s="1"/>
  <c r="R29" i="26" s="1"/>
  <c r="U21" i="31"/>
  <c r="U29" i="31"/>
  <c r="U49" i="29"/>
  <c r="T17" i="26" s="1"/>
  <c r="V21" i="31"/>
  <c r="V29" i="31"/>
  <c r="W35" i="7"/>
  <c r="Z85" i="3"/>
  <c r="Z71" i="3" s="1"/>
  <c r="AC21" i="2"/>
  <c r="AD53" i="2"/>
  <c r="AD163" i="2" s="1"/>
  <c r="Y24" i="22" s="1"/>
  <c r="Y25" i="22" s="1"/>
  <c r="AD69" i="23"/>
  <c r="AD179" i="23" s="1"/>
  <c r="AB12" i="9"/>
  <c r="X34" i="17"/>
  <c r="X37" i="17" s="1"/>
  <c r="X23" i="19"/>
  <c r="AD159" i="23"/>
  <c r="AD154" i="23"/>
  <c r="AD127" i="23"/>
  <c r="AC11" i="9"/>
  <c r="AE106" i="2"/>
  <c r="AA9" i="18" s="1"/>
  <c r="AA12" i="18" s="1"/>
  <c r="AA32" i="18" s="1"/>
  <c r="AA51" i="18" s="1"/>
  <c r="AA69" i="18" s="1"/>
  <c r="AE122" i="23"/>
  <c r="V116" i="18"/>
  <c r="V117" i="18" s="1"/>
  <c r="Y131" i="23"/>
  <c r="Z130" i="23"/>
  <c r="Z131" i="23" s="1"/>
  <c r="Y115" i="2"/>
  <c r="U116" i="18"/>
  <c r="U117" i="18" s="1"/>
  <c r="AA178" i="23"/>
  <c r="AA62" i="23"/>
  <c r="AA130" i="23" s="1"/>
  <c r="AA41" i="23"/>
  <c r="AA38" i="23"/>
  <c r="AA175" i="23"/>
  <c r="Y17" i="7"/>
  <c r="W25" i="17"/>
  <c r="W28" i="17" s="1"/>
  <c r="W31" i="17" s="1"/>
  <c r="W33" i="17" s="1"/>
  <c r="W38" i="17" s="1"/>
  <c r="W66" i="17" s="1"/>
  <c r="W26" i="19"/>
  <c r="AA162" i="2"/>
  <c r="V21" i="22" s="1"/>
  <c r="V22" i="22" s="1"/>
  <c r="AA46" i="2"/>
  <c r="AA114" i="2" s="1"/>
  <c r="W47" i="21"/>
  <c r="AA25" i="2"/>
  <c r="AA22" i="2"/>
  <c r="AA159" i="2"/>
  <c r="Z12" i="7"/>
  <c r="AA11" i="7" s="1"/>
  <c r="R32" i="7" l="1"/>
  <c r="S29" i="7" s="1"/>
  <c r="R37" i="7"/>
  <c r="R39" i="7" s="1"/>
  <c r="R41" i="7" s="1"/>
  <c r="R42" i="7" s="1"/>
  <c r="R43" i="7"/>
  <c r="W22" i="7"/>
  <c r="W24" i="7" s="1"/>
  <c r="W25" i="7" s="1"/>
  <c r="X35" i="7"/>
  <c r="X30" i="7"/>
  <c r="W23" i="7"/>
  <c r="V26" i="7"/>
  <c r="T14" i="26"/>
  <c r="T18" i="26" s="1"/>
  <c r="T19" i="26" s="1"/>
  <c r="T27" i="26" s="1"/>
  <c r="T29" i="26" s="1"/>
  <c r="S14" i="26"/>
  <c r="S18" i="26" s="1"/>
  <c r="S19" i="26" s="1"/>
  <c r="S27" i="26" s="1"/>
  <c r="S29" i="26" s="1"/>
  <c r="AC12" i="9"/>
  <c r="AE53" i="2"/>
  <c r="AE163" i="2" s="1"/>
  <c r="Z24" i="22" s="1"/>
  <c r="Z25" i="22" s="1"/>
  <c r="AE69" i="23"/>
  <c r="AE179" i="23" s="1"/>
  <c r="AA85" i="3"/>
  <c r="AA71" i="3" s="1"/>
  <c r="AD21" i="2"/>
  <c r="U30" i="31"/>
  <c r="U23" i="31"/>
  <c r="U25" i="31" s="1"/>
  <c r="AE159" i="23"/>
  <c r="AE154" i="23"/>
  <c r="AE127" i="23"/>
  <c r="Y23" i="19"/>
  <c r="Y34" i="17"/>
  <c r="Y37" i="17" s="1"/>
  <c r="V30" i="31"/>
  <c r="V23" i="31"/>
  <c r="V25" i="31" s="1"/>
  <c r="T31" i="31"/>
  <c r="T27" i="31"/>
  <c r="Y16" i="7"/>
  <c r="X21" i="7"/>
  <c r="AA12" i="7"/>
  <c r="AB11" i="7"/>
  <c r="AA131" i="23"/>
  <c r="Z18" i="7"/>
  <c r="AB19" i="2"/>
  <c r="AB35" i="23"/>
  <c r="V13" i="22"/>
  <c r="V14" i="22" s="1"/>
  <c r="AA115" i="2"/>
  <c r="W116" i="18"/>
  <c r="W117" i="18" s="1"/>
  <c r="R45" i="7" l="1"/>
  <c r="R44" i="7"/>
  <c r="S31" i="7"/>
  <c r="S33" i="7" s="1"/>
  <c r="S36" i="7" s="1"/>
  <c r="S32" i="7"/>
  <c r="T29" i="7" s="1"/>
  <c r="X22" i="7"/>
  <c r="X24" i="7" s="1"/>
  <c r="X25" i="7" s="1"/>
  <c r="X23" i="7"/>
  <c r="W26" i="7"/>
  <c r="C32" i="26"/>
  <c r="G42" i="26" s="1"/>
  <c r="U27" i="31"/>
  <c r="U31" i="31"/>
  <c r="V27" i="31"/>
  <c r="V31" i="31"/>
  <c r="Z34" i="17"/>
  <c r="Z37" i="17" s="1"/>
  <c r="Z23" i="19"/>
  <c r="AB85" i="3"/>
  <c r="AB88" i="3" s="1"/>
  <c r="AB90" i="3" s="1"/>
  <c r="AE21" i="2"/>
  <c r="Y19" i="7"/>
  <c r="Y35" i="7"/>
  <c r="Y30" i="7"/>
  <c r="AB178" i="23"/>
  <c r="AB62" i="23"/>
  <c r="AB130" i="23" s="1"/>
  <c r="AB41" i="23"/>
  <c r="AB38" i="23"/>
  <c r="AB175" i="23"/>
  <c r="AB12" i="7"/>
  <c r="AC11" i="7" s="1"/>
  <c r="AC12" i="7" s="1"/>
  <c r="Z17" i="7"/>
  <c r="AB162" i="2"/>
  <c r="W21" i="22" s="1"/>
  <c r="W22" i="22" s="1"/>
  <c r="AB46" i="2"/>
  <c r="AB114" i="2" s="1"/>
  <c r="X47" i="21"/>
  <c r="X26" i="19"/>
  <c r="X25" i="17"/>
  <c r="X28" i="17" s="1"/>
  <c r="X31" i="17" s="1"/>
  <c r="X33" i="17" s="1"/>
  <c r="X38" i="17" s="1"/>
  <c r="X66" i="17" s="1"/>
  <c r="AB25" i="2"/>
  <c r="AB22" i="2"/>
  <c r="AB159" i="2"/>
  <c r="AA18" i="7"/>
  <c r="AC35" i="23"/>
  <c r="AC19" i="2"/>
  <c r="S37" i="7" l="1"/>
  <c r="T31" i="7"/>
  <c r="T33" i="7" s="1"/>
  <c r="T36" i="7" s="1"/>
  <c r="R46" i="7"/>
  <c r="T26" i="2"/>
  <c r="T42" i="23"/>
  <c r="Y23" i="7"/>
  <c r="X26" i="7"/>
  <c r="C56" i="26"/>
  <c r="D45" i="26"/>
  <c r="AA34" i="17"/>
  <c r="AA37" i="17" s="1"/>
  <c r="AA23" i="19"/>
  <c r="Z16" i="7"/>
  <c r="AB115" i="2"/>
  <c r="X116" i="18"/>
  <c r="X117" i="18" s="1"/>
  <c r="AB131" i="23"/>
  <c r="AA17" i="7"/>
  <c r="AC162" i="2"/>
  <c r="X21" i="22" s="1"/>
  <c r="X22" i="22" s="1"/>
  <c r="Y26" i="19"/>
  <c r="AC46" i="2"/>
  <c r="AC114" i="2" s="1"/>
  <c r="Y47" i="21"/>
  <c r="Y25" i="17"/>
  <c r="Y28" i="17" s="1"/>
  <c r="Y31" i="17" s="1"/>
  <c r="Y33" i="17" s="1"/>
  <c r="Y38" i="17" s="1"/>
  <c r="Y66" i="17" s="1"/>
  <c r="AC25" i="2"/>
  <c r="AC22" i="2"/>
  <c r="AC159" i="2"/>
  <c r="AC178" i="23"/>
  <c r="AC62" i="23"/>
  <c r="AC130" i="23" s="1"/>
  <c r="AC41" i="23"/>
  <c r="AC38" i="23"/>
  <c r="AC175" i="23"/>
  <c r="W13" i="22"/>
  <c r="W14" i="22" s="1"/>
  <c r="AC18" i="7"/>
  <c r="AE35" i="23"/>
  <c r="AE19" i="2"/>
  <c r="Y21" i="7"/>
  <c r="Y22" i="7"/>
  <c r="Y24" i="7" s="1"/>
  <c r="Y25" i="7" s="1"/>
  <c r="AB18" i="7"/>
  <c r="AD19" i="2"/>
  <c r="AD35" i="23"/>
  <c r="T43" i="23" l="1"/>
  <c r="T49" i="23" s="1"/>
  <c r="T176" i="23"/>
  <c r="T177" i="23" s="1"/>
  <c r="T181" i="23" s="1"/>
  <c r="P68" i="17"/>
  <c r="P70" i="17" s="1"/>
  <c r="P72" i="17" s="1"/>
  <c r="P74" i="17" s="1"/>
  <c r="T160" i="2"/>
  <c r="P25" i="19"/>
  <c r="T27" i="2"/>
  <c r="T32" i="7"/>
  <c r="U29" i="7" s="1"/>
  <c r="T37" i="7"/>
  <c r="S39" i="7"/>
  <c r="S41" i="7" s="1"/>
  <c r="S42" i="7" s="1"/>
  <c r="S43" i="7" s="1"/>
  <c r="S45" i="7" s="1"/>
  <c r="Z23" i="7"/>
  <c r="Y26" i="7"/>
  <c r="AC115" i="2"/>
  <c r="Y116" i="18"/>
  <c r="Y117" i="18" s="1"/>
  <c r="AB17" i="7"/>
  <c r="AD162" i="2"/>
  <c r="Y21" i="22" s="1"/>
  <c r="Y22" i="22" s="1"/>
  <c r="AD46" i="2"/>
  <c r="AD114" i="2" s="1"/>
  <c r="Z26" i="19"/>
  <c r="Z47" i="21"/>
  <c r="Z25" i="17"/>
  <c r="Z28" i="17" s="1"/>
  <c r="Z31" i="17" s="1"/>
  <c r="Z33" i="17" s="1"/>
  <c r="Z38" i="17" s="1"/>
  <c r="Z66" i="17" s="1"/>
  <c r="AD25" i="2"/>
  <c r="AD22" i="2"/>
  <c r="AD159" i="2"/>
  <c r="AE178" i="23"/>
  <c r="AE62" i="23"/>
  <c r="AE41" i="23"/>
  <c r="AE175" i="23"/>
  <c r="AE38" i="23"/>
  <c r="Z35" i="7"/>
  <c r="Z30" i="7"/>
  <c r="Z19" i="7"/>
  <c r="AA16" i="7"/>
  <c r="AC131" i="23"/>
  <c r="AD178" i="23"/>
  <c r="AD62" i="23"/>
  <c r="AD130" i="23" s="1"/>
  <c r="AD41" i="23"/>
  <c r="AD38" i="23"/>
  <c r="AD175" i="23"/>
  <c r="AC17" i="7"/>
  <c r="AA25" i="17"/>
  <c r="AA28" i="17" s="1"/>
  <c r="AA31" i="17" s="1"/>
  <c r="AA33" i="17" s="1"/>
  <c r="AA38" i="17" s="1"/>
  <c r="AA66" i="17" s="1"/>
  <c r="AE162" i="2"/>
  <c r="Z21" i="22" s="1"/>
  <c r="Z22" i="22" s="1"/>
  <c r="AE46" i="2"/>
  <c r="AA26" i="19"/>
  <c r="AA47" i="21"/>
  <c r="AE25" i="2"/>
  <c r="AE22" i="2"/>
  <c r="AE159" i="2"/>
  <c r="X13" i="22"/>
  <c r="X14" i="22" s="1"/>
  <c r="S46" i="7" l="1"/>
  <c r="U42" i="23"/>
  <c r="U26" i="2"/>
  <c r="U31" i="7"/>
  <c r="U33" i="7" s="1"/>
  <c r="U36" i="7" s="1"/>
  <c r="S44" i="7"/>
  <c r="T33" i="2"/>
  <c r="T39" i="7"/>
  <c r="T41" i="7" s="1"/>
  <c r="O16" i="22"/>
  <c r="O18" i="22" s="1"/>
  <c r="T161" i="2"/>
  <c r="T165" i="2" s="1"/>
  <c r="AD115" i="2"/>
  <c r="Z116" i="18"/>
  <c r="Z117" i="18" s="1"/>
  <c r="AE114" i="2"/>
  <c r="Y13" i="22"/>
  <c r="Y14" i="22" s="1"/>
  <c r="AC16" i="7"/>
  <c r="AE130" i="23"/>
  <c r="AE131" i="23" s="1"/>
  <c r="AD131" i="23"/>
  <c r="Z21" i="7"/>
  <c r="Z22" i="7"/>
  <c r="Z24" i="7" s="1"/>
  <c r="Z25" i="7" s="1"/>
  <c r="AA23" i="7" s="1"/>
  <c r="AB16" i="7"/>
  <c r="Z13" i="22"/>
  <c r="AA35" i="7"/>
  <c r="AA30" i="7"/>
  <c r="AA19" i="7"/>
  <c r="U32" i="7" l="1"/>
  <c r="V29" i="7" s="1"/>
  <c r="V31" i="7" s="1"/>
  <c r="V33" i="7" s="1"/>
  <c r="V36" i="7" s="1"/>
  <c r="O30" i="22"/>
  <c r="O31" i="22" s="1"/>
  <c r="O19" i="22"/>
  <c r="Q68" i="17"/>
  <c r="Q70" i="17" s="1"/>
  <c r="Q72" i="17" s="1"/>
  <c r="Q74" i="17" s="1"/>
  <c r="Q25" i="19"/>
  <c r="U27" i="2"/>
  <c r="U160" i="2"/>
  <c r="T42" i="7"/>
  <c r="T43" i="7" s="1"/>
  <c r="U176" i="23"/>
  <c r="U177" i="23" s="1"/>
  <c r="U181" i="23" s="1"/>
  <c r="U43" i="23"/>
  <c r="U49" i="23" s="1"/>
  <c r="U37" i="7"/>
  <c r="Z26" i="7"/>
  <c r="AA21" i="7"/>
  <c r="AA22" i="7"/>
  <c r="AA24" i="7" s="1"/>
  <c r="AA25" i="7" s="1"/>
  <c r="AB23" i="7" s="1"/>
  <c r="AB30" i="7"/>
  <c r="AB35" i="7"/>
  <c r="AB19" i="7"/>
  <c r="AC19" i="7"/>
  <c r="AC35" i="7"/>
  <c r="AC30" i="7"/>
  <c r="AE115" i="2"/>
  <c r="AA116" i="18"/>
  <c r="AA117" i="18" s="1"/>
  <c r="V32" i="7" l="1"/>
  <c r="W29" i="7" s="1"/>
  <c r="W31" i="7"/>
  <c r="W33" i="7" s="1"/>
  <c r="W36" i="7" s="1"/>
  <c r="V37" i="7"/>
  <c r="P16" i="22"/>
  <c r="P18" i="22" s="1"/>
  <c r="U161" i="2"/>
  <c r="U165" i="2" s="1"/>
  <c r="U39" i="7"/>
  <c r="U40" i="7"/>
  <c r="T45" i="7"/>
  <c r="T44" i="7"/>
  <c r="U33" i="2"/>
  <c r="AA26" i="7"/>
  <c r="AB21" i="7"/>
  <c r="AB22" i="7"/>
  <c r="AB24" i="7" s="1"/>
  <c r="AB25" i="7" s="1"/>
  <c r="AC23" i="7" s="1"/>
  <c r="AC21" i="7"/>
  <c r="U41" i="7" l="1"/>
  <c r="T46" i="7"/>
  <c r="V26" i="2"/>
  <c r="V42" i="23"/>
  <c r="V39" i="7"/>
  <c r="P30" i="22"/>
  <c r="P31" i="22" s="1"/>
  <c r="P19" i="22"/>
  <c r="W32" i="7"/>
  <c r="X29" i="7" s="1"/>
  <c r="U42" i="7"/>
  <c r="U43" i="7" s="1"/>
  <c r="W37" i="7"/>
  <c r="AC22" i="7"/>
  <c r="AC24" i="7" s="1"/>
  <c r="AC25" i="7" s="1"/>
  <c r="AC26" i="7" s="1"/>
  <c r="AB26" i="7"/>
  <c r="W39" i="7" l="1"/>
  <c r="V176" i="23"/>
  <c r="V177" i="23" s="1"/>
  <c r="V181" i="23" s="1"/>
  <c r="V43" i="23"/>
  <c r="V49" i="23" s="1"/>
  <c r="V160" i="2"/>
  <c r="R25" i="19"/>
  <c r="R68" i="17"/>
  <c r="R70" i="17" s="1"/>
  <c r="R72" i="17" s="1"/>
  <c r="R74" i="17" s="1"/>
  <c r="V27" i="2"/>
  <c r="U44" i="7"/>
  <c r="V40" i="7"/>
  <c r="V41" i="7" s="1"/>
  <c r="U45" i="7"/>
  <c r="X31" i="7"/>
  <c r="X33" i="7" s="1"/>
  <c r="X36" i="7" s="1"/>
  <c r="X32" i="7" l="1"/>
  <c r="Y29" i="7" s="1"/>
  <c r="W26" i="2"/>
  <c r="W42" i="23"/>
  <c r="U46" i="7"/>
  <c r="V33" i="2"/>
  <c r="X37" i="7"/>
  <c r="Y31" i="7"/>
  <c r="Y33" i="7" s="1"/>
  <c r="Y36" i="7" s="1"/>
  <c r="V42" i="7"/>
  <c r="V43" i="7" s="1"/>
  <c r="Q16" i="22"/>
  <c r="Q18" i="22" s="1"/>
  <c r="V161" i="2"/>
  <c r="V165" i="2" s="1"/>
  <c r="Y37" i="7" l="1"/>
  <c r="X39" i="7"/>
  <c r="Q19" i="22"/>
  <c r="Q30" i="22"/>
  <c r="Q31" i="22" s="1"/>
  <c r="V44" i="7"/>
  <c r="V45" i="7"/>
  <c r="W40" i="7"/>
  <c r="W176" i="23"/>
  <c r="W177" i="23" s="1"/>
  <c r="W181" i="23" s="1"/>
  <c r="W43" i="23"/>
  <c r="W49" i="23" s="1"/>
  <c r="Y32" i="7"/>
  <c r="Z29" i="7" s="1"/>
  <c r="S25" i="19"/>
  <c r="W160" i="2"/>
  <c r="W27" i="2"/>
  <c r="S68" i="17"/>
  <c r="S70" i="17" s="1"/>
  <c r="S72" i="17" s="1"/>
  <c r="S74" i="17" s="1"/>
  <c r="W41" i="7" l="1"/>
  <c r="V46" i="7"/>
  <c r="X42" i="23"/>
  <c r="X26" i="2"/>
  <c r="Z31" i="7"/>
  <c r="Z33" i="7" s="1"/>
  <c r="Z36" i="7" s="1"/>
  <c r="W33" i="2"/>
  <c r="W161" i="2"/>
  <c r="W165" i="2" s="1"/>
  <c r="R16" i="22"/>
  <c r="R18" i="22" s="1"/>
  <c r="Y39" i="7"/>
  <c r="Z37" i="7" l="1"/>
  <c r="R19" i="22"/>
  <c r="R30" i="22"/>
  <c r="R31" i="22" s="1"/>
  <c r="Z32" i="7"/>
  <c r="AA29" i="7" s="1"/>
  <c r="W42" i="7"/>
  <c r="W43" i="7" s="1"/>
  <c r="X43" i="23"/>
  <c r="X49" i="23" s="1"/>
  <c r="X176" i="23"/>
  <c r="X177" i="23" s="1"/>
  <c r="X181" i="23" s="1"/>
  <c r="X160" i="2"/>
  <c r="T25" i="19"/>
  <c r="T68" i="17"/>
  <c r="T70" i="17" s="1"/>
  <c r="T72" i="17" s="1"/>
  <c r="T74" i="17" s="1"/>
  <c r="X27" i="2"/>
  <c r="X161" i="2" l="1"/>
  <c r="X165" i="2" s="1"/>
  <c r="S16" i="22"/>
  <c r="S18" i="22" s="1"/>
  <c r="W45" i="7"/>
  <c r="W44" i="7"/>
  <c r="X40" i="7"/>
  <c r="Z39" i="7"/>
  <c r="X33" i="2"/>
  <c r="AA31" i="7"/>
  <c r="AA33" i="7" s="1"/>
  <c r="AA36" i="7" s="1"/>
  <c r="AA32" i="7" l="1"/>
  <c r="AB29" i="7" s="1"/>
  <c r="AA37" i="7"/>
  <c r="W46" i="7"/>
  <c r="Y42" i="23"/>
  <c r="Y26" i="2"/>
  <c r="AB31" i="7"/>
  <c r="AB33" i="7" s="1"/>
  <c r="AB36" i="7" s="1"/>
  <c r="X41" i="7"/>
  <c r="S19" i="22"/>
  <c r="S30" i="22"/>
  <c r="S31" i="22" s="1"/>
  <c r="AB32" i="7" l="1"/>
  <c r="AC29" i="7" s="1"/>
  <c r="AB37" i="7"/>
  <c r="AB39" i="7" s="1"/>
  <c r="AA39" i="7"/>
  <c r="AC31" i="7"/>
  <c r="AC33" i="7" s="1"/>
  <c r="AC36" i="7" s="1"/>
  <c r="X42" i="7"/>
  <c r="X43" i="7" s="1"/>
  <c r="Y160" i="2"/>
  <c r="Y27" i="2"/>
  <c r="U68" i="17"/>
  <c r="U70" i="17" s="1"/>
  <c r="U72" i="17" s="1"/>
  <c r="U74" i="17" s="1"/>
  <c r="U25" i="19"/>
  <c r="Y43" i="23"/>
  <c r="Y49" i="23" s="1"/>
  <c r="Y176" i="23"/>
  <c r="Y177" i="23" s="1"/>
  <c r="Y181" i="23" s="1"/>
  <c r="X45" i="7" l="1"/>
  <c r="X44" i="7"/>
  <c r="Y40" i="7"/>
  <c r="Y41" i="7" s="1"/>
  <c r="Y33" i="2"/>
  <c r="AC37" i="7"/>
  <c r="Y161" i="2"/>
  <c r="Y165" i="2" s="1"/>
  <c r="T16" i="22"/>
  <c r="T18" i="22" s="1"/>
  <c r="AC32" i="7"/>
  <c r="Y42" i="7" l="1"/>
  <c r="Y43" i="7" s="1"/>
  <c r="T30" i="22"/>
  <c r="T31" i="22" s="1"/>
  <c r="T19" i="22"/>
  <c r="AC39" i="7"/>
  <c r="Z26" i="2"/>
  <c r="Z42" i="23"/>
  <c r="X46" i="7"/>
  <c r="Z176" i="23" l="1"/>
  <c r="Z177" i="23" s="1"/>
  <c r="Z181" i="23" s="1"/>
  <c r="Z43" i="23"/>
  <c r="Z49" i="23" s="1"/>
  <c r="Z160" i="2"/>
  <c r="Z27" i="2"/>
  <c r="V68" i="17"/>
  <c r="V70" i="17" s="1"/>
  <c r="V72" i="17" s="1"/>
  <c r="V74" i="17" s="1"/>
  <c r="V25" i="19"/>
  <c r="Z40" i="7"/>
  <c r="Z41" i="7" s="1"/>
  <c r="Y45" i="7"/>
  <c r="Y44" i="7"/>
  <c r="Z42" i="7" l="1"/>
  <c r="Z43" i="7" s="1"/>
  <c r="U16" i="22"/>
  <c r="U18" i="22" s="1"/>
  <c r="Z161" i="2"/>
  <c r="Z165" i="2" s="1"/>
  <c r="AA42" i="23"/>
  <c r="AA26" i="2"/>
  <c r="Y46" i="7"/>
  <c r="Z33" i="2"/>
  <c r="U19" i="22" l="1"/>
  <c r="U30" i="22"/>
  <c r="AA160" i="2"/>
  <c r="W25" i="19"/>
  <c r="AA27" i="2"/>
  <c r="W68" i="17"/>
  <c r="W70" i="17" s="1"/>
  <c r="W72" i="17" s="1"/>
  <c r="W74" i="17" s="1"/>
  <c r="AA176" i="23"/>
  <c r="AA177" i="23" s="1"/>
  <c r="AA181" i="23" s="1"/>
  <c r="AA43" i="23"/>
  <c r="AA49" i="23" s="1"/>
  <c r="Z45" i="7"/>
  <c r="AA40" i="7"/>
  <c r="AA41" i="7" s="1"/>
  <c r="Z44" i="7"/>
  <c r="AA42" i="7" l="1"/>
  <c r="AA43" i="7" s="1"/>
  <c r="U31" i="22"/>
  <c r="V16" i="22"/>
  <c r="V18" i="22" s="1"/>
  <c r="AA161" i="2"/>
  <c r="AA165" i="2" s="1"/>
  <c r="Z46" i="7"/>
  <c r="AB42" i="23"/>
  <c r="AB26" i="2"/>
  <c r="AA33" i="2"/>
  <c r="X68" i="17" l="1"/>
  <c r="X70" i="17" s="1"/>
  <c r="X72" i="17" s="1"/>
  <c r="X74" i="17" s="1"/>
  <c r="AB160" i="2"/>
  <c r="AB27" i="2"/>
  <c r="X25" i="19"/>
  <c r="AB176" i="23"/>
  <c r="AB177" i="23" s="1"/>
  <c r="AB181" i="23" s="1"/>
  <c r="AB43" i="23"/>
  <c r="AB49" i="23" s="1"/>
  <c r="V19" i="22"/>
  <c r="V30" i="22"/>
  <c r="AA45" i="7"/>
  <c r="AB40" i="7"/>
  <c r="AB41" i="7" s="1"/>
  <c r="AA44" i="7"/>
  <c r="AA46" i="7" l="1"/>
  <c r="AC26" i="2"/>
  <c r="AC42" i="23"/>
  <c r="AB33" i="2"/>
  <c r="V31" i="22"/>
  <c r="W16" i="22"/>
  <c r="W18" i="22" s="1"/>
  <c r="AB161" i="2"/>
  <c r="AB165" i="2" s="1"/>
  <c r="AB42" i="7"/>
  <c r="AB43" i="7" s="1"/>
  <c r="AB45" i="7" l="1"/>
  <c r="AC40" i="7"/>
  <c r="AC41" i="7" s="1"/>
  <c r="AB44" i="7"/>
  <c r="AC176" i="23"/>
  <c r="AC177" i="23" s="1"/>
  <c r="AC181" i="23" s="1"/>
  <c r="AC43" i="23"/>
  <c r="AC49" i="23" s="1"/>
  <c r="W19" i="22"/>
  <c r="W30" i="22"/>
  <c r="AC27" i="2"/>
  <c r="AC160" i="2"/>
  <c r="Y68" i="17"/>
  <c r="Y70" i="17" s="1"/>
  <c r="Y72" i="17" s="1"/>
  <c r="Y74" i="17" s="1"/>
  <c r="Y25" i="19"/>
  <c r="AC42" i="7" l="1"/>
  <c r="AC43" i="7" s="1"/>
  <c r="AC45" i="7" s="1"/>
  <c r="W31" i="22"/>
  <c r="X16" i="22"/>
  <c r="X18" i="22" s="1"/>
  <c r="AC161" i="2"/>
  <c r="AC165" i="2" s="1"/>
  <c r="AC44" i="7"/>
  <c r="AC33" i="2"/>
  <c r="AD26" i="2"/>
  <c r="AB46" i="7"/>
  <c r="AD42" i="23"/>
  <c r="AD160" i="2" l="1"/>
  <c r="Z68" i="17"/>
  <c r="Z70" i="17" s="1"/>
  <c r="Z72" i="17" s="1"/>
  <c r="Z74" i="17" s="1"/>
  <c r="AD27" i="2"/>
  <c r="Z25" i="19"/>
  <c r="AE42" i="23"/>
  <c r="AC46" i="7"/>
  <c r="AE26" i="2"/>
  <c r="AD43" i="23"/>
  <c r="AD49" i="23" s="1"/>
  <c r="AD176" i="23"/>
  <c r="AD177" i="23" s="1"/>
  <c r="AD181" i="23" s="1"/>
  <c r="X30" i="22"/>
  <c r="X19" i="22"/>
  <c r="AD33" i="2" l="1"/>
  <c r="X31" i="22"/>
  <c r="AE160" i="2"/>
  <c r="AE27" i="2"/>
  <c r="AA68" i="17"/>
  <c r="AA70" i="17" s="1"/>
  <c r="AA72" i="17" s="1"/>
  <c r="AA74" i="17" s="1"/>
  <c r="AA25" i="19"/>
  <c r="AE176" i="23"/>
  <c r="AE177" i="23" s="1"/>
  <c r="AE181" i="23" s="1"/>
  <c r="AE43" i="23"/>
  <c r="AE49" i="23" s="1"/>
  <c r="Y16" i="22"/>
  <c r="Y18" i="22" s="1"/>
  <c r="AD161" i="2"/>
  <c r="AD165" i="2" s="1"/>
  <c r="AE161" i="2" l="1"/>
  <c r="AE165" i="2" s="1"/>
  <c r="Z16" i="22"/>
  <c r="Z18" i="22" s="1"/>
  <c r="AE33" i="2"/>
  <c r="Y19" i="22"/>
  <c r="Y30" i="22"/>
  <c r="Y31" i="22" l="1"/>
  <c r="Z30" i="22"/>
  <c r="Z19" i="22"/>
  <c r="Z31" i="22" l="1"/>
  <c r="D102" i="22"/>
  <c r="X61" i="21"/>
  <c r="W61" i="21"/>
  <c r="O61" i="21"/>
  <c r="AA61" i="21"/>
  <c r="AE44" i="23" s="1"/>
  <c r="AE45" i="23" s="1"/>
  <c r="AE47" i="23" s="1"/>
  <c r="AE61" i="23" s="1"/>
  <c r="AE72" i="23" s="1"/>
  <c r="V61" i="21"/>
  <c r="Z28" i="2" s="1"/>
  <c r="Z29" i="2" s="1"/>
  <c r="Z31" i="2" s="1"/>
  <c r="T61" i="21"/>
  <c r="X44" i="23"/>
  <c r="X45" i="23" s="1"/>
  <c r="X47" i="23" s="1"/>
  <c r="R61" i="21"/>
  <c r="V28" i="2" s="1"/>
  <c r="V29" i="2" s="1"/>
  <c r="V31" i="2" s="1"/>
  <c r="L61" i="21"/>
  <c r="P28" i="2" s="1"/>
  <c r="P29" i="2" s="1"/>
  <c r="P31" i="2" s="1"/>
  <c r="P61" i="21"/>
  <c r="J61" i="21"/>
  <c r="N61" i="21"/>
  <c r="Y61" i="21"/>
  <c r="K61" i="21"/>
  <c r="O44" i="23"/>
  <c r="O45" i="23" s="1"/>
  <c r="O47" i="23" s="1"/>
  <c r="U61" i="21"/>
  <c r="Q61" i="21"/>
  <c r="U28" i="2" s="1"/>
  <c r="U29" i="2" s="1"/>
  <c r="U31" i="2" s="1"/>
  <c r="Z61" i="21"/>
  <c r="AD44" i="23" s="1"/>
  <c r="AD45" i="23" s="1"/>
  <c r="AD47" i="23" s="1"/>
  <c r="M61" i="21"/>
  <c r="S61" i="21"/>
  <c r="W28" i="2" s="1"/>
  <c r="W29" i="2" s="1"/>
  <c r="W31" i="2" s="1"/>
  <c r="AE28" i="2" l="1"/>
  <c r="AE29" i="2" s="1"/>
  <c r="AE31" i="2" s="1"/>
  <c r="AD152" i="23"/>
  <c r="AD61" i="23"/>
  <c r="AD72" i="23" s="1"/>
  <c r="Q46" i="21"/>
  <c r="U136" i="2"/>
  <c r="U45" i="2"/>
  <c r="U56" i="2" s="1"/>
  <c r="Y44" i="23"/>
  <c r="Y45" i="23" s="1"/>
  <c r="Y47" i="23" s="1"/>
  <c r="Y28" i="2"/>
  <c r="Y29" i="2" s="1"/>
  <c r="Y31" i="2" s="1"/>
  <c r="Q44" i="23"/>
  <c r="Q45" i="23" s="1"/>
  <c r="Q47" i="23" s="1"/>
  <c r="Q28" i="2"/>
  <c r="Q29" i="2" s="1"/>
  <c r="Q31" i="2" s="1"/>
  <c r="O152" i="23"/>
  <c r="O61" i="23"/>
  <c r="O72" i="23" s="1"/>
  <c r="S46" i="21"/>
  <c r="W136" i="2"/>
  <c r="W45" i="2"/>
  <c r="W56" i="2" s="1"/>
  <c r="U44" i="23"/>
  <c r="U45" i="23" s="1"/>
  <c r="U47" i="23" s="1"/>
  <c r="O28" i="2"/>
  <c r="O29" i="2" s="1"/>
  <c r="O31" i="2" s="1"/>
  <c r="T28" i="2"/>
  <c r="T29" i="2" s="1"/>
  <c r="T31" i="2" s="1"/>
  <c r="T44" i="23"/>
  <c r="T45" i="23" s="1"/>
  <c r="T47" i="23" s="1"/>
  <c r="P136" i="2"/>
  <c r="L46" i="21"/>
  <c r="P45" i="2"/>
  <c r="P56" i="2" s="1"/>
  <c r="R46" i="21"/>
  <c r="V136" i="2"/>
  <c r="V45" i="2"/>
  <c r="V56" i="2" s="1"/>
  <c r="V46" i="21"/>
  <c r="Z136" i="2"/>
  <c r="Z45" i="2"/>
  <c r="Z56" i="2" s="1"/>
  <c r="AC44" i="23"/>
  <c r="AC45" i="23" s="1"/>
  <c r="AC47" i="23" s="1"/>
  <c r="AC28" i="2"/>
  <c r="AC29" i="2" s="1"/>
  <c r="AC31" i="2" s="1"/>
  <c r="N28" i="2"/>
  <c r="N29" i="2" s="1"/>
  <c r="N31" i="2" s="1"/>
  <c r="N44" i="23"/>
  <c r="N45" i="23" s="1"/>
  <c r="N47" i="23" s="1"/>
  <c r="W44" i="23"/>
  <c r="W45" i="23" s="1"/>
  <c r="W47" i="23" s="1"/>
  <c r="AD28" i="2"/>
  <c r="AD29" i="2" s="1"/>
  <c r="AD31" i="2" s="1"/>
  <c r="R44" i="23"/>
  <c r="R45" i="23" s="1"/>
  <c r="R47" i="23" s="1"/>
  <c r="R28" i="2"/>
  <c r="R29" i="2" s="1"/>
  <c r="R31" i="2" s="1"/>
  <c r="X152" i="23"/>
  <c r="X61" i="23"/>
  <c r="X72" i="23" s="1"/>
  <c r="AA46" i="21"/>
  <c r="AE45" i="2"/>
  <c r="AE56" i="2" s="1"/>
  <c r="AE136" i="2"/>
  <c r="S28" i="2"/>
  <c r="S29" i="2" s="1"/>
  <c r="S31" i="2" s="1"/>
  <c r="S44" i="23"/>
  <c r="S45" i="23" s="1"/>
  <c r="S47" i="23" s="1"/>
  <c r="AB44" i="23"/>
  <c r="AB45" i="23" s="1"/>
  <c r="AB47" i="23" s="1"/>
  <c r="AB28" i="2"/>
  <c r="AB29" i="2" s="1"/>
  <c r="AB31" i="2" s="1"/>
  <c r="P44" i="23"/>
  <c r="P45" i="23" s="1"/>
  <c r="P47" i="23" s="1"/>
  <c r="Z44" i="23"/>
  <c r="Z45" i="23" s="1"/>
  <c r="Z47" i="23" s="1"/>
  <c r="AA44" i="23"/>
  <c r="AA45" i="23" s="1"/>
  <c r="AA47" i="23" s="1"/>
  <c r="AA28" i="2"/>
  <c r="AA29" i="2" s="1"/>
  <c r="AA31" i="2" s="1"/>
  <c r="X28" i="2"/>
  <c r="X29" i="2" s="1"/>
  <c r="X31" i="2" s="1"/>
  <c r="V44" i="23"/>
  <c r="V45" i="23" s="1"/>
  <c r="V47" i="23" s="1"/>
  <c r="AE152" i="23"/>
  <c r="X45" i="2" l="1"/>
  <c r="X56" i="2" s="1"/>
  <c r="X136" i="2"/>
  <c r="T46" i="21"/>
  <c r="K46" i="21"/>
  <c r="O136" i="2"/>
  <c r="O45" i="2"/>
  <c r="O56" i="2" s="1"/>
  <c r="U46" i="21"/>
  <c r="Y136" i="2"/>
  <c r="Y45" i="2"/>
  <c r="Y56" i="2" s="1"/>
  <c r="AA136" i="2"/>
  <c r="W46" i="21"/>
  <c r="AA45" i="2"/>
  <c r="AA56" i="2" s="1"/>
  <c r="P61" i="23"/>
  <c r="P72" i="23" s="1"/>
  <c r="P152" i="23"/>
  <c r="R152" i="23"/>
  <c r="R61" i="23"/>
  <c r="R72" i="23" s="1"/>
  <c r="AC136" i="2"/>
  <c r="Y46" i="21"/>
  <c r="AC45" i="2"/>
  <c r="AC56" i="2" s="1"/>
  <c r="T61" i="23"/>
  <c r="T72" i="23" s="1"/>
  <c r="T152" i="23"/>
  <c r="Q45" i="2"/>
  <c r="Q56" i="2" s="1"/>
  <c r="M46" i="21"/>
  <c r="Q136" i="2"/>
  <c r="Z152" i="23"/>
  <c r="Z61" i="23"/>
  <c r="Z72" i="23" s="1"/>
  <c r="W152" i="23"/>
  <c r="W61" i="23"/>
  <c r="W72" i="23" s="1"/>
  <c r="AB136" i="2"/>
  <c r="AB45" i="2"/>
  <c r="AB56" i="2" s="1"/>
  <c r="X46" i="21"/>
  <c r="S152" i="23"/>
  <c r="S61" i="23"/>
  <c r="S72" i="23" s="1"/>
  <c r="N152" i="23"/>
  <c r="N61" i="23"/>
  <c r="N72" i="23" s="1"/>
  <c r="T136" i="2"/>
  <c r="P46" i="21"/>
  <c r="T45" i="2"/>
  <c r="T56" i="2" s="1"/>
  <c r="U152" i="23"/>
  <c r="U61" i="23"/>
  <c r="U72" i="23" s="1"/>
  <c r="Q152" i="23"/>
  <c r="Q61" i="23"/>
  <c r="Q72" i="23" s="1"/>
  <c r="Y152" i="23"/>
  <c r="Y61" i="23"/>
  <c r="Y72" i="23" s="1"/>
  <c r="S45" i="2"/>
  <c r="S56" i="2" s="1"/>
  <c r="O46" i="21"/>
  <c r="S136" i="2"/>
  <c r="Z46" i="21"/>
  <c r="AD136" i="2"/>
  <c r="AD45" i="2"/>
  <c r="AD56" i="2" s="1"/>
  <c r="V61" i="23"/>
  <c r="V72" i="23" s="1"/>
  <c r="V152" i="23"/>
  <c r="AA152" i="23"/>
  <c r="AA61" i="23"/>
  <c r="AA72" i="23" s="1"/>
  <c r="AB152" i="23"/>
  <c r="AB61" i="23"/>
  <c r="AB72" i="23" s="1"/>
  <c r="N46" i="21"/>
  <c r="R136" i="2"/>
  <c r="R45" i="2"/>
  <c r="R56" i="2" s="1"/>
  <c r="N45" i="2"/>
  <c r="N56" i="2" s="1"/>
  <c r="N136" i="2"/>
  <c r="J46" i="21"/>
  <c r="AC61" i="23"/>
  <c r="AC72" i="23" s="1"/>
  <c r="AC152" i="23"/>
  <c r="H54" i="21"/>
  <c r="H53" i="21"/>
  <c r="V90" i="3"/>
  <c r="V74" i="3"/>
  <c r="AA90" i="3"/>
  <c r="AA74" i="3"/>
  <c r="I31" i="21"/>
  <c r="I28" i="21"/>
  <c r="Y88" i="3"/>
  <c r="Y87" i="3"/>
  <c r="Z32" i="19"/>
  <c r="Z30" i="19"/>
  <c r="BG22" i="21"/>
  <c r="BG21" i="21"/>
  <c r="BA84" i="21"/>
  <c r="N100" i="23"/>
  <c r="N99" i="23"/>
  <c r="N132" i="2"/>
  <c r="N111" i="2"/>
  <c r="F31" i="21"/>
  <c r="F28" i="21"/>
  <c r="L92" i="21"/>
  <c r="AM84" i="21"/>
  <c r="Y54" i="21"/>
  <c r="Y49" i="21"/>
  <c r="H161" i="22"/>
  <c r="J115" i="22"/>
  <c r="L32" i="19"/>
  <c r="L30" i="19"/>
  <c r="AV22" i="21"/>
  <c r="AV21" i="21"/>
  <c r="AD172" i="23"/>
  <c r="AD171" i="23"/>
  <c r="AD169" i="23"/>
  <c r="AA90" i="21"/>
  <c r="CU82" i="21"/>
  <c r="V141" i="2"/>
  <c r="V131" i="2"/>
  <c r="FB23" i="21"/>
  <c r="M84" i="21"/>
  <c r="CP28" i="21"/>
  <c r="JN21" i="21"/>
  <c r="Y89" i="21"/>
  <c r="CM81" i="21"/>
  <c r="W12" i="19"/>
  <c r="W10" i="19"/>
  <c r="J102" i="23"/>
  <c r="J101" i="23"/>
  <c r="J103" i="23"/>
  <c r="I90" i="21"/>
  <c r="AA82" i="21"/>
  <c r="AC22" i="21"/>
  <c r="AC21" i="21"/>
  <c r="AE141" i="2"/>
  <c r="AE131" i="2"/>
  <c r="BY28" i="21"/>
  <c r="HO21" i="21"/>
  <c r="AL81" i="21"/>
  <c r="DE23" i="21"/>
  <c r="AM30" i="21"/>
  <c r="AM31" i="21"/>
  <c r="AL80" i="21"/>
  <c r="AL82" i="21"/>
  <c r="BM84" i="21"/>
  <c r="AA141" i="2"/>
  <c r="AA131" i="2"/>
  <c r="N90" i="21"/>
  <c r="AU82" i="21"/>
  <c r="J32" i="19"/>
  <c r="J30" i="19"/>
  <c r="IK23" i="21"/>
  <c r="DC23" i="21"/>
  <c r="CF82" i="21"/>
  <c r="IM23" i="21"/>
  <c r="CG30" i="21"/>
  <c r="CG31" i="21"/>
  <c r="CF80" i="21"/>
  <c r="CF81" i="21"/>
  <c r="BO22" i="21"/>
  <c r="S72" i="18"/>
  <c r="S112" i="18"/>
  <c r="S158" i="18"/>
  <c r="S162" i="18"/>
  <c r="BS22" i="21"/>
  <c r="BS21" i="21"/>
  <c r="O90" i="21"/>
  <c r="AY82" i="21"/>
  <c r="CE23" i="21"/>
  <c r="O100" i="23"/>
  <c r="O99" i="23"/>
  <c r="W88" i="3"/>
  <c r="W87" i="3"/>
  <c r="V54" i="21"/>
  <c r="V49" i="21"/>
  <c r="L155" i="22"/>
  <c r="L151" i="22"/>
  <c r="T105" i="22"/>
  <c r="CH84" i="21"/>
  <c r="T38" i="21"/>
  <c r="HM23" i="21"/>
  <c r="T17" i="9"/>
  <c r="AT81" i="21"/>
  <c r="EC23" i="21"/>
  <c r="AU30" i="21"/>
  <c r="AU31" i="21"/>
  <c r="AT80" i="21"/>
  <c r="AT82" i="21"/>
  <c r="AA82" i="2"/>
  <c r="W88" i="21"/>
  <c r="AA98" i="23"/>
  <c r="IL23" i="21"/>
  <c r="X82" i="21"/>
  <c r="BO21" i="21"/>
  <c r="Y28" i="21"/>
  <c r="Y31" i="21"/>
  <c r="X80" i="21"/>
  <c r="X81" i="21"/>
  <c r="W132" i="2"/>
  <c r="W111" i="2"/>
  <c r="AX82" i="21"/>
  <c r="EO23" i="21"/>
  <c r="AY30" i="21"/>
  <c r="AY31" i="21"/>
  <c r="AX80" i="21"/>
  <c r="AX81" i="21"/>
  <c r="Y17" i="9"/>
  <c r="AE22" i="21"/>
  <c r="X98" i="23"/>
  <c r="T88" i="21"/>
  <c r="X82" i="2"/>
  <c r="BN82" i="21"/>
  <c r="GK23" i="21"/>
  <c r="BO30" i="21"/>
  <c r="BO31" i="21"/>
  <c r="BN80" i="21"/>
  <c r="BN81" i="21"/>
  <c r="I116" i="22"/>
  <c r="R106" i="22"/>
  <c r="BY84" i="21"/>
  <c r="HP23" i="21"/>
  <c r="W54" i="21"/>
  <c r="W49" i="21"/>
  <c r="N156" i="2"/>
  <c r="N155" i="2"/>
  <c r="N153" i="2"/>
  <c r="GS23" i="21"/>
  <c r="AA140" i="2"/>
  <c r="CN23" i="21"/>
  <c r="I90" i="3"/>
  <c r="I74" i="3"/>
  <c r="N162" i="18"/>
  <c r="N158" i="18"/>
  <c r="N112" i="18"/>
  <c r="N72" i="18"/>
  <c r="J90" i="3"/>
  <c r="J74" i="3"/>
  <c r="AN82" i="21"/>
  <c r="DK23" i="21"/>
  <c r="AO30" i="21"/>
  <c r="AO31" i="21"/>
  <c r="AN80" i="21"/>
  <c r="AN81" i="21"/>
  <c r="B56" i="21"/>
  <c r="J90" i="21"/>
  <c r="AE82" i="21"/>
  <c r="V80" i="2"/>
  <c r="JS23" i="21"/>
  <c r="CW23" i="21"/>
  <c r="R54" i="21"/>
  <c r="R49" i="21"/>
  <c r="O53" i="21"/>
  <c r="O51" i="21"/>
  <c r="AD132" i="2"/>
  <c r="AD111" i="2"/>
  <c r="FI23" i="21"/>
  <c r="CL28" i="21"/>
  <c r="JB21" i="21"/>
  <c r="U72" i="18"/>
  <c r="U112" i="18"/>
  <c r="U158" i="18"/>
  <c r="U162" i="18"/>
  <c r="G54" i="21"/>
  <c r="G53" i="21"/>
  <c r="H90" i="3"/>
  <c r="H74" i="3"/>
  <c r="AS22" i="21"/>
  <c r="AS21" i="21"/>
  <c r="AU28" i="21"/>
  <c r="EC21" i="21"/>
  <c r="X153" i="2"/>
  <c r="X155" i="2"/>
  <c r="X156" i="2"/>
  <c r="AA72" i="18"/>
  <c r="AA112" i="18"/>
  <c r="AA158" i="18"/>
  <c r="AA162" i="18"/>
  <c r="M84" i="2"/>
  <c r="M83" i="2"/>
  <c r="CB28" i="21"/>
  <c r="FE23" i="21"/>
  <c r="CC28" i="21"/>
  <c r="IA21" i="21"/>
  <c r="I32" i="19"/>
  <c r="I30" i="19"/>
  <c r="BA22" i="21"/>
  <c r="BA21" i="21"/>
  <c r="X141" i="2"/>
  <c r="X131" i="2"/>
  <c r="V90" i="21"/>
  <c r="CA82" i="21"/>
  <c r="AP84" i="21"/>
  <c r="EY23" i="21"/>
  <c r="Z84" i="21"/>
  <c r="N82" i="21"/>
  <c r="O28" i="21"/>
  <c r="O31" i="21"/>
  <c r="N80" i="21"/>
  <c r="N81" i="21"/>
  <c r="AR22" i="21"/>
  <c r="AR21" i="21"/>
  <c r="HJ23" i="21"/>
  <c r="P86" i="2"/>
  <c r="L62" i="21"/>
  <c r="L63" i="21"/>
  <c r="L71" i="21"/>
  <c r="AB132" i="2"/>
  <c r="AB111" i="2"/>
  <c r="BQ82" i="21"/>
  <c r="GT23" i="21"/>
  <c r="BR30" i="21"/>
  <c r="BR31" i="21"/>
  <c r="BQ80" i="21"/>
  <c r="BQ81" i="21"/>
  <c r="AM28" i="21"/>
  <c r="DE21" i="21"/>
  <c r="B56" i="21" a="1"/>
  <c r="E88" i="1"/>
  <c r="H94" i="23"/>
  <c r="H103" i="23"/>
  <c r="H97" i="23"/>
  <c r="H101" i="23"/>
  <c r="H102" i="23"/>
  <c r="Q12" i="19"/>
  <c r="Q10" i="19"/>
  <c r="AA87" i="2"/>
  <c r="AA127" i="2"/>
  <c r="W72" i="18"/>
  <c r="W112" i="18"/>
  <c r="W158" i="18"/>
  <c r="W162" i="18"/>
  <c r="AK21" i="21"/>
  <c r="AK22" i="21"/>
  <c r="AC132" i="2"/>
  <c r="AC111" i="2"/>
  <c r="CK82" i="21"/>
  <c r="JB23" i="21"/>
  <c r="CL30" i="21"/>
  <c r="CL31" i="21"/>
  <c r="CK80" i="21"/>
  <c r="CK81" i="21"/>
  <c r="FL23" i="21"/>
  <c r="D71" i="21"/>
  <c r="D72" i="21"/>
  <c r="D73" i="21"/>
  <c r="JC23" i="21"/>
  <c r="Q82" i="21"/>
  <c r="R28" i="21"/>
  <c r="R31" i="21"/>
  <c r="Q80" i="21"/>
  <c r="Q81" i="21"/>
  <c r="P141" i="2"/>
  <c r="P131" i="2"/>
  <c r="S84" i="2"/>
  <c r="S83" i="2"/>
  <c r="Z89" i="21"/>
  <c r="CQ81" i="21"/>
  <c r="AC17" i="9"/>
  <c r="EN23" i="21"/>
  <c r="BD84" i="21"/>
  <c r="I92" i="21"/>
  <c r="AA84" i="21"/>
  <c r="I161" i="22"/>
  <c r="J116" i="22"/>
  <c r="AL22" i="21"/>
  <c r="AL21" i="21"/>
  <c r="M155" i="22"/>
  <c r="M151" i="22"/>
  <c r="T106" i="22"/>
  <c r="K90" i="21"/>
  <c r="AI82" i="21"/>
  <c r="G38" i="21"/>
  <c r="AE87" i="2"/>
  <c r="AE127" i="2"/>
  <c r="AE140" i="2"/>
  <c r="CM28" i="21"/>
  <c r="JE21" i="21"/>
  <c r="P90" i="3"/>
  <c r="P74" i="3"/>
  <c r="X87" i="21"/>
  <c r="X91" i="21"/>
  <c r="I100" i="23"/>
  <c r="I99" i="23"/>
  <c r="AB153" i="2"/>
  <c r="AB155" i="2"/>
  <c r="AB156" i="2"/>
  <c r="AA78" i="2"/>
  <c r="CL81" i="21"/>
  <c r="JE23" i="21"/>
  <c r="CM30" i="21"/>
  <c r="CM31" i="21"/>
  <c r="CL80" i="21"/>
  <c r="CL82" i="21"/>
  <c r="BP84" i="21"/>
  <c r="L53" i="21"/>
  <c r="L51" i="21"/>
  <c r="S156" i="2"/>
  <c r="S155" i="2"/>
  <c r="S153" i="2"/>
  <c r="U157" i="23"/>
  <c r="U147" i="23"/>
  <c r="U148" i="23"/>
  <c r="DJ23" i="21"/>
  <c r="AI28" i="21"/>
  <c r="CS21" i="21"/>
  <c r="AN22" i="21"/>
  <c r="AA38" i="21"/>
  <c r="I17" i="9"/>
  <c r="K87" i="2"/>
  <c r="GR23" i="21"/>
  <c r="U156" i="2"/>
  <c r="U155" i="2"/>
  <c r="U153" i="2"/>
  <c r="R141" i="2"/>
  <c r="R131" i="2"/>
  <c r="IT23" i="21"/>
  <c r="L82" i="21"/>
  <c r="G92" i="21"/>
  <c r="S84" i="21"/>
  <c r="H87" i="21"/>
  <c r="H91" i="21"/>
  <c r="L86" i="2"/>
  <c r="H62" i="21"/>
  <c r="H63" i="21"/>
  <c r="H71" i="21"/>
  <c r="D63" i="21"/>
  <c r="B64" i="21"/>
  <c r="GM23" i="21"/>
  <c r="L85" i="2"/>
  <c r="L87" i="2"/>
  <c r="J17" i="9"/>
  <c r="IZ23" i="21"/>
  <c r="J21" i="21"/>
  <c r="J22" i="21"/>
  <c r="BE82" i="21"/>
  <c r="FJ23" i="21"/>
  <c r="BF30" i="21"/>
  <c r="BF31" i="21"/>
  <c r="BE80" i="21"/>
  <c r="BE81" i="21"/>
  <c r="H82" i="23"/>
  <c r="H92" i="23"/>
  <c r="H93" i="23"/>
  <c r="H95" i="23"/>
  <c r="H96" i="23"/>
  <c r="S21" i="21"/>
  <c r="S22" i="21"/>
  <c r="BC84" i="21"/>
  <c r="P92" i="21"/>
  <c r="T141" i="2"/>
  <c r="T131" i="2"/>
  <c r="BO84" i="21"/>
  <c r="S92" i="21"/>
  <c r="R84" i="21"/>
  <c r="AO28" i="21"/>
  <c r="DK21" i="21"/>
  <c r="R132" i="2"/>
  <c r="R111" i="2"/>
  <c r="AW84" i="21"/>
  <c r="T54" i="21"/>
  <c r="T49" i="21"/>
  <c r="AZ84" i="21"/>
  <c r="AA54" i="21"/>
  <c r="AA49" i="21"/>
  <c r="S87" i="21"/>
  <c r="S91" i="21"/>
  <c r="CH28" i="21"/>
  <c r="IP21" i="21"/>
  <c r="IR23" i="21"/>
  <c r="O156" i="2"/>
  <c r="O155" i="2"/>
  <c r="O153" i="2"/>
  <c r="AB141" i="2"/>
  <c r="AB131" i="2"/>
  <c r="H90" i="21"/>
  <c r="W82" i="21"/>
  <c r="H32" i="19"/>
  <c r="H30" i="19"/>
  <c r="Q92" i="21"/>
  <c r="BG84" i="21"/>
  <c r="L172" i="23"/>
  <c r="L171" i="23"/>
  <c r="L169" i="23"/>
  <c r="N141" i="2"/>
  <c r="N131" i="2"/>
  <c r="J92" i="21"/>
  <c r="AE84" i="21"/>
  <c r="CK28" i="21"/>
  <c r="IY21" i="21"/>
  <c r="CC23" i="21"/>
  <c r="W94" i="23"/>
  <c r="W99" i="23"/>
  <c r="W100" i="23"/>
  <c r="Z94" i="23"/>
  <c r="CZ23" i="21"/>
  <c r="X102" i="23"/>
  <c r="Y102" i="23"/>
  <c r="BJ81" i="21"/>
  <c r="FY23" i="21"/>
  <c r="BK30" i="21"/>
  <c r="BK31" i="21"/>
  <c r="BJ80" i="21"/>
  <c r="BJ82" i="21"/>
  <c r="CJ84" i="21"/>
  <c r="W73" i="3"/>
  <c r="W74" i="3"/>
  <c r="W90" i="3"/>
  <c r="CN82" i="21"/>
  <c r="JK23" i="21"/>
  <c r="CO30" i="21"/>
  <c r="CO31" i="21"/>
  <c r="CN80" i="21"/>
  <c r="CN81" i="21"/>
  <c r="P81" i="21"/>
  <c r="Q28" i="21"/>
  <c r="Q31" i="21"/>
  <c r="P80" i="21"/>
  <c r="P82" i="21"/>
  <c r="J82" i="2"/>
  <c r="F88" i="21"/>
  <c r="J98" i="23"/>
  <c r="E32" i="19"/>
  <c r="E30" i="19"/>
  <c r="CG81" i="21"/>
  <c r="IP23" i="21"/>
  <c r="CH30" i="21"/>
  <c r="CH31" i="21"/>
  <c r="CG80" i="21"/>
  <c r="CG82" i="21"/>
  <c r="AL84" i="21"/>
  <c r="U169" i="23"/>
  <c r="U171" i="23"/>
  <c r="U172" i="23"/>
  <c r="HZ23" i="21"/>
  <c r="K53" i="21"/>
  <c r="K51" i="21"/>
  <c r="U53" i="21"/>
  <c r="U51" i="21"/>
  <c r="U104" i="22"/>
  <c r="O151" i="22"/>
  <c r="O155" i="22"/>
  <c r="Z83" i="2"/>
  <c r="Z84" i="2"/>
  <c r="BK28" i="21"/>
  <c r="FY21" i="21"/>
  <c r="U144" i="2"/>
  <c r="U138" i="2"/>
  <c r="U137" i="2"/>
  <c r="U143" i="2"/>
  <c r="Q36" i="18"/>
  <c r="U139" i="2"/>
  <c r="T100" i="23"/>
  <c r="T99" i="23"/>
  <c r="U32" i="19"/>
  <c r="U30" i="19"/>
  <c r="U96" i="23"/>
  <c r="I156" i="2"/>
  <c r="I155" i="2"/>
  <c r="I153" i="2"/>
  <c r="R38" i="21"/>
  <c r="AG81" i="21"/>
  <c r="CP23" i="21"/>
  <c r="AH30" i="21"/>
  <c r="AH31" i="21"/>
  <c r="AG80" i="21"/>
  <c r="AG82" i="21"/>
  <c r="R17" i="9"/>
  <c r="N80" i="2"/>
  <c r="J162" i="18"/>
  <c r="J158" i="18"/>
  <c r="J112" i="18"/>
  <c r="J72" i="18"/>
  <c r="BD22" i="21"/>
  <c r="BD21" i="21"/>
  <c r="T172" i="23"/>
  <c r="T171" i="23"/>
  <c r="T169" i="23"/>
  <c r="L13" i="9"/>
  <c r="DO23" i="21"/>
  <c r="O86" i="2"/>
  <c r="K62" i="21"/>
  <c r="K63" i="21"/>
  <c r="K71" i="21"/>
  <c r="K28" i="2"/>
  <c r="K44" i="23"/>
  <c r="N88" i="3"/>
  <c r="N87" i="3"/>
  <c r="R90" i="3"/>
  <c r="R74" i="3"/>
  <c r="BK22" i="21"/>
  <c r="BK21" i="21"/>
  <c r="BV84" i="21"/>
  <c r="FX23" i="21"/>
  <c r="L87" i="21"/>
  <c r="L91" i="21"/>
  <c r="P53" i="21"/>
  <c r="P51" i="21"/>
  <c r="N127" i="2"/>
  <c r="N140" i="2"/>
  <c r="Z90" i="21"/>
  <c r="CQ82" i="21"/>
  <c r="K12" i="19"/>
  <c r="K10" i="19"/>
  <c r="CP82" i="21"/>
  <c r="JQ23" i="21"/>
  <c r="CQ30" i="21"/>
  <c r="CQ31" i="21"/>
  <c r="CP80" i="21"/>
  <c r="CP81" i="21"/>
  <c r="CG28" i="21"/>
  <c r="IM21" i="21"/>
  <c r="AB96" i="23"/>
  <c r="U90" i="21"/>
  <c r="BW82" i="21"/>
  <c r="T156" i="2"/>
  <c r="T155" i="2"/>
  <c r="T153" i="2"/>
  <c r="AB94" i="23"/>
  <c r="AP28" i="21"/>
  <c r="DN21" i="21"/>
  <c r="Y80" i="2"/>
  <c r="J156" i="2"/>
  <c r="J155" i="2"/>
  <c r="J153" i="2"/>
  <c r="N54" i="21"/>
  <c r="N49" i="21"/>
  <c r="AA156" i="2"/>
  <c r="AA155" i="2"/>
  <c r="AA153" i="2"/>
  <c r="L156" i="2"/>
  <c r="L155" i="2"/>
  <c r="L153" i="2"/>
  <c r="Q172" i="23"/>
  <c r="Q171" i="23"/>
  <c r="Q169" i="23"/>
  <c r="F71" i="21"/>
  <c r="F63" i="21"/>
  <c r="F62" i="21"/>
  <c r="J86" i="2"/>
  <c r="EE23" i="21"/>
  <c r="JA23" i="21"/>
  <c r="AH84" i="21"/>
  <c r="Q84" i="2"/>
  <c r="Q83" i="2"/>
  <c r="BM22" i="21"/>
  <c r="BM21" i="21"/>
  <c r="L78" i="2"/>
  <c r="X157" i="23"/>
  <c r="X147" i="23"/>
  <c r="X148" i="23"/>
  <c r="L154" i="22"/>
  <c r="FO23" i="21"/>
  <c r="J96" i="23"/>
  <c r="AT21" i="21"/>
  <c r="AT22" i="21"/>
  <c r="AX84" i="21"/>
  <c r="U103" i="23"/>
  <c r="U143" i="23"/>
  <c r="U156" i="23"/>
  <c r="U111" i="2"/>
  <c r="U132" i="2"/>
  <c r="Z22" i="21"/>
  <c r="Z21" i="21"/>
  <c r="Y148" i="23"/>
  <c r="Y147" i="23"/>
  <c r="Y157" i="23"/>
  <c r="EW23" i="21"/>
  <c r="W172" i="23"/>
  <c r="W169" i="23"/>
  <c r="W171" i="23"/>
  <c r="CB81" i="21"/>
  <c r="IA23" i="21"/>
  <c r="CC30" i="21"/>
  <c r="CC31" i="21"/>
  <c r="CB80" i="21"/>
  <c r="CB82" i="21"/>
  <c r="AD141" i="2"/>
  <c r="AD131" i="2"/>
  <c r="Q54" i="21"/>
  <c r="Q49" i="21"/>
  <c r="T12" i="19"/>
  <c r="T10" i="19"/>
  <c r="M98" i="23"/>
  <c r="I88" i="21"/>
  <c r="M82" i="2"/>
  <c r="N87" i="2"/>
  <c r="L17" i="9"/>
  <c r="EQ23" i="21"/>
  <c r="HY23" i="21"/>
  <c r="AC169" i="23"/>
  <c r="AC171" i="23"/>
  <c r="AC172" i="23"/>
  <c r="V169" i="23"/>
  <c r="V171" i="23"/>
  <c r="V172" i="23"/>
  <c r="JL23" i="21"/>
  <c r="L88" i="3"/>
  <c r="L87" i="3"/>
  <c r="HD23" i="21"/>
  <c r="DU23" i="21"/>
  <c r="G61" i="21"/>
  <c r="G63" i="21"/>
  <c r="G71" i="21"/>
  <c r="S90" i="3"/>
  <c r="S74" i="3"/>
  <c r="H17" i="9"/>
  <c r="J85" i="2"/>
  <c r="J87" i="2"/>
  <c r="J78" i="2"/>
  <c r="FQ23" i="21"/>
  <c r="BU81" i="21"/>
  <c r="HF23" i="21"/>
  <c r="BV30" i="21"/>
  <c r="BV31" i="21"/>
  <c r="BU80" i="21"/>
  <c r="BU82" i="21"/>
  <c r="CI28" i="21"/>
  <c r="IS21" i="21"/>
  <c r="BX28" i="21"/>
  <c r="P172" i="23"/>
  <c r="P171" i="23"/>
  <c r="P169" i="23"/>
  <c r="JD23" i="21"/>
  <c r="EV23" i="21"/>
  <c r="GJ23" i="21"/>
  <c r="U90" i="3"/>
  <c r="U74" i="3"/>
  <c r="V12" i="19"/>
  <c r="V10" i="19"/>
  <c r="HS23" i="21"/>
  <c r="BC28" i="21"/>
  <c r="FA21" i="21"/>
  <c r="BB84" i="21"/>
  <c r="CS84" i="21"/>
  <c r="V96" i="23"/>
  <c r="V32" i="19"/>
  <c r="V30" i="19"/>
  <c r="AS84" i="21"/>
  <c r="U141" i="2"/>
  <c r="U131" i="2"/>
  <c r="GP23" i="21"/>
  <c r="O154" i="22"/>
  <c r="T90" i="21"/>
  <c r="BS82" i="21"/>
  <c r="W32" i="19"/>
  <c r="W30" i="19"/>
  <c r="O32" i="19"/>
  <c r="O30" i="19"/>
  <c r="AT84" i="21"/>
  <c r="F89" i="21"/>
  <c r="O81" i="21"/>
  <c r="AQ21" i="21"/>
  <c r="AQ22" i="21"/>
  <c r="CX23" i="21"/>
  <c r="AD100" i="23"/>
  <c r="AD99" i="23"/>
  <c r="AO22" i="21"/>
  <c r="AO21" i="21"/>
  <c r="AK84" i="21"/>
  <c r="O137" i="2"/>
  <c r="O144" i="2"/>
  <c r="O143" i="2"/>
  <c r="O139" i="2"/>
  <c r="K36" i="18"/>
  <c r="O138" i="2"/>
  <c r="X101" i="23"/>
  <c r="X103" i="23"/>
  <c r="X143" i="23"/>
  <c r="X156" i="23"/>
  <c r="R98" i="23"/>
  <c r="N88" i="21"/>
  <c r="R82" i="2"/>
  <c r="U101" i="23"/>
  <c r="U102" i="23"/>
  <c r="Y96" i="23"/>
  <c r="Y87" i="21"/>
  <c r="Y91" i="21"/>
  <c r="O22" i="21"/>
  <c r="O21" i="21"/>
  <c r="Q98" i="23"/>
  <c r="M88" i="21"/>
  <c r="Q82" i="2"/>
  <c r="Z82" i="2"/>
  <c r="V88" i="21"/>
  <c r="Z98" i="23"/>
  <c r="O111" i="2"/>
  <c r="O132" i="2"/>
  <c r="R87" i="21"/>
  <c r="R91" i="21"/>
  <c r="L158" i="22"/>
  <c r="L160" i="22"/>
  <c r="L157" i="22"/>
  <c r="L150" i="22"/>
  <c r="L152" i="22"/>
  <c r="L159" i="22"/>
  <c r="BP28" i="21"/>
  <c r="K38" i="21"/>
  <c r="L80" i="2"/>
  <c r="CB84" i="21"/>
  <c r="P98" i="23"/>
  <c r="L88" i="21"/>
  <c r="P82" i="2"/>
  <c r="AZ81" i="21"/>
  <c r="EU23" i="21"/>
  <c r="BA30" i="21"/>
  <c r="BA31" i="21"/>
  <c r="AZ80" i="21"/>
  <c r="AZ82" i="21"/>
  <c r="R37" i="21"/>
  <c r="R48" i="21"/>
  <c r="R51" i="21"/>
  <c r="R53" i="21"/>
  <c r="JF23" i="21"/>
  <c r="V98" i="23"/>
  <c r="R88" i="21"/>
  <c r="V82" i="2"/>
  <c r="Y101" i="23"/>
  <c r="Y103" i="23"/>
  <c r="Y143" i="23"/>
  <c r="Y156" i="23"/>
  <c r="BH22" i="21"/>
  <c r="BH21" i="21"/>
  <c r="AD80" i="2"/>
  <c r="O98" i="23"/>
  <c r="K88" i="21"/>
  <c r="O82" i="2"/>
  <c r="BZ82" i="21"/>
  <c r="HU23" i="21"/>
  <c r="CA30" i="21"/>
  <c r="CA31" i="21"/>
  <c r="BZ80" i="21"/>
  <c r="BZ81" i="21"/>
  <c r="R86" i="2"/>
  <c r="N62" i="21"/>
  <c r="N63" i="21"/>
  <c r="N71" i="21"/>
  <c r="AP82" i="21"/>
  <c r="DQ23" i="21"/>
  <c r="AQ30" i="21"/>
  <c r="AQ31" i="21"/>
  <c r="AP80" i="21"/>
  <c r="AP81" i="21"/>
  <c r="AH81" i="21"/>
  <c r="CS23" i="21"/>
  <c r="AI30" i="21"/>
  <c r="AI31" i="21"/>
  <c r="AH80" i="21"/>
  <c r="AH82" i="21"/>
  <c r="R88" i="22"/>
  <c r="T88" i="22"/>
  <c r="Q88" i="22"/>
  <c r="H88" i="22"/>
  <c r="P88" i="22"/>
  <c r="E88" i="22"/>
  <c r="S88" i="22"/>
  <c r="O88" i="22"/>
  <c r="U88" i="22"/>
  <c r="N88" i="22"/>
  <c r="I88" i="22"/>
  <c r="J88" i="22"/>
  <c r="M88" i="22"/>
  <c r="W88" i="22"/>
  <c r="D95" i="22"/>
  <c r="V88" i="22"/>
  <c r="X88" i="22"/>
  <c r="Z88" i="22"/>
  <c r="L88" i="22"/>
  <c r="K88" i="22"/>
  <c r="F88" i="22"/>
  <c r="G88" i="22"/>
  <c r="Y88" i="22"/>
  <c r="N87" i="21"/>
  <c r="N91" i="21"/>
  <c r="HH23" i="21"/>
  <c r="W80" i="2"/>
  <c r="BH84" i="21"/>
  <c r="CN28" i="21"/>
  <c r="AV81" i="21"/>
  <c r="EI23" i="21"/>
  <c r="AW30" i="21"/>
  <c r="AW31" i="21"/>
  <c r="AV80" i="21"/>
  <c r="AV82" i="21"/>
  <c r="R127" i="2"/>
  <c r="R140" i="2"/>
  <c r="Z141" i="2"/>
  <c r="Z131" i="2"/>
  <c r="P73" i="3"/>
  <c r="P87" i="3"/>
  <c r="P88" i="3"/>
  <c r="L89" i="21"/>
  <c r="AM81" i="21"/>
  <c r="FF23" i="21"/>
  <c r="K78" i="2"/>
  <c r="V78" i="2"/>
  <c r="S78" i="2"/>
  <c r="D60" i="21"/>
  <c r="E60" i="21"/>
  <c r="F60" i="21"/>
  <c r="G60" i="21"/>
  <c r="H60" i="21"/>
  <c r="I60" i="21"/>
  <c r="J60" i="21"/>
  <c r="K60" i="21"/>
  <c r="L60" i="21"/>
  <c r="M60" i="21"/>
  <c r="N60" i="21"/>
  <c r="O60" i="21"/>
  <c r="P60" i="21"/>
  <c r="Q60" i="21"/>
  <c r="R60" i="21"/>
  <c r="S60" i="21"/>
  <c r="T60" i="21"/>
  <c r="U60" i="21"/>
  <c r="V60" i="21"/>
  <c r="W60" i="21"/>
  <c r="X60" i="21"/>
  <c r="Y60" i="21"/>
  <c r="Z60" i="21"/>
  <c r="AA60" i="21"/>
  <c r="Q38" i="21"/>
  <c r="BZ28" i="21"/>
  <c r="HR21" i="21"/>
  <c r="JU23" i="21"/>
  <c r="JT22" i="21"/>
  <c r="JU19" i="21"/>
  <c r="JU22" i="21"/>
  <c r="I94" i="23"/>
  <c r="ES23" i="21"/>
  <c r="W102" i="23"/>
  <c r="L72" i="18"/>
  <c r="L112" i="18"/>
  <c r="L158" i="18"/>
  <c r="L162" i="18"/>
  <c r="AB84" i="2"/>
  <c r="AB83" i="2"/>
  <c r="BJ28" i="21"/>
  <c r="FV21" i="21"/>
  <c r="S141" i="2"/>
  <c r="S131" i="2"/>
  <c r="BJ22" i="21"/>
  <c r="BJ21" i="21"/>
  <c r="U71" i="21"/>
  <c r="Y86" i="2"/>
  <c r="U62" i="21"/>
  <c r="U63" i="21"/>
  <c r="T82" i="21"/>
  <c r="U28" i="21"/>
  <c r="U31" i="21"/>
  <c r="T80" i="21"/>
  <c r="T81" i="21"/>
  <c r="U92" i="21"/>
  <c r="BW84" i="21"/>
  <c r="S53" i="21"/>
  <c r="S51" i="21"/>
  <c r="DR23" i="21"/>
  <c r="L31" i="21"/>
  <c r="L28" i="21"/>
  <c r="GG23" i="21"/>
  <c r="BN22" i="21"/>
  <c r="BN21" i="21"/>
  <c r="Q87" i="21"/>
  <c r="Q91" i="21"/>
  <c r="Z102" i="23"/>
  <c r="U78" i="2"/>
  <c r="CQ23" i="21"/>
  <c r="CO28" i="21"/>
  <c r="JK21" i="21"/>
  <c r="F13" i="9"/>
  <c r="P89" i="21"/>
  <c r="BC81" i="21"/>
  <c r="P132" i="2"/>
  <c r="P111" i="2"/>
  <c r="FU23" i="21"/>
  <c r="N13" i="9"/>
  <c r="R85" i="2"/>
  <c r="R87" i="2"/>
  <c r="P17" i="9"/>
  <c r="Q88" i="3"/>
  <c r="Q87" i="3"/>
  <c r="BE22" i="21"/>
  <c r="BE21" i="21"/>
  <c r="R78" i="2"/>
  <c r="AC102" i="23"/>
  <c r="D30" i="19"/>
  <c r="D32" i="19"/>
  <c r="BZ84" i="21"/>
  <c r="T91" i="21"/>
  <c r="T87" i="21"/>
  <c r="Q90" i="3"/>
  <c r="Q73" i="3"/>
  <c r="Q74" i="3"/>
  <c r="P80" i="2"/>
  <c r="AC82" i="21"/>
  <c r="CD23" i="21"/>
  <c r="AD30" i="21"/>
  <c r="AD31" i="21"/>
  <c r="AC80" i="21"/>
  <c r="AC81" i="21"/>
  <c r="H92" i="21"/>
  <c r="W84" i="21"/>
  <c r="CL84" i="21"/>
  <c r="K22" i="21"/>
  <c r="K21" i="21"/>
  <c r="AB140" i="2"/>
  <c r="BY81" i="21"/>
  <c r="HR23" i="21"/>
  <c r="BZ30" i="21"/>
  <c r="BZ31" i="21"/>
  <c r="BY80" i="21"/>
  <c r="BY82" i="21"/>
  <c r="CD84" i="21"/>
  <c r="BP82" i="21"/>
  <c r="GQ23" i="21"/>
  <c r="BQ30" i="21"/>
  <c r="BQ31" i="21"/>
  <c r="BP80" i="21"/>
  <c r="BP81" i="21"/>
  <c r="AC84" i="2"/>
  <c r="AC83" i="2"/>
  <c r="BT82" i="21"/>
  <c r="HC23" i="21"/>
  <c r="BU30" i="21"/>
  <c r="BU31" i="21"/>
  <c r="BT80" i="21"/>
  <c r="BT81" i="21"/>
  <c r="F92" i="21"/>
  <c r="O84" i="21"/>
  <c r="BS28" i="21"/>
  <c r="GW21" i="21"/>
  <c r="W157" i="23"/>
  <c r="W147" i="23"/>
  <c r="W148" i="23"/>
  <c r="AB30" i="21"/>
  <c r="AB31" i="21"/>
  <c r="AA80" i="21"/>
  <c r="AA81" i="21"/>
  <c r="I89" i="21"/>
  <c r="I71" i="21"/>
  <c r="M86" i="2"/>
  <c r="I62" i="21"/>
  <c r="I63" i="21"/>
  <c r="I84" i="2"/>
  <c r="I83" i="2"/>
  <c r="V38" i="21"/>
  <c r="K90" i="3"/>
  <c r="K74" i="3"/>
  <c r="Q155" i="22"/>
  <c r="Q151" i="22"/>
  <c r="U106" i="22"/>
  <c r="AA92" i="21"/>
  <c r="CU84" i="21"/>
  <c r="CU83" i="21"/>
  <c r="AE132" i="2"/>
  <c r="AE111" i="2"/>
  <c r="P100" i="23"/>
  <c r="P99" i="23"/>
  <c r="GD23" i="21"/>
  <c r="AB148" i="23"/>
  <c r="AB147" i="23"/>
  <c r="AB157" i="23"/>
  <c r="G154" i="22"/>
  <c r="N12" i="19"/>
  <c r="N10" i="19"/>
  <c r="N53" i="21"/>
  <c r="N48" i="21"/>
  <c r="N51" i="21"/>
  <c r="M156" i="2"/>
  <c r="M155" i="2"/>
  <c r="M153" i="2"/>
  <c r="AY28" i="21"/>
  <c r="EO21" i="21"/>
  <c r="AC100" i="23"/>
  <c r="AC99" i="23"/>
  <c r="T90" i="3"/>
  <c r="T74" i="3"/>
  <c r="T156" i="23"/>
  <c r="BN84" i="21"/>
  <c r="P38" i="21"/>
  <c r="V89" i="21"/>
  <c r="CB30" i="21"/>
  <c r="CB31" i="21"/>
  <c r="CA80" i="21"/>
  <c r="CA81" i="21"/>
  <c r="AA91" i="21"/>
  <c r="AA87" i="21"/>
  <c r="DS23" i="21"/>
  <c r="S90" i="21"/>
  <c r="BO82" i="21"/>
  <c r="N17" i="9"/>
  <c r="AC157" i="23"/>
  <c r="AC147" i="23"/>
  <c r="AC148" i="23"/>
  <c r="I155" i="22"/>
  <c r="J106" i="22"/>
  <c r="S106" i="22"/>
  <c r="I151" i="22"/>
  <c r="AD22" i="21"/>
  <c r="AD21" i="21"/>
  <c r="S140" i="2"/>
  <c r="P157" i="22"/>
  <c r="P159" i="22"/>
  <c r="P158" i="22"/>
  <c r="P152" i="22"/>
  <c r="P160" i="22"/>
  <c r="AC82" i="2"/>
  <c r="Y88" i="21"/>
  <c r="AC98" i="23"/>
  <c r="BL81" i="21"/>
  <c r="GE23" i="21"/>
  <c r="BM30" i="21"/>
  <c r="BM31" i="21"/>
  <c r="BL80" i="21"/>
  <c r="BL82" i="21"/>
  <c r="S82" i="2"/>
  <c r="O88" i="21"/>
  <c r="S98" i="23"/>
  <c r="BB22" i="21"/>
  <c r="BB21" i="21"/>
  <c r="X162" i="18"/>
  <c r="AB127" i="2"/>
  <c r="X72" i="18"/>
  <c r="X112" i="18"/>
  <c r="X158" i="18"/>
  <c r="II23" i="21"/>
  <c r="Z156" i="23"/>
  <c r="T96" i="23"/>
  <c r="AJ82" i="21"/>
  <c r="CY23" i="21"/>
  <c r="AK30" i="21"/>
  <c r="AK31" i="21"/>
  <c r="AJ80" i="21"/>
  <c r="AJ81" i="21"/>
  <c r="AK82" i="21"/>
  <c r="DB23" i="21"/>
  <c r="AL30" i="21"/>
  <c r="AL31" i="21"/>
  <c r="AK80" i="21"/>
  <c r="AK81" i="21"/>
  <c r="J13" i="9"/>
  <c r="P12" i="19"/>
  <c r="P10" i="19"/>
  <c r="DG23" i="21"/>
  <c r="GY23" i="21"/>
  <c r="U82" i="21"/>
  <c r="V28" i="21"/>
  <c r="V31" i="21"/>
  <c r="U80" i="21"/>
  <c r="U81" i="21"/>
  <c r="O78" i="2"/>
  <c r="IF23" i="21"/>
  <c r="N94" i="23"/>
  <c r="AB100" i="23"/>
  <c r="AB99" i="23"/>
  <c r="U91" i="21"/>
  <c r="U87" i="21"/>
  <c r="AD81" i="21"/>
  <c r="CG23" i="21"/>
  <c r="AE30" i="21"/>
  <c r="AE31" i="21"/>
  <c r="AD80" i="21"/>
  <c r="AD82" i="21"/>
  <c r="DI23" i="21"/>
  <c r="E71" i="21"/>
  <c r="I86" i="2"/>
  <c r="E62" i="21"/>
  <c r="E63" i="21"/>
  <c r="L100" i="23"/>
  <c r="L99" i="23"/>
  <c r="Y82" i="21"/>
  <c r="Z28" i="21"/>
  <c r="Z31" i="21"/>
  <c r="Y80" i="21"/>
  <c r="Y81" i="21"/>
  <c r="H89" i="21"/>
  <c r="W81" i="21"/>
  <c r="G161" i="22"/>
  <c r="J114" i="22"/>
  <c r="W38" i="21"/>
  <c r="AD84" i="2"/>
  <c r="AD83" i="2"/>
  <c r="G90" i="3"/>
  <c r="G74" i="3"/>
  <c r="P32" i="19"/>
  <c r="P30" i="19"/>
  <c r="X32" i="19"/>
  <c r="X30" i="19"/>
  <c r="CJ28" i="21"/>
  <c r="U84" i="21"/>
  <c r="W89" i="21"/>
  <c r="CE81" i="21"/>
  <c r="K17" i="9"/>
  <c r="M81" i="2"/>
  <c r="M85" i="2"/>
  <c r="M87" i="2"/>
  <c r="W96" i="23"/>
  <c r="N84" i="21"/>
  <c r="P85" i="2"/>
  <c r="P87" i="2"/>
  <c r="P127" i="2"/>
  <c r="P140" i="2"/>
  <c r="G13" i="9"/>
  <c r="BV81" i="21"/>
  <c r="HI23" i="21"/>
  <c r="BW30" i="21"/>
  <c r="BW31" i="21"/>
  <c r="BV80" i="21"/>
  <c r="BV82" i="21"/>
  <c r="Z96" i="23"/>
  <c r="AB102" i="23"/>
  <c r="CT23" i="21"/>
  <c r="H153" i="2"/>
  <c r="H155" i="2"/>
  <c r="H156" i="2"/>
  <c r="AA32" i="19"/>
  <c r="AA30" i="19"/>
  <c r="N96" i="23"/>
  <c r="V100" i="23"/>
  <c r="V99" i="23"/>
  <c r="IQ23" i="21"/>
  <c r="N37" i="21"/>
  <c r="N38" i="21"/>
  <c r="Z153" i="2"/>
  <c r="Z155" i="2"/>
  <c r="Z156" i="2"/>
  <c r="P153" i="2"/>
  <c r="P155" i="2"/>
  <c r="P156" i="2"/>
  <c r="P84" i="21"/>
  <c r="U80" i="2"/>
  <c r="AC97" i="23"/>
  <c r="AC101" i="23"/>
  <c r="AC103" i="23"/>
  <c r="AC143" i="23"/>
  <c r="AC156" i="23"/>
  <c r="AB17" i="9"/>
  <c r="Y78" i="2"/>
  <c r="S127" i="2"/>
  <c r="O72" i="18"/>
  <c r="O112" i="18"/>
  <c r="O158" i="18"/>
  <c r="O162" i="18"/>
  <c r="M79" i="2"/>
  <c r="M80" i="2"/>
  <c r="P150" i="22"/>
  <c r="P154" i="22"/>
  <c r="Q22" i="21"/>
  <c r="Q21" i="21"/>
  <c r="O160" i="22"/>
  <c r="O157" i="22"/>
  <c r="O159" i="22"/>
  <c r="O150" i="22"/>
  <c r="O152" i="22"/>
  <c r="O158" i="22"/>
  <c r="BC21" i="21"/>
  <c r="BC22" i="21"/>
  <c r="G160" i="22"/>
  <c r="G157" i="22"/>
  <c r="G158" i="22"/>
  <c r="G150" i="22"/>
  <c r="G152" i="22"/>
  <c r="G159" i="22"/>
  <c r="IN23" i="21"/>
  <c r="JM23" i="21"/>
  <c r="Y38" i="21"/>
  <c r="H73" i="3"/>
  <c r="H87" i="3"/>
  <c r="H88" i="3"/>
  <c r="BX82" i="21"/>
  <c r="HO23" i="21"/>
  <c r="BY30" i="21"/>
  <c r="BY31" i="21"/>
  <c r="BX80" i="21"/>
  <c r="BX81" i="21"/>
  <c r="AB87" i="2"/>
  <c r="Z17" i="9"/>
  <c r="AC95" i="23"/>
  <c r="AC96" i="23"/>
  <c r="V87" i="21"/>
  <c r="V91" i="21"/>
  <c r="T98" i="23"/>
  <c r="P88" i="21"/>
  <c r="T82" i="2"/>
  <c r="Q149" i="22"/>
  <c r="L149" i="22"/>
  <c r="G149" i="22"/>
  <c r="H149" i="22"/>
  <c r="K149" i="22"/>
  <c r="I149" i="22"/>
  <c r="M149" i="22"/>
  <c r="O149" i="22"/>
  <c r="P149" i="22"/>
  <c r="CJ82" i="21"/>
  <c r="IY23" i="21"/>
  <c r="CK30" i="21"/>
  <c r="CK31" i="21"/>
  <c r="CJ80" i="21"/>
  <c r="CJ81" i="21"/>
  <c r="T86" i="2"/>
  <c r="P62" i="21"/>
  <c r="P63" i="21"/>
  <c r="P71" i="21"/>
  <c r="W86" i="2"/>
  <c r="S62" i="21"/>
  <c r="S63" i="21"/>
  <c r="S71" i="21"/>
  <c r="O38" i="21"/>
  <c r="AB82" i="2"/>
  <c r="X88" i="21"/>
  <c r="AB98" i="23"/>
  <c r="K154" i="22"/>
  <c r="K159" i="22"/>
  <c r="K160" i="22"/>
  <c r="K158" i="22"/>
  <c r="D87" i="22"/>
  <c r="F94" i="22"/>
  <c r="K150" i="22"/>
  <c r="K152" i="22"/>
  <c r="K157" i="22"/>
  <c r="AF81" i="21"/>
  <c r="CM23" i="21"/>
  <c r="AG30" i="21"/>
  <c r="AG31" i="21"/>
  <c r="AF80" i="21"/>
  <c r="AF82" i="21"/>
  <c r="N85" i="2"/>
  <c r="N86" i="2"/>
  <c r="J62" i="21"/>
  <c r="J63" i="21"/>
  <c r="J71" i="21"/>
  <c r="N73" i="3"/>
  <c r="N74" i="3"/>
  <c r="N90" i="3"/>
  <c r="U89" i="22"/>
  <c r="T89" i="22"/>
  <c r="J89" i="22"/>
  <c r="F89" i="22"/>
  <c r="G89" i="22"/>
  <c r="K89" i="22"/>
  <c r="Y89" i="22"/>
  <c r="R89" i="22"/>
  <c r="I89" i="22"/>
  <c r="M89" i="22"/>
  <c r="N89" i="22"/>
  <c r="E89" i="22"/>
  <c r="X89" i="22"/>
  <c r="D96" i="22"/>
  <c r="Z89" i="22"/>
  <c r="Q89" i="22"/>
  <c r="S89" i="22"/>
  <c r="P89" i="22"/>
  <c r="H89" i="22"/>
  <c r="W89" i="22"/>
  <c r="O89" i="22"/>
  <c r="V89" i="22"/>
  <c r="L89" i="22"/>
  <c r="U98" i="23"/>
  <c r="Q88" i="21"/>
  <c r="U82" i="2"/>
  <c r="M22" i="21"/>
  <c r="DP23" i="21"/>
  <c r="I78" i="2"/>
  <c r="X96" i="23"/>
  <c r="BL84" i="21"/>
  <c r="Y13" i="9"/>
  <c r="Z148" i="23"/>
  <c r="Z101" i="23"/>
  <c r="Z103" i="23"/>
  <c r="Z143" i="23"/>
  <c r="Z147" i="23"/>
  <c r="Z157" i="23"/>
  <c r="U12" i="19"/>
  <c r="U10" i="19"/>
  <c r="T157" i="23"/>
  <c r="T103" i="23"/>
  <c r="T143" i="23"/>
  <c r="T147" i="23"/>
  <c r="T148" i="23"/>
  <c r="W144" i="2"/>
  <c r="W139" i="2"/>
  <c r="W143" i="2"/>
  <c r="W138" i="2"/>
  <c r="S36" i="18"/>
  <c r="W137" i="2"/>
  <c r="D36" i="21"/>
  <c r="E33" i="21"/>
  <c r="E36" i="21"/>
  <c r="F33" i="21"/>
  <c r="F36" i="21"/>
  <c r="G33" i="21"/>
  <c r="G36" i="21"/>
  <c r="H33" i="21"/>
  <c r="H36" i="21"/>
  <c r="I33" i="21"/>
  <c r="I36" i="21"/>
  <c r="J33" i="21"/>
  <c r="J36" i="21"/>
  <c r="K33" i="21"/>
  <c r="K36" i="21"/>
  <c r="L33" i="21"/>
  <c r="L36" i="21"/>
  <c r="M33" i="21"/>
  <c r="M36" i="21"/>
  <c r="N33" i="21"/>
  <c r="N36" i="21"/>
  <c r="O33" i="21"/>
  <c r="O36" i="21"/>
  <c r="P33" i="21"/>
  <c r="P36" i="21"/>
  <c r="Q33" i="21"/>
  <c r="Q36" i="21"/>
  <c r="R33" i="21"/>
  <c r="R36" i="21"/>
  <c r="S33" i="21"/>
  <c r="S36" i="21"/>
  <c r="T33" i="21"/>
  <c r="T36" i="21"/>
  <c r="U33" i="21"/>
  <c r="U36" i="21"/>
  <c r="V33" i="21"/>
  <c r="V36" i="21"/>
  <c r="W33" i="21"/>
  <c r="W36" i="21"/>
  <c r="X33" i="21"/>
  <c r="X36" i="21"/>
  <c r="Y33" i="21"/>
  <c r="Y36" i="21"/>
  <c r="Z33" i="21"/>
  <c r="Z36" i="21"/>
  <c r="AA33" i="21"/>
  <c r="AA36" i="21"/>
  <c r="AE100" i="23"/>
  <c r="AE99" i="23"/>
  <c r="U38" i="21"/>
  <c r="T32" i="19"/>
  <c r="T30" i="19"/>
  <c r="AV28" i="21"/>
  <c r="T53" i="21"/>
  <c r="T37" i="21"/>
  <c r="T48" i="21"/>
  <c r="T51" i="21"/>
  <c r="D68" i="21"/>
  <c r="H86" i="2"/>
  <c r="D62" i="21"/>
  <c r="D67" i="21"/>
  <c r="AE157" i="23"/>
  <c r="AE147" i="23"/>
  <c r="AE148" i="23"/>
  <c r="M66" i="2"/>
  <c r="M76" i="2"/>
  <c r="M77" i="2"/>
  <c r="M78" i="2"/>
  <c r="G155" i="22"/>
  <c r="G151" i="22"/>
  <c r="J104" i="22"/>
  <c r="S104" i="22"/>
  <c r="AB139" i="2"/>
  <c r="X36" i="18"/>
  <c r="AB143" i="2"/>
  <c r="AB138" i="2"/>
  <c r="CP84" i="21"/>
  <c r="T83" i="2"/>
  <c r="T84" i="2"/>
  <c r="HE23" i="21"/>
  <c r="K80" i="2"/>
  <c r="P161" i="22"/>
  <c r="L115" i="22"/>
  <c r="Z80" i="2"/>
  <c r="BF21" i="21"/>
  <c r="BF22" i="21"/>
  <c r="Z87" i="21"/>
  <c r="Z91" i="21"/>
  <c r="Z144" i="2"/>
  <c r="Z137" i="2"/>
  <c r="V36" i="18"/>
  <c r="Z138" i="2"/>
  <c r="Z139" i="2"/>
  <c r="Z143" i="2"/>
  <c r="G90" i="21"/>
  <c r="S82" i="21"/>
  <c r="X90" i="21"/>
  <c r="CI82" i="21"/>
  <c r="V22" i="21"/>
  <c r="I115" i="22"/>
  <c r="R105" i="22"/>
  <c r="CU23" i="21"/>
  <c r="V148" i="23"/>
  <c r="V147" i="23"/>
  <c r="V157" i="23"/>
  <c r="R73" i="3"/>
  <c r="R87" i="3"/>
  <c r="R88" i="3"/>
  <c r="O90" i="3"/>
  <c r="O74" i="3"/>
  <c r="M71" i="21"/>
  <c r="M63" i="21"/>
  <c r="M62" i="21"/>
  <c r="Q86" i="2"/>
  <c r="X80" i="2"/>
  <c r="M96" i="23"/>
  <c r="AF84" i="21"/>
  <c r="AV84" i="21"/>
  <c r="M53" i="21"/>
  <c r="M51" i="21"/>
  <c r="CF28" i="21"/>
  <c r="X144" i="2"/>
  <c r="X139" i="2"/>
  <c r="T36" i="18"/>
  <c r="X137" i="2"/>
  <c r="X138" i="2"/>
  <c r="X143" i="2"/>
  <c r="AJ28" i="21"/>
  <c r="AD156" i="2"/>
  <c r="AD155" i="2"/>
  <c r="AD153" i="2"/>
  <c r="BE84" i="21"/>
  <c r="R157" i="23"/>
  <c r="R147" i="23"/>
  <c r="R148" i="23"/>
  <c r="O96" i="23"/>
  <c r="AX28" i="21"/>
  <c r="EL21" i="21"/>
  <c r="CN84" i="21"/>
  <c r="S17" i="9"/>
  <c r="AA85" i="2"/>
  <c r="AA86" i="2"/>
  <c r="W62" i="21"/>
  <c r="W63" i="21"/>
  <c r="W71" i="21"/>
  <c r="J54" i="21"/>
  <c r="J49" i="21"/>
  <c r="U17" i="9"/>
  <c r="CA28" i="21"/>
  <c r="HU21" i="21"/>
  <c r="BX84" i="21"/>
  <c r="CD81" i="21"/>
  <c r="IG23" i="21"/>
  <c r="CE30" i="21"/>
  <c r="CE31" i="21"/>
  <c r="CD80" i="21"/>
  <c r="CD82" i="21"/>
  <c r="X10" i="19"/>
  <c r="X12" i="19"/>
  <c r="J95" i="23"/>
  <c r="J97" i="23"/>
  <c r="J99" i="23"/>
  <c r="J100" i="23"/>
  <c r="K88" i="3"/>
  <c r="K73" i="3"/>
  <c r="K87" i="3"/>
  <c r="M63" i="2"/>
  <c r="K13" i="9"/>
  <c r="L94" i="23"/>
  <c r="I114" i="22"/>
  <c r="R104" i="22"/>
  <c r="Z100" i="23"/>
  <c r="Z82" i="23"/>
  <c r="Z92" i="23"/>
  <c r="Z93" i="23"/>
  <c r="Z95" i="23"/>
  <c r="Z97" i="23"/>
  <c r="Z99" i="23"/>
  <c r="Z86" i="2"/>
  <c r="V62" i="21"/>
  <c r="V63" i="21"/>
  <c r="V71" i="21"/>
  <c r="DM23" i="21"/>
  <c r="AD78" i="2"/>
  <c r="AC80" i="2"/>
  <c r="Q154" i="22"/>
  <c r="M154" i="22"/>
  <c r="AZ30" i="21"/>
  <c r="AZ31" i="21"/>
  <c r="AY80" i="21"/>
  <c r="AY81" i="21"/>
  <c r="O89" i="21"/>
  <c r="W141" i="2"/>
  <c r="W131" i="2"/>
  <c r="HX23" i="21"/>
  <c r="W37" i="21"/>
  <c r="W48" i="21"/>
  <c r="W51" i="21"/>
  <c r="W53" i="21"/>
  <c r="CO84" i="21"/>
  <c r="Q94" i="23"/>
  <c r="R80" i="2"/>
  <c r="Q96" i="23"/>
  <c r="AE103" i="23"/>
  <c r="AE143" i="23"/>
  <c r="AE156" i="23"/>
  <c r="BI22" i="21"/>
  <c r="M94" i="23"/>
  <c r="BB81" i="21"/>
  <c r="FA23" i="21"/>
  <c r="BC30" i="21"/>
  <c r="BC31" i="21"/>
  <c r="BB80" i="21"/>
  <c r="BB82" i="21"/>
  <c r="W82" i="2"/>
  <c r="S88" i="21"/>
  <c r="W98" i="23"/>
  <c r="IB23" i="21"/>
  <c r="M90" i="21"/>
  <c r="AQ82" i="21"/>
  <c r="BY23" i="21"/>
  <c r="R162" i="18"/>
  <c r="R158" i="18"/>
  <c r="R112" i="18"/>
  <c r="R72" i="18"/>
  <c r="FH23" i="21"/>
  <c r="AY22" i="21"/>
  <c r="AY21" i="21"/>
  <c r="K94" i="23"/>
  <c r="AL28" i="21"/>
  <c r="DB21" i="21"/>
  <c r="BL28" i="21"/>
  <c r="CC84" i="21"/>
  <c r="BL22" i="21"/>
  <c r="AN84" i="21"/>
  <c r="BF81" i="21"/>
  <c r="FM23" i="21"/>
  <c r="BG30" i="21"/>
  <c r="BG31" i="21"/>
  <c r="BF80" i="21"/>
  <c r="BF82" i="21"/>
  <c r="I157" i="22"/>
  <c r="I160" i="22"/>
  <c r="I159" i="22"/>
  <c r="I152" i="22"/>
  <c r="I158" i="22"/>
  <c r="Z87" i="22"/>
  <c r="J87" i="22"/>
  <c r="F87" i="22"/>
  <c r="I87" i="22"/>
  <c r="U87" i="22"/>
  <c r="O87" i="22"/>
  <c r="M87" i="22"/>
  <c r="W87" i="22"/>
  <c r="L87" i="22"/>
  <c r="G87" i="22"/>
  <c r="H87" i="22"/>
  <c r="R87" i="22"/>
  <c r="N87" i="22"/>
  <c r="T87" i="22"/>
  <c r="V87" i="22"/>
  <c r="Y87" i="22"/>
  <c r="E87" i="22"/>
  <c r="Q87" i="22"/>
  <c r="D94" i="22"/>
  <c r="X87" i="22"/>
  <c r="K87" i="22"/>
  <c r="S87" i="22"/>
  <c r="C87" i="22"/>
  <c r="P87" i="22"/>
  <c r="W79" i="23"/>
  <c r="W82" i="23"/>
  <c r="W92" i="23"/>
  <c r="W93" i="23"/>
  <c r="W95" i="23"/>
  <c r="W97" i="23"/>
  <c r="W101" i="23"/>
  <c r="W103" i="23"/>
  <c r="W143" i="23"/>
  <c r="W156" i="23"/>
  <c r="M21" i="21"/>
  <c r="G28" i="21"/>
  <c r="G31" i="21"/>
  <c r="H78" i="2"/>
  <c r="AC79" i="23"/>
  <c r="AC82" i="23"/>
  <c r="AC92" i="23"/>
  <c r="AC93" i="23"/>
  <c r="AC94" i="23"/>
  <c r="F38" i="21"/>
  <c r="CS82" i="21"/>
  <c r="CS81" i="21"/>
  <c r="Q13" i="9"/>
  <c r="AS28" i="21"/>
  <c r="DW21" i="21"/>
  <c r="AG84" i="21"/>
  <c r="EP23" i="21"/>
  <c r="BR21" i="21"/>
  <c r="BR22" i="21"/>
  <c r="GU23" i="21"/>
  <c r="S10" i="19"/>
  <c r="S12" i="19"/>
  <c r="EB23" i="21"/>
  <c r="AB82" i="23"/>
  <c r="AB92" i="23"/>
  <c r="AB93" i="23"/>
  <c r="AB95" i="23"/>
  <c r="AB97" i="23"/>
  <c r="AB101" i="23"/>
  <c r="AB103" i="23"/>
  <c r="AB143" i="23"/>
  <c r="AB156" i="23"/>
  <c r="H80" i="2"/>
  <c r="AE78" i="2"/>
  <c r="R144" i="2"/>
  <c r="R143" i="2"/>
  <c r="R139" i="2"/>
  <c r="N36" i="18"/>
  <c r="R138" i="2"/>
  <c r="R137" i="2"/>
  <c r="IU23" i="21"/>
  <c r="V13" i="9"/>
  <c r="AB22" i="21"/>
  <c r="AH28" i="21"/>
  <c r="CP21" i="21"/>
  <c r="J82" i="23"/>
  <c r="J92" i="23"/>
  <c r="J93" i="23"/>
  <c r="J94" i="23"/>
  <c r="K83" i="2"/>
  <c r="K84" i="2"/>
  <c r="Q78" i="2"/>
  <c r="I80" i="2"/>
  <c r="GO23" i="21"/>
  <c r="J80" i="2"/>
  <c r="M161" i="22"/>
  <c r="K106" i="22"/>
  <c r="K116" i="22"/>
  <c r="I87" i="21"/>
  <c r="I91" i="21"/>
  <c r="AD98" i="23"/>
  <c r="CR30" i="21"/>
  <c r="CR31" i="21"/>
  <c r="CQ80" i="21"/>
  <c r="Z88" i="21"/>
  <c r="AD82" i="2"/>
  <c r="X94" i="23"/>
  <c r="Q141" i="2"/>
  <c r="Q131" i="2"/>
  <c r="AR81" i="21"/>
  <c r="DW23" i="21"/>
  <c r="AS30" i="21"/>
  <c r="AS31" i="21"/>
  <c r="AR80" i="21"/>
  <c r="AR82" i="21"/>
  <c r="M81" i="21"/>
  <c r="N28" i="21"/>
  <c r="N31" i="21"/>
  <c r="M80" i="21"/>
  <c r="M82" i="21"/>
  <c r="P78" i="2"/>
  <c r="BT84" i="21"/>
  <c r="Q156" i="23"/>
  <c r="Q157" i="23"/>
  <c r="Q103" i="23"/>
  <c r="Q143" i="23"/>
  <c r="Q147" i="23"/>
  <c r="Q148" i="23"/>
  <c r="M87" i="21"/>
  <c r="M91" i="21"/>
  <c r="I150" i="22"/>
  <c r="I154" i="22"/>
  <c r="V81" i="21"/>
  <c r="BI21" i="21"/>
  <c r="W28" i="21"/>
  <c r="W31" i="21"/>
  <c r="V80" i="21"/>
  <c r="V82" i="21"/>
  <c r="N98" i="23"/>
  <c r="J88" i="21"/>
  <c r="N82" i="2"/>
  <c r="V103" i="23"/>
  <c r="V143" i="23"/>
  <c r="V156" i="23"/>
  <c r="H154" i="22"/>
  <c r="K72" i="18"/>
  <c r="K112" i="18"/>
  <c r="K158" i="18"/>
  <c r="K162" i="18"/>
  <c r="K82" i="2"/>
  <c r="G88" i="21"/>
  <c r="K98" i="23"/>
  <c r="IX23" i="21"/>
  <c r="Z36" i="18"/>
  <c r="AD138" i="2"/>
  <c r="AD139" i="2"/>
  <c r="AD143" i="2"/>
  <c r="T92" i="21"/>
  <c r="BS84" i="21"/>
  <c r="R96" i="23"/>
  <c r="S32" i="19"/>
  <c r="S30" i="19"/>
  <c r="E38" i="21"/>
  <c r="E31" i="21"/>
  <c r="E28" i="21"/>
  <c r="T138" i="2"/>
  <c r="T139" i="2"/>
  <c r="T143" i="2"/>
  <c r="T137" i="2"/>
  <c r="T144" i="2"/>
  <c r="P36" i="18"/>
  <c r="Q140" i="2"/>
  <c r="J91" i="21"/>
  <c r="J87" i="21"/>
  <c r="R169" i="23"/>
  <c r="R171" i="23"/>
  <c r="R172" i="23"/>
  <c r="H38" i="21"/>
  <c r="V87" i="2"/>
  <c r="V127" i="2"/>
  <c r="V140" i="2"/>
  <c r="S80" i="2"/>
  <c r="BA81" i="21"/>
  <c r="EX23" i="21"/>
  <c r="BB30" i="21"/>
  <c r="BB31" i="21"/>
  <c r="BA80" i="21"/>
  <c r="BA82" i="21"/>
  <c r="BE28" i="21"/>
  <c r="FG21" i="21"/>
  <c r="CI23" i="21"/>
  <c r="AD96" i="23"/>
  <c r="L96" i="23"/>
  <c r="AB84" i="21"/>
  <c r="O54" i="21"/>
  <c r="O37" i="21"/>
  <c r="O48" i="21"/>
  <c r="O49" i="21"/>
  <c r="BU28" i="21"/>
  <c r="HC21" i="21"/>
  <c r="BF28" i="21"/>
  <c r="FJ21" i="21"/>
  <c r="Q53" i="21"/>
  <c r="Q37" i="21"/>
  <c r="Q48" i="21"/>
  <c r="Q51" i="21"/>
  <c r="V84" i="21"/>
  <c r="AA100" i="23"/>
  <c r="AA99" i="23"/>
  <c r="JO23" i="21"/>
  <c r="W153" i="2"/>
  <c r="W155" i="2"/>
  <c r="W156" i="2"/>
  <c r="I169" i="23"/>
  <c r="I171" i="23"/>
  <c r="I172" i="23"/>
  <c r="J12" i="19"/>
  <c r="J10" i="19"/>
  <c r="Z88" i="3"/>
  <c r="Z87" i="3"/>
  <c r="R84" i="2"/>
  <c r="R66" i="2"/>
  <c r="R76" i="2"/>
  <c r="R77" i="2"/>
  <c r="R79" i="2"/>
  <c r="R81" i="2"/>
  <c r="R83" i="2"/>
  <c r="Y84" i="2"/>
  <c r="Y83" i="2"/>
  <c r="S38" i="21"/>
  <c r="G21" i="21"/>
  <c r="G22" i="21"/>
  <c r="I88" i="3"/>
  <c r="I73" i="3"/>
  <c r="I87" i="3"/>
  <c r="BT22" i="21"/>
  <c r="BT21" i="21"/>
  <c r="L12" i="19"/>
  <c r="L10" i="19"/>
  <c r="BU84" i="21"/>
  <c r="R102" i="23"/>
  <c r="L38" i="21"/>
  <c r="O172" i="23"/>
  <c r="O169" i="23"/>
  <c r="O171" i="23"/>
  <c r="AP22" i="21"/>
  <c r="AP21" i="21"/>
  <c r="O92" i="21"/>
  <c r="AY84" i="21"/>
  <c r="P84" i="2"/>
  <c r="P63" i="2"/>
  <c r="P66" i="2"/>
  <c r="P76" i="2"/>
  <c r="P77" i="2"/>
  <c r="P79" i="2"/>
  <c r="P81" i="2"/>
  <c r="P83" i="2"/>
  <c r="P162" i="18"/>
  <c r="P158" i="18"/>
  <c r="P112" i="18"/>
  <c r="P72" i="18"/>
  <c r="P54" i="21"/>
  <c r="ER23" i="21"/>
  <c r="P37" i="21"/>
  <c r="P48" i="21"/>
  <c r="P49" i="21"/>
  <c r="R89" i="21"/>
  <c r="BK81" i="21"/>
  <c r="JR23" i="21"/>
  <c r="BT28" i="21"/>
  <c r="AZ28" i="21"/>
  <c r="Z10" i="19"/>
  <c r="Z12" i="19"/>
  <c r="JJ23" i="21"/>
  <c r="CD28" i="21"/>
  <c r="ID21" i="21"/>
  <c r="J66" i="2"/>
  <c r="J76" i="2"/>
  <c r="J77" i="2"/>
  <c r="J79" i="2"/>
  <c r="J81" i="2"/>
  <c r="J83" i="2"/>
  <c r="J84" i="2"/>
  <c r="T95" i="23"/>
  <c r="T97" i="23"/>
  <c r="T101" i="23"/>
  <c r="T102" i="23"/>
  <c r="EJ23" i="21"/>
  <c r="AE83" i="2"/>
  <c r="AE84" i="2"/>
  <c r="Y71" i="21"/>
  <c r="AC86" i="2"/>
  <c r="Y62" i="21"/>
  <c r="Y63" i="21"/>
  <c r="W78" i="2"/>
  <c r="AC153" i="2"/>
  <c r="AC155" i="2"/>
  <c r="AC156" i="2"/>
  <c r="X38" i="21"/>
  <c r="X111" i="2"/>
  <c r="X132" i="2"/>
  <c r="AE28" i="21"/>
  <c r="CG21" i="21"/>
  <c r="Y32" i="19"/>
  <c r="Y30" i="19"/>
  <c r="V21" i="21"/>
  <c r="J28" i="21"/>
  <c r="J31" i="21"/>
  <c r="O80" i="2"/>
  <c r="AD94" i="23"/>
  <c r="U13" i="9"/>
  <c r="S172" i="23"/>
  <c r="S169" i="23"/>
  <c r="S171" i="23"/>
  <c r="BN28" i="21"/>
  <c r="GH21" i="21"/>
  <c r="K99" i="23"/>
  <c r="K100" i="23"/>
  <c r="Z13" i="9"/>
  <c r="AA71" i="21"/>
  <c r="AE81" i="2"/>
  <c r="AE85" i="2"/>
  <c r="AE86" i="2"/>
  <c r="AA62" i="21"/>
  <c r="AA63" i="21"/>
  <c r="X84" i="21"/>
  <c r="FT23" i="21"/>
  <c r="JP23" i="21"/>
  <c r="HG23" i="21"/>
  <c r="R100" i="23"/>
  <c r="R99" i="23"/>
  <c r="S94" i="23"/>
  <c r="Z78" i="2"/>
  <c r="T111" i="2"/>
  <c r="T132" i="2"/>
  <c r="Q100" i="23"/>
  <c r="Q99" i="23"/>
  <c r="E90" i="1"/>
  <c r="H63" i="2"/>
  <c r="H66" i="2"/>
  <c r="H76" i="2"/>
  <c r="H77" i="2"/>
  <c r="H79" i="2"/>
  <c r="H81" i="2"/>
  <c r="H85" i="2"/>
  <c r="H87" i="2"/>
  <c r="F17" i="9"/>
  <c r="AD156" i="23"/>
  <c r="AD148" i="23"/>
  <c r="AD103" i="23"/>
  <c r="AD143" i="23"/>
  <c r="AD147" i="23"/>
  <c r="AD157" i="23"/>
  <c r="BR84" i="21"/>
  <c r="Z82" i="21"/>
  <c r="AA28" i="21"/>
  <c r="AA31" i="21"/>
  <c r="Z80" i="21"/>
  <c r="Z81" i="21"/>
  <c r="M162" i="18"/>
  <c r="Q127" i="2"/>
  <c r="M72" i="18"/>
  <c r="M112" i="18"/>
  <c r="M158" i="18"/>
  <c r="J89" i="21"/>
  <c r="AF30" i="21"/>
  <c r="AF31" i="21"/>
  <c r="AE80" i="21"/>
  <c r="AE81" i="21"/>
  <c r="CB23" i="21"/>
  <c r="AU22" i="21"/>
  <c r="AU21" i="21"/>
  <c r="G89" i="21"/>
  <c r="T28" i="21"/>
  <c r="T31" i="21"/>
  <c r="S80" i="21"/>
  <c r="S81" i="21"/>
  <c r="AB28" i="21"/>
  <c r="ED23" i="21"/>
  <c r="AE66" i="2"/>
  <c r="AE76" i="2"/>
  <c r="AE77" i="2"/>
  <c r="AE79" i="2"/>
  <c r="AE80" i="2"/>
  <c r="Y132" i="2"/>
  <c r="Y111" i="2"/>
  <c r="CL23" i="21"/>
  <c r="AA148" i="23"/>
  <c r="AA147" i="23"/>
  <c r="AA157" i="23"/>
  <c r="AA53" i="21"/>
  <c r="JN22" i="21"/>
  <c r="JO19" i="21"/>
  <c r="JO22" i="21"/>
  <c r="JP19" i="21"/>
  <c r="JP22" i="21"/>
  <c r="JQ19" i="21"/>
  <c r="JQ22" i="21"/>
  <c r="JR19" i="21"/>
  <c r="JR22" i="21"/>
  <c r="JS19" i="21"/>
  <c r="JS22" i="21"/>
  <c r="JT19" i="21"/>
  <c r="JT23" i="21"/>
  <c r="AA37" i="21"/>
  <c r="AA48" i="21"/>
  <c r="AA51" i="21"/>
  <c r="FK23" i="21"/>
  <c r="BZ23" i="21"/>
  <c r="Y72" i="18"/>
  <c r="Y112" i="18"/>
  <c r="Y158" i="18"/>
  <c r="Y162" i="18"/>
  <c r="AB80" i="2"/>
  <c r="IC23" i="21"/>
  <c r="U94" i="23"/>
  <c r="R13" i="9"/>
  <c r="V37" i="21"/>
  <c r="V48" i="21"/>
  <c r="V51" i="21"/>
  <c r="V53" i="21"/>
  <c r="T84" i="21"/>
  <c r="K161" i="22"/>
  <c r="K114" i="22"/>
  <c r="CG84" i="21"/>
  <c r="G73" i="3"/>
  <c r="G87" i="3"/>
  <c r="G88" i="3"/>
  <c r="Z111" i="2"/>
  <c r="Z132" i="2"/>
  <c r="AZ22" i="21"/>
  <c r="K32" i="19"/>
  <c r="K30" i="19"/>
  <c r="AA13" i="9"/>
  <c r="CQ28" i="21"/>
  <c r="JQ21" i="21"/>
  <c r="U86" i="2"/>
  <c r="Q62" i="21"/>
  <c r="Q63" i="21"/>
  <c r="Q71" i="21"/>
  <c r="T78" i="2"/>
  <c r="Q158" i="22"/>
  <c r="Q160" i="22"/>
  <c r="Q157" i="22"/>
  <c r="Q150" i="22"/>
  <c r="Q152" i="22"/>
  <c r="Q159" i="22"/>
  <c r="M157" i="22"/>
  <c r="M159" i="22"/>
  <c r="M158" i="22"/>
  <c r="C89" i="22"/>
  <c r="D89" i="22"/>
  <c r="F96" i="22"/>
  <c r="M150" i="22"/>
  <c r="M152" i="22"/>
  <c r="M160" i="22"/>
  <c r="CR84" i="21"/>
  <c r="W85" i="2"/>
  <c r="W87" i="2"/>
  <c r="W127" i="2"/>
  <c r="W140" i="2"/>
  <c r="Q81" i="2"/>
  <c r="Q85" i="2"/>
  <c r="Q87" i="2"/>
  <c r="O17" i="9"/>
  <c r="BD81" i="21"/>
  <c r="FG23" i="21"/>
  <c r="BE30" i="21"/>
  <c r="BE31" i="21"/>
  <c r="BD80" i="21"/>
  <c r="BD82" i="21"/>
  <c r="V132" i="2"/>
  <c r="V111" i="2"/>
  <c r="HK23" i="21"/>
  <c r="V95" i="23"/>
  <c r="V97" i="23"/>
  <c r="V101" i="23"/>
  <c r="V102" i="23"/>
  <c r="EH23" i="21"/>
  <c r="AH21" i="21"/>
  <c r="AH22" i="21"/>
  <c r="K96" i="23"/>
  <c r="V79" i="23"/>
  <c r="V82" i="23"/>
  <c r="V92" i="23"/>
  <c r="V93" i="23"/>
  <c r="V94" i="23"/>
  <c r="CH82" i="21"/>
  <c r="IS23" i="21"/>
  <c r="CI30" i="21"/>
  <c r="CI31" i="21"/>
  <c r="CH80" i="21"/>
  <c r="CH81" i="21"/>
  <c r="Q79" i="23"/>
  <c r="Q82" i="23"/>
  <c r="Q92" i="23"/>
  <c r="Q93" i="23"/>
  <c r="Q95" i="23"/>
  <c r="Q97" i="23"/>
  <c r="Q101" i="23"/>
  <c r="Q102" i="23"/>
  <c r="EK23" i="21"/>
  <c r="AG28" i="21"/>
  <c r="CM21" i="21"/>
  <c r="X83" i="2"/>
  <c r="X84" i="2"/>
  <c r="AW81" i="21"/>
  <c r="EL23" i="21"/>
  <c r="AX30" i="21"/>
  <c r="AX31" i="21"/>
  <c r="AW80" i="21"/>
  <c r="AW82" i="21"/>
  <c r="S87" i="2"/>
  <c r="Q17" i="9"/>
  <c r="M102" i="23"/>
  <c r="M101" i="23"/>
  <c r="M103" i="23"/>
  <c r="AS82" i="21"/>
  <c r="DZ23" i="21"/>
  <c r="AT30" i="21"/>
  <c r="AT31" i="21"/>
  <c r="AS80" i="21"/>
  <c r="AS81" i="21"/>
  <c r="GA23" i="21"/>
  <c r="N103" i="23"/>
  <c r="N82" i="23"/>
  <c r="N92" i="23"/>
  <c r="N93" i="23"/>
  <c r="N95" i="23"/>
  <c r="N97" i="23"/>
  <c r="N101" i="23"/>
  <c r="N102" i="23"/>
  <c r="H160" i="22"/>
  <c r="H157" i="22"/>
  <c r="H158" i="22"/>
  <c r="C88" i="22"/>
  <c r="D88" i="22"/>
  <c r="F95" i="22"/>
  <c r="H150" i="22"/>
  <c r="H152" i="22"/>
  <c r="H159" i="22"/>
  <c r="CO23" i="21"/>
  <c r="BI28" i="21"/>
  <c r="FS21" i="21"/>
  <c r="R94" i="23"/>
  <c r="FN23" i="21"/>
  <c r="M38" i="21"/>
  <c r="AE97" i="23"/>
  <c r="AE101" i="23"/>
  <c r="AE102" i="23"/>
  <c r="S102" i="23"/>
  <c r="S157" i="23"/>
  <c r="S147" i="23"/>
  <c r="S148" i="23"/>
  <c r="CO82" i="21"/>
  <c r="JI22" i="21"/>
  <c r="JJ19" i="21"/>
  <c r="JJ22" i="21"/>
  <c r="JK19" i="21"/>
  <c r="JK22" i="21"/>
  <c r="JL19" i="21"/>
  <c r="JL22" i="21"/>
  <c r="JM19" i="21"/>
  <c r="JM22" i="21"/>
  <c r="JN19" i="21"/>
  <c r="JN23" i="21"/>
  <c r="CP30" i="21"/>
  <c r="CP31" i="21"/>
  <c r="CO80" i="21"/>
  <c r="CO81" i="21"/>
  <c r="J105" i="22"/>
  <c r="S105" i="22"/>
  <c r="H151" i="22"/>
  <c r="H155" i="22"/>
  <c r="X78" i="2"/>
  <c r="J38" i="21"/>
  <c r="B37" i="21"/>
  <c r="JG23" i="21"/>
  <c r="AE143" i="2"/>
  <c r="AE139" i="2"/>
  <c r="AA36" i="18"/>
  <c r="AE138" i="2"/>
  <c r="X86" i="2"/>
  <c r="T62" i="21"/>
  <c r="T63" i="21"/>
  <c r="T71" i="21"/>
  <c r="H31" i="21"/>
  <c r="H28" i="21"/>
  <c r="HV23" i="21"/>
  <c r="L73" i="3"/>
  <c r="L74" i="3"/>
  <c r="L90" i="3"/>
  <c r="K66" i="2"/>
  <c r="K76" i="2"/>
  <c r="K77" i="2"/>
  <c r="K79" i="2"/>
  <c r="K81" i="2"/>
  <c r="K85" i="2"/>
  <c r="K86" i="2"/>
  <c r="G62" i="21"/>
  <c r="I53" i="21"/>
  <c r="I54" i="21"/>
  <c r="AD99" i="2"/>
  <c r="AE99" i="2"/>
  <c r="AA10" i="19"/>
  <c r="AA12" i="19"/>
  <c r="T73" i="3"/>
  <c r="T87" i="3"/>
  <c r="T88" i="3"/>
  <c r="K153" i="2"/>
  <c r="K155" i="2"/>
  <c r="K156" i="2"/>
  <c r="N78" i="2"/>
  <c r="T79" i="23"/>
  <c r="T82" i="23"/>
  <c r="T92" i="23"/>
  <c r="T93" i="23"/>
  <c r="T94" i="23"/>
  <c r="X54" i="21"/>
  <c r="X49" i="21"/>
  <c r="BR82" i="21"/>
  <c r="GW23" i="21"/>
  <c r="BS30" i="21"/>
  <c r="BS31" i="21"/>
  <c r="BR80" i="21"/>
  <c r="BR81" i="21"/>
  <c r="I63" i="2"/>
  <c r="I66" i="2"/>
  <c r="I76" i="2"/>
  <c r="I77" i="2"/>
  <c r="I79" i="2"/>
  <c r="I81" i="2"/>
  <c r="I85" i="2"/>
  <c r="I87" i="2"/>
  <c r="G17" i="9"/>
  <c r="AA94" i="23"/>
  <c r="L66" i="2"/>
  <c r="L76" i="2"/>
  <c r="L77" i="2"/>
  <c r="L79" i="2"/>
  <c r="L81" i="2"/>
  <c r="L83" i="2"/>
  <c r="L84" i="2"/>
  <c r="AM22" i="21"/>
  <c r="AM21" i="21"/>
  <c r="BM81" i="21"/>
  <c r="GH23" i="21"/>
  <c r="BN30" i="21"/>
  <c r="BN31" i="21"/>
  <c r="BM80" i="21"/>
  <c r="BM82" i="21"/>
  <c r="L22" i="21"/>
  <c r="L21" i="21"/>
  <c r="P96" i="23"/>
  <c r="N144" i="2"/>
  <c r="J36" i="18"/>
  <c r="N139" i="2"/>
  <c r="N138" i="2"/>
  <c r="N143" i="2"/>
  <c r="P94" i="23"/>
  <c r="HT23" i="21"/>
  <c r="Q66" i="2"/>
  <c r="Q76" i="2"/>
  <c r="Q77" i="2"/>
  <c r="Q79" i="2"/>
  <c r="Q80" i="2"/>
  <c r="AB13" i="9"/>
  <c r="P22" i="21"/>
  <c r="BI81" i="21"/>
  <c r="FV23" i="21"/>
  <c r="BJ30" i="21"/>
  <c r="BJ31" i="21"/>
  <c r="BI80" i="21"/>
  <c r="BI82" i="21"/>
  <c r="AO81" i="21"/>
  <c r="DN23" i="21"/>
  <c r="AP30" i="21"/>
  <c r="AP31" i="21"/>
  <c r="AO80" i="21"/>
  <c r="AO82" i="21"/>
  <c r="P144" i="2"/>
  <c r="L36" i="18"/>
  <c r="P137" i="2"/>
  <c r="P143" i="2"/>
  <c r="P138" i="2"/>
  <c r="P139" i="2"/>
  <c r="BP22" i="21"/>
  <c r="BP21" i="21"/>
  <c r="P28" i="21"/>
  <c r="P31" i="21"/>
  <c r="O80" i="21"/>
  <c r="O82" i="21"/>
  <c r="F90" i="21"/>
  <c r="GF23" i="21"/>
  <c r="P155" i="22"/>
  <c r="L105" i="22"/>
  <c r="U105" i="22"/>
  <c r="P151" i="22"/>
  <c r="AC78" i="2"/>
  <c r="Y82" i="2"/>
  <c r="U88" i="21"/>
  <c r="Y98" i="23"/>
  <c r="FC23" i="21"/>
  <c r="AE95" i="23"/>
  <c r="AE96" i="23"/>
  <c r="W91" i="21"/>
  <c r="W87" i="21"/>
  <c r="BQ28" i="21"/>
  <c r="GQ21" i="21"/>
  <c r="X140" i="2"/>
  <c r="Y137" i="2"/>
  <c r="Y143" i="2"/>
  <c r="Y138" i="2"/>
  <c r="Y139" i="2"/>
  <c r="Y144" i="2"/>
  <c r="U36" i="18"/>
  <c r="V83" i="2"/>
  <c r="V84" i="2"/>
  <c r="BH81" i="21"/>
  <c r="FS23" i="21"/>
  <c r="BI30" i="21"/>
  <c r="BI31" i="21"/>
  <c r="BH80" i="21"/>
  <c r="BH82" i="21"/>
  <c r="K169" i="23"/>
  <c r="K171" i="23"/>
  <c r="K172" i="23"/>
  <c r="CF23" i="21"/>
  <c r="T81" i="2"/>
  <c r="T85" i="2"/>
  <c r="T87" i="2"/>
  <c r="T127" i="2"/>
  <c r="T140" i="2"/>
  <c r="AA103" i="23"/>
  <c r="AA143" i="23"/>
  <c r="AA156" i="23"/>
  <c r="EF23" i="21"/>
  <c r="AV30" i="21"/>
  <c r="AV31" i="21"/>
  <c r="AU80" i="21"/>
  <c r="AU81" i="21"/>
  <c r="N89" i="21"/>
  <c r="AA80" i="2"/>
  <c r="BV28" i="21"/>
  <c r="HF21" i="21"/>
  <c r="N22" i="21"/>
  <c r="N21" i="21"/>
  <c r="T162" i="18"/>
  <c r="T158" i="18"/>
  <c r="X127" i="2"/>
  <c r="T72" i="18"/>
  <c r="T112" i="18"/>
  <c r="I38" i="21"/>
  <c r="AC141" i="2"/>
  <c r="AC131" i="2"/>
  <c r="BI84" i="21"/>
  <c r="GC23" i="21"/>
  <c r="M17" i="9"/>
  <c r="R79" i="23"/>
  <c r="R82" i="23"/>
  <c r="R92" i="23"/>
  <c r="R93" i="23"/>
  <c r="R95" i="23"/>
  <c r="R97" i="23"/>
  <c r="R101" i="23"/>
  <c r="R103" i="23"/>
  <c r="R143" i="23"/>
  <c r="R156" i="23"/>
  <c r="JH22" i="21"/>
  <c r="JI19" i="21"/>
  <c r="JI23" i="21"/>
  <c r="Q90" i="21"/>
  <c r="BG82" i="21"/>
  <c r="EA23" i="21"/>
  <c r="BB28" i="21"/>
  <c r="EX21" i="21"/>
  <c r="Y172" i="23"/>
  <c r="Y171" i="23"/>
  <c r="Y169" i="23"/>
  <c r="H13" i="9"/>
  <c r="O12" i="19"/>
  <c r="O10" i="19"/>
  <c r="CE28" i="21"/>
  <c r="IG21" i="21"/>
  <c r="N32" i="19"/>
  <c r="N30" i="19"/>
  <c r="U54" i="21"/>
  <c r="U37" i="21"/>
  <c r="U48" i="21"/>
  <c r="U49" i="21"/>
  <c r="Y90" i="3"/>
  <c r="Y73" i="3"/>
  <c r="Y74" i="3"/>
  <c r="X92" i="21"/>
  <c r="CI84" i="21"/>
  <c r="X71" i="21"/>
  <c r="X63" i="21"/>
  <c r="X62" i="21"/>
  <c r="AB79" i="2"/>
  <c r="AB81" i="2"/>
  <c r="AB85" i="2"/>
  <c r="AB86" i="2"/>
  <c r="O91" i="21"/>
  <c r="O87" i="21"/>
  <c r="AO84" i="21"/>
  <c r="X22" i="21"/>
  <c r="X21" i="21"/>
  <c r="AC28" i="21"/>
  <c r="CA21" i="21"/>
  <c r="BW28" i="21"/>
  <c r="HI21" i="21"/>
  <c r="I96" i="23"/>
  <c r="S101" i="23"/>
  <c r="S103" i="23"/>
  <c r="S143" i="23"/>
  <c r="S156" i="23"/>
  <c r="E87" i="1"/>
  <c r="B55" i="21"/>
  <c r="B55" i="21" a="1"/>
  <c r="CH23" i="21"/>
  <c r="S13" i="9"/>
  <c r="L84" i="21"/>
  <c r="AC84" i="21"/>
  <c r="AD84" i="21"/>
  <c r="DX23" i="21"/>
  <c r="GZ23" i="21"/>
  <c r="BT30" i="21"/>
  <c r="BT31" i="21"/>
  <c r="BS80" i="21"/>
  <c r="BS81" i="21"/>
  <c r="T89" i="21"/>
  <c r="BG28" i="21"/>
  <c r="FM21" i="21"/>
  <c r="K87" i="21"/>
  <c r="K91" i="21"/>
  <c r="D22" i="21"/>
  <c r="Z140" i="2"/>
  <c r="Z38" i="21"/>
  <c r="M54" i="21"/>
  <c r="M37" i="21"/>
  <c r="M48" i="21"/>
  <c r="M49" i="21"/>
  <c r="I106" i="22"/>
  <c r="L106" i="22"/>
  <c r="L116" i="22"/>
  <c r="Q161" i="22"/>
  <c r="Z73" i="3"/>
  <c r="Z74" i="3"/>
  <c r="Z90" i="3"/>
  <c r="AA17" i="9"/>
  <c r="EZ23" i="21"/>
  <c r="J63" i="2"/>
  <c r="F30" i="19"/>
  <c r="F32" i="19"/>
  <c r="AE153" i="2"/>
  <c r="AE155" i="2"/>
  <c r="AE156" i="2"/>
  <c r="AF28" i="21"/>
  <c r="Q89" i="21"/>
  <c r="FP23" i="21"/>
  <c r="BH30" i="21"/>
  <c r="BH31" i="21"/>
  <c r="BG80" i="21"/>
  <c r="BG81" i="21"/>
  <c r="AQ84" i="21"/>
  <c r="M92" i="21"/>
  <c r="DF23" i="21"/>
  <c r="CK84" i="21"/>
  <c r="Y90" i="21"/>
  <c r="CN30" i="21"/>
  <c r="CN31" i="21"/>
  <c r="CM80" i="21"/>
  <c r="CM82" i="21"/>
  <c r="BF84" i="21"/>
  <c r="S96" i="23"/>
  <c r="HA23" i="21"/>
  <c r="DH23" i="21"/>
  <c r="AN30" i="21"/>
  <c r="AN31" i="21"/>
  <c r="AM80" i="21"/>
  <c r="AM82" i="21"/>
  <c r="L90" i="21"/>
  <c r="AE82" i="23"/>
  <c r="AE92" i="23"/>
  <c r="AE93" i="23"/>
  <c r="AE94" i="23"/>
  <c r="AJ30" i="21"/>
  <c r="AJ31" i="21"/>
  <c r="AI80" i="21"/>
  <c r="AI81" i="21"/>
  <c r="K89" i="21"/>
  <c r="CC81" i="21"/>
  <c r="ID23" i="21"/>
  <c r="CD30" i="21"/>
  <c r="CD31" i="21"/>
  <c r="CC80" i="21"/>
  <c r="CC82" i="21"/>
  <c r="HN23" i="21"/>
  <c r="Y94" i="23"/>
  <c r="AB82" i="21"/>
  <c r="CA23" i="21"/>
  <c r="AC30" i="21"/>
  <c r="AC31" i="21"/>
  <c r="AB80" i="21"/>
  <c r="AB81" i="21"/>
  <c r="BU21" i="21"/>
  <c r="BU22" i="21"/>
  <c r="H79" i="23"/>
  <c r="H169" i="23"/>
  <c r="H171" i="23"/>
  <c r="H172" i="23"/>
  <c r="BQ84" i="21"/>
  <c r="AU84" i="21"/>
  <c r="N92" i="21"/>
  <c r="O94" i="23"/>
  <c r="AF22" i="21"/>
  <c r="AF21" i="21"/>
  <c r="K102" i="23"/>
  <c r="K79" i="23"/>
  <c r="K82" i="23"/>
  <c r="K92" i="23"/>
  <c r="K93" i="23"/>
  <c r="K95" i="23"/>
  <c r="K97" i="23"/>
  <c r="K101" i="23"/>
  <c r="K103" i="23"/>
  <c r="BX23" i="21"/>
  <c r="J37" i="21"/>
  <c r="J48" i="21"/>
  <c r="J51" i="21"/>
  <c r="J53" i="21"/>
  <c r="X169" i="23"/>
  <c r="X171" i="23"/>
  <c r="X172" i="23"/>
  <c r="Q30" i="19"/>
  <c r="Q32" i="19"/>
  <c r="S37" i="21"/>
  <c r="S48" i="21"/>
  <c r="S49" i="21"/>
  <c r="S54" i="21"/>
  <c r="AB63" i="2"/>
  <c r="AB66" i="2"/>
  <c r="AB76" i="2"/>
  <c r="AB77" i="2"/>
  <c r="AB78" i="2"/>
  <c r="ER21" i="21"/>
  <c r="P35" i="21"/>
  <c r="P52" i="21"/>
  <c r="T63" i="2"/>
  <c r="T66" i="2"/>
  <c r="T76" i="2"/>
  <c r="T77" i="2"/>
  <c r="T79" i="2"/>
  <c r="T80" i="2"/>
  <c r="O140" i="2"/>
  <c r="IW23" i="21"/>
  <c r="AI22" i="21"/>
  <c r="AI21" i="21"/>
  <c r="V162" i="18"/>
  <c r="Z127" i="2"/>
  <c r="V72" i="18"/>
  <c r="V112" i="18"/>
  <c r="V158" i="18"/>
  <c r="J172" i="23"/>
  <c r="J79" i="23"/>
  <c r="J169" i="23"/>
  <c r="J171" i="23"/>
  <c r="BQ22" i="21"/>
  <c r="BQ21" i="21"/>
  <c r="AJ84" i="21"/>
  <c r="HQ23" i="21"/>
  <c r="F87" i="21"/>
  <c r="F91" i="21"/>
  <c r="AA88" i="3"/>
  <c r="AA73" i="3"/>
  <c r="AA87" i="3"/>
  <c r="W36" i="18"/>
  <c r="AA139" i="2"/>
  <c r="AA143" i="2"/>
  <c r="AA138" i="2"/>
  <c r="AK28" i="21"/>
  <c r="CY21" i="21"/>
  <c r="BH28" i="21"/>
  <c r="M172" i="23"/>
  <c r="M169" i="23"/>
  <c r="M171" i="23"/>
  <c r="S63" i="2"/>
  <c r="S66" i="2"/>
  <c r="S76" i="2"/>
  <c r="S77" i="2"/>
  <c r="S79" i="2"/>
  <c r="S81" i="2"/>
  <c r="S85" i="2"/>
  <c r="S86" i="2"/>
  <c r="O62" i="21"/>
  <c r="O63" i="21"/>
  <c r="O71" i="21"/>
  <c r="DY23" i="21"/>
  <c r="AI84" i="21"/>
  <c r="K92" i="21"/>
  <c r="V92" i="21"/>
  <c r="CA84" i="21"/>
  <c r="D29" i="21"/>
  <c r="E26" i="21"/>
  <c r="E29" i="21"/>
  <c r="F26" i="21"/>
  <c r="F29" i="21"/>
  <c r="G26" i="21"/>
  <c r="G29" i="21"/>
  <c r="H26" i="21"/>
  <c r="H29" i="21"/>
  <c r="I26" i="21"/>
  <c r="I29" i="21"/>
  <c r="J26" i="21"/>
  <c r="J29" i="21"/>
  <c r="K26" i="21"/>
  <c r="K29" i="21"/>
  <c r="L26" i="21"/>
  <c r="L29" i="21"/>
  <c r="M26" i="21"/>
  <c r="M29" i="21"/>
  <c r="N26" i="21"/>
  <c r="N29" i="21"/>
  <c r="O26" i="21"/>
  <c r="O29" i="21"/>
  <c r="P26" i="21"/>
  <c r="P29" i="21"/>
  <c r="Q26" i="21"/>
  <c r="Q29" i="21"/>
  <c r="R26" i="21"/>
  <c r="R29" i="21"/>
  <c r="S26" i="21"/>
  <c r="S29" i="21"/>
  <c r="T26" i="21"/>
  <c r="T29" i="21"/>
  <c r="U26" i="21"/>
  <c r="U29" i="21"/>
  <c r="V26" i="21"/>
  <c r="V29" i="21"/>
  <c r="W26" i="21"/>
  <c r="W29" i="21"/>
  <c r="X26" i="21"/>
  <c r="X29" i="21"/>
  <c r="Y26" i="21"/>
  <c r="Y29" i="21"/>
  <c r="Z26" i="21"/>
  <c r="Z29" i="21"/>
  <c r="AA26" i="21"/>
  <c r="AA29" i="21"/>
  <c r="AB26" i="21"/>
  <c r="AB29" i="21"/>
  <c r="AC26" i="21"/>
  <c r="AC29" i="21"/>
  <c r="AD26" i="21"/>
  <c r="AD29" i="21"/>
  <c r="AE26" i="21"/>
  <c r="AE29" i="21"/>
  <c r="AF26" i="21"/>
  <c r="AF29" i="21"/>
  <c r="AG26" i="21"/>
  <c r="AG29" i="21"/>
  <c r="AH26" i="21"/>
  <c r="AH29" i="21"/>
  <c r="AI26" i="21"/>
  <c r="AI29" i="21"/>
  <c r="AJ26" i="21"/>
  <c r="AJ29" i="21"/>
  <c r="AK26" i="21"/>
  <c r="AK29" i="21"/>
  <c r="AL26" i="21"/>
  <c r="AL29" i="21"/>
  <c r="AM26" i="21"/>
  <c r="AM29" i="21"/>
  <c r="AN26" i="21"/>
  <c r="AN29" i="21"/>
  <c r="AO26" i="21"/>
  <c r="AO29" i="21"/>
  <c r="AP26" i="21"/>
  <c r="AP29" i="21"/>
  <c r="AQ26" i="21"/>
  <c r="AQ29" i="21"/>
  <c r="AR26" i="21"/>
  <c r="AR29" i="21"/>
  <c r="AS26" i="21"/>
  <c r="AS29" i="21"/>
  <c r="AT26" i="21"/>
  <c r="AT29" i="21"/>
  <c r="AU26" i="21"/>
  <c r="AU29" i="21"/>
  <c r="AV26" i="21"/>
  <c r="AV29" i="21"/>
  <c r="AW26" i="21"/>
  <c r="AW29" i="21"/>
  <c r="AX26" i="21"/>
  <c r="AX29" i="21"/>
  <c r="AY26" i="21"/>
  <c r="AY29" i="21"/>
  <c r="AZ26" i="21"/>
  <c r="AZ29" i="21"/>
  <c r="BA26" i="21"/>
  <c r="BA29" i="21"/>
  <c r="BB26" i="21"/>
  <c r="BB29" i="21"/>
  <c r="BC26" i="21"/>
  <c r="BC29" i="21"/>
  <c r="BD26" i="21"/>
  <c r="BD29" i="21"/>
  <c r="BE26" i="21"/>
  <c r="BE29" i="21"/>
  <c r="BF26" i="21"/>
  <c r="BF29" i="21"/>
  <c r="BG26" i="21"/>
  <c r="BG29" i="21"/>
  <c r="BH26" i="21"/>
  <c r="BH29" i="21"/>
  <c r="BI26" i="21"/>
  <c r="BI29" i="21"/>
  <c r="BJ26" i="21"/>
  <c r="BJ29" i="21"/>
  <c r="BK26" i="21"/>
  <c r="BK29" i="21"/>
  <c r="BL26" i="21"/>
  <c r="BL29" i="21"/>
  <c r="BM26" i="21"/>
  <c r="BM29" i="21"/>
  <c r="BN26" i="21"/>
  <c r="BN29" i="21"/>
  <c r="BO26" i="21"/>
  <c r="BO29" i="21"/>
  <c r="BP26" i="21"/>
  <c r="BP29" i="21"/>
  <c r="BQ26" i="21"/>
  <c r="BQ29" i="21"/>
  <c r="BR26" i="21"/>
  <c r="BR29" i="21"/>
  <c r="BS26" i="21"/>
  <c r="BS29" i="21"/>
  <c r="BT26" i="21"/>
  <c r="BT29" i="21"/>
  <c r="BU26" i="21"/>
  <c r="BU29" i="21"/>
  <c r="BV26" i="21"/>
  <c r="BV29" i="21"/>
  <c r="BW26" i="21"/>
  <c r="BW29" i="21"/>
  <c r="BX26" i="21"/>
  <c r="BX29" i="21"/>
  <c r="BY26" i="21"/>
  <c r="BY29" i="21"/>
  <c r="BZ26" i="21"/>
  <c r="BZ29" i="21"/>
  <c r="CA26" i="21"/>
  <c r="CA29" i="21"/>
  <c r="CB26" i="21"/>
  <c r="CB29" i="21"/>
  <c r="CC26" i="21"/>
  <c r="CC29" i="21"/>
  <c r="CD26" i="21"/>
  <c r="CD29" i="21"/>
  <c r="CE26" i="21"/>
  <c r="CE29" i="21"/>
  <c r="CF26" i="21"/>
  <c r="CF29" i="21"/>
  <c r="CG26" i="21"/>
  <c r="CG29" i="21"/>
  <c r="CH26" i="21"/>
  <c r="CH29" i="21"/>
  <c r="CI26" i="21"/>
  <c r="CI29" i="21"/>
  <c r="CJ26" i="21"/>
  <c r="CJ29" i="21"/>
  <c r="CK26" i="21"/>
  <c r="CK29" i="21"/>
  <c r="CL26" i="21"/>
  <c r="CL29" i="21"/>
  <c r="CM26" i="21"/>
  <c r="CM29" i="21"/>
  <c r="CN26" i="21"/>
  <c r="CN29" i="21"/>
  <c r="CO26" i="21"/>
  <c r="CO29" i="21"/>
  <c r="CP26" i="21"/>
  <c r="CP29" i="21"/>
  <c r="CQ26" i="21"/>
  <c r="CQ29" i="21"/>
  <c r="CR26" i="21"/>
  <c r="CR29" i="21"/>
  <c r="CS26" i="21"/>
  <c r="CS29" i="21"/>
  <c r="CT26" i="21"/>
  <c r="CT29" i="21"/>
  <c r="CU26" i="21"/>
  <c r="CU29" i="21"/>
  <c r="GN23" i="21"/>
  <c r="BP30" i="21"/>
  <c r="BP31" i="21"/>
  <c r="BO80" i="21"/>
  <c r="BO81" i="21"/>
  <c r="S89" i="21"/>
  <c r="IV21" i="21"/>
  <c r="Y35" i="21"/>
  <c r="Y52" i="21"/>
  <c r="AC63" i="2"/>
  <c r="AC66" i="2"/>
  <c r="AC76" i="2"/>
  <c r="AC77" i="2"/>
  <c r="AC79" i="2"/>
  <c r="AC81" i="2"/>
  <c r="AC85" i="2"/>
  <c r="AC87" i="2"/>
  <c r="AC127" i="2"/>
  <c r="AC140" i="2"/>
  <c r="CT81" i="21"/>
  <c r="CT82" i="21"/>
  <c r="BO28" i="21"/>
  <c r="GK21" i="21"/>
  <c r="EM23" i="21"/>
  <c r="HB23" i="21"/>
  <c r="AA97" i="23"/>
  <c r="AA101" i="23"/>
  <c r="AA102" i="23"/>
  <c r="M12" i="19"/>
  <c r="M10" i="19"/>
  <c r="O85" i="2"/>
  <c r="O87" i="2"/>
  <c r="O127" i="2"/>
  <c r="O131" i="2"/>
  <c r="O141" i="2"/>
  <c r="IO23" i="21"/>
  <c r="ET23" i="21"/>
  <c r="AQ28" i="21"/>
  <c r="DQ21" i="21"/>
  <c r="Z53" i="21"/>
  <c r="Z51" i="21"/>
  <c r="DV23" i="21"/>
  <c r="CM84" i="21"/>
  <c r="Y92" i="21"/>
  <c r="U79" i="23"/>
  <c r="U82" i="23"/>
  <c r="U92" i="23"/>
  <c r="U93" i="23"/>
  <c r="U95" i="23"/>
  <c r="U97" i="23"/>
  <c r="U99" i="23"/>
  <c r="U100" i="23"/>
  <c r="AR28" i="21"/>
  <c r="CE84" i="21"/>
  <c r="W92" i="21"/>
  <c r="AE63" i="2"/>
  <c r="AC13" i="9"/>
  <c r="CR82" i="21"/>
  <c r="CR81" i="21"/>
  <c r="CJ23" i="21"/>
  <c r="K37" i="21"/>
  <c r="K48" i="21"/>
  <c r="K49" i="21"/>
  <c r="K54" i="21"/>
  <c r="DD23" i="21"/>
  <c r="CQ84" i="21"/>
  <c r="Z92" i="21"/>
  <c r="GX23" i="21"/>
  <c r="R71" i="21"/>
  <c r="V66" i="2"/>
  <c r="V76" i="2"/>
  <c r="V77" i="2"/>
  <c r="V79" i="2"/>
  <c r="V81" i="2"/>
  <c r="V85" i="2"/>
  <c r="V86" i="2"/>
  <c r="R62" i="21"/>
  <c r="R63" i="21"/>
  <c r="P13" i="9"/>
  <c r="CT84" i="21"/>
  <c r="CR23" i="21"/>
  <c r="W90" i="21"/>
  <c r="CF30" i="21"/>
  <c r="CF31" i="21"/>
  <c r="CE80" i="21"/>
  <c r="CE82" i="21"/>
  <c r="O102" i="23"/>
  <c r="O79" i="23"/>
  <c r="O82" i="23"/>
  <c r="O92" i="23"/>
  <c r="O93" i="23"/>
  <c r="O95" i="23"/>
  <c r="O97" i="23"/>
  <c r="O101" i="23"/>
  <c r="O103" i="23"/>
  <c r="O66" i="2"/>
  <c r="O76" i="2"/>
  <c r="O77" i="2"/>
  <c r="O79" i="2"/>
  <c r="O81" i="2"/>
  <c r="O83" i="2"/>
  <c r="O84" i="2"/>
  <c r="L98" i="23"/>
  <c r="X28" i="21"/>
  <c r="X31" i="21"/>
  <c r="W80" i="21"/>
  <c r="H88" i="21"/>
  <c r="L82" i="2"/>
  <c r="AA111" i="2"/>
  <c r="AA132" i="2"/>
  <c r="AA169" i="23"/>
  <c r="AA171" i="23"/>
  <c r="AA172" i="23"/>
  <c r="X66" i="2"/>
  <c r="X76" i="2"/>
  <c r="X77" i="2"/>
  <c r="X79" i="2"/>
  <c r="X81" i="2"/>
  <c r="X85" i="2"/>
  <c r="X87" i="2"/>
  <c r="V17" i="9"/>
  <c r="W66" i="2"/>
  <c r="W76" i="2"/>
  <c r="W77" i="2"/>
  <c r="W79" i="2"/>
  <c r="W81" i="2"/>
  <c r="W83" i="2"/>
  <c r="W84" i="2"/>
  <c r="BD28" i="21"/>
  <c r="K104" i="22"/>
  <c r="T104" i="22"/>
  <c r="K151" i="22"/>
  <c r="K155" i="22"/>
  <c r="W17" i="9"/>
  <c r="AB21" i="21"/>
  <c r="F35" i="21"/>
  <c r="F52" i="21"/>
  <c r="F53" i="21"/>
  <c r="F54" i="21"/>
  <c r="R156" i="2"/>
  <c r="DT21" i="21"/>
  <c r="N35" i="21"/>
  <c r="N52" i="21"/>
  <c r="R63" i="2"/>
  <c r="R153" i="2"/>
  <c r="R155" i="2"/>
  <c r="L54" i="21"/>
  <c r="CV23" i="21"/>
  <c r="L37" i="21"/>
  <c r="L48" i="21"/>
  <c r="L49" i="21"/>
  <c r="AD140" i="2"/>
  <c r="I103" i="23"/>
  <c r="I79" i="23"/>
  <c r="I82" i="23"/>
  <c r="I92" i="23"/>
  <c r="I93" i="23"/>
  <c r="I95" i="23"/>
  <c r="I97" i="23"/>
  <c r="I101" i="23"/>
  <c r="I102" i="23"/>
  <c r="S100" i="23"/>
  <c r="EF21" i="21"/>
  <c r="O35" i="21"/>
  <c r="O52" i="21"/>
  <c r="S79" i="23"/>
  <c r="S82" i="23"/>
  <c r="S92" i="23"/>
  <c r="S93" i="23"/>
  <c r="S95" i="23"/>
  <c r="S97" i="23"/>
  <c r="S99" i="23"/>
  <c r="GV23" i="21"/>
  <c r="U140" i="2"/>
  <c r="AX22" i="21"/>
  <c r="AX21" i="21"/>
  <c r="N172" i="23"/>
  <c r="N171" i="23"/>
  <c r="N79" i="23"/>
  <c r="N169" i="23"/>
  <c r="Z71" i="21"/>
  <c r="Z63" i="21"/>
  <c r="Z62" i="21"/>
  <c r="AD86" i="2"/>
  <c r="M100" i="23"/>
  <c r="BL21" i="21"/>
  <c r="I35" i="21"/>
  <c r="I52" i="21"/>
  <c r="M79" i="23"/>
  <c r="M82" i="23"/>
  <c r="M92" i="23"/>
  <c r="M93" i="23"/>
  <c r="M95" i="23"/>
  <c r="M97" i="23"/>
  <c r="M99" i="23"/>
  <c r="IH23" i="21"/>
  <c r="EG23" i="21"/>
  <c r="FZ23" i="21"/>
  <c r="O88" i="3"/>
  <c r="O73" i="3"/>
  <c r="O87" i="3"/>
  <c r="M13" i="9"/>
  <c r="X13" i="9"/>
  <c r="G87" i="21"/>
  <c r="G91" i="21"/>
  <c r="D28" i="21"/>
  <c r="D31" i="21"/>
  <c r="U22" i="21"/>
  <c r="U21" i="21"/>
  <c r="T22" i="21"/>
  <c r="T21" i="21"/>
  <c r="I22" i="21"/>
  <c r="I21" i="21"/>
  <c r="P21" i="21"/>
  <c r="E35" i="21"/>
  <c r="E52" i="21"/>
  <c r="E53" i="21"/>
  <c r="E54" i="21"/>
  <c r="GB21" i="21"/>
  <c r="S35" i="21"/>
  <c r="S52" i="21"/>
  <c r="W63" i="2"/>
  <c r="U73" i="3"/>
  <c r="U87" i="3"/>
  <c r="U88" i="3"/>
  <c r="U84" i="2"/>
  <c r="U83" i="2"/>
  <c r="D70" i="21"/>
  <c r="D38" i="21"/>
  <c r="GI23" i="21"/>
  <c r="AA79" i="23"/>
  <c r="AA82" i="23"/>
  <c r="AA92" i="23"/>
  <c r="AA93" i="23"/>
  <c r="AA95" i="23"/>
  <c r="AA96" i="23"/>
  <c r="CK23" i="21"/>
  <c r="CR28" i="21"/>
  <c r="BJ84" i="21"/>
  <c r="P102" i="23"/>
  <c r="BR28" i="21"/>
  <c r="GT21" i="21"/>
  <c r="R92" i="21"/>
  <c r="BK84" i="21"/>
  <c r="D54" i="21"/>
  <c r="D52" i="21"/>
  <c r="D53" i="21"/>
  <c r="HW23" i="21"/>
  <c r="P156" i="23"/>
  <c r="R82" i="21"/>
  <c r="S28" i="21"/>
  <c r="S31" i="21"/>
  <c r="R80" i="21"/>
  <c r="R81" i="21"/>
  <c r="DA23" i="21"/>
  <c r="AD63" i="2"/>
  <c r="AD66" i="2"/>
  <c r="AD76" i="2"/>
  <c r="AD77" i="2"/>
  <c r="AD79" i="2"/>
  <c r="AD81" i="2"/>
  <c r="AD85" i="2"/>
  <c r="AD87" i="2"/>
  <c r="AD127" i="2"/>
  <c r="Z72" i="18"/>
  <c r="Z112" i="18"/>
  <c r="Z158" i="18"/>
  <c r="Z162" i="18"/>
  <c r="X90" i="3"/>
  <c r="X74" i="3"/>
  <c r="Z66" i="2"/>
  <c r="Z76" i="2"/>
  <c r="Z77" i="2"/>
  <c r="Z79" i="2"/>
  <c r="Z81" i="2"/>
  <c r="Z85" i="2"/>
  <c r="Z87" i="2"/>
  <c r="X17" i="9"/>
  <c r="Q132" i="2"/>
  <c r="Q111" i="2"/>
  <c r="V139" i="2"/>
  <c r="V137" i="2"/>
  <c r="R36" i="18"/>
  <c r="V138" i="2"/>
  <c r="V143" i="2"/>
  <c r="V144" i="2"/>
  <c r="DL23" i="21"/>
  <c r="Y140" i="2"/>
  <c r="IV22" i="21"/>
  <c r="IW19" i="21"/>
  <c r="IW22" i="21"/>
  <c r="IX19" i="21"/>
  <c r="IX22" i="21"/>
  <c r="IY19" i="21"/>
  <c r="IY22" i="21"/>
  <c r="IZ19" i="21"/>
  <c r="IZ22" i="21"/>
  <c r="JA19" i="21"/>
  <c r="JA22" i="21"/>
  <c r="JB19" i="21"/>
  <c r="JB22" i="21"/>
  <c r="JC19" i="21"/>
  <c r="JC22" i="21"/>
  <c r="JD19" i="21"/>
  <c r="JD22" i="21"/>
  <c r="JE19" i="21"/>
  <c r="JE22" i="21"/>
  <c r="JF19" i="21"/>
  <c r="JF22" i="21"/>
  <c r="JG19" i="21"/>
  <c r="JG22" i="21"/>
  <c r="JH19" i="21"/>
  <c r="JH23" i="21"/>
  <c r="Z37" i="21"/>
  <c r="Z48" i="21"/>
  <c r="Z49" i="21"/>
  <c r="Z54" i="21"/>
  <c r="P87" i="21"/>
  <c r="P91" i="21"/>
  <c r="E22" i="21"/>
  <c r="E21" i="21"/>
  <c r="S88" i="3"/>
  <c r="S73" i="3"/>
  <c r="S87" i="3"/>
  <c r="K31" i="21"/>
  <c r="K28" i="21"/>
  <c r="AN28" i="21"/>
  <c r="O161" i="22"/>
  <c r="I104" i="22"/>
  <c r="L104" i="22"/>
  <c r="L114" i="22"/>
  <c r="AA89" i="21"/>
  <c r="CG79" i="21"/>
  <c r="CG83" i="21"/>
  <c r="CH79" i="21"/>
  <c r="CH83" i="21"/>
  <c r="CI79" i="21"/>
  <c r="CI83" i="21"/>
  <c r="CJ79" i="21"/>
  <c r="CJ83" i="21"/>
  <c r="CK79" i="21"/>
  <c r="CK83" i="21"/>
  <c r="CL79" i="21"/>
  <c r="CL83" i="21"/>
  <c r="CM79" i="21"/>
  <c r="CM83" i="21"/>
  <c r="CN79" i="21"/>
  <c r="CN83" i="21"/>
  <c r="CO79" i="21"/>
  <c r="CO83" i="21"/>
  <c r="CP79" i="21"/>
  <c r="CP83" i="21"/>
  <c r="CQ79" i="21"/>
  <c r="CQ83" i="21"/>
  <c r="CR79" i="21"/>
  <c r="CR83" i="21"/>
  <c r="CS79" i="21"/>
  <c r="CS83" i="21"/>
  <c r="CT79" i="21"/>
  <c r="CT83" i="21"/>
  <c r="CU79" i="21"/>
  <c r="CU81" i="21"/>
  <c r="Y12" i="19"/>
  <c r="Y10" i="19"/>
  <c r="AJ22" i="21"/>
  <c r="AJ21" i="21"/>
  <c r="Y100" i="23"/>
  <c r="Y79" i="23"/>
  <c r="Y82" i="23"/>
  <c r="Y92" i="23"/>
  <c r="Y93" i="23"/>
  <c r="Y95" i="23"/>
  <c r="Y97" i="23"/>
  <c r="Y99" i="23"/>
  <c r="Y53" i="21"/>
  <c r="Y37" i="21"/>
  <c r="Y48" i="21"/>
  <c r="Y51" i="21"/>
  <c r="R22" i="21"/>
  <c r="R21" i="21"/>
  <c r="AB172" i="23"/>
  <c r="AB171" i="23"/>
  <c r="IJ21" i="21"/>
  <c r="X35" i="21"/>
  <c r="X52" i="21"/>
  <c r="AB79" i="23"/>
  <c r="AB169" i="23"/>
  <c r="R90" i="21"/>
  <c r="GB23" i="21"/>
  <c r="BL30" i="21"/>
  <c r="BL31" i="21"/>
  <c r="BK80" i="21"/>
  <c r="BK82" i="21"/>
  <c r="X89" i="21"/>
  <c r="IJ22" i="21"/>
  <c r="IK19" i="21"/>
  <c r="IK22" i="21"/>
  <c r="IL19" i="21"/>
  <c r="IL22" i="21"/>
  <c r="IM19" i="21"/>
  <c r="IM22" i="21"/>
  <c r="IN19" i="21"/>
  <c r="IN22" i="21"/>
  <c r="IO19" i="21"/>
  <c r="IO22" i="21"/>
  <c r="IP19" i="21"/>
  <c r="IP22" i="21"/>
  <c r="IQ19" i="21"/>
  <c r="IQ22" i="21"/>
  <c r="IR19" i="21"/>
  <c r="IR22" i="21"/>
  <c r="IS19" i="21"/>
  <c r="IS22" i="21"/>
  <c r="IT19" i="21"/>
  <c r="IT22" i="21"/>
  <c r="IU19" i="21"/>
  <c r="IU22" i="21"/>
  <c r="IV19" i="21"/>
  <c r="IV23" i="21"/>
  <c r="CJ30" i="21"/>
  <c r="CJ31" i="21"/>
  <c r="CI80" i="21"/>
  <c r="CI81" i="21"/>
  <c r="AE172" i="23"/>
  <c r="AE171" i="23"/>
  <c r="AE169" i="23"/>
  <c r="JT21" i="21"/>
  <c r="AA35" i="21"/>
  <c r="AA52" i="21"/>
  <c r="AE79" i="23"/>
  <c r="T13" i="9"/>
  <c r="AA84" i="2"/>
  <c r="HX21" i="21"/>
  <c r="W35" i="21"/>
  <c r="W52" i="21"/>
  <c r="AA63" i="2"/>
  <c r="AA66" i="2"/>
  <c r="AA76" i="2"/>
  <c r="AA77" i="2"/>
  <c r="AA79" i="2"/>
  <c r="AA81" i="2"/>
  <c r="AA83" i="2"/>
  <c r="HL23" i="21"/>
  <c r="BX30" i="21"/>
  <c r="BX31" i="21"/>
  <c r="BW80" i="21"/>
  <c r="BW81" i="21"/>
  <c r="U89" i="21"/>
  <c r="FW23" i="21"/>
  <c r="Y21" i="21"/>
  <c r="Y22" i="21"/>
  <c r="AW28" i="21"/>
  <c r="EI21" i="21"/>
  <c r="Z63" i="2"/>
  <c r="X73" i="3"/>
  <c r="X87" i="3"/>
  <c r="X88" i="3"/>
  <c r="Q84" i="21"/>
  <c r="S138" i="2"/>
  <c r="O36" i="18"/>
  <c r="S144" i="2"/>
  <c r="S143" i="2"/>
  <c r="S137" i="2"/>
  <c r="S139" i="2"/>
  <c r="Y153" i="2"/>
  <c r="Y155" i="2"/>
  <c r="Y156" i="2"/>
  <c r="O13" i="9"/>
  <c r="AT28" i="21"/>
  <c r="DZ21" i="21"/>
  <c r="N137" i="2"/>
  <c r="H38" i="22"/>
  <c r="H41" i="22"/>
  <c r="C38" i="22"/>
  <c r="D104" i="22"/>
  <c r="I105" i="22"/>
  <c r="K105" i="22"/>
  <c r="K115" i="22"/>
  <c r="L161" i="22"/>
  <c r="X63" i="2"/>
  <c r="V73" i="3"/>
  <c r="V87" i="3"/>
  <c r="V88" i="3"/>
  <c r="Y84" i="21"/>
  <c r="S111" i="2"/>
  <c r="S132" i="2"/>
  <c r="BM28" i="21"/>
  <c r="GE21" i="21"/>
  <c r="BA28" i="21"/>
  <c r="EU21" i="21"/>
  <c r="FD23" i="21"/>
  <c r="BD30" i="21"/>
  <c r="BD31" i="21"/>
  <c r="BC80" i="21"/>
  <c r="BC82" i="21"/>
  <c r="P90" i="21"/>
  <c r="W22" i="21"/>
  <c r="W21" i="21"/>
  <c r="H22" i="21"/>
  <c r="H21" i="21"/>
  <c r="M30" i="19"/>
  <c r="M32" i="19"/>
  <c r="N66" i="2"/>
  <c r="N76" i="2"/>
  <c r="N77" i="2"/>
  <c r="N79" i="2"/>
  <c r="N81" i="2"/>
  <c r="N83" i="2"/>
  <c r="N84" i="2"/>
  <c r="V153" i="2"/>
  <c r="V155" i="2"/>
  <c r="V156" i="2"/>
  <c r="I13" i="9"/>
  <c r="Q137" i="2"/>
  <c r="Q139" i="2"/>
  <c r="Q144" i="2"/>
  <c r="Q138" i="2"/>
  <c r="M36" i="18"/>
  <c r="Q143" i="2"/>
  <c r="GL23" i="21"/>
  <c r="R10" i="19"/>
  <c r="R12" i="19"/>
  <c r="AW21" i="21"/>
  <c r="AW22" i="21"/>
  <c r="L63" i="2"/>
  <c r="J73" i="3"/>
  <c r="J87" i="3"/>
  <c r="J88" i="3"/>
  <c r="FD21" i="21"/>
  <c r="Q35" i="21"/>
  <c r="Q52" i="21"/>
  <c r="U63" i="2"/>
  <c r="U66" i="2"/>
  <c r="U76" i="2"/>
  <c r="U77" i="2"/>
  <c r="U79" i="2"/>
  <c r="U81" i="2"/>
  <c r="U85" i="2"/>
  <c r="U87" i="2"/>
  <c r="U127" i="2"/>
  <c r="Q72" i="18"/>
  <c r="Q112" i="18"/>
  <c r="Q158" i="18"/>
  <c r="Q162" i="18"/>
  <c r="Y66" i="2"/>
  <c r="Y76" i="2"/>
  <c r="Y77" i="2"/>
  <c r="Y79" i="2"/>
  <c r="Y81" i="2"/>
  <c r="Y85" i="2"/>
  <c r="Y87" i="2"/>
  <c r="Y127" i="2"/>
  <c r="Y131" i="2"/>
  <c r="Y141" i="2"/>
  <c r="JH21" i="21"/>
  <c r="Z35" i="21"/>
  <c r="Z52" i="21"/>
  <c r="AD79" i="23"/>
  <c r="AD82" i="23"/>
  <c r="AD92" i="23"/>
  <c r="AD93" i="23"/>
  <c r="AD95" i="23"/>
  <c r="AD97" i="23"/>
  <c r="AD101" i="23"/>
  <c r="AD102" i="23"/>
  <c r="FP21" i="21"/>
  <c r="R35" i="21"/>
  <c r="R52" i="21"/>
  <c r="V63" i="2"/>
  <c r="R30" i="19"/>
  <c r="R32" i="19"/>
  <c r="F22" i="21"/>
  <c r="F21" i="21"/>
  <c r="L102" i="23"/>
  <c r="AZ21" i="21"/>
  <c r="H35" i="21"/>
  <c r="H52" i="21"/>
  <c r="L79" i="23"/>
  <c r="L82" i="23"/>
  <c r="L92" i="23"/>
  <c r="L93" i="23"/>
  <c r="L95" i="23"/>
  <c r="L97" i="23"/>
  <c r="L101" i="23"/>
  <c r="L103" i="23"/>
  <c r="DT23" i="21"/>
  <c r="AR30" i="21"/>
  <c r="AR31" i="21"/>
  <c r="AQ80" i="21"/>
  <c r="AQ81" i="21"/>
  <c r="M89" i="21"/>
  <c r="IE23" i="21"/>
  <c r="D21" i="21"/>
  <c r="D35" i="21"/>
  <c r="B35" i="21"/>
  <c r="FR23" i="21"/>
  <c r="AA22" i="21"/>
  <c r="AA21" i="21"/>
  <c r="M74" i="3"/>
  <c r="M90" i="3"/>
  <c r="AG22" i="21"/>
  <c r="AG21" i="21"/>
  <c r="P148" i="23"/>
  <c r="CV21" i="21"/>
  <c r="L35" i="21"/>
  <c r="L52" i="21"/>
  <c r="P79" i="23"/>
  <c r="P82" i="23"/>
  <c r="P92" i="23"/>
  <c r="P93" i="23"/>
  <c r="P95" i="23"/>
  <c r="P97" i="23"/>
  <c r="P101" i="23"/>
  <c r="P103" i="23"/>
  <c r="P143" i="23"/>
  <c r="P147" i="23"/>
  <c r="P157" i="23"/>
  <c r="AR84" i="21"/>
  <c r="AD28" i="21"/>
  <c r="CD21" i="21"/>
  <c r="GN21" i="21"/>
  <c r="T35" i="21"/>
  <c r="T52" i="21"/>
  <c r="X79" i="23"/>
  <c r="X82" i="23"/>
  <c r="X92" i="23"/>
  <c r="X93" i="23"/>
  <c r="X95" i="23"/>
  <c r="X97" i="23"/>
  <c r="X99" i="23"/>
  <c r="X100" i="23"/>
  <c r="AC139" i="2"/>
  <c r="Y36" i="18"/>
  <c r="AC138" i="2"/>
  <c r="BX21" i="21"/>
  <c r="J35" i="21"/>
  <c r="J52" i="21"/>
  <c r="N63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C143" i="2"/>
  <c r="GZ21" i="21"/>
  <c r="U35" i="21"/>
  <c r="U52" i="21"/>
  <c r="Y63" i="2"/>
  <c r="W13" i="9"/>
  <c r="BX22" i="21"/>
  <c r="BY19" i="21"/>
  <c r="BY22" i="21"/>
  <c r="BZ19" i="21"/>
  <c r="BZ22" i="21"/>
  <c r="CA19" i="21"/>
  <c r="CA22" i="21"/>
  <c r="CB19" i="21"/>
  <c r="CB22" i="21"/>
  <c r="CC19" i="21"/>
  <c r="CC22" i="21"/>
  <c r="CD19" i="21"/>
  <c r="CD22" i="21"/>
  <c r="CE19" i="21"/>
  <c r="CE22" i="21"/>
  <c r="CF19" i="21"/>
  <c r="CF22" i="21"/>
  <c r="CG19" i="21"/>
  <c r="CG22" i="21"/>
  <c r="CH19" i="21"/>
  <c r="CH22" i="21"/>
  <c r="CI19" i="21"/>
  <c r="CI22" i="21"/>
  <c r="CJ19" i="21"/>
  <c r="CJ22" i="21"/>
  <c r="CK19" i="21"/>
  <c r="CK22" i="21"/>
  <c r="CL19" i="21"/>
  <c r="CL22" i="21"/>
  <c r="CM19" i="21"/>
  <c r="CM22" i="21"/>
  <c r="CN19" i="21"/>
  <c r="CN22" i="21"/>
  <c r="CO19" i="21"/>
  <c r="CO22" i="21"/>
  <c r="CP19" i="21"/>
  <c r="CP22" i="21"/>
  <c r="CQ19" i="21"/>
  <c r="CQ22" i="21"/>
  <c r="CR19" i="21"/>
  <c r="CR22" i="21"/>
  <c r="CS19" i="21"/>
  <c r="CS22" i="21"/>
  <c r="CT19" i="21"/>
  <c r="CT22" i="21"/>
  <c r="CU19" i="21"/>
  <c r="CU22" i="21"/>
  <c r="CV19" i="21"/>
  <c r="CV22" i="21"/>
  <c r="CW19" i="21"/>
  <c r="CW22" i="21"/>
  <c r="CX19" i="21"/>
  <c r="CX22" i="21"/>
  <c r="CY19" i="21"/>
  <c r="CY22" i="21"/>
  <c r="CZ19" i="21"/>
  <c r="CZ22" i="21"/>
  <c r="DA19" i="21"/>
  <c r="DA22" i="21"/>
  <c r="DB19" i="21"/>
  <c r="DB22" i="21"/>
  <c r="DC19" i="21"/>
  <c r="DC22" i="21"/>
  <c r="DD19" i="21"/>
  <c r="DD22" i="21"/>
  <c r="DE19" i="21"/>
  <c r="DE22" i="21"/>
  <c r="DF19" i="21"/>
  <c r="DF22" i="21"/>
  <c r="DG19" i="21"/>
  <c r="DG22" i="21"/>
  <c r="DH19" i="21"/>
  <c r="DH22" i="21"/>
  <c r="DI19" i="21"/>
  <c r="DI22" i="21"/>
  <c r="DJ19" i="21"/>
  <c r="DJ22" i="21"/>
  <c r="DK19" i="21"/>
  <c r="DK22" i="21"/>
  <c r="DL19" i="21"/>
  <c r="DL22" i="21"/>
  <c r="DM19" i="21"/>
  <c r="DM22" i="21"/>
  <c r="DN19" i="21"/>
  <c r="DN22" i="21"/>
  <c r="DO19" i="21"/>
  <c r="DO22" i="21"/>
  <c r="DP19" i="21"/>
  <c r="DP22" i="21"/>
  <c r="DQ19" i="21"/>
  <c r="DQ22" i="21"/>
  <c r="DR19" i="21"/>
  <c r="DR22" i="21"/>
  <c r="DS19" i="21"/>
  <c r="DS22" i="21"/>
  <c r="DT19" i="21"/>
  <c r="DT22" i="21"/>
  <c r="DU19" i="21"/>
  <c r="DU22" i="21"/>
  <c r="DV19" i="21"/>
  <c r="DV22" i="21"/>
  <c r="DW19" i="21"/>
  <c r="DW22" i="21"/>
  <c r="DX19" i="21"/>
  <c r="DX22" i="21"/>
  <c r="DY19" i="21"/>
  <c r="DY22" i="21"/>
  <c r="DZ19" i="21"/>
  <c r="DZ22" i="21"/>
  <c r="EA19" i="21"/>
  <c r="EA22" i="21"/>
  <c r="EB19" i="21"/>
  <c r="EB22" i="21"/>
  <c r="EC19" i="21"/>
  <c r="EC22" i="21"/>
  <c r="ED19" i="21"/>
  <c r="ED22" i="21"/>
  <c r="EE19" i="21"/>
  <c r="EE22" i="21"/>
  <c r="EF19" i="21"/>
  <c r="EF22" i="21"/>
  <c r="EG19" i="21"/>
  <c r="EG22" i="21"/>
  <c r="EH19" i="21"/>
  <c r="EH22" i="21"/>
  <c r="EI19" i="21"/>
  <c r="EI22" i="21"/>
  <c r="EJ19" i="21"/>
  <c r="EJ22" i="21"/>
  <c r="EK19" i="21"/>
  <c r="EK22" i="21"/>
  <c r="EL19" i="21"/>
  <c r="EL22" i="21"/>
  <c r="EM19" i="21"/>
  <c r="EM22" i="21"/>
  <c r="EN19" i="21"/>
  <c r="EN22" i="21"/>
  <c r="EO19" i="21"/>
  <c r="EO22" i="21"/>
  <c r="EP19" i="21"/>
  <c r="EP22" i="21"/>
  <c r="EQ19" i="21"/>
  <c r="EQ22" i="21"/>
  <c r="ER19" i="21"/>
  <c r="ER22" i="21"/>
  <c r="ES19" i="21"/>
  <c r="ES22" i="21"/>
  <c r="ET19" i="21"/>
  <c r="ET22" i="21"/>
  <c r="EU19" i="21"/>
  <c r="EU22" i="21"/>
  <c r="EV19" i="21"/>
  <c r="EV22" i="21"/>
  <c r="EW19" i="21"/>
  <c r="EW22" i="21"/>
  <c r="EX19" i="21"/>
  <c r="EX22" i="21"/>
  <c r="EY19" i="21"/>
  <c r="EY22" i="21"/>
  <c r="EZ19" i="21"/>
  <c r="EZ22" i="21"/>
  <c r="FA19" i="21"/>
  <c r="FA22" i="21"/>
  <c r="FB19" i="21"/>
  <c r="FB22" i="21"/>
  <c r="FC19" i="21"/>
  <c r="FC22" i="21"/>
  <c r="FD19" i="21"/>
  <c r="FD22" i="21"/>
  <c r="FE19" i="21"/>
  <c r="FE22" i="21"/>
  <c r="FF19" i="21"/>
  <c r="FF22" i="21"/>
  <c r="FG19" i="21"/>
  <c r="FG22" i="21"/>
  <c r="FH19" i="21"/>
  <c r="FH22" i="21"/>
  <c r="FI19" i="21"/>
  <c r="FI22" i="21"/>
  <c r="FJ19" i="21"/>
  <c r="FJ22" i="21"/>
  <c r="FK19" i="21"/>
  <c r="FK22" i="21"/>
  <c r="FL19" i="21"/>
  <c r="FL22" i="21"/>
  <c r="FM19" i="21"/>
  <c r="FM22" i="21"/>
  <c r="FN19" i="21"/>
  <c r="FN22" i="21"/>
  <c r="FO19" i="21"/>
  <c r="FO22" i="21"/>
  <c r="FP19" i="21"/>
  <c r="FP22" i="21"/>
  <c r="FQ19" i="21"/>
  <c r="FQ22" i="21"/>
  <c r="FR19" i="21"/>
  <c r="FR22" i="21"/>
  <c r="FS19" i="21"/>
  <c r="FS22" i="21"/>
  <c r="FT19" i="21"/>
  <c r="FT22" i="21"/>
  <c r="FU19" i="21"/>
  <c r="FU22" i="21"/>
  <c r="FV19" i="21"/>
  <c r="FV22" i="21"/>
  <c r="FW19" i="21"/>
  <c r="FW22" i="21"/>
  <c r="FX19" i="21"/>
  <c r="FX22" i="21"/>
  <c r="FY19" i="21"/>
  <c r="FY22" i="21"/>
  <c r="FZ19" i="21"/>
  <c r="FZ22" i="21"/>
  <c r="GA19" i="21"/>
  <c r="GA22" i="21"/>
  <c r="GB19" i="21"/>
  <c r="GB22" i="21"/>
  <c r="GC19" i="21"/>
  <c r="GC22" i="21"/>
  <c r="GD19" i="21"/>
  <c r="GD22" i="21"/>
  <c r="GE19" i="21"/>
  <c r="GE22" i="21"/>
  <c r="GF19" i="21"/>
  <c r="GF22" i="21"/>
  <c r="GG19" i="21"/>
  <c r="GG22" i="21"/>
  <c r="GH19" i="21"/>
  <c r="GH22" i="21"/>
  <c r="GI19" i="21"/>
  <c r="GI22" i="21"/>
  <c r="GJ19" i="21"/>
  <c r="GJ22" i="21"/>
  <c r="GK19" i="21"/>
  <c r="GK22" i="21"/>
  <c r="GL19" i="21"/>
  <c r="GL22" i="21"/>
  <c r="GM19" i="21"/>
  <c r="GM22" i="21"/>
  <c r="GN19" i="21"/>
  <c r="GN22" i="21"/>
  <c r="GO19" i="21"/>
  <c r="GO22" i="21"/>
  <c r="GP19" i="21"/>
  <c r="GP22" i="21"/>
  <c r="GQ19" i="21"/>
  <c r="GQ22" i="21"/>
  <c r="GR19" i="21"/>
  <c r="GR22" i="21"/>
  <c r="GS19" i="21"/>
  <c r="GS22" i="21"/>
  <c r="GT19" i="21"/>
  <c r="GT22" i="21"/>
  <c r="GU19" i="21"/>
  <c r="GU22" i="21"/>
  <c r="GV19" i="21"/>
  <c r="GV22" i="21"/>
  <c r="GW19" i="21"/>
  <c r="GW22" i="21"/>
  <c r="GX19" i="21"/>
  <c r="GX22" i="21"/>
  <c r="GY19" i="21"/>
  <c r="GY22" i="21"/>
  <c r="GZ19" i="21"/>
  <c r="GZ22" i="21"/>
  <c r="HA19" i="21"/>
  <c r="HA22" i="21"/>
  <c r="HB19" i="21"/>
  <c r="HB22" i="21"/>
  <c r="HC19" i="21"/>
  <c r="HC22" i="21"/>
  <c r="HD19" i="21"/>
  <c r="HD22" i="21"/>
  <c r="HE19" i="21"/>
  <c r="HE22" i="21"/>
  <c r="HF19" i="21"/>
  <c r="HF22" i="21"/>
  <c r="HG19" i="21"/>
  <c r="HG22" i="21"/>
  <c r="HH19" i="21"/>
  <c r="HH22" i="21"/>
  <c r="HI19" i="21"/>
  <c r="HI22" i="21"/>
  <c r="HJ19" i="21"/>
  <c r="HJ22" i="21"/>
  <c r="HK19" i="21"/>
  <c r="HK22" i="21"/>
  <c r="HL19" i="21"/>
  <c r="HL22" i="21"/>
  <c r="HM19" i="21"/>
  <c r="HM22" i="21"/>
  <c r="HN19" i="21"/>
  <c r="HN22" i="21"/>
  <c r="HO19" i="21"/>
  <c r="HO22" i="21"/>
  <c r="HP19" i="21"/>
  <c r="HP22" i="21"/>
  <c r="HQ19" i="21"/>
  <c r="HQ22" i="21"/>
  <c r="HR19" i="21"/>
  <c r="HR22" i="21"/>
  <c r="HS19" i="21"/>
  <c r="HS22" i="21"/>
  <c r="HT19" i="21"/>
  <c r="HT22" i="21"/>
  <c r="HU19" i="21"/>
  <c r="HU22" i="21"/>
  <c r="HV19" i="21"/>
  <c r="HV22" i="21"/>
  <c r="HW19" i="21"/>
  <c r="HW22" i="21"/>
  <c r="HX19" i="21"/>
  <c r="HX22" i="21"/>
  <c r="HY19" i="21"/>
  <c r="HY22" i="21"/>
  <c r="HZ19" i="21"/>
  <c r="HZ22" i="21"/>
  <c r="IA19" i="21"/>
  <c r="IA22" i="21"/>
  <c r="IB19" i="21"/>
  <c r="IB22" i="21"/>
  <c r="IC19" i="21"/>
  <c r="IC22" i="21"/>
  <c r="ID19" i="21"/>
  <c r="ID22" i="21"/>
  <c r="IE19" i="21"/>
  <c r="IE22" i="21"/>
  <c r="IF19" i="21"/>
  <c r="IF22" i="21"/>
  <c r="IG19" i="21"/>
  <c r="IG22" i="21"/>
  <c r="IH19" i="21"/>
  <c r="IH22" i="21"/>
  <c r="II19" i="21"/>
  <c r="II22" i="21"/>
  <c r="IJ19" i="21"/>
  <c r="IJ23" i="21"/>
  <c r="X37" i="21"/>
  <c r="X48" i="21"/>
  <c r="X51" i="21"/>
  <c r="X53" i="21"/>
  <c r="CU21" i="21"/>
  <c r="HZ21" i="21"/>
  <c r="HJ21" i="21"/>
  <c r="JS21" i="21"/>
  <c r="EE21" i="21"/>
  <c r="GU21" i="21"/>
  <c r="HY21" i="21"/>
  <c r="DM21" i="21"/>
  <c r="JP21" i="21"/>
  <c r="GX21" i="21"/>
  <c r="DA21" i="21"/>
  <c r="IH21" i="21"/>
  <c r="CC21" i="21"/>
  <c r="JO21" i="21"/>
  <c r="JJ21" i="21"/>
  <c r="DO21" i="21"/>
  <c r="GG21" i="21"/>
  <c r="JL21" i="21"/>
  <c r="IQ21" i="21"/>
  <c r="EM21" i="21"/>
  <c r="FR21" i="21"/>
  <c r="FX21" i="21"/>
  <c r="FB21" i="21"/>
  <c r="EH21" i="21"/>
  <c r="IN21" i="21"/>
  <c r="IB21" i="21"/>
  <c r="IT21" i="21"/>
  <c r="EZ21" i="21"/>
  <c r="DX21" i="21"/>
  <c r="FK21" i="21"/>
  <c r="DI21" i="21"/>
  <c r="EN21" i="21"/>
  <c r="EG21" i="21"/>
  <c r="JD21" i="21"/>
  <c r="GO21" i="21"/>
  <c r="GC21" i="21"/>
  <c r="HT21" i="21"/>
  <c r="IE21" i="21"/>
  <c r="CX21" i="21"/>
  <c r="CT21" i="21"/>
  <c r="FC21" i="21"/>
  <c r="IF21" i="21"/>
  <c r="HK21" i="21"/>
  <c r="HP21" i="21"/>
  <c r="ET21" i="21"/>
  <c r="EK21" i="21"/>
  <c r="FQ21" i="21"/>
  <c r="BZ21" i="21"/>
  <c r="DJ21" i="21"/>
  <c r="IC21" i="21"/>
  <c r="EJ21" i="21"/>
  <c r="HH21" i="21"/>
  <c r="DD21" i="21"/>
  <c r="IU21" i="21"/>
  <c r="CF21" i="21"/>
  <c r="EA21" i="21"/>
  <c r="GV21" i="21"/>
  <c r="GI21" i="21"/>
  <c r="HQ21" i="21"/>
  <c r="HS21" i="21"/>
  <c r="DV21" i="21"/>
  <c r="DR21" i="21"/>
  <c r="HW21" i="21"/>
  <c r="JM21" i="21"/>
  <c r="IZ21" i="21"/>
  <c r="IW21" i="21"/>
  <c r="CO21" i="21"/>
  <c r="FH21" i="21"/>
  <c r="DU21" i="21"/>
  <c r="HA21" i="21"/>
  <c r="CK21" i="21"/>
  <c r="JI21" i="21"/>
  <c r="FE21" i="21"/>
  <c r="FW21" i="21"/>
  <c r="HD21" i="21"/>
  <c r="GJ21" i="21"/>
  <c r="CN21" i="21"/>
  <c r="GL21" i="21"/>
  <c r="EQ21" i="21"/>
  <c r="DL21" i="21"/>
  <c r="GS21" i="21"/>
  <c r="CZ21" i="21"/>
  <c r="HV21" i="21"/>
  <c r="JC21" i="21"/>
  <c r="FO21" i="21"/>
  <c r="GM21" i="21"/>
  <c r="HM21" i="21"/>
  <c r="CW21" i="21"/>
  <c r="CL21" i="21"/>
  <c r="EW21" i="21"/>
  <c r="GD21" i="21"/>
  <c r="JU21" i="21"/>
  <c r="FL21" i="21"/>
  <c r="CB21" i="21"/>
  <c r="CH21" i="21"/>
  <c r="JR21" i="21"/>
  <c r="FU21" i="21"/>
  <c r="IK21" i="21"/>
  <c r="GY21" i="21"/>
  <c r="ES21" i="21"/>
  <c r="GP21" i="21"/>
  <c r="HN21" i="21"/>
  <c r="IL21" i="21"/>
  <c r="CR21" i="21"/>
  <c r="CI21" i="21"/>
  <c r="EB21" i="21"/>
  <c r="DP21" i="21"/>
  <c r="DF21" i="21"/>
  <c r="FN21" i="21"/>
  <c r="CQ21" i="21"/>
  <c r="IR21" i="21"/>
  <c r="FZ21" i="21"/>
  <c r="DC21" i="21"/>
  <c r="JF21" i="21"/>
  <c r="IO21" i="21"/>
  <c r="GR21" i="21"/>
  <c r="HE21" i="21"/>
  <c r="II21" i="21"/>
  <c r="GF21" i="21"/>
  <c r="JA21" i="21"/>
  <c r="GA21" i="21"/>
  <c r="DY21" i="21"/>
  <c r="ED21" i="21"/>
  <c r="FT21" i="21"/>
  <c r="EY21" i="21"/>
  <c r="FI21" i="21"/>
  <c r="HB21" i="21"/>
  <c r="EP21" i="21"/>
  <c r="BV21" i="21"/>
  <c r="JG21" i="21"/>
  <c r="DS21" i="21"/>
  <c r="DG21" i="21"/>
  <c r="CE21" i="21"/>
  <c r="HG21" i="21"/>
  <c r="BY21" i="21"/>
  <c r="IX21" i="21"/>
  <c r="FF21" i="21"/>
  <c r="EV21" i="21"/>
  <c r="AE21" i="21"/>
  <c r="M28" i="21"/>
  <c r="M31" i="21"/>
  <c r="L80" i="21"/>
  <c r="L81" i="21"/>
  <c r="L83" i="21"/>
  <c r="M79" i="21"/>
  <c r="M83" i="21"/>
  <c r="N79" i="21"/>
  <c r="N83" i="21"/>
  <c r="O79" i="21"/>
  <c r="O83" i="21"/>
  <c r="P79" i="21"/>
  <c r="P83" i="21"/>
  <c r="Q79" i="21"/>
  <c r="Q83" i="21"/>
  <c r="R79" i="21"/>
  <c r="R83" i="21"/>
  <c r="S79" i="21"/>
  <c r="S83" i="21"/>
  <c r="T79" i="21"/>
  <c r="T83" i="21"/>
  <c r="U79" i="21"/>
  <c r="U83" i="21"/>
  <c r="V79" i="21"/>
  <c r="V83" i="21"/>
  <c r="W79" i="21"/>
  <c r="W83" i="21"/>
  <c r="X79" i="21"/>
  <c r="X83" i="21"/>
  <c r="Y79" i="21"/>
  <c r="Y83" i="21"/>
  <c r="Z79" i="21"/>
  <c r="Z83" i="21"/>
  <c r="AA79" i="21"/>
  <c r="AA83" i="21"/>
  <c r="AB79" i="21"/>
  <c r="AB83" i="21"/>
  <c r="AC79" i="21"/>
  <c r="AC83" i="21"/>
  <c r="AD79" i="21"/>
  <c r="AD83" i="21"/>
  <c r="AE79" i="21"/>
  <c r="AE83" i="21"/>
  <c r="AF79" i="21"/>
  <c r="AF83" i="21"/>
  <c r="AG79" i="21"/>
  <c r="AG83" i="21"/>
  <c r="AH79" i="21"/>
  <c r="AH83" i="21"/>
  <c r="AI79" i="21"/>
  <c r="AI83" i="21"/>
  <c r="AJ79" i="21"/>
  <c r="AJ83" i="21"/>
  <c r="AK79" i="21"/>
  <c r="AK83" i="21"/>
  <c r="AL79" i="21"/>
  <c r="AL83" i="21"/>
  <c r="AM79" i="21"/>
  <c r="AM83" i="21"/>
  <c r="AN79" i="21"/>
  <c r="AN83" i="21"/>
  <c r="AO79" i="21"/>
  <c r="AO83" i="21"/>
  <c r="AP79" i="21"/>
  <c r="AP83" i="21"/>
  <c r="AQ79" i="21"/>
  <c r="AQ83" i="21"/>
  <c r="AR79" i="21"/>
  <c r="AR83" i="21"/>
  <c r="AS79" i="21"/>
  <c r="AS83" i="21"/>
  <c r="AT79" i="21"/>
  <c r="AT83" i="21"/>
  <c r="AU79" i="21"/>
  <c r="AU83" i="21"/>
  <c r="AV79" i="21"/>
  <c r="AV83" i="21"/>
  <c r="AW79" i="21"/>
  <c r="AW83" i="21"/>
  <c r="AX79" i="21"/>
  <c r="AX83" i="21"/>
  <c r="AY79" i="21"/>
  <c r="AY83" i="21"/>
  <c r="AZ79" i="21"/>
  <c r="AZ83" i="21"/>
  <c r="BA79" i="21"/>
  <c r="BA83" i="21"/>
  <c r="BB79" i="21"/>
  <c r="BB83" i="21"/>
  <c r="BC79" i="21"/>
  <c r="BC83" i="21"/>
  <c r="BD79" i="21"/>
  <c r="BD83" i="21"/>
  <c r="BE79" i="21"/>
  <c r="BE83" i="21"/>
  <c r="BF79" i="21"/>
  <c r="BF83" i="21"/>
  <c r="BG79" i="21"/>
  <c r="BG83" i="21"/>
  <c r="BH79" i="21"/>
  <c r="BH83" i="21"/>
  <c r="BI79" i="21"/>
  <c r="BI83" i="21"/>
  <c r="BJ79" i="21"/>
  <c r="BJ83" i="21"/>
  <c r="BK79" i="21"/>
  <c r="BK83" i="21"/>
  <c r="BL79" i="21"/>
  <c r="BL83" i="21"/>
  <c r="BM79" i="21"/>
  <c r="BM83" i="21"/>
  <c r="BN79" i="21"/>
  <c r="BN83" i="21"/>
  <c r="BO79" i="21"/>
  <c r="BO83" i="21"/>
  <c r="BP79" i="21"/>
  <c r="BP83" i="21"/>
  <c r="BQ79" i="21"/>
  <c r="BQ83" i="21"/>
  <c r="BR79" i="21"/>
  <c r="BR83" i="21"/>
  <c r="BS79" i="21"/>
  <c r="BS83" i="21"/>
  <c r="BT79" i="21"/>
  <c r="BT83" i="21"/>
  <c r="BU79" i="21"/>
  <c r="BU83" i="21"/>
  <c r="BV79" i="21"/>
  <c r="BV83" i="21"/>
  <c r="BW79" i="21"/>
  <c r="BW83" i="21"/>
  <c r="BX79" i="21"/>
  <c r="BX83" i="21"/>
  <c r="BY79" i="21"/>
  <c r="BY83" i="21"/>
  <c r="BZ79" i="21"/>
  <c r="BZ83" i="21"/>
  <c r="CA79" i="21"/>
  <c r="CA83" i="21"/>
  <c r="CB79" i="21"/>
  <c r="CB83" i="21"/>
  <c r="CC79" i="21"/>
  <c r="CC83" i="21"/>
  <c r="CD79" i="21"/>
  <c r="CD83" i="21"/>
  <c r="CE79" i="21"/>
  <c r="CE83" i="21"/>
  <c r="CF79" i="21"/>
  <c r="CF83" i="21"/>
  <c r="CF84" i="21"/>
  <c r="HL21" i="21"/>
  <c r="V35" i="21"/>
  <c r="V52" i="21"/>
  <c r="Z79" i="23"/>
  <c r="Z169" i="23"/>
  <c r="Z171" i="23"/>
  <c r="Z172" i="23"/>
  <c r="DH21" i="21"/>
  <c r="M35" i="21"/>
  <c r="M52" i="21"/>
  <c r="Q63" i="2"/>
  <c r="Q153" i="2"/>
  <c r="Q155" i="2"/>
  <c r="Q156" i="2"/>
  <c r="CJ21" i="21"/>
  <c r="K35" i="21"/>
  <c r="K52" i="21"/>
  <c r="O63" i="2"/>
  <c r="M73" i="3"/>
  <c r="M87" i="3"/>
  <c r="M88" i="3"/>
  <c r="BW21" i="21"/>
  <c r="BW22" i="21"/>
  <c r="BX19" i="21"/>
  <c r="B19" i="21"/>
  <c r="AN21" i="21"/>
  <c r="G35" i="21"/>
  <c r="G52" i="21"/>
  <c r="K63" i="2"/>
  <c r="G30" i="19"/>
  <c r="G32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Saransh</author>
  </authors>
  <commentList>
    <comment ref="D17" authorId="0" shapeId="0" xr:uid="{00000000-0006-0000-0000-000001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Includes Travel, Electricity, Security, CSR, Maintenance, etc
Refer Note 27 of Audited FS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Saransh</author>
  </authors>
  <commentList>
    <comment ref="C39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Saransh:</t>
        </r>
        <r>
          <rPr>
            <sz val="9"/>
            <color indexed="81"/>
            <rFont val="Tahoma"/>
            <family val="2"/>
          </rPr>
          <t xml:space="preserve">
This input drives the +/- sensitivity analysis below.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Saransh</author>
    <author>welcome</author>
  </authors>
  <commentList>
    <comment ref="C17" authorId="0" shapeId="0" xr:uid="{00000000-0006-0000-0100-000001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Includes Travel, Electricity, Security, CSR, Maintenance, etc
Refer Note 27 of Audited FS</t>
        </r>
      </text>
    </comment>
    <comment ref="H17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Foreign exchange loss: 11.50</t>
        </r>
      </text>
    </comment>
    <comment ref="I17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Provision for bed debts: 43.39
Foreign Exchange Loss: 27.32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Saransh</author>
  </authors>
  <commentList>
    <comment ref="D69" authorId="0" shapeId="0" xr:uid="{00000000-0006-0000-0200-000001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What does Outstanding imply? 
1) Liability has occured and the transaction is entered into the Balance sheet as a Liability item. 
2) Company is sanctioned for BG and LC of 433.76 cr</t>
        </r>
      </text>
    </comment>
    <comment ref="B75" authorId="0" shapeId="0" xr:uid="{00000000-0006-0000-0200-000002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3% education cess and surcharges added</t>
        </r>
      </text>
    </comment>
    <comment ref="D102" authorId="0" shapeId="0" xr:uid="{00000000-0006-0000-0200-000003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Current base rate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Saransh</author>
  </authors>
  <commentList>
    <comment ref="P14" authorId="0" shapeId="0" xr:uid="{00000000-0006-0000-0300-000001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FIGURES FOR PERIOD AFTER 1 Apr 2029.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welcome</author>
    <author>Saransh</author>
  </authors>
  <commentList>
    <comment ref="N2" authorId="0" shapeId="0" xr:uid="{6D75DD6B-A51C-4A37-8BB7-49599BE181B4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As per information provided by banker Mr. Sandeep revenue of the company till october is 2225.44 Crs.</t>
        </r>
      </text>
    </comment>
    <comment ref="A31" authorId="1" shapeId="0" xr:uid="{00000000-0006-0000-0500-000001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Includes Travel, Electricity, Security, CSR, Maintenance, etc
Refer Note 27 of Audited FS</t>
        </r>
      </text>
    </comment>
    <comment ref="E31" authorId="1" shapeId="0" xr:uid="{00000000-0006-0000-0500-000002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Abnormally high because of decrecognition of assets worth 16.5 crores
</t>
        </r>
      </text>
    </comment>
    <comment ref="L31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Foreign exchange loss: 11.50</t>
        </r>
      </text>
    </comment>
    <comment ref="M31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Provision for bed debts: 43.39
Foreign Exchange Loss: 27.32
</t>
        </r>
      </text>
    </comment>
    <comment ref="F36" authorId="1" shapeId="0" xr:uid="{00000000-0006-0000-0500-000005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There is a moratarium period till March 2019. Why is interest charged then?
</t>
        </r>
      </text>
    </comment>
    <comment ref="H36" authorId="1" shapeId="0" xr:uid="{00000000-0006-0000-0500-000006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Moratarium period. interest is foregone</t>
        </r>
      </text>
    </comment>
    <comment ref="E115" authorId="1" shapeId="0" xr:uid="{00000000-0006-0000-0500-000007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6017.05</t>
        </r>
      </text>
    </comment>
    <comment ref="K132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Advance towards OTS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welcome</author>
  </authors>
  <commentList>
    <comment ref="C7" authorId="0" shapeId="0" xr:uid="{D385C363-9B89-405C-9C98-A407B157F308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As per information provided by banker Mr. Sandeep revenue of the company till october is 2205 Crs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Saransh</author>
    <author>welcome</author>
  </authors>
  <commentList>
    <comment ref="A16" authorId="0" shapeId="0" xr:uid="{00000000-0006-0000-0B00-000001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Includes Travel, Electricity, Security, CSR, Maintenance, etc
Refer Note 27 of Audited FS</t>
        </r>
      </text>
    </comment>
    <comment ref="E16" authorId="0" shapeId="0" xr:uid="{00000000-0006-0000-0B00-000002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Abnormally high because of decrecognition of assets worth 16.5 crores
</t>
        </r>
      </text>
    </comment>
    <comment ref="L1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Foreign exchange loss: 11.50</t>
        </r>
      </text>
    </comment>
    <comment ref="M16" authorId="1" shapeId="0" xr:uid="{00000000-0006-0000-0B00-000004000000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Provision for bed debts: 43.39
Foreign Exchange Loss: 27.32
</t>
        </r>
      </text>
    </comment>
    <comment ref="F20" authorId="0" shapeId="0" xr:uid="{00000000-0006-0000-0B00-000005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There is a moratarium period till March 2019. Why is interest charged then?
</t>
        </r>
      </text>
    </comment>
    <comment ref="H20" authorId="0" shapeId="0" xr:uid="{00000000-0006-0000-0B00-000006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Moratarium period. interest is foregone</t>
        </r>
      </text>
    </comment>
    <comment ref="E99" authorId="0" shapeId="0" xr:uid="{00000000-0006-0000-0B00-000007000000}">
      <text>
        <r>
          <rPr>
            <b/>
            <sz val="9"/>
            <rFont val="Times New Roman"/>
            <family val="1"/>
          </rPr>
          <t>Saransh:</t>
        </r>
        <r>
          <rPr>
            <sz val="9"/>
            <rFont val="Times New Roman"/>
            <family val="1"/>
          </rPr>
          <t xml:space="preserve">
6017.05</t>
        </r>
      </text>
    </comment>
    <comment ref="K116" authorId="1" shapeId="0" xr:uid="{00000000-0006-0000-0B00-000008000000}">
      <text>
        <r>
          <rPr>
            <b/>
            <sz val="9"/>
            <color indexed="81"/>
            <rFont val="Tahoma"/>
            <family val="2"/>
          </rPr>
          <t>welcome:</t>
        </r>
        <r>
          <rPr>
            <sz val="9"/>
            <color indexed="81"/>
            <rFont val="Tahoma"/>
            <family val="2"/>
          </rPr>
          <t xml:space="preserve">
Advance towards OTS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Saravanan M</author>
  </authors>
  <commentList>
    <comment ref="G12" authorId="0" shapeId="0" xr:uid="{00000000-0006-0000-0D00-000001000000}">
      <text>
        <r>
          <rPr>
            <b/>
            <sz val="9"/>
            <rFont val="Tahoma"/>
            <family val="2"/>
          </rPr>
          <t>Saravanan M:</t>
        </r>
        <r>
          <rPr>
            <sz val="9"/>
            <rFont val="Tahoma"/>
            <family val="2"/>
          </rPr>
          <t xml:space="preserve">
WC interest rate is assumed to be at 12.55% till June 2018 and thereafter at 8.25%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" authorId="0" shapeId="0" xr:uid="{00000000-0006-0000-1100-000001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 in dd/mm/yyyy format</t>
        </r>
      </text>
    </comment>
    <comment ref="D1" authorId="0" shapeId="0" xr:uid="{00000000-0006-0000-1100-000002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 in dd/mm/yyyy format</t>
        </r>
      </text>
    </comment>
    <comment ref="E1" authorId="0" shapeId="0" xr:uid="{00000000-0006-0000-1100-000003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F1" authorId="0" shapeId="0" xr:uid="{00000000-0006-0000-1100-000004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G1" authorId="0" shapeId="0" xr:uid="{00000000-0006-0000-1100-000005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H1" authorId="0" shapeId="0" xr:uid="{00000000-0006-0000-1100-000006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I1" authorId="0" shapeId="0" xr:uid="{00000000-0006-0000-1100-000007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J1" authorId="0" shapeId="0" xr:uid="{00000000-0006-0000-1100-000008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K1" authorId="0" shapeId="0" xr:uid="{00000000-0006-0000-1100-000009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L1" authorId="0" shapeId="0" xr:uid="{00000000-0006-0000-1100-00000A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M1" authorId="0" shapeId="0" xr:uid="{00000000-0006-0000-1100-00000B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N1" authorId="0" shapeId="0" xr:uid="{00000000-0006-0000-1100-00000C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O1" authorId="0" shapeId="0" xr:uid="{00000000-0006-0000-1100-00000D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P1" authorId="0" shapeId="0" xr:uid="{00000000-0006-0000-1100-00000E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Q1" authorId="0" shapeId="0" xr:uid="{00000000-0006-0000-1100-00000F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R1" authorId="0" shapeId="0" xr:uid="{00000000-0006-0000-1100-000010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S1" authorId="0" shapeId="0" xr:uid="{00000000-0006-0000-1100-000011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T1" authorId="0" shapeId="0" xr:uid="{00000000-0006-0000-1100-000012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U1" authorId="0" shapeId="0" xr:uid="{00000000-0006-0000-1100-000013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V1" authorId="0" shapeId="0" xr:uid="{00000000-0006-0000-1100-000014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W1" authorId="0" shapeId="0" xr:uid="{00000000-0006-0000-1100-000015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X1" authorId="0" shapeId="0" xr:uid="{00000000-0006-0000-1100-000016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Y1" authorId="0" shapeId="0" xr:uid="{00000000-0006-0000-1100-000017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Z1" authorId="0" shapeId="0" xr:uid="{00000000-0006-0000-1100-000018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A1" authorId="0" shapeId="0" xr:uid="{00000000-0006-0000-1100-000019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B1" authorId="0" shapeId="0" xr:uid="{00000000-0006-0000-1100-00001A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C1" authorId="0" shapeId="0" xr:uid="{00000000-0006-0000-1100-00001B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D1" authorId="0" shapeId="0" xr:uid="{00000000-0006-0000-1100-00001C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C2" authorId="0" shapeId="0" xr:uid="{00000000-0006-0000-1100-00001D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D2" authorId="0" shapeId="0" xr:uid="{00000000-0006-0000-1100-00001E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E2" authorId="0" shapeId="0" xr:uid="{00000000-0006-0000-1100-00001F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F2" authorId="0" shapeId="0" xr:uid="{00000000-0006-0000-1100-000020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G2" authorId="0" shapeId="0" xr:uid="{00000000-0006-0000-1100-000021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H2" authorId="0" shapeId="0" xr:uid="{00000000-0006-0000-1100-000022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I2" authorId="0" shapeId="0" xr:uid="{00000000-0006-0000-1100-000023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J2" authorId="0" shapeId="0" xr:uid="{00000000-0006-0000-1100-000024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K2" authorId="0" shapeId="0" xr:uid="{00000000-0006-0000-1100-000025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L2" authorId="0" shapeId="0" xr:uid="{00000000-0006-0000-1100-000026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M2" authorId="0" shapeId="0" xr:uid="{00000000-0006-0000-1100-000027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N2" authorId="0" shapeId="0" xr:uid="{00000000-0006-0000-1100-000028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O2" authorId="0" shapeId="0" xr:uid="{00000000-0006-0000-1100-000029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P2" authorId="0" shapeId="0" xr:uid="{00000000-0006-0000-1100-00002A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Q2" authorId="0" shapeId="0" xr:uid="{00000000-0006-0000-1100-00002B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R2" authorId="0" shapeId="0" xr:uid="{00000000-0006-0000-1100-00002C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S2" authorId="0" shapeId="0" xr:uid="{00000000-0006-0000-1100-00002D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T2" authorId="0" shapeId="0" xr:uid="{00000000-0006-0000-1100-00002E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U2" authorId="0" shapeId="0" xr:uid="{00000000-0006-0000-1100-00002F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V2" authorId="0" shapeId="0" xr:uid="{00000000-0006-0000-1100-000030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W2" authorId="0" shapeId="0" xr:uid="{00000000-0006-0000-1100-000031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X2" authorId="0" shapeId="0" xr:uid="{00000000-0006-0000-1100-000032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Y2" authorId="0" shapeId="0" xr:uid="{00000000-0006-0000-1100-000033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Z2" authorId="0" shapeId="0" xr:uid="{00000000-0006-0000-1100-000034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A2" authorId="0" shapeId="0" xr:uid="{00000000-0006-0000-1100-000035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B2" authorId="0" shapeId="0" xr:uid="{00000000-0006-0000-1100-000036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C2" authorId="0" shapeId="0" xr:uid="{00000000-0006-0000-1100-000037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D2" authorId="0" shapeId="0" xr:uid="{00000000-0006-0000-1100-000038000000}">
      <text>
        <r>
          <rPr>
            <b/>
            <sz val="9"/>
            <rFont val="Tahoma"/>
            <family val="2"/>
          </rPr>
          <t xml:space="preserve">AGM-LLMS: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C3" authorId="0" shapeId="0" xr:uid="{00000000-0006-0000-1100-000039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D3" authorId="0" shapeId="0" xr:uid="{00000000-0006-0000-1100-00003A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E3" authorId="0" shapeId="0" xr:uid="{00000000-0006-0000-1100-00003B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F3" authorId="0" shapeId="0" xr:uid="{00000000-0006-0000-1100-00003C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G3" authorId="0" shapeId="0" xr:uid="{00000000-0006-0000-1100-00003D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H3" authorId="0" shapeId="0" xr:uid="{00000000-0006-0000-1100-00003E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I3" authorId="0" shapeId="0" xr:uid="{00000000-0006-0000-1100-00003F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J3" authorId="0" shapeId="0" xr:uid="{00000000-0006-0000-1100-000040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K3" authorId="0" shapeId="0" xr:uid="{00000000-0006-0000-1100-000041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L3" authorId="0" shapeId="0" xr:uid="{00000000-0006-0000-1100-000042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M3" authorId="0" shapeId="0" xr:uid="{00000000-0006-0000-1100-000043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N3" authorId="0" shapeId="0" xr:uid="{00000000-0006-0000-1100-000044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O3" authorId="0" shapeId="0" xr:uid="{00000000-0006-0000-1100-000045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P3" authorId="0" shapeId="0" xr:uid="{00000000-0006-0000-1100-000046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Q3" authorId="0" shapeId="0" xr:uid="{00000000-0006-0000-1100-000047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R3" authorId="0" shapeId="0" xr:uid="{00000000-0006-0000-1100-000048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S3" authorId="0" shapeId="0" xr:uid="{00000000-0006-0000-1100-000049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T3" authorId="0" shapeId="0" xr:uid="{00000000-0006-0000-1100-00004A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U3" authorId="0" shapeId="0" xr:uid="{00000000-0006-0000-1100-00004B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V3" authorId="0" shapeId="0" xr:uid="{00000000-0006-0000-1100-00004C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W3" authorId="0" shapeId="0" xr:uid="{00000000-0006-0000-1100-00004D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X3" authorId="0" shapeId="0" xr:uid="{00000000-0006-0000-1100-00004E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Y3" authorId="0" shapeId="0" xr:uid="{00000000-0006-0000-1100-00004F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Z3" authorId="0" shapeId="0" xr:uid="{00000000-0006-0000-1100-000050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A3" authorId="0" shapeId="0" xr:uid="{00000000-0006-0000-1100-000051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B3" authorId="0" shapeId="0" xr:uid="{00000000-0006-0000-1100-000052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C3" authorId="0" shapeId="0" xr:uid="{00000000-0006-0000-1100-000053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  <comment ref="AD3" authorId="0" shapeId="0" xr:uid="{00000000-0006-0000-1100-000054000000}">
      <text>
        <r>
          <rPr>
            <b/>
            <sz val="9"/>
            <rFont val="Tahoma"/>
            <family val="2"/>
          </rPr>
          <t xml:space="preserve">Owner:
</t>
        </r>
        <r>
          <rPr>
            <b/>
            <sz val="9"/>
            <color indexed="12"/>
            <rFont val="Tahoma"/>
            <family val="2"/>
          </rPr>
          <t>MANDATORY FIELD</t>
        </r>
      </text>
    </comment>
  </commentList>
</comments>
</file>

<file path=xl/sharedStrings.xml><?xml version="1.0" encoding="utf-8"?>
<sst xmlns="http://schemas.openxmlformats.org/spreadsheetml/2006/main" count="2428" uniqueCount="1503">
  <si>
    <t>FY - Beginning</t>
  </si>
  <si>
    <t>FY - Ending</t>
  </si>
  <si>
    <t>Escalation Assumptions</t>
  </si>
  <si>
    <t>From Apr 01, 2017  - Sep 30, 2017</t>
  </si>
  <si>
    <t>Esc. in escalable capacity charges (Rs. /kWh)</t>
  </si>
  <si>
    <t>Esc. in escalable Inland transportation charges (Rs. /kWh)</t>
  </si>
  <si>
    <t>Escalation in EscalableFuel handling charges (Rs. kWh)</t>
  </si>
  <si>
    <t>Exchange rate (Rs. / USD)</t>
  </si>
  <si>
    <t>Projected Escalable capacity charges (Rs. /kWh)</t>
  </si>
  <si>
    <t>Non-escalable capacity charges (Rs. /kWh)</t>
  </si>
  <si>
    <t>Total Capacity Charges</t>
  </si>
  <si>
    <t xml:space="preserve">Non-escalable Energy Charges (USD/kWh) </t>
  </si>
  <si>
    <t xml:space="preserve">Non-escalable Energy Charges (Rs. /kWh) </t>
  </si>
  <si>
    <t>Non Escalable Overseas transportation charges (USD/kWh)</t>
  </si>
  <si>
    <t>Non Escalable Overseas transportation charges (Rs. /kWh)</t>
  </si>
  <si>
    <t>Projected Escalable Inland transportation charges (Rs. /kWh)</t>
  </si>
  <si>
    <t>Projected Escalable Fuel handling charges (Rs. /kWh)</t>
  </si>
  <si>
    <t>Total Energy Charges before concession</t>
  </si>
  <si>
    <t>Concession in energy charges - 0.75 Rs. /kWh (FY'17-FY'21)</t>
  </si>
  <si>
    <t>Total Energy Charges after concession</t>
  </si>
  <si>
    <t>Total Tariff excl. transmission charges (Rs. /kWh)</t>
  </si>
  <si>
    <t>Levelized Tariff (Rs. /kWh)</t>
  </si>
  <si>
    <t>Key Assumptions</t>
  </si>
  <si>
    <t>Capacity</t>
  </si>
  <si>
    <t>Plant life (Yrs)</t>
  </si>
  <si>
    <t>Unit 1</t>
  </si>
  <si>
    <t>Unit 2</t>
  </si>
  <si>
    <t>Con. Cap.</t>
  </si>
  <si>
    <t>Start date</t>
  </si>
  <si>
    <t>Tenor (Yrs)</t>
  </si>
  <si>
    <t>End date</t>
  </si>
  <si>
    <t xml:space="preserve">Unit 1 - TANGEDCO </t>
  </si>
  <si>
    <t>Unit 2  - Exchange/ Others</t>
  </si>
  <si>
    <t>Total</t>
  </si>
  <si>
    <t>Unit 1 - Plant load factor</t>
  </si>
  <si>
    <t>Unit 2 - Plant load factor</t>
  </si>
  <si>
    <t>Tariff - Unit 1 (Tangedco)</t>
  </si>
  <si>
    <t xml:space="preserve">Tariff - Unit 2 </t>
  </si>
  <si>
    <t>Auxilliary Consumption</t>
  </si>
  <si>
    <t>Transmission losses</t>
  </si>
  <si>
    <t>Heat rate (KCal/KWh) for Unit 1</t>
  </si>
  <si>
    <t>Heat rate (KCal/KWh) for Unit 2</t>
  </si>
  <si>
    <t>Calorific value of coal (KCal/Kg)</t>
  </si>
  <si>
    <t>SDR Package to be implemented by</t>
  </si>
  <si>
    <t>Expenses</t>
  </si>
  <si>
    <t xml:space="preserve">Coal </t>
  </si>
  <si>
    <t>Coal - Quantity (MTPA)</t>
  </si>
  <si>
    <t>Annual Esc.</t>
  </si>
  <si>
    <t>Coal Price - CIF (USD/MT)</t>
  </si>
  <si>
    <t>Coal cess (Rs./MT)</t>
  </si>
  <si>
    <t>Handling charges (Rs. /MT)</t>
  </si>
  <si>
    <t>Service Charge on CIF (%)</t>
  </si>
  <si>
    <t>Customs Duty</t>
  </si>
  <si>
    <t>Transportation loss for imported coal (%)</t>
  </si>
  <si>
    <t>diesel oil</t>
  </si>
  <si>
    <t>Landed cost of coal (Rs. / MT)</t>
  </si>
  <si>
    <t>check</t>
  </si>
  <si>
    <t>Secondary Fuel requirement (ml/kWh)</t>
  </si>
  <si>
    <t>Transmission Charges (Rs. Cr/month)</t>
  </si>
  <si>
    <t>STOA POC charges (Rs. /kWh)</t>
  </si>
  <si>
    <t>from Oct 1, 2017 onwards</t>
  </si>
  <si>
    <t>Expense Assumptions</t>
  </si>
  <si>
    <t xml:space="preserve">Transmission Expenses (Rs/1% Utilization) </t>
  </si>
  <si>
    <t>crores</t>
  </si>
  <si>
    <t>Escalation in Employee Benefit Expenses p.a.</t>
  </si>
  <si>
    <t>Escalation in Admin Expenses p.a.</t>
  </si>
  <si>
    <t>Insurance Expenses (Cr)</t>
  </si>
  <si>
    <t>Spare Consumed Per month (Cr)</t>
  </si>
  <si>
    <t>Annual Escalation in Spares Consumed</t>
  </si>
  <si>
    <t xml:space="preserve">Rent (FY 18) </t>
  </si>
  <si>
    <t>Annual Escalation in Rent</t>
  </si>
  <si>
    <t xml:space="preserve">Legal and Professional Fees (In Crores) </t>
  </si>
  <si>
    <t>FY 18 Onwards</t>
  </si>
  <si>
    <t>cr</t>
  </si>
  <si>
    <t>Other Expenses (FY 18 Onwards)</t>
  </si>
  <si>
    <t>Exchange Rate</t>
  </si>
  <si>
    <t>Exchange Rate (Rs. /USD)</t>
  </si>
  <si>
    <t>Exchange Rate to be capped at</t>
  </si>
  <si>
    <t>Working Capital</t>
  </si>
  <si>
    <t>Receivables (No. of months)</t>
  </si>
  <si>
    <t>Coal Inventory (No. of months)</t>
  </si>
  <si>
    <t>Secondary Fuel (No. of months)</t>
  </si>
  <si>
    <t>O&amp;M expenses (No. of months)</t>
  </si>
  <si>
    <t>Maintenance Spares (% of O&amp;M Exp.)</t>
  </si>
  <si>
    <t>Trade Payables (No. of months)</t>
  </si>
  <si>
    <t>Margin on WC (%)</t>
  </si>
  <si>
    <t>Amount</t>
  </si>
  <si>
    <t>Interest Rate post Sep 2017 (%) - Fund Based</t>
  </si>
  <si>
    <t>Interest Rate post Sep 2017 (%) - Non-Fund Based</t>
  </si>
  <si>
    <t>% Utilisation</t>
  </si>
  <si>
    <t>Minimum Cash balance before cash sweep</t>
  </si>
  <si>
    <t>BG and LC outstanding (Rs. Cr)</t>
  </si>
  <si>
    <t>Commission charges (%)</t>
  </si>
  <si>
    <t>Depreciation</t>
  </si>
  <si>
    <t xml:space="preserve">depreciation </t>
  </si>
  <si>
    <t>Depreciation rates for FY'28 till FY'37</t>
  </si>
  <si>
    <t>Tax</t>
  </si>
  <si>
    <t>Minimum Alternative Tax Rate</t>
  </si>
  <si>
    <t>Corporate Tax Rate</t>
  </si>
  <si>
    <t>Discount Rate</t>
  </si>
  <si>
    <t>Section 80IA benefit for</t>
  </si>
  <si>
    <t>Benefits Starts from</t>
  </si>
  <si>
    <t xml:space="preserve">Debt </t>
  </si>
  <si>
    <t>Original</t>
  </si>
  <si>
    <t>CR 1</t>
  </si>
  <si>
    <t>CR 2</t>
  </si>
  <si>
    <t>CR 3</t>
  </si>
  <si>
    <t>TL Disbursed</t>
  </si>
  <si>
    <t>Sub Debt Disbursed</t>
  </si>
  <si>
    <t>Debt</t>
  </si>
  <si>
    <t>Total Debt Amount Outstanding (Rs. Cr)</t>
  </si>
  <si>
    <t>Debt Outstanding incl. int. accrued</t>
  </si>
  <si>
    <t>Haircut required</t>
  </si>
  <si>
    <t>Final debt amount</t>
  </si>
  <si>
    <t>Loan Start Debt</t>
  </si>
  <si>
    <t>DTD tenor of the loan (No. of years)</t>
  </si>
  <si>
    <t>Moratorium Start Date</t>
  </si>
  <si>
    <t>Moratorium requested (No. of months)</t>
  </si>
  <si>
    <t>Moratorium End Date</t>
  </si>
  <si>
    <t>Repayment type</t>
  </si>
  <si>
    <t>Monthly</t>
  </si>
  <si>
    <t>`--------&gt; Dropdown</t>
  </si>
  <si>
    <t>Repayment Frequency in a year</t>
  </si>
  <si>
    <t>Repayment Start Date</t>
  </si>
  <si>
    <t>Repayment Tenor (No. of installments)</t>
  </si>
  <si>
    <t>Repayment schedule can be scheduled as per bidders proposal</t>
  </si>
  <si>
    <t>Repayment End Date</t>
  </si>
  <si>
    <t>% of Interest paid during FY'18</t>
  </si>
  <si>
    <t>% of Interest paid during Q1FY'19</t>
  </si>
  <si>
    <t>Interest Rate</t>
  </si>
  <si>
    <t>SBI Base Rate</t>
  </si>
  <si>
    <t>Int. rate on TL (SBI base rate + 3.55%)</t>
  </si>
  <si>
    <t>Int. rate on Sub Debt (SBI base rate + 5.25%)</t>
  </si>
  <si>
    <t>Existing Interest Rate</t>
  </si>
  <si>
    <t>Proposed Interest Rate</t>
  </si>
  <si>
    <t xml:space="preserve">Interest Waiver till </t>
  </si>
  <si>
    <t>Debt to be converted to RPS</t>
  </si>
  <si>
    <t>Interest till March 31, 2019</t>
  </si>
  <si>
    <t>Short fall in drawing power</t>
  </si>
  <si>
    <t>Dividend on RPS</t>
  </si>
  <si>
    <t>Dividend on Common Equity Shares</t>
  </si>
  <si>
    <t>DSRA</t>
  </si>
  <si>
    <t>DSRA (No. of months)</t>
  </si>
  <si>
    <t>Interest on DSRA</t>
  </si>
  <si>
    <t>DSRA commencement date</t>
  </si>
  <si>
    <t>Capital Creditors &amp; New CapEx</t>
  </si>
  <si>
    <t>Existing capex creditors</t>
  </si>
  <si>
    <t>Billed capital creditors</t>
  </si>
  <si>
    <t>Unbilled capital creditors</t>
  </si>
  <si>
    <t>New Capital Expenditure</t>
  </si>
  <si>
    <t>Interest and Expenses to be paid to Coastal Energy</t>
  </si>
  <si>
    <t>Loan Amount to be paid to Coastal Energy</t>
  </si>
  <si>
    <t>Shareholders</t>
  </si>
  <si>
    <t>Existing Promoter</t>
  </si>
  <si>
    <t xml:space="preserve">My Home (external </t>
  </si>
  <si>
    <t>New Shares issued to new promoter</t>
  </si>
  <si>
    <t>Amount to be brought in by new promoter</t>
  </si>
  <si>
    <t>Amount to be brought in as equity (Rs. Cr)</t>
  </si>
  <si>
    <t>Value at which new promoter will bring (Rs. / Share)</t>
  </si>
  <si>
    <t>Face Value of the Share</t>
  </si>
  <si>
    <t>Securities Premium account</t>
  </si>
  <si>
    <t>Amount to be brought in as debt (Rs. Cr)</t>
  </si>
  <si>
    <t>Interest rate (%)</t>
  </si>
  <si>
    <t>Utilization</t>
  </si>
  <si>
    <t>Pending Capex creditor and new capital expenditure</t>
  </si>
  <si>
    <t>Coal payments</t>
  </si>
  <si>
    <t>Day to day operations</t>
  </si>
  <si>
    <t>Clearing of unsecured loan from Coastal Energy</t>
  </si>
  <si>
    <t>Legends</t>
  </si>
  <si>
    <t>Rs. Crore</t>
  </si>
  <si>
    <t>Rs. Lakh</t>
  </si>
  <si>
    <t>Rs. Million</t>
  </si>
  <si>
    <t>Yearly</t>
  </si>
  <si>
    <t>Semi annually</t>
  </si>
  <si>
    <t>Quarterly</t>
  </si>
  <si>
    <t>Nine monthly</t>
  </si>
  <si>
    <t>1 day</t>
  </si>
  <si>
    <t>hours</t>
  </si>
  <si>
    <t>1 MW</t>
  </si>
  <si>
    <t>kw</t>
  </si>
  <si>
    <t>1 Ton</t>
  </si>
  <si>
    <t>kg</t>
  </si>
  <si>
    <t>Sale of Energy</t>
  </si>
  <si>
    <t>According to PPA</t>
  </si>
  <si>
    <t>Revenue from sale of coal and Fly ash</t>
  </si>
  <si>
    <t>When risk and reward of ownership is transferred.</t>
  </si>
  <si>
    <t>Depreciation - Companies Law</t>
  </si>
  <si>
    <t>Opening - Gross Block</t>
  </si>
  <si>
    <t>Additions</t>
  </si>
  <si>
    <t>Closing - Gross Block</t>
  </si>
  <si>
    <t>Accumulated Depreciation</t>
  </si>
  <si>
    <t>Net Block</t>
  </si>
  <si>
    <t>IT Depreciation</t>
  </si>
  <si>
    <t>Total Depreciation as per WDV</t>
  </si>
  <si>
    <t>Benefits of Section 80IA</t>
  </si>
  <si>
    <t>PBT - Book Proft/ (Loss)</t>
  </si>
  <si>
    <t>Add: Book Depreciation</t>
  </si>
  <si>
    <t>Less: Tax Depreciation</t>
  </si>
  <si>
    <t>PBT - As per IT Act</t>
  </si>
  <si>
    <t>Cummulative Carry Forward Losses</t>
  </si>
  <si>
    <t>Carry Forward Losses Expired</t>
  </si>
  <si>
    <t>Carry Forward Losses Available</t>
  </si>
  <si>
    <t>Carry Forward Losses Used</t>
  </si>
  <si>
    <t>Adjusted PBT post business loss setoff</t>
  </si>
  <si>
    <t>Unabsorbed Depreciation</t>
  </si>
  <si>
    <t>Unabsorbed depreciation (cumulative)</t>
  </si>
  <si>
    <t>Unabsorbed depreciation (current year)</t>
  </si>
  <si>
    <t>Unabsorbed depreciation set off</t>
  </si>
  <si>
    <t>Unabsorbed depreciation (closing)</t>
  </si>
  <si>
    <t>PBT for Taxation</t>
  </si>
  <si>
    <t>Tax As per MAT</t>
  </si>
  <si>
    <t>Tax As per IT Act</t>
  </si>
  <si>
    <t>Applicable Tax</t>
  </si>
  <si>
    <t>MAT Credit Accrued for the year</t>
  </si>
  <si>
    <t>Cumulative MAT credit expired</t>
  </si>
  <si>
    <t>Cumulative MAT Credit</t>
  </si>
  <si>
    <t>MAT Credit Available for Set Off</t>
  </si>
  <si>
    <t>MAT Credit Utilized</t>
  </si>
  <si>
    <t>Cumulative MAT Credit Utilized</t>
  </si>
  <si>
    <t>Tax Paid</t>
  </si>
  <si>
    <t>Coal</t>
  </si>
  <si>
    <t>O&amp;M advances (No. of months)</t>
  </si>
  <si>
    <t>Less: Trade Payables (No. of months)</t>
  </si>
  <si>
    <t>Working capital Gap</t>
  </si>
  <si>
    <t>MPBF</t>
  </si>
  <si>
    <t>Interest on working capital</t>
  </si>
  <si>
    <t>Financial Liabilities</t>
  </si>
  <si>
    <t>LC and BG outstanding (Rs. Cr)</t>
  </si>
  <si>
    <t>Commission charges</t>
  </si>
  <si>
    <t>Closing Cash</t>
  </si>
  <si>
    <t>Amount (Rs. Cr.)</t>
  </si>
  <si>
    <t>Int. rate</t>
  </si>
  <si>
    <t>Total Working capital</t>
  </si>
  <si>
    <t>LC sub-limit &amp; LoC sub-limit</t>
  </si>
  <si>
    <t>Remaining</t>
  </si>
  <si>
    <t>Purchases</t>
  </si>
  <si>
    <t>(New Section)</t>
  </si>
  <si>
    <t>COGS</t>
  </si>
  <si>
    <t>Add: Ending Inventory</t>
  </si>
  <si>
    <t>Sub: Beginning Inventory</t>
  </si>
  <si>
    <t>Purchases for Year Ending</t>
  </si>
  <si>
    <t>Month End</t>
  </si>
  <si>
    <t>FY End</t>
  </si>
  <si>
    <t>No of Days in the Period</t>
  </si>
  <si>
    <t>Days in the Financial Year</t>
  </si>
  <si>
    <t>Repayment Schedule</t>
  </si>
  <si>
    <t>No. of repayments</t>
  </si>
  <si>
    <t>% of Repayment</t>
  </si>
  <si>
    <t>Monthly Schedule</t>
  </si>
  <si>
    <t>Opening Balance</t>
  </si>
  <si>
    <t>Repayment</t>
  </si>
  <si>
    <t>Closing Balance</t>
  </si>
  <si>
    <t>Interest per Month</t>
  </si>
  <si>
    <t>Quarterly Schedule</t>
  </si>
  <si>
    <t>Total Debt Servicing</t>
  </si>
  <si>
    <t>Yearly Schedule</t>
  </si>
  <si>
    <t>Interest per year</t>
  </si>
  <si>
    <t>DSCR</t>
  </si>
  <si>
    <t>Repayment Structure</t>
  </si>
  <si>
    <t>Instalments</t>
  </si>
  <si>
    <t>Net Income</t>
  </si>
  <si>
    <t>Interest on TL</t>
  </si>
  <si>
    <t>Total Cash Available</t>
  </si>
  <si>
    <t>TL Repayment</t>
  </si>
  <si>
    <t>Average DSCR</t>
  </si>
  <si>
    <t>Minimum DSCR</t>
  </si>
  <si>
    <t>IRR</t>
  </si>
  <si>
    <t>Issue of RPS</t>
  </si>
  <si>
    <t>Opening</t>
  </si>
  <si>
    <t>Dividend</t>
  </si>
  <si>
    <t>Redemption</t>
  </si>
  <si>
    <t>YTM</t>
  </si>
  <si>
    <t>Total RPS</t>
  </si>
  <si>
    <t>NPV of Debt</t>
  </si>
  <si>
    <t>RPS</t>
  </si>
  <si>
    <t>DSRA - Qtr Schedule</t>
  </si>
  <si>
    <t>Opening DSRA</t>
  </si>
  <si>
    <t>DSRA Requirment</t>
  </si>
  <si>
    <t>Closing DSRA</t>
  </si>
  <si>
    <t>TL from New Promoters</t>
  </si>
  <si>
    <t>Interest per Quarter</t>
  </si>
  <si>
    <t>Gross generation (GWh)</t>
  </si>
  <si>
    <t>Auxiliary Consumption (Gwh)</t>
  </si>
  <si>
    <t>Net Generation (Gwh)</t>
  </si>
  <si>
    <t>Revenue from Unit 1</t>
  </si>
  <si>
    <t>Heat rate (KCal/KWh)</t>
  </si>
  <si>
    <t>Calorific value of coal (Kcal/Kg)</t>
  </si>
  <si>
    <t>Coal req. (Mn Ton)</t>
  </si>
  <si>
    <t>Coal price</t>
  </si>
  <si>
    <t xml:space="preserve">CIF (USD) </t>
  </si>
  <si>
    <t>CIF (Rs. /MT)</t>
  </si>
  <si>
    <t>Service Tax (Rs. /MT)</t>
  </si>
  <si>
    <t>Customs duty (Rs. /MT)</t>
  </si>
  <si>
    <t>Coal cess (Rs. / MT)</t>
  </si>
  <si>
    <t>Landed coal cost (Rs. /MT)</t>
  </si>
  <si>
    <t>Total coal cost (Rs. Cr)</t>
  </si>
  <si>
    <t>Secondary Fuel Price</t>
  </si>
  <si>
    <t>Landed secondary fuel cost (Rs. /KL)</t>
  </si>
  <si>
    <t>Sec. oil req (KL)</t>
  </si>
  <si>
    <t>Total secondary fuel cost (Rs. Cr)</t>
  </si>
  <si>
    <t>O&amp;M Cost (Rs. Cr)</t>
  </si>
  <si>
    <t>Energy cost per unit (Rs. /kWh)</t>
  </si>
  <si>
    <t>Total Revenue from Unit 2</t>
  </si>
  <si>
    <t>Coal req. excl trans loss (Mn Ton)</t>
  </si>
  <si>
    <t>Revenue</t>
  </si>
  <si>
    <t>Coal Cost</t>
  </si>
  <si>
    <t>Secondary fuel cost</t>
  </si>
  <si>
    <t>O&amp;M cost</t>
  </si>
  <si>
    <t xml:space="preserve">  - Variable</t>
  </si>
  <si>
    <t xml:space="preserve">  - Fixed</t>
  </si>
  <si>
    <t>Cost</t>
  </si>
  <si>
    <t>Oil Cost</t>
  </si>
  <si>
    <t>O&amp;M Cost</t>
  </si>
  <si>
    <t>TL Interest</t>
  </si>
  <si>
    <t>Debt repayment per unit</t>
  </si>
  <si>
    <t>Profit per unit in Unit 1</t>
  </si>
  <si>
    <t>Working capital Interest</t>
  </si>
  <si>
    <t>Term Loan interest incl. BG, coupon</t>
  </si>
  <si>
    <t>Profit per Unit in Unit 2</t>
  </si>
  <si>
    <t>Total profit of Plant</t>
  </si>
  <si>
    <t>Bank Name</t>
  </si>
  <si>
    <t>Total O/S</t>
  </si>
  <si>
    <t>Senior debt I</t>
  </si>
  <si>
    <t>TL II</t>
  </si>
  <si>
    <t>TL III</t>
  </si>
  <si>
    <t>Sub debt I</t>
  </si>
  <si>
    <t>TL IV</t>
  </si>
  <si>
    <t>Total TL O/S</t>
  </si>
  <si>
    <t>Total CC O/S</t>
  </si>
  <si>
    <t>Grand Total</t>
  </si>
  <si>
    <t>Pr. O/S</t>
  </si>
  <si>
    <t>Int. O/S</t>
  </si>
  <si>
    <t>State Bank of India</t>
  </si>
  <si>
    <t>State Bank of Hyderabad</t>
  </si>
  <si>
    <t>State Bank of Mysore</t>
  </si>
  <si>
    <t>State Bank of Patiala</t>
  </si>
  <si>
    <t>Punjab National Bank</t>
  </si>
  <si>
    <t>Central Bank of India</t>
  </si>
  <si>
    <t>Indian Bank</t>
  </si>
  <si>
    <t>Indian Overseas Bank</t>
  </si>
  <si>
    <t>Bank of Baroda</t>
  </si>
  <si>
    <t>Corporation Bank</t>
  </si>
  <si>
    <t>TMB</t>
  </si>
  <si>
    <t>Jammu &amp; Kashmir Bank</t>
  </si>
  <si>
    <t>UCO Bank</t>
  </si>
  <si>
    <t>Bank of India</t>
  </si>
  <si>
    <t>Andhra Bank</t>
  </si>
  <si>
    <t>Canara Bank</t>
  </si>
  <si>
    <t>HUDCO</t>
  </si>
  <si>
    <t>IFCI</t>
  </si>
  <si>
    <t>Interest rate</t>
  </si>
  <si>
    <t>UCO</t>
  </si>
  <si>
    <t>Consolidated</t>
  </si>
  <si>
    <t>Unit wise (%)</t>
  </si>
  <si>
    <t>Unit wise (Rs. Cr)</t>
  </si>
  <si>
    <t>BOI</t>
  </si>
  <si>
    <t>J&amp;K Bank</t>
  </si>
  <si>
    <t>O/s @ 31/12/2016</t>
  </si>
  <si>
    <t>O/s @ 31/01/2017</t>
  </si>
  <si>
    <t>O/s @ 28/02/2017</t>
  </si>
  <si>
    <t>O/s @ 31/03/2017</t>
  </si>
  <si>
    <t>O/s @ 30/04/2017</t>
  </si>
  <si>
    <t>O/s @ 31/05/2017</t>
  </si>
  <si>
    <t>ASSESSMENT OF WORKING CAPITAL REQUIREMENTS</t>
  </si>
  <si>
    <t>FORM  II : OPERATING STATEMENT</t>
  </si>
  <si>
    <t>NAME : Coastal Energen Pvt. Ltd.</t>
  </si>
  <si>
    <t>Rs. in crores</t>
  </si>
  <si>
    <t>AUDITED FOR THE YEAR ENDED/ENDING</t>
  </si>
  <si>
    <t>-</t>
  </si>
  <si>
    <t>Audited</t>
  </si>
  <si>
    <t>Estimated</t>
  </si>
  <si>
    <t>Projection</t>
  </si>
  <si>
    <t>GROSS SALES</t>
  </si>
  <si>
    <t>-----------</t>
  </si>
  <si>
    <t xml:space="preserve"> i) Domestic Sales</t>
  </si>
  <si>
    <t>ii) Export Sales</t>
  </si>
  <si>
    <t>ii) Other Operating/Revenue Income</t>
  </si>
  <si>
    <t>TOTAL</t>
  </si>
  <si>
    <t>EXCISE DUTY</t>
  </si>
  <si>
    <t>NET SALES</t>
  </si>
  <si>
    <t>% rise(+)or fall(-)in net sales</t>
  </si>
  <si>
    <t>as compared to previous year</t>
  </si>
  <si>
    <t>COST OF SALES</t>
  </si>
  <si>
    <t>-------------------------</t>
  </si>
  <si>
    <t xml:space="preserve">   i) Raw Materials (including stores</t>
  </si>
  <si>
    <t xml:space="preserve">      and other items used in the</t>
  </si>
  <si>
    <t xml:space="preserve">      process of manufacture)</t>
  </si>
  <si>
    <t xml:space="preserve">      a) Imported-100%</t>
  </si>
  <si>
    <t xml:space="preserve">      b) Indigenous- 0%</t>
  </si>
  <si>
    <t xml:space="preserve">  ii) Other Spares</t>
  </si>
  <si>
    <t xml:space="preserve">      a) Imported- 100%</t>
  </si>
  <si>
    <t xml:space="preserve"> iii) Power &amp; Fuel</t>
  </si>
  <si>
    <t xml:space="preserve">  iv) Direct Labour</t>
  </si>
  <si>
    <t xml:space="preserve">      (Factory wages &amp; salaries)</t>
  </si>
  <si>
    <t xml:space="preserve">   v) Other Mfg. Expenses</t>
  </si>
  <si>
    <t xml:space="preserve">  vi) Depreciation</t>
  </si>
  <si>
    <t xml:space="preserve"> vii) SUB-TOTAL (i to vi)</t>
  </si>
  <si>
    <t>viii) Add: Opening stocks-</t>
  </si>
  <si>
    <t xml:space="preserve">           in-process</t>
  </si>
  <si>
    <t xml:space="preserve">      Sub-Total</t>
  </si>
  <si>
    <t xml:space="preserve">  ix) Deduct : Closing stocks-</t>
  </si>
  <si>
    <t xml:space="preserve">               in-process</t>
  </si>
  <si>
    <t xml:space="preserve">   x) Cost of production</t>
  </si>
  <si>
    <t xml:space="preserve">  xi) Add: Opening stock of</t>
  </si>
  <si>
    <t xml:space="preserve">           finished goods</t>
  </si>
  <si>
    <t xml:space="preserve">      Sub-total</t>
  </si>
  <si>
    <t xml:space="preserve"> xii) Deduct: Closing stock of</t>
  </si>
  <si>
    <t xml:space="preserve">             finished goods</t>
  </si>
  <si>
    <t xml:space="preserve">xiii) SUB-TOTAL </t>
  </si>
  <si>
    <t xml:space="preserve">      (Total Cost of Sales)</t>
  </si>
  <si>
    <t>Selling, General and</t>
  </si>
  <si>
    <t>Administrative expenses</t>
  </si>
  <si>
    <t>SUB-TOTAL (5+6)</t>
  </si>
  <si>
    <t>Operating profit before</t>
  </si>
  <si>
    <t>interest (3-7)</t>
  </si>
  <si>
    <t>INTEREST</t>
  </si>
  <si>
    <t>Operating profit after</t>
  </si>
  <si>
    <t>interest (8-9)</t>
  </si>
  <si>
    <t>i) Add other non-operating income</t>
  </si>
  <si>
    <t>ii) Deduct other non-operating</t>
  </si>
  <si>
    <t xml:space="preserve">    expenses</t>
  </si>
  <si>
    <t>iii) Net of other non-operating</t>
  </si>
  <si>
    <t xml:space="preserve">     income/expenses</t>
  </si>
  <si>
    <t>[net of 11(i) &amp; 11(ii) ]</t>
  </si>
  <si>
    <t>Profit before tax/loss</t>
  </si>
  <si>
    <t xml:space="preserve">  </t>
  </si>
  <si>
    <t>[10+11(iii)]</t>
  </si>
  <si>
    <t>Provision for taxes</t>
  </si>
  <si>
    <t>Net Profit/Loss (12-13)</t>
  </si>
  <si>
    <t>a) Equity dividend paid</t>
  </si>
  <si>
    <t>b) Corporate Dividend Tax</t>
  </si>
  <si>
    <t>c) Dividend Rate(%)</t>
  </si>
  <si>
    <t>Retained Profit/Net Profit (%)</t>
  </si>
  <si>
    <t>Cash Accruals</t>
  </si>
  <si>
    <t>PBDIT</t>
  </si>
  <si>
    <t>FORM III</t>
  </si>
  <si>
    <t>ANALYSIS OF BALANCE SHEET</t>
  </si>
  <si>
    <t>L I A B I L I T I E S AS PER BALANCE SHEET</t>
  </si>
  <si>
    <t>CURRENT LIABILITIES</t>
  </si>
  <si>
    <t>Short-term borrowings from</t>
  </si>
  <si>
    <t>banks (incld. bills purchased,</t>
  </si>
  <si>
    <t>discounted &amp; excess borrowings</t>
  </si>
  <si>
    <t>placed on repayment basis)</t>
  </si>
  <si>
    <t xml:space="preserve">   i) From applicant Bank</t>
  </si>
  <si>
    <t xml:space="preserve">  ii) From other Banks</t>
  </si>
  <si>
    <t xml:space="preserve"> iii) (of which BP &amp; BD)</t>
  </si>
  <si>
    <t>Sub Total (A)</t>
  </si>
  <si>
    <t>Short term borrowings from</t>
  </si>
  <si>
    <t>others</t>
  </si>
  <si>
    <t>Sundry Creditors (Trade)</t>
  </si>
  <si>
    <t>Sundry Creditors (Others)</t>
  </si>
  <si>
    <t xml:space="preserve">Advance payments from </t>
  </si>
  <si>
    <t>customers/deposits from dealers</t>
  </si>
  <si>
    <t>Provision for taxation</t>
  </si>
  <si>
    <t>Dividend payable</t>
  </si>
  <si>
    <t>Other Statutory Liabilities</t>
  </si>
  <si>
    <t>(Due within one year)</t>
  </si>
  <si>
    <t>Deposits/Instalments of term loans/DPGS/debentures</t>
  </si>
  <si>
    <t>Instalments of Term Loans</t>
  </si>
  <si>
    <t>Instalments of FCCB Bonds</t>
  </si>
  <si>
    <t>Other Current Liabilities &amp; Provisions</t>
  </si>
  <si>
    <t>(Due within One Year)  (Specify major items)</t>
  </si>
  <si>
    <t>Liability</t>
  </si>
  <si>
    <t>Premium for redemption of FCCBs</t>
  </si>
  <si>
    <t>Intt. Accrued but not due</t>
  </si>
  <si>
    <t>Deposits</t>
  </si>
  <si>
    <t>Other current liabilities</t>
  </si>
  <si>
    <t>Other Provisions</t>
  </si>
  <si>
    <t>Liabilities against Capital Goods</t>
  </si>
  <si>
    <t>Sub Total (B)</t>
  </si>
  <si>
    <t>TOTAL CURRENT LIABILITIES</t>
  </si>
  <si>
    <t>TERM LIABILITIES</t>
  </si>
  <si>
    <t xml:space="preserve"> </t>
  </si>
  <si>
    <t>----------------</t>
  </si>
  <si>
    <t>Debentures (not maturing</t>
  </si>
  <si>
    <t>within one year)</t>
  </si>
  <si>
    <t>Preference Shares</t>
  </si>
  <si>
    <t>(Redeemable after one year)</t>
  </si>
  <si>
    <t>a) Term Loans(excluding instalments</t>
  </si>
  <si>
    <t xml:space="preserve">     payable within one year)</t>
  </si>
  <si>
    <t>b) Unsecured Loan from banks/others</t>
  </si>
  <si>
    <t>a) Deferred payment Credits excld.</t>
  </si>
  <si>
    <t xml:space="preserve">  instalments due within one year</t>
  </si>
  <si>
    <t>b) Fixed  Deposits</t>
  </si>
  <si>
    <t>Term Deposits</t>
  </si>
  <si>
    <t>(Repayable after one year)</t>
  </si>
  <si>
    <t>Other Term Liabilities &amp; Provisions</t>
  </si>
  <si>
    <t>TOTAL TERM LIABILITIES</t>
  </si>
  <si>
    <t>(Total of 11 to 16)</t>
  </si>
  <si>
    <t>TOTAL OUTSIDE LIABILITIES</t>
  </si>
  <si>
    <t>(10+17)</t>
  </si>
  <si>
    <t>NET WORTH</t>
  </si>
  <si>
    <t>---------</t>
  </si>
  <si>
    <t>Ordinary Share Capital</t>
  </si>
  <si>
    <t>General Reserve</t>
  </si>
  <si>
    <t>Revaluation Reserve</t>
  </si>
  <si>
    <t>Other Reserve(excl. provision)</t>
  </si>
  <si>
    <t>Surplus(+)or Deficit(-) in</t>
  </si>
  <si>
    <t>Profit &amp; Loss account</t>
  </si>
  <si>
    <t xml:space="preserve">A. Provision for deferred taxation </t>
  </si>
  <si>
    <t>B. Share Application Money/ Warrants/ Fresh Equity</t>
  </si>
  <si>
    <t>TOTAL LIABILITIES</t>
  </si>
  <si>
    <t>(18+24)</t>
  </si>
  <si>
    <t>FORM III (CONTD.)</t>
  </si>
  <si>
    <t xml:space="preserve">    ANALYSIS OF BALANCE SHEET</t>
  </si>
  <si>
    <t>A S S E T S AS PER BALANCE SHEET</t>
  </si>
  <si>
    <t>CURRENT ASSETS</t>
  </si>
  <si>
    <t>Cash and Bank balances</t>
  </si>
  <si>
    <t>Investments (Other than</t>
  </si>
  <si>
    <t>long term investments)</t>
  </si>
  <si>
    <t xml:space="preserve">i)  Govt. &amp; other Trustee </t>
  </si>
  <si>
    <t xml:space="preserve">    Securities</t>
  </si>
  <si>
    <t>ii) Fixed Deposits with banks</t>
  </si>
  <si>
    <t>i)  Receivables other than</t>
  </si>
  <si>
    <t xml:space="preserve">    deferred &amp; exports(incldg.</t>
  </si>
  <si>
    <t xml:space="preserve">    bills purchased &amp; </t>
  </si>
  <si>
    <t xml:space="preserve">    discounted by banks)</t>
  </si>
  <si>
    <t>ii) Export receivables (incldg.</t>
  </si>
  <si>
    <t xml:space="preserve">    bills purchased/</t>
  </si>
  <si>
    <t>Instalments of deferred</t>
  </si>
  <si>
    <t>receivables (due within one year)</t>
  </si>
  <si>
    <t>Inventory:</t>
  </si>
  <si>
    <t>i)   Raw Materials (incldg.</t>
  </si>
  <si>
    <t xml:space="preserve">     stores &amp; other items used</t>
  </si>
  <si>
    <t xml:space="preserve">     in the process of mfg.</t>
  </si>
  <si>
    <t xml:space="preserve">     a) Imported</t>
  </si>
  <si>
    <t xml:space="preserve">     b) Indigenous</t>
  </si>
  <si>
    <t>ii)  Stock in process</t>
  </si>
  <si>
    <t>iii) Finished Goods</t>
  </si>
  <si>
    <t>iv)  Other Consumable spares</t>
  </si>
  <si>
    <t>Advances to suppliers of raw</t>
  </si>
  <si>
    <t>materials &amp; stores/spares</t>
  </si>
  <si>
    <t>Advance payments of Taxes</t>
  </si>
  <si>
    <t>Other Current Assets (specify major items)</t>
  </si>
  <si>
    <t>A  (Deposits with Electricity, Excise and MAT)</t>
  </si>
  <si>
    <t>B  Loans to Bodies Corporates</t>
  </si>
  <si>
    <t>C Claims Recoverable</t>
  </si>
  <si>
    <t>D Deposits and Other advance recoverable</t>
  </si>
  <si>
    <t>TOTAL CURRENT ASSETS</t>
  </si>
  <si>
    <t>(Total of 26 to 33)</t>
  </si>
  <si>
    <t>CHECK POINT  FOR CURRENT ASSETS</t>
  </si>
  <si>
    <t>FIXED ASSETS</t>
  </si>
  <si>
    <t>------------</t>
  </si>
  <si>
    <t>Gross Block (land &amp; building</t>
  </si>
  <si>
    <t>Machinery, W-I-P)</t>
  </si>
  <si>
    <t>Depreciation to date</t>
  </si>
  <si>
    <t>NET BLOCK (35-36)</t>
  </si>
  <si>
    <t>CWIP</t>
  </si>
  <si>
    <t>OTHER NON-CURRENT ASSETS</t>
  </si>
  <si>
    <t>------------------------</t>
  </si>
  <si>
    <t>Investments/book debts/advances</t>
  </si>
  <si>
    <t>deposits which are not C A</t>
  </si>
  <si>
    <t>i)  a) Investments in subsidiary</t>
  </si>
  <si>
    <t xml:space="preserve">       cos./affiliates</t>
  </si>
  <si>
    <t xml:space="preserve">    b) Others</t>
  </si>
  <si>
    <t>ii) Advances to suppliers of</t>
  </si>
  <si>
    <t xml:space="preserve">    capital goods &amp; contractors</t>
  </si>
  <si>
    <t>iii) Deferred receivables</t>
  </si>
  <si>
    <t xml:space="preserve">    (maturity exceeding six months)</t>
  </si>
  <si>
    <t>iv) Loan to subsidiary &amp; Associates</t>
  </si>
  <si>
    <t>v) Share Application money in Associate company</t>
  </si>
  <si>
    <t>Non-consumable stores &amp; spares</t>
  </si>
  <si>
    <t>Other non-current assets incldg.</t>
  </si>
  <si>
    <t>dues from directors</t>
  </si>
  <si>
    <t>TOTAL OTHER NON CURRENT ASSETS</t>
  </si>
  <si>
    <t>Intangible asset (patents,good-</t>
  </si>
  <si>
    <t>will, prelim. exp., bad/doubtful</t>
  </si>
  <si>
    <t>debts not provided for etc.)</t>
  </si>
  <si>
    <t>TOTAL ASSETS (34+37+41+42)</t>
  </si>
  <si>
    <t>TANGIBLE NET WORTH(24-42)</t>
  </si>
  <si>
    <t>NET WORKING CAPITAL</t>
  </si>
  <si>
    <t>[(17+24)-(37+41+42)]</t>
  </si>
  <si>
    <t>TO TALLY WITH(34-10)</t>
  </si>
  <si>
    <t>Current Ratio (item 34/10)</t>
  </si>
  <si>
    <t>Total Outside Liabilities/</t>
  </si>
  <si>
    <t>Tangible Net Worth(18/44)</t>
  </si>
  <si>
    <t>PBT / Net Sales</t>
  </si>
  <si>
    <t>Cash Accrual / Net Sales</t>
  </si>
  <si>
    <t>Net Sales / Total Tangible Assets</t>
  </si>
  <si>
    <t>PBT / Total Tangible Assets</t>
  </si>
  <si>
    <t>Operating Cost  / Net Sales</t>
  </si>
  <si>
    <t>Bank Finance / Current Assets</t>
  </si>
  <si>
    <t>(Inventory + Receivables) / Sales (days)</t>
  </si>
  <si>
    <t>Net Working Capital/ Total Current Assets</t>
  </si>
  <si>
    <t>Other current Liabilities/Total Current Assets</t>
  </si>
  <si>
    <t>ADDITIONAL INFORMATION</t>
  </si>
  <si>
    <t>----------------------</t>
  </si>
  <si>
    <t>(A)</t>
  </si>
  <si>
    <t>Arrears of Depreciation</t>
  </si>
  <si>
    <t>(B)</t>
  </si>
  <si>
    <t>Contingent Liabilities:</t>
  </si>
  <si>
    <t>i)   Arrears of cumulative div.</t>
  </si>
  <si>
    <t xml:space="preserve">ii)  Gratuity liability not </t>
  </si>
  <si>
    <t xml:space="preserve">     provided for</t>
  </si>
  <si>
    <t>iii) Disputed excise/customs/</t>
  </si>
  <si>
    <t xml:space="preserve">     tax liabilities</t>
  </si>
  <si>
    <t>iv)  Other liabilities not</t>
  </si>
  <si>
    <t>TALLY OF BALANCE SHEET</t>
  </si>
  <si>
    <t>FORM IV</t>
  </si>
  <si>
    <t>COMPARATIVE STATEMENT OF CURRENT ASSETS &amp; CURRENT LIABILITIES</t>
  </si>
  <si>
    <t>A</t>
  </si>
  <si>
    <t>--------------</t>
  </si>
  <si>
    <t>Raw Materials (incldg.</t>
  </si>
  <si>
    <t>stores &amp; other items used</t>
  </si>
  <si>
    <t>in the process of mfg.)</t>
  </si>
  <si>
    <t>a) Imported :</t>
  </si>
  <si>
    <t>Days Consumption</t>
  </si>
  <si>
    <t>b) Indigenous :</t>
  </si>
  <si>
    <t>Other consumables spares</t>
  </si>
  <si>
    <t>excl. those included in (1)above</t>
  </si>
  <si>
    <t xml:space="preserve">    Months' Consumption</t>
  </si>
  <si>
    <t>TOTAL (ITEM 1 &amp; 2)</t>
  </si>
  <si>
    <t>Stocks in process</t>
  </si>
  <si>
    <t>Months' cost of production</t>
  </si>
  <si>
    <t>Finished Goods              }</t>
  </si>
  <si>
    <t>Months' cost of sales       }</t>
  </si>
  <si>
    <t xml:space="preserve">                            }</t>
  </si>
  <si>
    <t>Receivable otherthan export }</t>
  </si>
  <si>
    <t>&amp; deferred receivables(incl.}</t>
  </si>
  <si>
    <t>bills disc. by bankers)     }</t>
  </si>
  <si>
    <t>Months' Domestic Sales      }</t>
  </si>
  <si>
    <t>(excl.deferred payment sale)}</t>
  </si>
  <si>
    <t>days</t>
  </si>
  <si>
    <t>Export receivables (incldg.</t>
  </si>
  <si>
    <t>bills purch. &amp; disc.)</t>
  </si>
  <si>
    <t>Months' export sales</t>
  </si>
  <si>
    <t>TOTAL (ITEM 1 TO 6)</t>
  </si>
  <si>
    <t xml:space="preserve">    Months' Holding</t>
  </si>
  <si>
    <t>Advances to the suppliers of raw</t>
  </si>
  <si>
    <t>mat. &amp; stores/spares, consumables</t>
  </si>
  <si>
    <t>Other current assets incl.</t>
  </si>
  <si>
    <t>cash &amp; bank balance &amp; deferred</t>
  </si>
  <si>
    <t>receivables due within one year</t>
  </si>
  <si>
    <t>(Specify major items)</t>
  </si>
  <si>
    <t xml:space="preserve">(To agree with item 34 </t>
  </si>
  <si>
    <t>in Form III)</t>
  </si>
  <si>
    <t>FORM IV Contd.</t>
  </si>
  <si>
    <t>B</t>
  </si>
  <si>
    <t xml:space="preserve">(Other than bank borrowings </t>
  </si>
  <si>
    <t>for working capital)</t>
  </si>
  <si>
    <t xml:space="preserve">Creditors for purchase of raw </t>
  </si>
  <si>
    <t>materials, stores &amp; spares</t>
  </si>
  <si>
    <t>Months' purchase :</t>
  </si>
  <si>
    <t>Advances from customers</t>
  </si>
  <si>
    <t>Statutory liabilities</t>
  </si>
  <si>
    <t xml:space="preserve">Short Term borrowings, unsecured </t>
  </si>
  <si>
    <t xml:space="preserve">loans, dividend payable, </t>
  </si>
  <si>
    <t xml:space="preserve">instalments of TL, DPG, Public </t>
  </si>
  <si>
    <t>deposits, debentures, etc.</t>
  </si>
  <si>
    <t>T O T A L</t>
  </si>
  <si>
    <t>(To agree with sub total B</t>
  </si>
  <si>
    <t>Form - III)</t>
  </si>
  <si>
    <t>FORM V</t>
  </si>
  <si>
    <t>COMPUTATION OF ASSESSED BANK FINANCE FOR WORKING CAPITAL</t>
  </si>
  <si>
    <t>Total Current Assets</t>
  </si>
  <si>
    <t>(9 in Form IV)</t>
  </si>
  <si>
    <t>Other Current Liabilities</t>
  </si>
  <si>
    <t>(Other than bank borrowings)</t>
  </si>
  <si>
    <t>(14 of Form IV)</t>
  </si>
  <si>
    <t>Working Capital Gap (WCG) (1-2)</t>
  </si>
  <si>
    <t>4.</t>
  </si>
  <si>
    <t>Min. stipulated net working capital:</t>
  </si>
  <si>
    <t>Actual/projected net working</t>
  </si>
  <si>
    <t>capital (45 in Form III)</t>
  </si>
  <si>
    <t>Item-3 minus Item-4</t>
  </si>
  <si>
    <t>Item-3 minus Item-5</t>
  </si>
  <si>
    <t>Assessed Bank Finance</t>
  </si>
  <si>
    <t xml:space="preserve">FORM VI :  </t>
  </si>
  <si>
    <t>FUNDS FLOW STATEMENT</t>
  </si>
  <si>
    <t>SOURCES</t>
  </si>
  <si>
    <t>a) Net Profit (after tax)</t>
  </si>
  <si>
    <t>b) Depreciation</t>
  </si>
  <si>
    <t>c) Increase in capital</t>
  </si>
  <si>
    <t>d) Increase in Term Liabilities</t>
  </si>
  <si>
    <t xml:space="preserve">   (incldg. promoters' cont.)</t>
  </si>
  <si>
    <t>e) Decrease in</t>
  </si>
  <si>
    <t xml:space="preserve">    i) Fixed Assets</t>
  </si>
  <si>
    <t xml:space="preserve">   ii) Other non current assets</t>
  </si>
  <si>
    <t>f)  Deffered Tax Liability</t>
  </si>
  <si>
    <t>g) Others</t>
  </si>
  <si>
    <t>g) T O T A L</t>
  </si>
  <si>
    <t>USES</t>
  </si>
  <si>
    <t>====</t>
  </si>
  <si>
    <t>a) Net Loss</t>
  </si>
  <si>
    <t>b) Decrease in Term Liabilities</t>
  </si>
  <si>
    <t xml:space="preserve">   (incldg. promoters' contn.)</t>
  </si>
  <si>
    <t>c) Increase in :</t>
  </si>
  <si>
    <t>d) Dividend payments</t>
  </si>
  <si>
    <t>e)  i) Others</t>
  </si>
  <si>
    <t>f) T O T A L</t>
  </si>
  <si>
    <t>Long Term Surplus/Deficit (1-2)</t>
  </si>
  <si>
    <t>Increase/decrease in current</t>
  </si>
  <si>
    <t>assets (as per details below)</t>
  </si>
  <si>
    <t xml:space="preserve">liabilities other than </t>
  </si>
  <si>
    <t>bank borrowings</t>
  </si>
  <si>
    <t>Increase/decrease in WCG</t>
  </si>
  <si>
    <t>Net Surplus/Deficit</t>
  </si>
  <si>
    <t>(Difference of 3 &amp; 6)</t>
  </si>
  <si>
    <t>Increase/decrease in bank</t>
  </si>
  <si>
    <t>borrowings</t>
  </si>
  <si>
    <t>INCREASE/DECREASE IN NET SALES</t>
  </si>
  <si>
    <t>BREAKUP OF NO 4</t>
  </si>
  <si>
    <t>i) Increase/(decrease) in raw</t>
  </si>
  <si>
    <t xml:space="preserve">   material</t>
  </si>
  <si>
    <t>ii) Increase/(decrease) in</t>
  </si>
  <si>
    <t xml:space="preserve">    stock-in-process</t>
  </si>
  <si>
    <t>iii)Increase/(decrease) in</t>
  </si>
  <si>
    <t xml:space="preserve">    Finished Goods</t>
  </si>
  <si>
    <t>iv) Increase/(decrease) in</t>
  </si>
  <si>
    <t xml:space="preserve">    receivables</t>
  </si>
  <si>
    <t xml:space="preserve">    a) Domestic</t>
  </si>
  <si>
    <t xml:space="preserve">    b) Export</t>
  </si>
  <si>
    <t>v)  Increase/(decrease) in stores</t>
  </si>
  <si>
    <t xml:space="preserve">    &amp; spares</t>
  </si>
  <si>
    <t>vi) Increase/(decrease) in</t>
  </si>
  <si>
    <t xml:space="preserve">    other current assets</t>
  </si>
  <si>
    <t xml:space="preserve">      TOTAL</t>
  </si>
  <si>
    <t>Particulars</t>
  </si>
  <si>
    <t>Raw Material: Domestic</t>
  </si>
  <si>
    <t>--</t>
  </si>
  <si>
    <t>Days</t>
  </si>
  <si>
    <t>Raw Material: Imported</t>
  </si>
  <si>
    <t>SIP</t>
  </si>
  <si>
    <t>FG</t>
  </si>
  <si>
    <t>Receivables: Domestic</t>
  </si>
  <si>
    <t>Receivables: Export</t>
  </si>
  <si>
    <t>Sundry Creditors</t>
  </si>
  <si>
    <t>Foreign LCs</t>
  </si>
  <si>
    <t>Domestic LCs</t>
  </si>
  <si>
    <t>Total LCs</t>
  </si>
  <si>
    <t>Total Purchases of RM (Esti/Proj)</t>
  </si>
  <si>
    <t>Procurement out of LC (%)</t>
  </si>
  <si>
    <t>Monthly RM purchases out of LC*</t>
  </si>
  <si>
    <t>a) Usance (average)</t>
  </si>
  <si>
    <t>b) Lead time (average)</t>
  </si>
  <si>
    <t>Total Time (a + b)</t>
  </si>
  <si>
    <t>LC Limit required</t>
  </si>
  <si>
    <t>LC recommended   A</t>
  </si>
  <si>
    <t>LC for Lead Time for which creditors are not created ( Monthly RM out of LC*b/30) B</t>
  </si>
  <si>
    <t>Level of Creditors (LC backed) (A-B)</t>
  </si>
  <si>
    <t>Recommended LC limit</t>
  </si>
  <si>
    <t>Our share</t>
  </si>
  <si>
    <t>Documentary :</t>
  </si>
  <si>
    <t>Non Documentary :</t>
  </si>
  <si>
    <t>Margin (Existing / Proposed):</t>
  </si>
  <si>
    <t xml:space="preserve"> Usance  / Sundry Creditors :</t>
  </si>
  <si>
    <r>
      <rPr>
        <b/>
        <sz val="11.05"/>
        <color indexed="8"/>
        <rFont val="Calibri"/>
        <family val="2"/>
      </rPr>
      <t>ACCOUNTING YEAR =&gt; START DATE=&gt;&gt;</t>
    </r>
    <r>
      <rPr>
        <b/>
        <sz val="11"/>
        <color indexed="10"/>
        <rFont val="Calibri"/>
        <family val="2"/>
      </rPr>
      <t xml:space="preserve"> DD/MM/YYYY</t>
    </r>
    <r>
      <rPr>
        <b/>
        <sz val="11"/>
        <color indexed="8"/>
        <rFont val="Calibri"/>
        <family val="2"/>
      </rPr>
      <t xml:space="preserve"> ==&gt;&gt;&gt;</t>
    </r>
  </si>
  <si>
    <t>01/04/2016</t>
  </si>
  <si>
    <t>01/04/2017</t>
  </si>
  <si>
    <t>01/04/2018</t>
  </si>
  <si>
    <t>01/04/2019</t>
  </si>
  <si>
    <t>01/04/2020</t>
  </si>
  <si>
    <t>01/04/2021</t>
  </si>
  <si>
    <t>01/04/2022</t>
  </si>
  <si>
    <t>01/04/2023</t>
  </si>
  <si>
    <t>01/04/2024</t>
  </si>
  <si>
    <t>01/04/2025</t>
  </si>
  <si>
    <t>01/04/2026</t>
  </si>
  <si>
    <t>01/04/2027</t>
  </si>
  <si>
    <t>01/04/2028</t>
  </si>
  <si>
    <t>01/04/2029</t>
  </si>
  <si>
    <t>01/04/2030</t>
  </si>
  <si>
    <t>01/04/2031</t>
  </si>
  <si>
    <t>01/04/2032</t>
  </si>
  <si>
    <t>01/04/2033</t>
  </si>
  <si>
    <t>01/04/2034</t>
  </si>
  <si>
    <t>01/04/2035</t>
  </si>
  <si>
    <t>01/04/2036</t>
  </si>
  <si>
    <t>01/04/2037</t>
  </si>
  <si>
    <t>01/04/2038</t>
  </si>
  <si>
    <t>01/04/2039</t>
  </si>
  <si>
    <t>01/04/2040</t>
  </si>
  <si>
    <r>
      <rPr>
        <b/>
        <sz val="11.05"/>
        <color indexed="8"/>
        <rFont val="Calibri"/>
        <family val="2"/>
      </rPr>
      <t xml:space="preserve">ACCOUNTING YEAR =&gt; END DATE=&gt; </t>
    </r>
    <r>
      <rPr>
        <b/>
        <sz val="11"/>
        <color indexed="10"/>
        <rFont val="Calibri"/>
        <family val="2"/>
      </rPr>
      <t>DD/MM/YYYY</t>
    </r>
    <r>
      <rPr>
        <b/>
        <sz val="11"/>
        <color indexed="8"/>
        <rFont val="Calibri"/>
        <family val="2"/>
      </rPr>
      <t xml:space="preserve"> ==&gt;&gt;&gt;</t>
    </r>
  </si>
  <si>
    <t>31/03/2017</t>
  </si>
  <si>
    <t>31/03/2018</t>
  </si>
  <si>
    <t>31/03/2019</t>
  </si>
  <si>
    <t>31/03/2020</t>
  </si>
  <si>
    <t>31/03/2021</t>
  </si>
  <si>
    <t>31/03/2022</t>
  </si>
  <si>
    <t>31/03/2023</t>
  </si>
  <si>
    <t>31/03/2024</t>
  </si>
  <si>
    <t>31/03/2025</t>
  </si>
  <si>
    <t>31/03/2026</t>
  </si>
  <si>
    <t>31/03/2027</t>
  </si>
  <si>
    <t>31/03/2028</t>
  </si>
  <si>
    <t>31/03/2029</t>
  </si>
  <si>
    <t>31/03/2030</t>
  </si>
  <si>
    <t>31/03/2031</t>
  </si>
  <si>
    <t>31/03/2032</t>
  </si>
  <si>
    <t>31/03/2033</t>
  </si>
  <si>
    <t>31/03/2034</t>
  </si>
  <si>
    <t>31/03/2035</t>
  </si>
  <si>
    <t>31/03/2036</t>
  </si>
  <si>
    <t>31/03/2037</t>
  </si>
  <si>
    <t>31/03/2038</t>
  </si>
  <si>
    <t>31/03/2039</t>
  </si>
  <si>
    <t>31/03/2040</t>
  </si>
  <si>
    <t>31/03/2041</t>
  </si>
  <si>
    <t>TYPE OF FINANCIALS ===&gt;&gt;&gt;</t>
  </si>
  <si>
    <t>Provisional</t>
  </si>
  <si>
    <t>Projected</t>
  </si>
  <si>
    <t>ACCOUNTING YEAR ===&gt;&gt;&gt;</t>
  </si>
  <si>
    <t>S.No.</t>
  </si>
  <si>
    <t>Item Description</t>
  </si>
  <si>
    <t>Amount
(Rs. In Cr.)</t>
  </si>
  <si>
    <t>Gross Sales:</t>
  </si>
  <si>
    <t>Domestic Sales</t>
  </si>
  <si>
    <t>Export Sales</t>
  </si>
  <si>
    <t>Other Operating / Revenue Income</t>
  </si>
  <si>
    <t>Total Gross Sales</t>
  </si>
  <si>
    <t>Deduct: Excise Duty / Service Tax</t>
  </si>
  <si>
    <t>Deduct: Other items</t>
  </si>
  <si>
    <t>Net Sales</t>
  </si>
  <si>
    <t>Cost of Sales:</t>
  </si>
  <si>
    <r>
      <rPr>
        <u/>
        <sz val="11.05"/>
        <color indexed="8"/>
        <rFont val="Calibri"/>
        <family val="2"/>
      </rPr>
      <t xml:space="preserve">Raw Materials </t>
    </r>
    <r>
      <rPr>
        <sz val="11"/>
        <color indexed="8"/>
        <rFont val="Calibri"/>
        <family val="2"/>
      </rPr>
      <t>(including stores &amp; other items used in manufacturing process):</t>
    </r>
  </si>
  <si>
    <t>Imported</t>
  </si>
  <si>
    <t>Indigenous</t>
  </si>
  <si>
    <t>Total Raw Materials</t>
  </si>
  <si>
    <t>Spares Imported</t>
  </si>
  <si>
    <t>Spares Indigenous</t>
  </si>
  <si>
    <t>Total Spares</t>
  </si>
  <si>
    <t>Power &amp; Fuel</t>
  </si>
  <si>
    <t>Direct Labour</t>
  </si>
  <si>
    <t>Other Manufacturing Expenses / Other Direct Costs</t>
  </si>
  <si>
    <t>Depreciation &amp; Amortisation</t>
  </si>
  <si>
    <t>Add: Opening of Stock in Process</t>
  </si>
  <si>
    <t>Less: Closing Stock in Process</t>
  </si>
  <si>
    <t>Cost of Production</t>
  </si>
  <si>
    <t>Add: Opening of Stock of Finished Goods</t>
  </si>
  <si>
    <t>Less: Closing Stock of Finished Goods</t>
  </si>
  <si>
    <t xml:space="preserve">Cost of Sales </t>
  </si>
  <si>
    <t>Selling &amp; General Administrative Expenses</t>
  </si>
  <si>
    <t>Operating Profit Before Interest</t>
  </si>
  <si>
    <t>Interest on Working Capital</t>
  </si>
  <si>
    <t>Interest on Term Loans</t>
  </si>
  <si>
    <t>Other Finance Charges</t>
  </si>
  <si>
    <t>Total Interest Outgo</t>
  </si>
  <si>
    <t>Operating Profit After Interest</t>
  </si>
  <si>
    <t>Other Non-Operating Income</t>
  </si>
  <si>
    <t>Interest on Unsecured Loans &amp; Loans to related parties</t>
  </si>
  <si>
    <t>Income from Investments &amp; Interest on Deposits</t>
  </si>
  <si>
    <t>Forex gain</t>
  </si>
  <si>
    <t>Profit on Sale of Fixed Assets</t>
  </si>
  <si>
    <t>Profit on Sale of Investments</t>
  </si>
  <si>
    <t>Others, if any (Please specify)</t>
  </si>
  <si>
    <t>39(i)</t>
  </si>
  <si>
    <t>39(ii)</t>
  </si>
  <si>
    <t>39(iii)</t>
  </si>
  <si>
    <t>39(iv)</t>
  </si>
  <si>
    <t>39(v)</t>
  </si>
  <si>
    <t>Total Other Non-Operating Income</t>
  </si>
  <si>
    <t>Other Non-Operating Expenses</t>
  </si>
  <si>
    <t>Goodwill &amp; Other Intangible Assets Written off</t>
  </si>
  <si>
    <t>Preliminary Expenses Written off</t>
  </si>
  <si>
    <t>Other Miscellaneous Expenses Written off</t>
  </si>
  <si>
    <t>Forex Loss</t>
  </si>
  <si>
    <t>Loss on Sale of Fixed Assets</t>
  </si>
  <si>
    <t>47(i)</t>
  </si>
  <si>
    <t>47(ii)</t>
  </si>
  <si>
    <t>47(iii)</t>
  </si>
  <si>
    <t>47(iv)</t>
  </si>
  <si>
    <t>47(v)</t>
  </si>
  <si>
    <t>Total Other Non-Operating Expenses</t>
  </si>
  <si>
    <t>Net Non-Operating Income</t>
  </si>
  <si>
    <t>Profit Before Tax / Loss</t>
  </si>
  <si>
    <t>MAT Credit</t>
  </si>
  <si>
    <t>Provision for Taxes</t>
  </si>
  <si>
    <t>Prior Period Expenses</t>
  </si>
  <si>
    <t>Net Profit / Loss</t>
  </si>
  <si>
    <t>Equity Dividend paid (including Dividend Tax)</t>
  </si>
  <si>
    <t>Retained Profit</t>
  </si>
  <si>
    <t>Transfers to Other Reserves</t>
  </si>
  <si>
    <t>Amount Transferred to Profit &amp; Loss Account</t>
  </si>
  <si>
    <t>Comments:---&gt;&gt;&gt;</t>
  </si>
  <si>
    <t>CURRENT LIABILITIES:</t>
  </si>
  <si>
    <t>Short Term Borrowings from Banks:</t>
  </si>
  <si>
    <t>From Applicant Bank</t>
  </si>
  <si>
    <t>From Other Banks</t>
  </si>
  <si>
    <t>Under Buyers Credit</t>
  </si>
  <si>
    <t>(of which BP &amp; BD)</t>
  </si>
  <si>
    <t>Total Short Term Borrowings from Banks</t>
  </si>
  <si>
    <t>Short Term Borrowings from others</t>
  </si>
  <si>
    <t>Sundry Creditors (Trade-Without LC)</t>
  </si>
  <si>
    <t>Sundry Creditors (Trade-Under LC)</t>
  </si>
  <si>
    <t>Advance Payments from Customers &amp; Deposits from Dealers</t>
  </si>
  <si>
    <t>Provision for Taxation</t>
  </si>
  <si>
    <t>Dividend Payable (including Taxation)</t>
  </si>
  <si>
    <t>Other Statutory Liabilities (due within 1 year)</t>
  </si>
  <si>
    <t>Deposits, Instalments of Term Loans, DPGs etc. due within one year</t>
  </si>
  <si>
    <t>Other Current Liability and Provisions (due within 1 year)</t>
  </si>
  <si>
    <t>Provision for Expenditure</t>
  </si>
  <si>
    <t>Sundry Creditors for Capital Goods</t>
  </si>
  <si>
    <t>Sundry Creditors for Expenses</t>
  </si>
  <si>
    <t>Other Current Liabilities, if any (Please Specify)</t>
  </si>
  <si>
    <t>18(i)</t>
  </si>
  <si>
    <t>18(ii)</t>
  </si>
  <si>
    <t>18(iii)</t>
  </si>
  <si>
    <t>18(iv)</t>
  </si>
  <si>
    <t>18(v)</t>
  </si>
  <si>
    <t xml:space="preserve">Total Other Current Liabilities </t>
  </si>
  <si>
    <t>Total Current Liabilities</t>
  </si>
  <si>
    <t>TERM LIABILITIES:</t>
  </si>
  <si>
    <t>Debentures (not maturing within 1 year)</t>
  </si>
  <si>
    <t>Preference Shares (redeemable after 1 year, but before 12 years)</t>
  </si>
  <si>
    <t>Term Loans (excluding instalments payable within 1 year)</t>
  </si>
  <si>
    <t>Deferred Payment Credits (excluding instalments payable within 1 year)</t>
  </si>
  <si>
    <t>Term / Public Deposits (repayable after 1 year)</t>
  </si>
  <si>
    <t>27(a)</t>
  </si>
  <si>
    <t>Unsecured Loans from Promoters / Other Group Companies (repayable after 1 year)</t>
  </si>
  <si>
    <t>27(b)</t>
  </si>
  <si>
    <t>Unsecured Loans other than from Promoters / Other Group Companies</t>
  </si>
  <si>
    <t>Capex Creditors (repayable after 1 year)</t>
  </si>
  <si>
    <t>Non-current Provisions</t>
  </si>
  <si>
    <t>Deferred Tax Liabilities</t>
  </si>
  <si>
    <t>Other Term Liabilities, if any (Please Specify)</t>
  </si>
  <si>
    <t>31(i)</t>
  </si>
  <si>
    <t>31(ii)</t>
  </si>
  <si>
    <t>31(iii)</t>
  </si>
  <si>
    <t>31(iv)</t>
  </si>
  <si>
    <t>31(v)</t>
  </si>
  <si>
    <t>Total Term Liabilities</t>
  </si>
  <si>
    <t>Total Outside Liabilities</t>
  </si>
  <si>
    <t>NET WORTH:</t>
  </si>
  <si>
    <t>Equity Share Capital</t>
  </si>
  <si>
    <t>Preference Share Capital</t>
  </si>
  <si>
    <t>Surplus / Deficit in Profit &amp; Loss Account</t>
  </si>
  <si>
    <t>Other Reserves (excluding Provisions)</t>
  </si>
  <si>
    <t>Security Premium (share premium)</t>
  </si>
  <si>
    <t>Warrants / Options / ESOPs</t>
  </si>
  <si>
    <t>Share Application Money</t>
  </si>
  <si>
    <t>Others, if any (Please Specify)</t>
  </si>
  <si>
    <t>44(i)</t>
  </si>
  <si>
    <t>44(ii)</t>
  </si>
  <si>
    <t>44(iii)</t>
  </si>
  <si>
    <t>44(iv)</t>
  </si>
  <si>
    <t>44(v)</t>
  </si>
  <si>
    <t>Total Net Worth</t>
  </si>
  <si>
    <t>CURRENT ASSETS:</t>
  </si>
  <si>
    <t>Cash &amp; Cash equivalents</t>
  </si>
  <si>
    <t>Investments (other than Long Term):</t>
  </si>
  <si>
    <t>Investments in Govt &amp; other Trustees</t>
  </si>
  <si>
    <t>Fixed Deposits with Banks</t>
  </si>
  <si>
    <t>Other Investments, if any (Please specify)</t>
  </si>
  <si>
    <t>53(i)</t>
  </si>
  <si>
    <t>53(ii)</t>
  </si>
  <si>
    <t>53(iii)</t>
  </si>
  <si>
    <t>53(iv)</t>
  </si>
  <si>
    <t>53(v)</t>
  </si>
  <si>
    <t>Total Investments (other than Long Term)</t>
  </si>
  <si>
    <t>Other Receivables:</t>
  </si>
  <si>
    <t>Receivables (other than Deferred, Exports, BP &amp; BD)</t>
  </si>
  <si>
    <t>Export Receivables</t>
  </si>
  <si>
    <t>Bills Purchased &amp; Discounted</t>
  </si>
  <si>
    <t>Instalments &amp; Deferred Receivables (receivable within 1 year)</t>
  </si>
  <si>
    <t>Total Other Receivables</t>
  </si>
  <si>
    <t>Raw Material (Imported)</t>
  </si>
  <si>
    <t>Raw Material (Indigenous)</t>
  </si>
  <si>
    <t>Total Raw Material</t>
  </si>
  <si>
    <t>Stock-in-Process</t>
  </si>
  <si>
    <t>Finished Goods</t>
  </si>
  <si>
    <t>Other Consumable Spares (Imported)</t>
  </si>
  <si>
    <t>Other Consumable Spares (Indigenous)</t>
  </si>
  <si>
    <t>Total Other Consumable Spares</t>
  </si>
  <si>
    <t>Total Inventory</t>
  </si>
  <si>
    <t>Advances to Suppliers of Raw Materials</t>
  </si>
  <si>
    <t>Advance Payment of Taxes</t>
  </si>
  <si>
    <t>Other Current Assets:</t>
  </si>
  <si>
    <t>TUFS</t>
  </si>
  <si>
    <t>Excise / Customs Duty Receivables</t>
  </si>
  <si>
    <t>CENVAT Credit</t>
  </si>
  <si>
    <t>77(i)</t>
  </si>
  <si>
    <t>Short term loans to related parties</t>
  </si>
  <si>
    <t>77(ii)</t>
  </si>
  <si>
    <t>Short term loans to others</t>
  </si>
  <si>
    <t>77(iii)</t>
  </si>
  <si>
    <t>77(iv)</t>
  </si>
  <si>
    <t>Other current assets</t>
  </si>
  <si>
    <t>77(v)</t>
  </si>
  <si>
    <t>Total Other Current Assets</t>
  </si>
  <si>
    <t>FIXED ASSETS:</t>
  </si>
  <si>
    <t>Gross Block</t>
  </si>
  <si>
    <t>Capital Work in progress</t>
  </si>
  <si>
    <t>Depreciation (till date)</t>
  </si>
  <si>
    <t>NET BLOCK</t>
  </si>
  <si>
    <t>OTHER NON-CURRENT ASSETS:</t>
  </si>
  <si>
    <t>Investments / Book Debts (which are Non-Current Assets):</t>
  </si>
  <si>
    <t>Investments:</t>
  </si>
  <si>
    <t>Investments in Group Companies</t>
  </si>
  <si>
    <t>89(i)</t>
  </si>
  <si>
    <t>89(ii)</t>
  </si>
  <si>
    <t>89(iii)</t>
  </si>
  <si>
    <t>89(iv)</t>
  </si>
  <si>
    <t>89(v)</t>
  </si>
  <si>
    <t xml:space="preserve">Total Investments  </t>
  </si>
  <si>
    <t>Advances to Suppliers of Capital Goods</t>
  </si>
  <si>
    <t>Deferred Receivables (exceeding 1 year)</t>
  </si>
  <si>
    <t>Non-Current Assets - Others:</t>
  </si>
  <si>
    <t>Loans &amp; Advances to Group Entities</t>
  </si>
  <si>
    <t>Receivables (over 6 months)</t>
  </si>
  <si>
    <t>Account Receivables from Group Entities</t>
  </si>
  <si>
    <t>Receivables from Directors, Employees or Officers</t>
  </si>
  <si>
    <t>99(i)</t>
  </si>
  <si>
    <t>Loans and advances</t>
  </si>
  <si>
    <t>99(ii)</t>
  </si>
  <si>
    <t>Other advances</t>
  </si>
  <si>
    <t>99(iii)</t>
  </si>
  <si>
    <t>99(iv)</t>
  </si>
  <si>
    <t>99(v)</t>
  </si>
  <si>
    <t>Total Non-Current Assets - Others</t>
  </si>
  <si>
    <t>Total Investments / Book Debts (which are Non-Current Assets)</t>
  </si>
  <si>
    <t>Non-Consumable Stores &amp; Spares</t>
  </si>
  <si>
    <t xml:space="preserve">Other Non-Current Assets </t>
  </si>
  <si>
    <t>103(i)</t>
  </si>
  <si>
    <t>103(ii)</t>
  </si>
  <si>
    <t>103(iii)</t>
  </si>
  <si>
    <t>103(iv)</t>
  </si>
  <si>
    <t>103(v)</t>
  </si>
  <si>
    <t>TOTAL OTHER NON-CURRENT ASSETS</t>
  </si>
  <si>
    <t>INTANGIBLE ASSETS:</t>
  </si>
  <si>
    <t>Gross Intangible Assets (Patents, Copy Rights etc)</t>
  </si>
  <si>
    <t>Amortisation (till date)</t>
  </si>
  <si>
    <t>NET INTANGIBLE ASSETS</t>
  </si>
  <si>
    <t>DTA (Deferred Tax Assets</t>
  </si>
  <si>
    <t>TOTAL ASSETS</t>
  </si>
  <si>
    <t>Comments:----&gt;&gt;&gt;</t>
  </si>
  <si>
    <t>VALIDATION ===&gt;&gt;&gt;</t>
  </si>
  <si>
    <t>DATA (Items 1 to 22) IS REQUIRED ONLY IF TERM LOAN(S) ARE BEING CONSIDERED</t>
  </si>
  <si>
    <t>DETAILS FOR THE COMPANY:</t>
  </si>
  <si>
    <t>Cash Accruals utilised in all the Projects</t>
  </si>
  <si>
    <t>Term Loans / DPG Repayments:</t>
  </si>
  <si>
    <t>Existing Loans (all loans)</t>
  </si>
  <si>
    <t>Proposed Loans (all loans)</t>
  </si>
  <si>
    <t>Total Term Loans / DPG Repayments</t>
  </si>
  <si>
    <t>Interest on Existing Term Loans</t>
  </si>
  <si>
    <t>Interest on Proposed Term Loans</t>
  </si>
  <si>
    <t>Total Interest (on all Term Loans)</t>
  </si>
  <si>
    <t>Average Gross DSCR (for All Term Loans)</t>
  </si>
  <si>
    <t>Average Net DSCR (for All Term Loans)</t>
  </si>
  <si>
    <t>DETAILS SPECIFIC TO THE PROJECT:</t>
  </si>
  <si>
    <t>Capacity Utilisation %</t>
  </si>
  <si>
    <t>Sales in No. of units</t>
  </si>
  <si>
    <t>Average Sales Revenue per unit</t>
  </si>
  <si>
    <t>Variable Expenses per unit</t>
  </si>
  <si>
    <t>Total Fixed Expenses for the Project</t>
  </si>
  <si>
    <t>Other Income specific to the Project</t>
  </si>
  <si>
    <t>Tax specific to the Project</t>
  </si>
  <si>
    <t>Project Depreciation &amp; Amortisation</t>
  </si>
  <si>
    <t>Cash Accruals utilised in the Project</t>
  </si>
  <si>
    <t>Term Loan Interest specific to the Project</t>
  </si>
  <si>
    <t>Existing Loans (for the project)</t>
  </si>
  <si>
    <t>Proposed Loans (for the project)</t>
  </si>
  <si>
    <t>DATA (Items 21 to 35) IS REQUIRED ONLY IF RATING MODEL IS "NON-TRADING REGULAR" OR "TRADING REGULAR"</t>
  </si>
  <si>
    <t>AVERAGE YEAR TO YEAR GROWTH IN NET SALES IN LAST TWO QUARTERS:</t>
  </si>
  <si>
    <r>
      <rPr>
        <sz val="11"/>
        <color indexed="8"/>
        <rFont val="Calibri"/>
        <family val="2"/>
      </rPr>
      <t>Quarter-1 END : Last Year (</t>
    </r>
    <r>
      <rPr>
        <b/>
        <sz val="12"/>
        <color indexed="10"/>
        <rFont val="Calibri"/>
        <family val="2"/>
      </rPr>
      <t>dd/mm/yy</t>
    </r>
    <r>
      <rPr>
        <sz val="11"/>
        <color indexed="8"/>
        <rFont val="Calibri"/>
        <family val="2"/>
      </rPr>
      <t>)</t>
    </r>
  </si>
  <si>
    <r>
      <rPr>
        <sz val="11"/>
        <color indexed="8"/>
        <rFont val="Calibri"/>
        <family val="2"/>
      </rPr>
      <t>Quarter-1 END : Current Year (</t>
    </r>
    <r>
      <rPr>
        <b/>
        <sz val="12"/>
        <color indexed="10"/>
        <rFont val="Calibri"/>
        <family val="2"/>
      </rPr>
      <t>dd/mm/yy</t>
    </r>
    <r>
      <rPr>
        <sz val="11"/>
        <color indexed="8"/>
        <rFont val="Calibri"/>
        <family val="2"/>
      </rPr>
      <t>)</t>
    </r>
  </si>
  <si>
    <t>Sales in Quarter-1 Last Year</t>
  </si>
  <si>
    <t>Sales in Quarter-1 Current Year</t>
  </si>
  <si>
    <t>Growth in Quarter-1</t>
  </si>
  <si>
    <t>Growth % in Quarter-1</t>
  </si>
  <si>
    <r>
      <rPr>
        <sz val="11"/>
        <color indexed="8"/>
        <rFont val="Calibri"/>
        <family val="2"/>
      </rPr>
      <t>Quarter-2 END : Last Year (</t>
    </r>
    <r>
      <rPr>
        <b/>
        <sz val="12"/>
        <color indexed="10"/>
        <rFont val="Calibri"/>
        <family val="2"/>
      </rPr>
      <t>dd/mm/yy</t>
    </r>
    <r>
      <rPr>
        <sz val="11"/>
        <color indexed="8"/>
        <rFont val="Calibri"/>
        <family val="2"/>
      </rPr>
      <t>)</t>
    </r>
  </si>
  <si>
    <r>
      <rPr>
        <sz val="11"/>
        <color indexed="8"/>
        <rFont val="Calibri"/>
        <family val="2"/>
      </rPr>
      <t>Quarter-2 END : Current Year (</t>
    </r>
    <r>
      <rPr>
        <b/>
        <sz val="12"/>
        <color indexed="10"/>
        <rFont val="Calibri"/>
        <family val="2"/>
      </rPr>
      <t>dd/mm/yy</t>
    </r>
    <r>
      <rPr>
        <sz val="11"/>
        <color indexed="8"/>
        <rFont val="Calibri"/>
        <family val="2"/>
      </rPr>
      <t>)</t>
    </r>
  </si>
  <si>
    <t>Sales in Quarter-2 Last Year</t>
  </si>
  <si>
    <t>Sales in Quarter-2 Current Year</t>
  </si>
  <si>
    <t>Growth in Quarter-2</t>
  </si>
  <si>
    <t>Growth % in Quarter-2</t>
  </si>
  <si>
    <t>Average Year to Year Growth %</t>
  </si>
  <si>
    <t>C</t>
  </si>
  <si>
    <t>DATA (Items 36 to 38) IS REQUIRED ONLY IF RATING MODEL IS "NON-TRADING REGULAR"</t>
  </si>
  <si>
    <t>INDUSTRY RATIOS:</t>
  </si>
  <si>
    <t>TOL / TNW (Industry Ratio)</t>
  </si>
  <si>
    <t>Current Ratio (Industry Ratio)</t>
  </si>
  <si>
    <t>Source of above Ratios</t>
  </si>
  <si>
    <t>D</t>
  </si>
  <si>
    <t>DATA (Items 39 to 54) IS REQUIRED ONLY IF RATING MODEL IS "NBFC / HFC"</t>
  </si>
  <si>
    <t>Capital to Risk Weighted Assets Ratio (CRAR)</t>
  </si>
  <si>
    <t>TOL / Net Owned Funds</t>
  </si>
  <si>
    <t>Net NPA / Net Advances (%)</t>
  </si>
  <si>
    <t>Gross NPA / Gross Advances (%)</t>
  </si>
  <si>
    <t>Recovery / Upgradation of NPAs during the year as a % to NPA at the beginning of the year</t>
  </si>
  <si>
    <t>% of Sub-Standard Assets to Total NPAs</t>
  </si>
  <si>
    <t>Return on Assets (PBDT / Total Assets)</t>
  </si>
  <si>
    <t>PAT / Total Income</t>
  </si>
  <si>
    <t>Liquid Assets to Total Loan Assets</t>
  </si>
  <si>
    <t>Interest Coverage Ratio (Total Income - Other Non Recurring Income) / Interest Expenses</t>
  </si>
  <si>
    <t>Overdues to Demand Raised</t>
  </si>
  <si>
    <t>Securitised Loan Assets / (Total Loan Assets + Securitised Loan Assets)</t>
  </si>
  <si>
    <t>Liabilities to Assets Ratio (&lt;= 90 days)</t>
  </si>
  <si>
    <t>Liabilities to Assets Ratio (&gt;90 days &lt;= 6 months)</t>
  </si>
  <si>
    <t>Liabilities to Assets Ratio (&gt;6months &lt;= 1 year)</t>
  </si>
  <si>
    <t>Liabilities to Assets Ratio (&gt;1 year &lt;= 3 years)</t>
  </si>
  <si>
    <t>E</t>
  </si>
  <si>
    <t>OTHER INFORMATION (FOR SYNOPSIS OF BALANCE SHEET IN S-FORMAT:</t>
  </si>
  <si>
    <t>Term Loans from State Bank of India</t>
  </si>
  <si>
    <t>LC / BG Margins &amp; liquid investments</t>
  </si>
  <si>
    <t xml:space="preserve">Mutiara Energy Holdings Ltd </t>
  </si>
  <si>
    <t>Precious Energy Holdings Ltd</t>
  </si>
  <si>
    <t xml:space="preserve">Others </t>
  </si>
  <si>
    <t>SBI</t>
  </si>
  <si>
    <t>SBH</t>
  </si>
  <si>
    <t>SBM</t>
  </si>
  <si>
    <t>SBOP</t>
  </si>
  <si>
    <t>PNB</t>
  </si>
  <si>
    <t>CBI</t>
  </si>
  <si>
    <t>IOB</t>
  </si>
  <si>
    <t>BOB</t>
  </si>
  <si>
    <t>Corp. Bank</t>
  </si>
  <si>
    <t>Lenders</t>
  </si>
  <si>
    <t>TL</t>
  </si>
  <si>
    <t>WC</t>
  </si>
  <si>
    <t>Northern</t>
  </si>
  <si>
    <t>Western</t>
  </si>
  <si>
    <t>Southern</t>
  </si>
  <si>
    <t>Eastern</t>
  </si>
  <si>
    <t>N. Eastern</t>
  </si>
  <si>
    <t>Islands</t>
  </si>
  <si>
    <t>Int. rate at 10.40%</t>
  </si>
  <si>
    <t>Coal Price at USD 45/ton</t>
  </si>
  <si>
    <t>Int. rate at 11%</t>
  </si>
  <si>
    <t>1.16**</t>
  </si>
  <si>
    <t>*Cash negative only in FY'41 to the extent of Rs.-32.66 Cr</t>
  </si>
  <si>
    <t>1.11*</t>
  </si>
  <si>
    <t>**cash negative only in FY'41 to the extent of Rs. -74.68 Cr</t>
  </si>
  <si>
    <t>Remarks</t>
  </si>
  <si>
    <t>Profit &amp; Loss Statement</t>
  </si>
  <si>
    <t>Revenue from sale of power (power and fly ash)</t>
  </si>
  <si>
    <t>Revenue from Other Souces</t>
  </si>
  <si>
    <t>Represents Interest Income from Money kept as margin for FY 15 - FY 17</t>
  </si>
  <si>
    <t>Coal Expenses</t>
  </si>
  <si>
    <t>Oil Expenses</t>
  </si>
  <si>
    <t>O&amp;M Expenses</t>
  </si>
  <si>
    <t>Transmission Expenses</t>
  </si>
  <si>
    <t>Employee Benefit Expenses</t>
  </si>
  <si>
    <t xml:space="preserve">Administrative Expenses </t>
  </si>
  <si>
    <t>Insurance Expenses</t>
  </si>
  <si>
    <t>Spares Consumed</t>
  </si>
  <si>
    <t>Legal and Professional Charges</t>
  </si>
  <si>
    <t>Rent</t>
  </si>
  <si>
    <t>Fall in rent due to letting go of leased Guest houses.</t>
  </si>
  <si>
    <t>Other  Expenses</t>
  </si>
  <si>
    <t>Total  Expenses</t>
  </si>
  <si>
    <t>EBITDA</t>
  </si>
  <si>
    <t xml:space="preserve">interest on term loan for </t>
  </si>
  <si>
    <t>Interest on WC</t>
  </si>
  <si>
    <t>BG/ LC Commission</t>
  </si>
  <si>
    <t>PBT</t>
  </si>
  <si>
    <t>PAT</t>
  </si>
  <si>
    <t>Dividends to RPS</t>
  </si>
  <si>
    <t>PAT after dividends to RPS holders</t>
  </si>
  <si>
    <t>Dividend to common equity holders</t>
  </si>
  <si>
    <t>Net Income to Common equity holders</t>
  </si>
  <si>
    <t>Other Comprehensive Income</t>
  </si>
  <si>
    <t>Total Comprehensive Income</t>
  </si>
  <si>
    <t>Cash flow Statement</t>
  </si>
  <si>
    <t>Cash flow from operating activities</t>
  </si>
  <si>
    <t>Profit and Loss for the Year</t>
  </si>
  <si>
    <t>Add: Depreciation</t>
  </si>
  <si>
    <t>Sub: Increase in Inventories - coal</t>
  </si>
  <si>
    <t>Sub: Increase in Inventories - sec. oil</t>
  </si>
  <si>
    <t>Sub: Increase in Trade Receivables</t>
  </si>
  <si>
    <t>Sub: Increase in O&amp;M Advance</t>
  </si>
  <si>
    <t>Sub: Increase in Maintenance spares</t>
  </si>
  <si>
    <t>Sub: Inc. in other current assets</t>
  </si>
  <si>
    <t>Add: Increase in short term borrowings</t>
  </si>
  <si>
    <t>Add: Increase in Trade Payables</t>
  </si>
  <si>
    <t>Total cash flow from operating activities</t>
  </si>
  <si>
    <t>Cash flow from financing activities</t>
  </si>
  <si>
    <t>Inc. in share capital</t>
  </si>
  <si>
    <t>Inc. in securities premium account</t>
  </si>
  <si>
    <t>Inc. in share application money</t>
  </si>
  <si>
    <t>Inc. in TL from banks</t>
  </si>
  <si>
    <t>Debt Repayment - TL</t>
  </si>
  <si>
    <t>Repayment of loan from promoters</t>
  </si>
  <si>
    <t>Capital Creditors</t>
  </si>
  <si>
    <t>Total cash flow from financing activities</t>
  </si>
  <si>
    <t>Cash flow from investing activities</t>
  </si>
  <si>
    <t>(Increase) in Tangible Assets</t>
  </si>
  <si>
    <t>Increase in CWIP</t>
  </si>
  <si>
    <t>Increase in long term loans and adv</t>
  </si>
  <si>
    <t>Capital advances</t>
  </si>
  <si>
    <t>Total cash flow from investing activities</t>
  </si>
  <si>
    <t>Total cash flowfor the year</t>
  </si>
  <si>
    <t>Net Cash generated this year</t>
  </si>
  <si>
    <t>Net cash after Capex creditors before DSRA and New Capex</t>
  </si>
  <si>
    <t>Net cash before DSRA after paying capex creditor and new capex</t>
  </si>
  <si>
    <t>DSRA Req.</t>
  </si>
  <si>
    <t>Increase in DSRA</t>
  </si>
  <si>
    <t>DSRA account</t>
  </si>
  <si>
    <t>Net cash after DSRA &amp; Capex creditors but before RPS redemption</t>
  </si>
  <si>
    <t>RPS redemption</t>
  </si>
  <si>
    <t>Balance Sheet</t>
  </si>
  <si>
    <t>Equity &amp; Liabilities</t>
  </si>
  <si>
    <t>Shareholders' funds</t>
  </si>
  <si>
    <t>Share Capital</t>
  </si>
  <si>
    <t>Securities Premium Account</t>
  </si>
  <si>
    <t>Reserves and surplus</t>
  </si>
  <si>
    <t>Share application money pending allotmet</t>
  </si>
  <si>
    <t>Redeemable Preference Shares</t>
  </si>
  <si>
    <t>Net worth</t>
  </si>
  <si>
    <t>Non-current Liabilities</t>
  </si>
  <si>
    <t>TL from Banks</t>
  </si>
  <si>
    <t>TL from related parties (Unsecured)</t>
  </si>
  <si>
    <t>Long-Term Provisions</t>
  </si>
  <si>
    <t>New Capex creditors</t>
  </si>
  <si>
    <t>Current Liabilities</t>
  </si>
  <si>
    <t>Short-Term Borrowings</t>
  </si>
  <si>
    <t>Trade Payables</t>
  </si>
  <si>
    <t>Other Financial Liabilities</t>
  </si>
  <si>
    <t>Total Liabilities &amp; Equity</t>
  </si>
  <si>
    <t>Non Current Assets</t>
  </si>
  <si>
    <t xml:space="preserve">Accumulated Dep. </t>
  </si>
  <si>
    <t>Intangible Assets</t>
  </si>
  <si>
    <t>Current Assets</t>
  </si>
  <si>
    <t>Inventories - Coal</t>
  </si>
  <si>
    <t>Inventories - Secondary fuel oil</t>
  </si>
  <si>
    <t>Trade Receivables</t>
  </si>
  <si>
    <t>Cash and Cash Equivalents</t>
  </si>
  <si>
    <t>Cash held as margin money</t>
  </si>
  <si>
    <t>Total Assets</t>
  </si>
  <si>
    <t>Key Ratios</t>
  </si>
  <si>
    <t>EBITDA Margins</t>
  </si>
  <si>
    <t>PAT Margins</t>
  </si>
  <si>
    <t>TOL/TNW</t>
  </si>
  <si>
    <t>Long Term debt /TNW</t>
  </si>
  <si>
    <t>Current Ratio</t>
  </si>
  <si>
    <t>Asset Coverage Ratio</t>
  </si>
  <si>
    <t>Collateral</t>
  </si>
  <si>
    <t>Collateral Coverage Ratio</t>
  </si>
  <si>
    <t>FACR</t>
  </si>
  <si>
    <t>Summary</t>
  </si>
  <si>
    <t>Total capacity (MW)</t>
  </si>
  <si>
    <t>Plant load factor assumed (%)</t>
  </si>
  <si>
    <t>Needs to be corrected</t>
  </si>
  <si>
    <t>Gross units (GWh)</t>
  </si>
  <si>
    <t>Net units (GWh)</t>
  </si>
  <si>
    <t>Sales revenue (Rs. cr)</t>
  </si>
  <si>
    <t>Revenue per unit (Rs.)</t>
  </si>
  <si>
    <t>Fixed cost per unit (Rs.)</t>
  </si>
  <si>
    <t>Variable cost per unit (Rs.)</t>
  </si>
  <si>
    <t>Total Cost per unit (Rs.)</t>
  </si>
  <si>
    <t>Profitability per unit (Rs.)</t>
  </si>
  <si>
    <t xml:space="preserve">FCF (post debt repayment) </t>
  </si>
  <si>
    <t>EBIT</t>
  </si>
  <si>
    <t>Less: Tax</t>
  </si>
  <si>
    <t>NOPAT</t>
  </si>
  <si>
    <t>Add: D&amp;A</t>
  </si>
  <si>
    <t>Less: Change in WC</t>
  </si>
  <si>
    <t>Less: Capex</t>
  </si>
  <si>
    <t>Free cash flow to the Firm (FCFF)</t>
  </si>
  <si>
    <t>Inputs</t>
  </si>
  <si>
    <t>Valuation Date</t>
  </si>
  <si>
    <t>Discount Rate Change</t>
  </si>
  <si>
    <t>Perpetual Growth Rate</t>
  </si>
  <si>
    <t>Perpetual Growth Rate Change</t>
  </si>
  <si>
    <t xml:space="preserve">Operating Summary </t>
  </si>
  <si>
    <t>₹ Crores, Unless Otherwise Specified</t>
  </si>
  <si>
    <t>Net Revenue</t>
  </si>
  <si>
    <t>% Growth</t>
  </si>
  <si>
    <t>% Sales</t>
  </si>
  <si>
    <t>Less: Taxes</t>
  </si>
  <si>
    <t xml:space="preserve">Add: Depreciation </t>
  </si>
  <si>
    <t>Legend</t>
  </si>
  <si>
    <t>Blue = Inputs</t>
  </si>
  <si>
    <t>Green = Primary Links</t>
  </si>
  <si>
    <t>Black = Calculated fields</t>
  </si>
  <si>
    <t>Less: Change in Working Capital</t>
  </si>
  <si>
    <t>Less: Fixed Capital Investment</t>
  </si>
  <si>
    <t>Free Cash Flow to the Firm</t>
  </si>
  <si>
    <t>Discounted Period</t>
  </si>
  <si>
    <t>Projection Period Calculation</t>
  </si>
  <si>
    <t>Discounted FCF Assuming Discount Rates as Shown</t>
  </si>
  <si>
    <t>Cumulative Discounted Cash Flow over the Projection Period</t>
  </si>
  <si>
    <t>Terminal Value Calculation</t>
  </si>
  <si>
    <t>Terminal Year EBITDA</t>
  </si>
  <si>
    <t>Terminal Year FCF</t>
  </si>
  <si>
    <t>Terminal Year Discount Period</t>
  </si>
  <si>
    <t>Terminal Value</t>
  </si>
  <si>
    <t>Present Case</t>
  </si>
  <si>
    <t>Bear Case</t>
  </si>
  <si>
    <t>Bull Case</t>
  </si>
  <si>
    <t>Present Value of Terminal Vaslue</t>
  </si>
  <si>
    <t>EBITDA Multiple</t>
  </si>
  <si>
    <t>Discounted Cash Flow Summary</t>
  </si>
  <si>
    <t>Perpetual Growth Rate =</t>
  </si>
  <si>
    <t>Company Value Calculation</t>
  </si>
  <si>
    <t>Company Value</t>
  </si>
  <si>
    <t>Company Value Attribution</t>
  </si>
  <si>
    <t>% Value in Projection Period</t>
  </si>
  <si>
    <t>% Value in Terminus</t>
  </si>
  <si>
    <t>Implied Valuation Multiples</t>
  </si>
  <si>
    <t>Implied Terminal EBITDA Multiple</t>
  </si>
  <si>
    <t>FCF over Projection Period Terminus</t>
  </si>
  <si>
    <t>Company Value / 2018 Revenue</t>
  </si>
  <si>
    <t>Company Value / 2019 Revenue</t>
  </si>
  <si>
    <t>Company Value / 2018 EBITDA</t>
  </si>
  <si>
    <t>Company Value / 2019 EBITDA</t>
  </si>
  <si>
    <t>Weighted Average Cost of Capital</t>
  </si>
  <si>
    <t>Debt/ Capital Empoyed</t>
  </si>
  <si>
    <t>Cost of Debt</t>
  </si>
  <si>
    <t>Cost of Equity</t>
  </si>
  <si>
    <t>India Equity Risk Premium</t>
  </si>
  <si>
    <t>Tax Rate</t>
  </si>
  <si>
    <t>WACC</t>
  </si>
  <si>
    <t>Average % of Debt in Capital Structure</t>
  </si>
  <si>
    <t>Finance Cost</t>
  </si>
  <si>
    <t>Purchase of energy</t>
  </si>
  <si>
    <t>Other Non-current Assets</t>
  </si>
  <si>
    <t>Other Financial Assets</t>
  </si>
  <si>
    <t>security deposits+Prepaid Expenses</t>
  </si>
  <si>
    <t>Inventories - Stores and Spares</t>
  </si>
  <si>
    <t>Capital Advances</t>
  </si>
  <si>
    <t>Prepaid Expenses</t>
  </si>
  <si>
    <t>Current Tax Assets (TDS Advance+Others)</t>
  </si>
  <si>
    <t>Deferred Tax Liabilities (Net)</t>
  </si>
  <si>
    <t>Current Provision</t>
  </si>
  <si>
    <t>Unit 1 &amp; 2 - Plant availability factor</t>
  </si>
  <si>
    <t>Capacity Charges (For recovry of annual fixed cost components)</t>
  </si>
  <si>
    <t>Energy Charges (For recovery of primary and secondary fuel costs)</t>
  </si>
  <si>
    <t>Rupee depreciation per year
https://tradingeconomics.com/india/currency</t>
  </si>
  <si>
    <t>Cost, insurance, and freight (CIF) </t>
  </si>
  <si>
    <t>Secondary fuel (Rs. /KL)</t>
  </si>
  <si>
    <t>15 years Nifty 50 rate of return</t>
  </si>
  <si>
    <t>Levelized Tariff as per PPA (Rs. /kWh)</t>
  </si>
  <si>
    <t xml:space="preserve">Currently supplies at </t>
  </si>
  <si>
    <t>1 kW power rating in 1 hour</t>
  </si>
  <si>
    <t>1 Unit</t>
  </si>
  <si>
    <t>TM Bank</t>
  </si>
  <si>
    <t>IFCI Ltd</t>
  </si>
  <si>
    <t>Interest Rate till March 2023 (%)</t>
  </si>
  <si>
    <t>Depreciation rates for FY'23 till FY'27</t>
  </si>
  <si>
    <t>Tamil Nadu Mercantile Bank</t>
  </si>
  <si>
    <t>DEBT</t>
  </si>
  <si>
    <t>Current maturities of long-term borrowings</t>
  </si>
  <si>
    <t>From banks</t>
  </si>
  <si>
    <t>In Crs</t>
  </si>
  <si>
    <t>Outstanding Amount</t>
  </si>
  <si>
    <t xml:space="preserve">Opening balance </t>
  </si>
  <si>
    <t xml:space="preserve">Interest payment </t>
  </si>
  <si>
    <t>Principal Payment</t>
  </si>
  <si>
    <t>per annum FY 23 onwards</t>
  </si>
  <si>
    <t>Weighted Average Cost Of Capital</t>
  </si>
  <si>
    <t>https://kunaldesai.blog/nifty-returns/</t>
  </si>
  <si>
    <t>Cost of Equity (Nifty 50 10-year Return)</t>
  </si>
  <si>
    <t>Particular</t>
  </si>
  <si>
    <t>Weightage</t>
  </si>
  <si>
    <t>INR Lakhs, Unless Otherwise Specified</t>
  </si>
  <si>
    <t>Equity</t>
  </si>
  <si>
    <t>Company Risk Premium</t>
  </si>
  <si>
    <t>Appropriate Discount Rate</t>
  </si>
  <si>
    <t>Calculation of free Cash Flow to Firm (FCFF)</t>
  </si>
  <si>
    <t>Unlevered Free Cash Flow (UFCF)/ FCFF</t>
  </si>
  <si>
    <t>FCFF for Remaining Year</t>
  </si>
  <si>
    <t>Period</t>
  </si>
  <si>
    <t>Discount Factor</t>
  </si>
  <si>
    <t>PV of FCFF</t>
  </si>
  <si>
    <t>PV of Terminal Value</t>
  </si>
  <si>
    <t>PV of FCFF + PV of TV</t>
  </si>
  <si>
    <t>Enterprise Value Of the Firm</t>
  </si>
  <si>
    <t>FIRM VALUE: PERPETUITY GROWTH RATE METHOD</t>
  </si>
  <si>
    <t>PV of CF</t>
  </si>
  <si>
    <t>Firm Value (INR Crore)</t>
  </si>
  <si>
    <t>+</t>
  </si>
  <si>
    <t>=</t>
  </si>
  <si>
    <t>Scenario</t>
  </si>
  <si>
    <t>Enterprise Value</t>
  </si>
  <si>
    <t>INR 3,300.72 Lakhs</t>
  </si>
  <si>
    <t>No. days</t>
  </si>
  <si>
    <t>Total No. days</t>
  </si>
  <si>
    <t>Salvage
value</t>
  </si>
  <si>
    <t>Life/ Depreciation %</t>
  </si>
  <si>
    <t>(Rs. In Lakhs)</t>
  </si>
  <si>
    <t>Investment Property-Freehold Land</t>
  </si>
  <si>
    <t>Addition</t>
  </si>
  <si>
    <t>Deduction</t>
  </si>
  <si>
    <t>Asset Write off (Net block)</t>
  </si>
  <si>
    <t>Buildings</t>
  </si>
  <si>
    <t>Furniture and Fixtures</t>
  </si>
  <si>
    <t>Office Equipments</t>
  </si>
  <si>
    <t>Computers</t>
  </si>
  <si>
    <t>Motor Vehicle</t>
  </si>
  <si>
    <t>Intangible Asset- Computer Software</t>
  </si>
  <si>
    <t>Figures in INR Crores</t>
  </si>
  <si>
    <t>Capex During the year</t>
  </si>
  <si>
    <t>Revenue from Salvage Value</t>
  </si>
  <si>
    <t>Depreciation for the year</t>
  </si>
  <si>
    <t>Plant &amp; Equipment</t>
  </si>
  <si>
    <t xml:space="preserve">Leasehold </t>
  </si>
  <si>
    <t>WPI Calculations</t>
  </si>
  <si>
    <t>COMM_NAME</t>
  </si>
  <si>
    <t>INDEX2011-2012 (Base Case)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</si>
  <si>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</si>
  <si>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</si>
  <si>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</si>
  <si>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</si>
  <si>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</si>
  <si>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</si>
  <si>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</si>
  <si>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</si>
  <si>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</si>
  <si>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</si>
  <si>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</si>
  <si>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All commodities</t>
  </si>
  <si>
    <t>Compounded WPI from 2012-13 to 2018-19 is 2.61%</t>
  </si>
  <si>
    <t>Expected WPI</t>
  </si>
  <si>
    <t>Escalation Rate for Capital Assets</t>
  </si>
  <si>
    <t>%</t>
  </si>
  <si>
    <t>WORKING CAPITAL</t>
  </si>
  <si>
    <t>D_S_O</t>
  </si>
  <si>
    <t>Total Revenue</t>
  </si>
  <si>
    <t>D_I_O</t>
  </si>
  <si>
    <t>Inventories</t>
  </si>
  <si>
    <t>Cost of Materials Consumed</t>
  </si>
  <si>
    <t>D_P_O</t>
  </si>
  <si>
    <t>NWC</t>
  </si>
  <si>
    <t>INR Lakhs</t>
  </si>
  <si>
    <t>Revenue Earned</t>
  </si>
  <si>
    <t>Raw Material paid cost</t>
  </si>
  <si>
    <t>INR Crore</t>
  </si>
  <si>
    <t>Amount Payable</t>
  </si>
  <si>
    <t>Change in Working Capital</t>
  </si>
  <si>
    <t>Crs</t>
  </si>
  <si>
    <t>O&amp;M Expenses for FY'23 (Rs. Lakh/ MW)</t>
  </si>
  <si>
    <t xml:space="preserve">COASTAL ENERGEN PRIVATE LIMITED </t>
  </si>
  <si>
    <t>COASTAL ENERGEN PRIVATE LIMITED</t>
  </si>
  <si>
    <t>Days sales outstanding</t>
  </si>
  <si>
    <t>Days payable outstanding</t>
  </si>
  <si>
    <t>Days inventory outstanding</t>
  </si>
  <si>
    <t>Net Working Capital</t>
  </si>
  <si>
    <t>Represents Interest Income from Money kept as margin</t>
  </si>
  <si>
    <t>Cr per MW</t>
  </si>
  <si>
    <t>EBITDA Margin</t>
  </si>
  <si>
    <t>PAT Margin</t>
  </si>
  <si>
    <t>EBIT Margin</t>
  </si>
  <si>
    <t>Total revenue</t>
  </si>
  <si>
    <t>EBITDA Margin %</t>
  </si>
  <si>
    <t>EBIT Margin %</t>
  </si>
  <si>
    <t>Net Profit Margin %</t>
  </si>
  <si>
    <t>Revenue Growth Rate (Y.O.Y.)</t>
  </si>
  <si>
    <t xml:space="preserve">Revenue from sale of power </t>
  </si>
  <si>
    <t>FGD Installation cost</t>
  </si>
  <si>
    <t>Cost per MW (A)</t>
  </si>
  <si>
    <t>INR 1.14 Crores</t>
  </si>
  <si>
    <t>Operational Capacity of the Plant (B)</t>
  </si>
  <si>
    <t>1200 MW</t>
  </si>
  <si>
    <t>Total Cost (A * B) in Crs</t>
  </si>
  <si>
    <t>FY-24</t>
  </si>
  <si>
    <t>FY-25</t>
  </si>
  <si>
    <t>FY-26</t>
  </si>
  <si>
    <t>FY-27</t>
  </si>
  <si>
    <t>FY-28</t>
  </si>
  <si>
    <t>FY-29</t>
  </si>
  <si>
    <t>FY-30</t>
  </si>
  <si>
    <t>FY-31</t>
  </si>
  <si>
    <t>FY-32</t>
  </si>
  <si>
    <t>FY-33</t>
  </si>
  <si>
    <t>FY-34</t>
  </si>
  <si>
    <t>FY-35</t>
  </si>
  <si>
    <t>FY-36</t>
  </si>
  <si>
    <t>FY-37</t>
  </si>
  <si>
    <t>FY-38</t>
  </si>
  <si>
    <t>FY-39</t>
  </si>
  <si>
    <t>FY-40</t>
  </si>
  <si>
    <t>FY-41</t>
  </si>
  <si>
    <t>https://pib.gov.in/PressReleaseIframePage.aspx?PRID=1943363</t>
  </si>
  <si>
    <t>FGD Guidelines</t>
  </si>
  <si>
    <t>Cost Economics: Implications of installing FGD systems in TPPs - Power Line Magazine</t>
  </si>
  <si>
    <t>Tariff after FGD implimentation</t>
  </si>
  <si>
    <t>For Unit 2, as company doesn't have long term PPA and currently it's PLF is 42% aproximatly. Therefore, being optimistic, we have assumed 40% PLF in first year. For next four years we have considered a study growth of 5% in PLF. Than after every forth year we have considered 5% escalation as for unit 2 company is selling power in open market. And in the end PLF reaches to 85%.</t>
  </si>
  <si>
    <t>For Unit 1, as company have long term PPA, we have assumed 30% PLF in the first forcasted year, as after availability of working capital, plant will start generating power. After that for next 2 years we have given 20% escalation, as company is suppose to optimise its production in line with historicals (when plant had enough working capital). Than we have considered 5% increment in PLF,after every 4th year for stability. And in the end PLF reaches to 85%.</t>
  </si>
  <si>
    <t>Because of FGD plant installation 10% increment is given in tariff rates</t>
  </si>
  <si>
    <t>Per MW Cost</t>
  </si>
  <si>
    <t>per MT Cost</t>
  </si>
  <si>
    <t>Current Inflation rate</t>
  </si>
  <si>
    <t>Oil Expenses/Fuel/ Spares/ DSM/POC (d)</t>
  </si>
  <si>
    <t>Revenue - 2225 crs-current year till october 2023</t>
  </si>
  <si>
    <t>MT</t>
  </si>
  <si>
    <t>Coal consumption per MT</t>
  </si>
  <si>
    <t>O&amp;M Expenses &amp; Admin</t>
  </si>
  <si>
    <t>Apr 1, 2022 to
Mar 31, 2023</t>
  </si>
  <si>
    <t>Apr 1, 2021 to
Mar 31, 2022</t>
  </si>
  <si>
    <t>Apr 1, 2020 to
Mar 31, 2021</t>
  </si>
  <si>
    <t>Coal Consumption (Cr)</t>
  </si>
  <si>
    <t>Per MT Cost</t>
  </si>
  <si>
    <t>Coal Consumption (MT)</t>
  </si>
  <si>
    <t>Capital Work in progress temprorily suspended - More then 3 years</t>
  </si>
  <si>
    <t>Coal (hba2) (USD/ton)</t>
  </si>
  <si>
    <t>Average</t>
  </si>
  <si>
    <t>Coal (hba2) (Rs/ton) - 22-12-2023</t>
  </si>
  <si>
    <t>Rs</t>
  </si>
  <si>
    <t>FOB IN $</t>
  </si>
  <si>
    <t>Transportation cost</t>
  </si>
  <si>
    <t>Apr 1, 2023 to Nov 30 , 2023</t>
  </si>
  <si>
    <t>PLF</t>
  </si>
  <si>
    <t>5% GST</t>
  </si>
  <si>
    <t>Cess</t>
  </si>
  <si>
    <t>Further to discussion, please find attached copy latest operational update as on 30.11.2023 for your perusal. Moreover, please also find below link for HBA 2 index (month wise) given in Ministry of Indonesia towards 4200 GCV coal and link for yearly average of tariff at energy exchange.</t>
  </si>
  <si>
    <t>https://www.minerba.esdm.go.id/harga_acuan</t>
  </si>
  <si>
    <t>https://www.iexindia.com/marketdata/areaprice.aspx</t>
  </si>
  <si>
    <t>https://www.shaktifoundation.in/wp-content/uploads/2014/02/Whitepaper-Thermal-Power-FINAL.pdf</t>
  </si>
  <si>
    <t>In plants having been in operation for more than 25 years, efficiency degrades and capacity gets reduced.</t>
  </si>
  <si>
    <t>Area Prices | Indian Energy Exchange Ltd (iexindia.com)</t>
  </si>
  <si>
    <t>For Unit 2 tariff rate</t>
  </si>
  <si>
    <t>cost insurance friate</t>
  </si>
  <si>
    <t>COD (page no 21 of the IM)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</si>
</sst>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7">
    <numFmt numFmtId="7" formatCode="&quot;₹&quot;\ #,##0.00;&quot;₹&quot;\ \-#,##0.00"/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&quot;$&quot;#,##0.00_);\(&quot;$&quot;#,##0.00\)"/>
    <numFmt numFmtId="166" formatCode="&quot;$&quot;#,##0.00_);[Red]\(&quot;$&quot;#,##0.00\)"/>
    <numFmt numFmtId="167" formatCode="_(&quot;$&quot;* #,##0_);_(&quot;$&quot;* \(#,##0\);_(&quot;$&quot;* &quot;-&quot;_);_(@_)"/>
    <numFmt numFmtId="168" formatCode="_-&quot;$&quot;\ * #,##0.00_-;\-&quot;$&quot;\ * #,##0.00_-;_-&quot;$&quot;\ * &quot;-&quot;??_-;_-@_-"/>
    <numFmt numFmtId="169" formatCode="0.0%"/>
    <numFmt numFmtId="170" formatCode="0\A"/>
    <numFmt numFmtId="171" formatCode="_-* #,##0.00\ [$€]_-;\-* #,##0.00\ [$€]_-;_-* &quot;-&quot;??\ [$€]_-;_-@_-"/>
    <numFmt numFmtId="172" formatCode="#,##0.0_);\(#,##0.0\)"/>
    <numFmt numFmtId="173" formatCode="&quot;€&quot;_(#,##0.00_);&quot;€&quot;\(#,##0.00\);&quot;€&quot;_(0.00_);@_)"/>
    <numFmt numFmtId="174" formatCode="mmm\-yyyy"/>
    <numFmt numFmtId="175" formatCode="#,##0_);\(#,##0\);&quot; - &quot;"/>
    <numFmt numFmtId="176" formatCode="_(* #,##0.00_);_(* \(#,##0.00\);_(* &quot;-&quot;??_);_(@_)"/>
    <numFmt numFmtId="177" formatCode="#,##0.000;\(#,##0.000\)"/>
    <numFmt numFmtId="178" formatCode="_(&quot;$&quot;* #,##0_);_(&quot;$&quot;* \(#,##0\);_(&quot;$&quot;* &quot;-&quot;??_);_(@_)"/>
    <numFmt numFmtId="179" formatCode="General_)"/>
    <numFmt numFmtId="180" formatCode="[$-409]d\-mmm\-yy;@"/>
    <numFmt numFmtId="181" formatCode="#,##0.0000_);\(#,##0.0000\)"/>
    <numFmt numFmtId="182" formatCode="_-* #,##0_-;\-* #,##0_-;_-* &quot;-&quot;_-;_-@_-"/>
    <numFmt numFmtId="183" formatCode="_([$€-2]* #,##0.00_);_([$€-2]* \(#,##0.00\);_([$€-2]* &quot;-&quot;??_)"/>
    <numFmt numFmtId="184" formatCode="0.000000"/>
    <numFmt numFmtId="185" formatCode="&quot;$&quot;_(#,##0.00_);&quot;$&quot;\(#,##0.00\);&quot;$&quot;_(0.00_);@_)"/>
    <numFmt numFmtId="186" formatCode="#,##0.0\%_);\(#,##0.0\%\);#,##0.0\%_);@_)"/>
    <numFmt numFmtId="187" formatCode="0.00\%;\-0.00\%;0.00\%"/>
    <numFmt numFmtId="188" formatCode="_(&quot;$&quot;* #,##0.0_);_(&quot;$&quot;* \(#,##0.0\);_(&quot;$&quot;* &quot;-&quot;??_);_(@_)"/>
    <numFmt numFmtId="189" formatCode="_(* #,##0.0_);_(* \(#,##0.0\);_(* &quot;-&quot;?_);_(@_)"/>
    <numFmt numFmtId="190" formatCode="#,##0.0_);\(#,##0.0\);\-_)"/>
    <numFmt numFmtId="191" formatCode="mmm/yyyy;_-\ &quot;N/A&quot;_-;_-\ &quot;-&quot;_-"/>
    <numFmt numFmtId="192" formatCode="0.0&quot;  &quot;"/>
    <numFmt numFmtId="193" formatCode="_(* #,##0.00000_);_(* \(#,##0.00000\);_(* &quot;-&quot;??_);_(@_)"/>
    <numFmt numFmtId="194" formatCode="_-* #,##0.00\ &quot;Pts&quot;_-;\-* #,##0.00\ &quot;Pts&quot;_-;_-* &quot;-&quot;??\ &quot;Pts&quot;_-;_-@_-"/>
    <numFmt numFmtId="195" formatCode="mmm/yyyy_);;&quot;-  &quot;;&quot;  &quot;@"/>
    <numFmt numFmtId="196" formatCode="_-* #,##0.00_-;[Red]\ \(#,##0.00\);_-* &quot;-&quot;??_-;_-@_-"/>
    <numFmt numFmtId="197" formatCode="_ * #,##0.00_)_£_ ;_ * \(#,##0.00\)_£_ ;_ * &quot;-&quot;??_)_£_ ;_ @_ "/>
    <numFmt numFmtId="198" formatCode="#,##0.00;[Red]\(#,##0.00\)"/>
    <numFmt numFmtId="199" formatCode="_(* #,##0_);_(* \(#,##0\);_(* &quot;-&quot;_);_(@_)"/>
    <numFmt numFmtId="200" formatCode="_-* #,##0.00\ &quot;S/.&quot;_-;\-* #,##0.00\ &quot;S/.&quot;_-;_-* &quot;-&quot;??\ &quot;S/.&quot;_-;_-@_-"/>
    <numFmt numFmtId="201" formatCode="_-* #,##0\ &quot;F&quot;_-;\-* #,##0\ &quot;F&quot;_-;_-* &quot;-&quot;\ &quot;F&quot;_-;_-@_-"/>
    <numFmt numFmtId="202" formatCode="&quot;$&quot;#,##0;[Red]&quot;$&quot;#,##0"/>
    <numFmt numFmtId="203" formatCode="#,##0.0\ ;\(#,##0.0\)"/>
    <numFmt numFmtId="204" formatCode="#,##0.00000000;[Red]\-#,##0.00000000"/>
    <numFmt numFmtId="205" formatCode="0.00_)"/>
    <numFmt numFmtId="206" formatCode="m/d/yy&quot; E&quot;"/>
    <numFmt numFmtId="207" formatCode="_-* #,##0_-;_-* #,##0\-;_-* &quot;-&quot;_-;_-@_-"/>
    <numFmt numFmtId="208" formatCode="#,##0.0;\(#,##0.0\)"/>
    <numFmt numFmtId="209" formatCode="#,##0.0_);[Red]\(#,##0.0\)"/>
    <numFmt numFmtId="210" formatCode="#,##0_);\(#,##0\);&quot;&quot;"/>
    <numFmt numFmtId="211" formatCode="#,##0.0_);[Red]\(#,##0.00\)"/>
    <numFmt numFmtId="212" formatCode="0.0\x_);&quot;nm&quot;_);\-??"/>
    <numFmt numFmtId="213" formatCode="_-* #,##0_-;\-* #,##0_-;_-* &quot;-&quot;??_-;_-@_-"/>
    <numFmt numFmtId="214" formatCode="0.0%&quot;NWI/Sls&quot;"/>
    <numFmt numFmtId="215" formatCode="_ * #,##0_)\ _$_ ;_ * \(#,##0\)\ _$_ ;_ * &quot;-&quot;_)\ _$_ ;_ @_ "/>
    <numFmt numFmtId="216" formatCode="#,##0.00_)&quot; &quot;;[Red]\(#,##0.00\)&quot; &quot;"/>
    <numFmt numFmtId="217" formatCode="&quot;$&quot;#,##0.0;\(&quot;$&quot;#,##0.0\)"/>
    <numFmt numFmtId="218" formatCode="&quot;$&quot;#,##0_%_);\(&quot;$&quot;#,##0\)_%;&quot;$&quot;#,##0_%_);@_%_)"/>
    <numFmt numFmtId="219" formatCode="_-* #,##0_-;\(#,##0\);_-* &quot;–&quot;_-;_-@_-"/>
    <numFmt numFmtId="220" formatCode="_-* #,##0.00_-;\-* #,##0.00_-;_-* &quot;-&quot;??_-;_-@_-"/>
    <numFmt numFmtId="221" formatCode="#,##0\ &quot;€&quot;;\-#,##0\ &quot;€&quot;"/>
    <numFmt numFmtId="222" formatCode="#,"/>
    <numFmt numFmtId="223" formatCode="#,##0_);[Red]\(#,##0\);\-_)"/>
    <numFmt numFmtId="224" formatCode="_(* #,##0.0000_);_(* \(#,##0.0000\);_(* &quot;-&quot;??_);_(@_)"/>
    <numFmt numFmtId="225" formatCode="0.0_)\%;\(0.0\)\%;0.0_)\%;@_)_%"/>
    <numFmt numFmtId="226" formatCode="_(* #,##0.0_);_(* \(#,##0.0\);_(* &quot;-&quot;??_);_(@_)"/>
    <numFmt numFmtId="227" formatCode="&quot;$&quot;#,##0_);\(&quot;$&quot;#,##0\)"/>
    <numFmt numFmtId="228" formatCode="#,##0.0_)_%;\(#,##0.0\)_%;0.0_)_%;@_)_%"/>
    <numFmt numFmtId="229" formatCode="#.000"/>
    <numFmt numFmtId="230" formatCode="[$-409]mmm/yy;@"/>
    <numFmt numFmtId="231" formatCode="\¥\ #,##0_);[Red]\(\¥\ #,##0\)"/>
    <numFmt numFmtId="232" formatCode="#,##0.0"/>
    <numFmt numFmtId="233" formatCode="0.0"/>
    <numFmt numFmtId="234" formatCode="0.0\x;&quot;NM &quot;"/>
    <numFmt numFmtId="235" formatCode="#,##0_);\(#,##0\);\-??"/>
    <numFmt numFmtId="236" formatCode="&quot;£&quot;#,##0.00;[Red]\-&quot;£&quot;#,##0.00"/>
    <numFmt numFmtId="237" formatCode="&quot;£&quot;\ #,##0_);[Red]\(&quot;£&quot;\ #,##0\)"/>
    <numFmt numFmtId="238" formatCode="_-#,##0.00_-;\(#,##0.00\);_-\ \ &quot;-&quot;_-;_-@_-"/>
    <numFmt numFmtId="239" formatCode="#,##0.00_);\(#,##0.00\);0.00_);@_)"/>
    <numFmt numFmtId="240" formatCode="&quot;•&quot;\ \ @"/>
    <numFmt numFmtId="241" formatCode="#,##0.0_)\x;\(#,##0.0\)\x;0.0_)\x;@_)_x"/>
    <numFmt numFmtId="242" formatCode="\ \ _•&quot;–&quot;\ \ \ \ @"/>
    <numFmt numFmtId="243" formatCode="yyyy"/>
    <numFmt numFmtId="244" formatCode="&quot;$&quot;#,##0\ ;\(&quot;$&quot;#,##0\)"/>
    <numFmt numFmtId="245" formatCode="#,##0.0_);\(#,##0.0\);#,##0.0_);@_)"/>
    <numFmt numFmtId="246" formatCode="_-&quot;L.&quot;\ * #,##0_-;\-&quot;L.&quot;\ * #,##0_-;_-&quot;L.&quot;\ * &quot;-&quot;_-;_-@_-"/>
    <numFmt numFmtId="247" formatCode="&quot;$&quot;#,##0.00_);[Red]\(&quot;$&quot;#,##0.00\);&quot;--  &quot;;_(@_)"/>
    <numFmt numFmtId="248" formatCode="_ * #,##0.00_)&quot;£&quot;_ ;_ * \(#,##0.00\)&quot;£&quot;_ ;_ * &quot;-&quot;??_)&quot;£&quot;_ ;_ @_ "/>
    <numFmt numFmtId="249" formatCode="_-* #,##0\ _D_M_-;\-* #,##0\ _D_M_-;_-* &quot;-&quot;\ _D_M_-;_-@_-"/>
    <numFmt numFmtId="250" formatCode="_([$€]* #,##0.00_);_([$€]* \(#,##0.00\);_([$€]* &quot;-&quot;??_);_(@_)"/>
    <numFmt numFmtId="251" formatCode="0.00%;[Red]\(0.00%\)"/>
    <numFmt numFmtId="252" formatCode="#,##0_);\(#,##0\);&quot;-  &quot;"/>
    <numFmt numFmtId="253" formatCode="0.0%&quot;NetPPE/sales&quot;"/>
    <numFmt numFmtId="254" formatCode="#,##0.0_)_x;\(#,##0.0\)_x;0.0_)_x;@_)_x"/>
    <numFmt numFmtId="255" formatCode="0.0_)\%;\(0.0\)\%"/>
    <numFmt numFmtId="256" formatCode="#,##0.0_)_%;\(#,##0.0\)_%"/>
    <numFmt numFmtId="257" formatCode="&quot;£&quot;#,##0_);\(&quot;£&quot;#,##0\)"/>
    <numFmt numFmtId="258" formatCode="###0_);\(###0\)"/>
    <numFmt numFmtId="259" formatCode="#,##0.0\x_);\(#,##0.0\x\);#,##0.0\x_);@_)"/>
    <numFmt numFmtId="260" formatCode=";;;"/>
    <numFmt numFmtId="261" formatCode="&quot;• &quot;\ @"/>
    <numFmt numFmtId="262" formatCode="_-* #,##0.00_-;_-* #,##0.00\-;_-* &quot;-&quot;??_-;_-@_-"/>
    <numFmt numFmtId="263" formatCode="0.0%_);\(0.0%\)"/>
    <numFmt numFmtId="264" formatCode="#\ ##0"/>
    <numFmt numFmtId="265" formatCode="[&gt;1]&quot;10Q: &quot;0&quot; qtrs&quot;;&quot;10Q: &quot;0&quot; qtr&quot;"/>
    <numFmt numFmtId="266" formatCode="_(&quot;Cr$&quot;* #,##0_);_(&quot;Cr$&quot;* \(#,##0\);_(&quot;Cr$&quot;* &quot;-&quot;_);_(@_)"/>
    <numFmt numFmtId="267" formatCode="_(* #,##0_);_(* \(#,##0\);_(* &quot;-&quot;\ \ _);@"/>
    <numFmt numFmtId="268" formatCode="* #,##0\ ;* \(#,##0\);* &quot; - &quot;;* @\ "/>
    <numFmt numFmtId="269" formatCode="0.00_);\(0.00\)"/>
    <numFmt numFmtId="270" formatCode="mmm\-d\-yyyy"/>
    <numFmt numFmtId="271" formatCode="0&quot; bp&quot;"/>
    <numFmt numFmtId="272" formatCode="_(* #,##0.0_);_(* \(#,##0.0\);_(* &quot;--- &quot;_)"/>
    <numFmt numFmtId="273" formatCode="#."/>
    <numFmt numFmtId="274" formatCode="_(#,##0.0_);[Red]_(\(#,##0.0\);\ &quot;-- &quot;"/>
    <numFmt numFmtId="275" formatCode="#,##0.00\x_);[Red]\(#,##0.00\x\);&quot;--  &quot;"/>
    <numFmt numFmtId="276" formatCode="#,##0;\(#,##0\)"/>
    <numFmt numFmtId="277" formatCode="_(&quot;$&quot;\ * #,##0.00_);_(&quot;$&quot;\ * \(#,##0.00\);_(&quot;$&quot;\ * &quot;-&quot;??_);_(@_)"/>
    <numFmt numFmtId="278" formatCode="0.0000"/>
    <numFmt numFmtId="279" formatCode="_-#,##0_-;\(#,##0\);_-\ \ &quot;-&quot;_-;_-@_-"/>
    <numFmt numFmtId="280" formatCode="mmm/dd/yyyy;_-\ &quot;N/A&quot;_-;_-\ &quot;-&quot;_-"/>
    <numFmt numFmtId="281" formatCode="_-#,##0%_-;\(#,##0%\);_-\ &quot;-&quot;_-"/>
    <numFmt numFmtId="282" formatCode="_-#,###,_-;\(#,###,\);_-\ \ &quot;-&quot;_-;_-@_-"/>
    <numFmt numFmtId="283" formatCode="_-#,###.00,_-;\(#,###.00,\);_-\ \ &quot;-&quot;_-;_-@_-"/>
    <numFmt numFmtId="284" formatCode="_-#0&quot;.&quot;0,_-;\(#0&quot;.&quot;0,\);_-\ \ &quot;-&quot;_-;_-@_-"/>
    <numFmt numFmtId="285" formatCode="_-#0&quot;.&quot;0000_-;\(#0&quot;.&quot;0000\);_-\ \ &quot;-&quot;_-;_-@_-"/>
    <numFmt numFmtId="286" formatCode="0.00000000%"/>
    <numFmt numFmtId="287" formatCode="m/yy"/>
    <numFmt numFmtId="288" formatCode="0.000"/>
    <numFmt numFmtId="289" formatCode="#,##0.0_);[Red]\(#,##0.0\);&quot;--  &quot;"/>
    <numFmt numFmtId="290" formatCode="mmm\ d\,\ yyyy"/>
    <numFmt numFmtId="291" formatCode="_-* #,##0.00\ _€_-;\-* #,##0.00\ _€_-;_-* &quot;-&quot;??\ _€_-;_-@_-"/>
    <numFmt numFmtId="292" formatCode="&quot;$&quot;#,##0.00;[Red]\-&quot;$&quot;#,##0.00"/>
    <numFmt numFmtId="293" formatCode="_ * #,##0_)\ _R_$_ ;_ * \(#,##0\)\ _R_$_ ;_ * &quot;-&quot;_)\ _R_$_ ;_ @_ "/>
    <numFmt numFmtId="294" formatCode="_-[$€-2]\ * #,##0.00_-;\-[$€-2]\ * #,##0.00_-;_-[$€-2]\ * &quot;-&quot;??_-"/>
    <numFmt numFmtId="295" formatCode="0.0\x_)"/>
    <numFmt numFmtId="296" formatCode="_-* #,##0.00\ _д_е_н_._-;\-* #,##0.00\ _д_е_н_._-;_-* &quot;-&quot;??\ _д_е_н_._-;_-@_-"/>
    <numFmt numFmtId="297" formatCode="[Magenta]&quot;Err&quot;;[Magenta]&quot;Err&quot;;[Blue]&quot;OK&quot;"/>
    <numFmt numFmtId="298" formatCode="_(* #,##0_);_(* \(#,##0\);_(* &quot;-&quot;??_);_(@_)"/>
    <numFmt numFmtId="299" formatCode="[$-14009]dd\ mmmm\ yyyy;@"/>
    <numFmt numFmtId="300" formatCode="0.0_)%;[Red]\(0.0%\);0.0_)%"/>
    <numFmt numFmtId="301" formatCode="&quot;$&quot;#,##0.000_);\(&quot;$&quot;#,##0.000\)"/>
    <numFmt numFmtId="302" formatCode="_(\¥* #,##0_);_(\¥* \(#,##0\);_(\¥* &quot;-&quot;_);_(@_)"/>
    <numFmt numFmtId="303" formatCode="&quot;$&quot;#,##0.0_);[Red]\(&quot;$&quot;#,##0.0\)"/>
    <numFmt numFmtId="304" formatCode="_-* #,##0.00\ _S_/_._-;\-* #,##0.00\ _S_/_._-;_-* &quot;-&quot;??\ _S_/_._-;_-@_-"/>
    <numFmt numFmtId="305" formatCode="&quot;$&quot;0.00;\(&quot;$&quot;0.00\)"/>
    <numFmt numFmtId="306" formatCode="_-* #,##0\ _S_/_._-;\-* #,##0\ _S_/_._-;_-* &quot;-&quot;\ _S_/_._-;_-@_-"/>
    <numFmt numFmtId="307" formatCode="0.0000%"/>
    <numFmt numFmtId="308" formatCode="#,##0.0\x;\(#,##0.0\)\x"/>
    <numFmt numFmtId="309" formatCode="mmm\ yyyy"/>
    <numFmt numFmtId="310" formatCode="[Red][&gt;1]&quot;&gt;100 %&quot;;[Red]\(0.0%\);0.0_)%"/>
    <numFmt numFmtId="311" formatCode="#,##0.0;\(###0.0\)"/>
    <numFmt numFmtId="312" formatCode="dd\ mmm\ yyyy_);;;&quot;  &quot;@"/>
    <numFmt numFmtId="313" formatCode="#,##0.0_)\ ;[Red]\(#,##0.0\)\ "/>
    <numFmt numFmtId="314" formatCode="&quot;yes&quot;;&quot;no&quot;;&quot;no&quot;"/>
    <numFmt numFmtId="315" formatCode="#,##0.000_);[Red]\(#,##0.000\)"/>
    <numFmt numFmtId="316" formatCode="0&quot; years&quot;_)"/>
    <numFmt numFmtId="317" formatCode="#\ ###\ ###\ ###\ ##0.00"/>
    <numFmt numFmtId="318" formatCode="#,##0_%_);\(#,##0\)_%;#,##0_%_);@_%_)"/>
    <numFmt numFmtId="319" formatCode="#,###"/>
    <numFmt numFmtId="320" formatCode="mmm\-d\-yy"/>
    <numFmt numFmtId="321" formatCode="#,##0.0_);[Red]\(#,##0.0\);&quot;N/A &quot;"/>
    <numFmt numFmtId="322" formatCode="_(* #,##0_);_(* \(#,##0\);_(* &quot;-&quot;\ \ _);@\ &quot; (HHV)&quot;"/>
    <numFmt numFmtId="323" formatCode="_-&quot;fl&quot;\ * #,##0_-;_-&quot;fl&quot;\ * #,##0\-;_-&quot;fl&quot;\ * &quot;-&quot;_-;_-@_-"/>
    <numFmt numFmtId="324" formatCode="&quot;YEAR&quot;\ 0"/>
    <numFmt numFmtId="325" formatCode="#,##0%_);\(#,##0%\)"/>
    <numFmt numFmtId="326" formatCode="_(&quot;Cr$&quot;* #,##0.00_);_(&quot;Cr$&quot;* \(#,##0.00\);_(&quot;Cr$&quot;* &quot;-&quot;??_);_(@_)"/>
    <numFmt numFmtId="327" formatCode="_-* #,##0\ &quot;S/.&quot;_-;\-* #,##0\ &quot;S/.&quot;_-;_-* &quot;-&quot;\ &quot;S/.&quot;_-;_-@_-"/>
    <numFmt numFmtId="328" formatCode="#,##0&quot; &quot;\ &quot; &quot;;[Red]\(#,##0\)\ &quot; &quot;;&quot;—&quot;&quot; &quot;&quot; &quot;&quot; &quot;&quot; &quot;"/>
    <numFmt numFmtId="329" formatCode="&quot;£&quot;#,##0.00;\-&quot;£&quot;#,##0.00"/>
    <numFmt numFmtId="330" formatCode="0%_);\(0%\)"/>
    <numFmt numFmtId="331" formatCode="_-* #,##0\ _F_-;\-* #,##0\ _F_-;_-* &quot;-&quot;\ _F_-;_-@_-"/>
    <numFmt numFmtId="332" formatCode="0.0%;\(0.0%\)"/>
    <numFmt numFmtId="333" formatCode="0.0%;[Red]\(0.0%\);&quot;--  &quot;"/>
    <numFmt numFmtId="334" formatCode="0.0%;[Red]\(0.0%\)"/>
    <numFmt numFmtId="335" formatCode="0.000%;[Red]\(0.000%\)"/>
    <numFmt numFmtId="336" formatCode="0.000%;;&quot;-- &quot;"/>
    <numFmt numFmtId="337" formatCode="0.0%&quot;Sales&quot;"/>
    <numFmt numFmtId="338" formatCode="#,##0_);\(#,##0\);0_)"/>
    <numFmt numFmtId="339" formatCode="&quot;Proj &quot;0;;"/>
    <numFmt numFmtId="340" formatCode="0.00000000000000000%"/>
    <numFmt numFmtId="341" formatCode="mm/dd/yy"/>
    <numFmt numFmtId="342" formatCode="#,##0.0_);\(#,##0.0\);\-??"/>
    <numFmt numFmtId="343" formatCode="#,##0.00_);\(#,##0.00\);\-??"/>
    <numFmt numFmtId="344" formatCode="_ * #,##0.00_)\ _R_$_ ;_ * \(#,##0.00\)\ _R_$_ ;_ * &quot;-&quot;??_)\ _R_$_ ;_ @_ "/>
    <numFmt numFmtId="345" formatCode="#,##0\ &quot;F&quot;;[Red]\-#,##0\ &quot;F&quot;"/>
    <numFmt numFmtId="346" formatCode="#,##0.00\ &quot;F&quot;;\-#,##0.00\ &quot;F&quot;"/>
    <numFmt numFmtId="347" formatCode="&quot;TFCF: &quot;#,##0_);[Red]&quot;No! &quot;\(#,##0\)"/>
    <numFmt numFmtId="348" formatCode="&quot;$&quot;#,##0.0;\(&quot;$&quot;##,#00.0\)"/>
    <numFmt numFmtId="349" formatCode="&quot;$&quot;#,##0.00;\(&quot;$&quot;##,#00.0\)"/>
    <numFmt numFmtId="350" formatCode="_-&quot;$&quot;* #,##0_-;\-&quot;$&quot;* #,##0_-;_-&quot;$&quot;* &quot;-&quot;_-;_-@_-"/>
    <numFmt numFmtId="351" formatCode="_-&quot;fl&quot;\ * #,##0.00_-;_-&quot;fl&quot;\ * #,##0.00\-;_-&quot;fl&quot;\ * &quot;-&quot;??_-;_-@_-"/>
    <numFmt numFmtId="352" formatCode="_ * #,##0_)\ &quot;$&quot;_ ;_ * \(#,##0\)\ &quot;$&quot;_ ;_ * &quot;-&quot;_)\ &quot;$&quot;_ ;_ @_ "/>
    <numFmt numFmtId="353" formatCode="&quot;･&quot;#,##0;[Red]\(&quot;･&quot;#,##0\)"/>
    <numFmt numFmtId="354" formatCode="_-&quot;$&quot;* #,##0.00_-;\-&quot;$&quot;* #,##0.00_-;_-&quot;$&quot;* &quot;-&quot;??_-;_-@_-"/>
    <numFmt numFmtId="355" formatCode="&quot;\&quot;#,##0.00;[Red]&quot;\&quot;\-#,##0.00"/>
    <numFmt numFmtId="356" formatCode="&quot;\&quot;#,##0;[Red]&quot;\&quot;\-#,##0"/>
    <numFmt numFmtId="357" formatCode="0.00_ "/>
    <numFmt numFmtId="358" formatCode="0.00_);[Red]\(0.00\)"/>
    <numFmt numFmtId="359" formatCode="_(* #,##0.00_);_(* \(#,##0.00\);_(* &quot;-&quot;??.00_);_(@_)"/>
    <numFmt numFmtId="360" formatCode="_(* #,##0.0000000_);_(* \(#,##0.0000000\);_(* &quot;-&quot;??_);_(@_)"/>
    <numFmt numFmtId="361" formatCode="[$-409]d/mmm/yy;@"/>
    <numFmt numFmtId="362" formatCode="0_)"/>
    <numFmt numFmtId="363" formatCode="0.00000%"/>
    <numFmt numFmtId="364" formatCode="#,##0_);\(#,##0\);#,##0_);@_)"/>
    <numFmt numFmtId="365" formatCode="0.000%"/>
    <numFmt numFmtId="366" formatCode="_(* #,##0.000_);_(* \(#,##0.000\);_(* &quot;-&quot;??_);_(@_)"/>
    <numFmt numFmtId="367" formatCode="0.00;[Red]0.00"/>
    <numFmt numFmtId="368" formatCode="&quot;FY&quot;\ 0\ &quot;A&quot;"/>
  </numFmts>
  <fonts count="392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Book Antiqua"/>
      <family val="1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.05"/>
      <color indexed="8"/>
      <name val="Calibri"/>
      <family val="2"/>
    </font>
    <font>
      <b/>
      <u/>
      <sz val="11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b/>
      <sz val="10"/>
      <color indexed="8"/>
      <name val="Calibri"/>
      <family val="2"/>
    </font>
    <font>
      <u/>
      <sz val="11.05"/>
      <color indexed="8"/>
      <name val="Calibri"/>
      <family val="2"/>
    </font>
    <font>
      <sz val="11"/>
      <color indexed="10"/>
      <name val="Calibri"/>
      <family val="2"/>
      <scheme val="minor"/>
    </font>
    <font>
      <i/>
      <sz val="11"/>
      <color indexed="9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theme="0"/>
      <name val="Arial"/>
      <family val="2"/>
    </font>
    <font>
      <sz val="11"/>
      <color indexed="62"/>
      <name val="Calibri"/>
      <family val="2"/>
    </font>
    <font>
      <sz val="10"/>
      <name val="Book Antiqua"/>
      <family val="1"/>
    </font>
    <font>
      <sz val="8"/>
      <color indexed="12"/>
      <name val="Arial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b/>
      <sz val="11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sz val="10"/>
      <color theme="1"/>
      <name val="Arial"/>
      <family val="2"/>
    </font>
    <font>
      <sz val="8"/>
      <name val="Palatino"/>
      <charset val="134"/>
    </font>
    <font>
      <sz val="10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11"/>
      <color indexed="52"/>
      <name val="Calibri"/>
      <family val="2"/>
    </font>
    <font>
      <b/>
      <sz val="11"/>
      <color indexed="63"/>
      <name val="Calibri"/>
      <family val="2"/>
    </font>
    <font>
      <sz val="18"/>
      <name val="Palatino"/>
      <charset val="134"/>
    </font>
    <font>
      <b/>
      <sz val="12"/>
      <name val="Arial"/>
      <family val="2"/>
    </font>
    <font>
      <b/>
      <sz val="10"/>
      <color indexed="8"/>
      <name val="Times New Roman"/>
      <family val="1"/>
    </font>
    <font>
      <sz val="10"/>
      <color indexed="9"/>
      <name val="Arial"/>
      <family val="2"/>
    </font>
    <font>
      <sz val="10"/>
      <color rgb="FF3F3F76"/>
      <name val="Arial"/>
      <family val="2"/>
    </font>
    <font>
      <b/>
      <sz val="11"/>
      <color indexed="33"/>
      <name val="Arial"/>
      <family val="2"/>
    </font>
    <font>
      <b/>
      <sz val="11"/>
      <color indexed="8"/>
      <name val="宋体"/>
      <charset val="134"/>
    </font>
    <font>
      <sz val="14"/>
      <color indexed="32"/>
      <name val="Times New Roman"/>
      <family val="1"/>
    </font>
    <font>
      <b/>
      <sz val="11"/>
      <color indexed="9"/>
      <name val="Arial"/>
      <family val="2"/>
    </font>
    <font>
      <sz val="10"/>
      <name val="Calibri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10"/>
      <color indexed="12"/>
      <name val="Times New Roman"/>
      <family val="1"/>
    </font>
    <font>
      <b/>
      <sz val="18"/>
      <color indexed="56"/>
      <name val="Cambria"/>
      <family val="1"/>
    </font>
    <font>
      <b/>
      <sz val="10"/>
      <color indexed="17"/>
      <name val="Helvetica"/>
      <charset val="134"/>
    </font>
    <font>
      <sz val="8"/>
      <name val="Tahoma"/>
      <family val="2"/>
    </font>
    <font>
      <sz val="11"/>
      <color indexed="8"/>
      <name val="宋体"/>
      <charset val="134"/>
    </font>
    <font>
      <b/>
      <sz val="10"/>
      <name val="Arial"/>
      <family val="2"/>
    </font>
    <font>
      <b/>
      <sz val="11"/>
      <color indexed="56"/>
      <name val="Calibri"/>
      <family val="2"/>
    </font>
    <font>
      <sz val="9"/>
      <name val="Helvetica 45"/>
      <charset val="134"/>
    </font>
    <font>
      <u val="singleAccounting"/>
      <vertAlign val="subscript"/>
      <sz val="10"/>
      <name val="Times New Roman"/>
      <family val="1"/>
    </font>
    <font>
      <sz val="11"/>
      <color theme="1"/>
      <name val="Arial"/>
      <family val="2"/>
    </font>
    <font>
      <sz val="10"/>
      <color indexed="10"/>
      <name val="Arial"/>
      <family val="2"/>
    </font>
    <font>
      <sz val="10"/>
      <color indexed="12"/>
      <name val="MS Sans Serif"/>
      <charset val="134"/>
    </font>
    <font>
      <sz val="10"/>
      <color indexed="8"/>
      <name val="Arial"/>
      <family val="2"/>
    </font>
    <font>
      <sz val="10"/>
      <name val="Helv"/>
      <charset val="134"/>
    </font>
    <font>
      <b/>
      <sz val="11"/>
      <color indexed="52"/>
      <name val="宋体"/>
      <charset val="134"/>
    </font>
    <font>
      <sz val="11"/>
      <color indexed="17"/>
      <name val="Calibri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charset val="134"/>
    </font>
    <font>
      <sz val="12"/>
      <name val="Helv"/>
      <charset val="134"/>
    </font>
    <font>
      <b/>
      <sz val="8"/>
      <name val="Book Antiqua"/>
      <family val="1"/>
    </font>
    <font>
      <sz val="14"/>
      <name val="AngsanaUPC"/>
      <family val="1"/>
      <charset val="222"/>
    </font>
    <font>
      <b/>
      <sz val="10"/>
      <color rgb="FF00355F"/>
      <name val="Arial"/>
      <family val="2"/>
    </font>
    <font>
      <b/>
      <sz val="11"/>
      <name val="Times New Roman"/>
      <family val="1"/>
    </font>
    <font>
      <sz val="12"/>
      <name val="Century Schoolbook"/>
      <family val="1"/>
    </font>
    <font>
      <sz val="10"/>
      <color indexed="12"/>
      <name val="Arial"/>
      <family val="2"/>
    </font>
    <font>
      <sz val="12"/>
      <name val="Arial MT"/>
      <charset val="134"/>
    </font>
    <font>
      <u/>
      <sz val="10.199999999999999"/>
      <color indexed="12"/>
      <name val="??"/>
      <charset val="134"/>
    </font>
    <font>
      <sz val="11"/>
      <name val="ＭＳ 明朝"/>
      <charset val="128"/>
    </font>
    <font>
      <b/>
      <sz val="11"/>
      <color indexed="63"/>
      <name val="宋体"/>
      <charset val="134"/>
    </font>
    <font>
      <sz val="12"/>
      <name val="宋体"/>
      <charset val="134"/>
    </font>
    <font>
      <sz val="10"/>
      <color rgb="FF006100"/>
      <name val="Arial"/>
      <family val="2"/>
    </font>
    <font>
      <sz val="8"/>
      <name val="Tms Rmn"/>
      <charset val="134"/>
    </font>
    <font>
      <b/>
      <sz val="14"/>
      <name val="Helv"/>
      <charset val="134"/>
    </font>
    <font>
      <b/>
      <sz val="11"/>
      <color indexed="9"/>
      <name val="Calibri"/>
      <family val="2"/>
    </font>
    <font>
      <sz val="10"/>
      <color indexed="39"/>
      <name val="Arial"/>
      <family val="2"/>
    </font>
    <font>
      <sz val="12"/>
      <name val="??"/>
      <charset val="134"/>
    </font>
    <font>
      <b/>
      <i/>
      <sz val="16"/>
      <name val="Helv"/>
      <charset val="134"/>
    </font>
    <font>
      <b/>
      <sz val="8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Calibri"/>
      <family val="2"/>
    </font>
    <font>
      <sz val="11"/>
      <name val="MS ??"/>
      <charset val="128"/>
    </font>
    <font>
      <b/>
      <sz val="9"/>
      <color indexed="37"/>
      <name val="Arial"/>
      <family val="2"/>
    </font>
    <font>
      <sz val="14"/>
      <name val="Terminal"/>
      <charset val="128"/>
    </font>
    <font>
      <sz val="1"/>
      <color indexed="8"/>
      <name val="Courier"/>
      <charset val="134"/>
    </font>
    <font>
      <b/>
      <sz val="8.5"/>
      <color indexed="17"/>
      <name val="Arial"/>
      <family val="2"/>
    </font>
    <font>
      <sz val="9"/>
      <color indexed="8"/>
      <name val="Arial"/>
      <family val="2"/>
    </font>
    <font>
      <b/>
      <sz val="10"/>
      <name val="MS Sans Serif"/>
      <charset val="134"/>
    </font>
    <font>
      <sz val="6"/>
      <name val="Arial"/>
      <family val="2"/>
    </font>
    <font>
      <u/>
      <sz val="10"/>
      <color indexed="36"/>
      <name val="Arial"/>
      <family val="2"/>
    </font>
    <font>
      <sz val="11"/>
      <name val="‚l‚r ƒSƒVƒbƒN"/>
      <charset val="128"/>
    </font>
    <font>
      <u/>
      <sz val="9"/>
      <color indexed="12"/>
      <name val="‚l‚r ‚oƒSƒVƒbƒN"/>
      <charset val="134"/>
    </font>
    <font>
      <b/>
      <sz val="9"/>
      <name val="Arial"/>
      <family val="2"/>
    </font>
    <font>
      <sz val="10"/>
      <color indexed="12"/>
      <name val="0"/>
      <charset val="134"/>
    </font>
    <font>
      <sz val="11"/>
      <color indexed="52"/>
      <name val="Calibri"/>
      <family val="2"/>
    </font>
    <font>
      <i/>
      <sz val="9"/>
      <color indexed="16"/>
      <name val="Arial"/>
      <family val="2"/>
    </font>
    <font>
      <u/>
      <sz val="8.4"/>
      <color indexed="12"/>
      <name val="Arial"/>
      <family val="2"/>
    </font>
    <font>
      <sz val="7"/>
      <color indexed="10"/>
      <name val="Helv"/>
      <charset val="134"/>
    </font>
    <font>
      <sz val="11"/>
      <color indexed="62"/>
      <name val="宋体"/>
      <charset val="134"/>
    </font>
    <font>
      <sz val="8"/>
      <color indexed="13"/>
      <name val="Arial"/>
      <family val="2"/>
    </font>
    <font>
      <b/>
      <sz val="10"/>
      <color indexed="8"/>
      <name val="Arial"/>
      <family val="2"/>
    </font>
    <font>
      <b/>
      <sz val="13"/>
      <color indexed="56"/>
      <name val="Calibri"/>
      <family val="2"/>
    </font>
    <font>
      <sz val="10"/>
      <name val="Courier"/>
      <charset val="134"/>
    </font>
    <font>
      <u/>
      <sz val="11"/>
      <color indexed="12"/>
      <name val="lr oSVbN"/>
      <charset val="128"/>
    </font>
    <font>
      <sz val="10.5"/>
      <name val="Times New Roman"/>
      <family val="1"/>
    </font>
    <font>
      <sz val="8"/>
      <color indexed="8"/>
      <name val="Arial"/>
      <family val="2"/>
    </font>
    <font>
      <b/>
      <sz val="10"/>
      <color rgb="FFFA7D00"/>
      <name val="Arial"/>
      <family val="2"/>
    </font>
    <font>
      <sz val="11"/>
      <color theme="1"/>
      <name val="Book Antiqua"/>
      <family val="1"/>
    </font>
    <font>
      <b/>
      <sz val="10"/>
      <color indexed="10"/>
      <name val="Arial"/>
      <family val="2"/>
    </font>
    <font>
      <sz val="12"/>
      <color indexed="13"/>
      <name val="Helv"/>
      <charset val="134"/>
    </font>
    <font>
      <b/>
      <i/>
      <sz val="9"/>
      <name val="Arial"/>
      <family val="2"/>
    </font>
    <font>
      <b/>
      <sz val="15"/>
      <color indexed="56"/>
      <name val="Calibri"/>
      <family val="2"/>
    </font>
    <font>
      <sz val="12"/>
      <name val="¹ÙÅÁÃ¼"/>
      <charset val="129"/>
    </font>
    <font>
      <b/>
      <sz val="12"/>
      <color indexed="8"/>
      <name val="Arial"/>
      <family val="2"/>
    </font>
    <font>
      <sz val="7"/>
      <name val="Small Fonts"/>
      <charset val="134"/>
    </font>
    <font>
      <sz val="10"/>
      <color rgb="FF9C6500"/>
      <name val="Arial"/>
      <family val="2"/>
    </font>
    <font>
      <sz val="14"/>
      <name val="뼻뮝"/>
      <charset val="129"/>
    </font>
    <font>
      <i/>
      <sz val="10"/>
      <color indexed="13"/>
      <name val="Arial"/>
      <family val="2"/>
    </font>
    <font>
      <sz val="7"/>
      <name val="Arial"/>
      <family val="2"/>
    </font>
    <font>
      <sz val="28"/>
      <name val="Helvetica-Black"/>
      <charset val="134"/>
    </font>
    <font>
      <b/>
      <sz val="10"/>
      <color indexed="9"/>
      <name val="Arial"/>
      <family val="2"/>
    </font>
    <font>
      <i/>
      <sz val="10"/>
      <name val="Arial"/>
      <family val="2"/>
    </font>
    <font>
      <sz val="28"/>
      <color indexed="8"/>
      <name val="BakerSignet"/>
      <charset val="134"/>
    </font>
    <font>
      <sz val="12"/>
      <color indexed="8"/>
      <name val="Arial"/>
      <family val="2"/>
    </font>
    <font>
      <b/>
      <sz val="10"/>
      <color theme="0"/>
      <name val="Arial"/>
      <family val="2"/>
    </font>
    <font>
      <sz val="10"/>
      <name val="Helv"/>
      <charset val="204"/>
    </font>
    <font>
      <sz val="10"/>
      <name val="Helvetica 45 Light"/>
      <charset val="134"/>
    </font>
    <font>
      <sz val="10"/>
      <color indexed="13"/>
      <name val="Arial"/>
      <family val="2"/>
    </font>
    <font>
      <sz val="11"/>
      <color indexed="10"/>
      <name val="Calibri"/>
      <family val="2"/>
    </font>
    <font>
      <u val="doubleAccounting"/>
      <sz val="10"/>
      <name val="Arial"/>
      <family val="2"/>
    </font>
    <font>
      <b/>
      <sz val="10"/>
      <color indexed="39"/>
      <name val="Arial"/>
      <family val="2"/>
    </font>
    <font>
      <b/>
      <sz val="22"/>
      <color rgb="FF00355F"/>
      <name val="Arial"/>
      <family val="2"/>
    </font>
    <font>
      <sz val="10"/>
      <color indexed="16"/>
      <name val="MS Sans Serif"/>
      <charset val="134"/>
    </font>
    <font>
      <sz val="7"/>
      <name val="Helv"/>
      <charset val="134"/>
    </font>
    <font>
      <sz val="10"/>
      <color rgb="FFFA7D00"/>
      <name val="Arial"/>
      <family val="2"/>
    </font>
    <font>
      <u val="singleAccounting"/>
      <sz val="10"/>
      <name val="Arial"/>
      <family val="2"/>
    </font>
    <font>
      <b/>
      <sz val="7.5"/>
      <name val="Switzerland"/>
      <charset val="134"/>
    </font>
    <font>
      <u/>
      <sz val="8"/>
      <color indexed="8"/>
      <name val="Arial"/>
      <family val="2"/>
    </font>
    <font>
      <sz val="12"/>
      <name val="¹UAAA¼"/>
      <charset val="129"/>
    </font>
    <font>
      <sz val="10"/>
      <name val="Letter Gothic"/>
      <charset val="134"/>
    </font>
    <font>
      <b/>
      <sz val="10"/>
      <name val="Trebuchet MS"/>
      <family val="2"/>
    </font>
    <font>
      <b/>
      <sz val="12"/>
      <name val="Times New Roman"/>
      <family val="1"/>
    </font>
    <font>
      <sz val="11"/>
      <color indexed="9"/>
      <name val="宋体"/>
      <charset val="134"/>
    </font>
    <font>
      <sz val="11"/>
      <name val="Times New Roman"/>
      <family val="1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sz val="10"/>
      <color indexed="18"/>
      <name val="Arial"/>
      <family val="2"/>
    </font>
    <font>
      <sz val="11"/>
      <color indexed="17"/>
      <name val="宋体"/>
      <charset val="134"/>
    </font>
    <font>
      <i/>
      <sz val="8"/>
      <color indexed="12"/>
      <name val="Arial"/>
      <family val="2"/>
    </font>
    <font>
      <sz val="9"/>
      <color indexed="12"/>
      <name val="Times New Roman"/>
      <family val="1"/>
    </font>
    <font>
      <b/>
      <sz val="1"/>
      <color indexed="8"/>
      <name val="Courier"/>
      <charset val="134"/>
    </font>
    <font>
      <sz val="9"/>
      <color indexed="8"/>
      <name val="Times New Roman"/>
      <family val="1"/>
    </font>
    <font>
      <b/>
      <sz val="16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sz val="9"/>
      <color indexed="12"/>
      <name val="Arial"/>
      <family val="2"/>
    </font>
    <font>
      <sz val="14"/>
      <name val="ＭＳ 明朝"/>
      <charset val="128"/>
    </font>
    <font>
      <sz val="12"/>
      <color indexed="10"/>
      <name val="Arial"/>
      <family val="2"/>
    </font>
    <font>
      <i/>
      <sz val="14"/>
      <name val="Palatino"/>
      <charset val="134"/>
    </font>
    <font>
      <i/>
      <sz val="9"/>
      <name val="MS Sans Serif"/>
      <charset val="134"/>
    </font>
    <font>
      <u/>
      <sz val="10"/>
      <color indexed="12"/>
      <name val="Arial"/>
      <family val="2"/>
    </font>
    <font>
      <i/>
      <sz val="9"/>
      <name val="Times New Roman"/>
      <family val="1"/>
    </font>
    <font>
      <b/>
      <sz val="12"/>
      <color indexed="53"/>
      <name val="Times New Roman"/>
      <family val="1"/>
    </font>
    <font>
      <sz val="10"/>
      <name val="굴림체"/>
      <charset val="129"/>
    </font>
    <font>
      <b/>
      <sz val="18"/>
      <name val="Arial"/>
      <family val="2"/>
    </font>
    <font>
      <u/>
      <sz val="11"/>
      <color indexed="36"/>
      <name val="lr oSVbN"/>
      <charset val="128"/>
    </font>
    <font>
      <sz val="11"/>
      <name val="lr oSVbN"/>
      <charset val="128"/>
    </font>
    <font>
      <sz val="9"/>
      <name val="Times New Roman"/>
      <family val="1"/>
    </font>
    <font>
      <sz val="11"/>
      <name val="Arial"/>
      <family val="2"/>
    </font>
    <font>
      <b/>
      <sz val="9"/>
      <color indexed="9"/>
      <name val="Arial"/>
      <family val="2"/>
    </font>
    <font>
      <sz val="8"/>
      <color indexed="39"/>
      <name val="Arial"/>
      <family val="2"/>
    </font>
    <font>
      <i/>
      <strike/>
      <sz val="12"/>
      <color indexed="40"/>
      <name val="Arial"/>
      <family val="2"/>
    </font>
    <font>
      <sz val="10"/>
      <color indexed="16"/>
      <name val="MS Serif"/>
      <charset val="134"/>
    </font>
    <font>
      <b/>
      <sz val="14"/>
      <name val="Arial"/>
      <family val="2"/>
    </font>
    <font>
      <sz val="12"/>
      <name val="ËÎ"/>
      <charset val="134"/>
    </font>
    <font>
      <sz val="8"/>
      <color indexed="12"/>
      <name val="Trebuchet MS"/>
      <family val="2"/>
    </font>
    <font>
      <sz val="11"/>
      <color theme="1"/>
      <name val="Calibri"/>
      <family val="2"/>
      <scheme val="minor"/>
    </font>
    <font>
      <b/>
      <sz val="11"/>
      <color indexed="10"/>
      <name val="Arial"/>
      <family val="2"/>
    </font>
    <font>
      <i/>
      <strike/>
      <sz val="12"/>
      <color indexed="10"/>
      <name val="Arial"/>
      <family val="2"/>
    </font>
    <font>
      <b/>
      <sz val="8"/>
      <color indexed="12"/>
      <name val="Arial"/>
      <family val="2"/>
    </font>
    <font>
      <u/>
      <sz val="10"/>
      <name val="Arial"/>
      <family val="2"/>
    </font>
    <font>
      <sz val="12"/>
      <color indexed="12"/>
      <name val="0"/>
      <charset val="134"/>
    </font>
    <font>
      <u/>
      <sz val="10.199999999999999"/>
      <color indexed="36"/>
      <name val="??"/>
      <charset val="134"/>
    </font>
    <font>
      <sz val="14"/>
      <name val="Arial"/>
      <family val="2"/>
    </font>
    <font>
      <b/>
      <sz val="24"/>
      <name val="Times New Roman"/>
      <family val="1"/>
    </font>
    <font>
      <i/>
      <sz val="11"/>
      <name val="Helvetica-Black"/>
      <charset val="134"/>
    </font>
    <font>
      <sz val="10"/>
      <name val="MS Serif"/>
      <charset val="134"/>
    </font>
    <font>
      <sz val="14"/>
      <name val="Palatino"/>
      <charset val="134"/>
    </font>
    <font>
      <i/>
      <sz val="8"/>
      <color indexed="16"/>
      <name val="Arial"/>
      <family val="2"/>
    </font>
    <font>
      <sz val="32"/>
      <name val="Helvetica-Black"/>
      <charset val="134"/>
    </font>
    <font>
      <i/>
      <sz val="8"/>
      <color indexed="54"/>
      <name val="Arial"/>
      <family val="2"/>
    </font>
    <font>
      <u/>
      <sz val="10"/>
      <color indexed="12"/>
      <name val="Arial Unicode MS"/>
      <family val="2"/>
    </font>
    <font>
      <u/>
      <sz val="11"/>
      <color theme="10"/>
      <name val="Calibri"/>
      <family val="2"/>
      <scheme val="minor"/>
    </font>
    <font>
      <sz val="10"/>
      <name val="Palatino"/>
      <charset val="134"/>
    </font>
    <font>
      <b/>
      <u val="singleAccounting"/>
      <sz val="9"/>
      <color indexed="9"/>
      <name val="Arial"/>
      <family val="2"/>
    </font>
    <font>
      <sz val="12"/>
      <name val="Arial Narrow"/>
      <family val="2"/>
    </font>
    <font>
      <sz val="12"/>
      <name val="SWISS"/>
      <charset val="134"/>
    </font>
    <font>
      <sz val="24"/>
      <color indexed="13"/>
      <name val="SWISS"/>
      <charset val="134"/>
    </font>
    <font>
      <sz val="9"/>
      <name val="Futura UBS Bk"/>
      <charset val="134"/>
    </font>
    <font>
      <sz val="10"/>
      <color indexed="8"/>
      <name val="Arial Unicode MS"/>
      <family val="2"/>
    </font>
    <font>
      <b/>
      <sz val="12"/>
      <color indexed="62"/>
      <name val="Arial"/>
      <family val="2"/>
    </font>
    <font>
      <b/>
      <sz val="12"/>
      <name val="Helv"/>
      <charset val="134"/>
    </font>
    <font>
      <b/>
      <sz val="7"/>
      <color indexed="17"/>
      <name val="Arial"/>
      <family val="2"/>
    </font>
    <font>
      <sz val="16"/>
      <name val="Palatino"/>
      <charset val="134"/>
    </font>
    <font>
      <sz val="8.5"/>
      <color indexed="8"/>
      <name val="Arial"/>
      <family val="2"/>
    </font>
    <font>
      <b/>
      <sz val="16"/>
      <name val="Arial Narrow"/>
      <family val="2"/>
    </font>
    <font>
      <sz val="6"/>
      <name val="Palatino"/>
      <charset val="134"/>
    </font>
    <font>
      <sz val="10"/>
      <name val="Helvetica-Black"/>
      <charset val="134"/>
    </font>
    <font>
      <b/>
      <sz val="15"/>
      <color theme="3"/>
      <name val="Arial"/>
      <family val="2"/>
    </font>
    <font>
      <b/>
      <sz val="11"/>
      <color theme="3"/>
      <name val="Arial"/>
      <family val="2"/>
    </font>
    <font>
      <sz val="10"/>
      <color indexed="38"/>
      <name val="Arial"/>
      <family val="2"/>
    </font>
    <font>
      <b/>
      <sz val="13"/>
      <color theme="3"/>
      <name val="Arial"/>
      <family val="2"/>
    </font>
    <font>
      <sz val="10"/>
      <color indexed="8"/>
      <name val="微软雅黑"/>
      <charset val="134"/>
    </font>
    <font>
      <b/>
      <sz val="13.5"/>
      <name val="MS Sans Serif"/>
      <charset val="134"/>
    </font>
    <font>
      <b/>
      <i/>
      <sz val="14"/>
      <color indexed="8"/>
      <name val="Arial"/>
      <family val="2"/>
    </font>
    <font>
      <b/>
      <sz val="10"/>
      <color indexed="24"/>
      <name val="Arial Narrow"/>
      <family val="2"/>
    </font>
    <font>
      <b/>
      <sz val="9"/>
      <name val="Helvetica 65"/>
      <charset val="134"/>
    </font>
    <font>
      <sz val="11"/>
      <color indexed="60"/>
      <name val="Calibri"/>
      <family val="2"/>
    </font>
    <font>
      <sz val="7"/>
      <name val="Palatino"/>
      <charset val="134"/>
    </font>
    <font>
      <sz val="10"/>
      <color rgb="FF9C0006"/>
      <name val="Arial"/>
      <family val="2"/>
    </font>
    <font>
      <b/>
      <sz val="10"/>
      <color indexed="9"/>
      <name val="Trebuchet MS"/>
      <family val="2"/>
    </font>
    <font>
      <sz val="6"/>
      <color indexed="23"/>
      <name val="Helvetica-Black"/>
      <charset val="134"/>
    </font>
    <font>
      <u/>
      <sz val="10"/>
      <color indexed="20"/>
      <name val="Arial"/>
      <family val="2"/>
    </font>
    <font>
      <sz val="9.5"/>
      <color indexed="23"/>
      <name val="Helvetica-Black"/>
      <charset val="134"/>
    </font>
    <font>
      <b/>
      <sz val="26"/>
      <name val="Times New Roman"/>
      <family val="1"/>
    </font>
    <font>
      <sz val="12"/>
      <name val="Tms Rmn"/>
      <charset val="134"/>
    </font>
    <font>
      <b/>
      <sz val="13"/>
      <color indexed="56"/>
      <name val="宋体"/>
      <charset val="134"/>
    </font>
    <font>
      <sz val="8"/>
      <color indexed="9"/>
      <name val="Arial"/>
      <family val="2"/>
    </font>
    <font>
      <b/>
      <sz val="10"/>
      <name val="Helv"/>
      <charset val="134"/>
    </font>
    <font>
      <sz val="10"/>
      <color indexed="18"/>
      <name val="Times New Roman"/>
      <family val="1"/>
    </font>
    <font>
      <sz val="10"/>
      <name val="Courier New"/>
      <family val="3"/>
    </font>
    <font>
      <b/>
      <sz val="8"/>
      <name val="Switzerland"/>
      <charset val="134"/>
    </font>
    <font>
      <sz val="8"/>
      <color indexed="12"/>
      <name val="Times New Roman"/>
      <family val="1"/>
    </font>
    <font>
      <b/>
      <sz val="16"/>
      <color indexed="9"/>
      <name val="Arial"/>
      <family val="2"/>
    </font>
    <font>
      <sz val="7.5"/>
      <name val="Switzerland"/>
      <charset val="134"/>
    </font>
    <font>
      <b/>
      <i/>
      <strike/>
      <sz val="12"/>
      <color indexed="48"/>
      <name val="Arial"/>
      <family val="2"/>
    </font>
    <font>
      <b/>
      <sz val="7"/>
      <color indexed="12"/>
      <name val="Arial"/>
      <family val="2"/>
    </font>
    <font>
      <sz val="11"/>
      <color indexed="20"/>
      <name val="宋体"/>
      <charset val="134"/>
    </font>
    <font>
      <b/>
      <sz val="10"/>
      <color indexed="12"/>
      <name val="Arial"/>
      <family val="2"/>
    </font>
    <font>
      <b/>
      <i/>
      <sz val="12"/>
      <color indexed="9"/>
      <name val="Arial"/>
      <family val="2"/>
    </font>
    <font>
      <sz val="9"/>
      <color indexed="33"/>
      <name val="Arial"/>
      <family val="2"/>
    </font>
    <font>
      <b/>
      <sz val="11"/>
      <color indexed="39"/>
      <name val="Arial"/>
      <family val="2"/>
    </font>
    <font>
      <sz val="9"/>
      <color indexed="39"/>
      <name val="Arial"/>
      <family val="2"/>
    </font>
    <font>
      <sz val="9"/>
      <color indexed="9"/>
      <name val="Arial"/>
      <family val="2"/>
    </font>
    <font>
      <sz val="10"/>
      <color indexed="12"/>
      <name val="Trebuchet MS"/>
      <family val="2"/>
    </font>
    <font>
      <b/>
      <sz val="11"/>
      <name val="Helv"/>
      <charset val="134"/>
    </font>
    <font>
      <i/>
      <sz val="7"/>
      <color indexed="10"/>
      <name val="Arial"/>
      <family val="2"/>
    </font>
    <font>
      <sz val="8"/>
      <color theme="1"/>
      <name val="Arial"/>
      <family val="2"/>
    </font>
    <font>
      <sz val="7"/>
      <color indexed="12"/>
      <name val="Arial"/>
      <family val="2"/>
    </font>
    <font>
      <sz val="7"/>
      <color indexed="8"/>
      <name val="Arial"/>
      <family val="2"/>
    </font>
    <font>
      <i/>
      <sz val="9"/>
      <color indexed="12"/>
      <name val="Helv"/>
      <charset val="134"/>
    </font>
    <font>
      <sz val="12"/>
      <name val="‚l‚r ƒSƒVƒbƒN"/>
      <charset val="134"/>
    </font>
    <font>
      <sz val="11"/>
      <name val="‚l‚r –¾’©"/>
      <charset val="128"/>
    </font>
    <font>
      <b/>
      <sz val="10"/>
      <color rgb="FF3F3F3F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4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  <charset val="134"/>
    </font>
    <font>
      <b/>
      <sz val="10"/>
      <name val="Times New Roman"/>
      <family val="1"/>
    </font>
    <font>
      <b/>
      <sz val="9"/>
      <name val="Frutiger 45 Light"/>
      <charset val="134"/>
    </font>
    <font>
      <i/>
      <sz val="8"/>
      <name val="Arial"/>
      <family val="2"/>
    </font>
    <font>
      <sz val="11"/>
      <color indexed="8"/>
      <name val="Book Antiqua"/>
      <family val="1"/>
    </font>
    <font>
      <sz val="10"/>
      <color theme="1"/>
      <name val="Verdana"/>
      <family val="2"/>
    </font>
    <font>
      <sz val="11"/>
      <name val="明朝"/>
      <charset val="128"/>
    </font>
    <font>
      <strike/>
      <sz val="12"/>
      <color indexed="46"/>
      <name val="Arial"/>
      <family val="2"/>
    </font>
    <font>
      <b/>
      <sz val="9"/>
      <name val="Times New Roman"/>
      <family val="1"/>
    </font>
    <font>
      <sz val="10"/>
      <name val="Geneva"/>
      <charset val="134"/>
    </font>
    <font>
      <sz val="12"/>
      <name val="Helvetica"/>
      <charset val="134"/>
    </font>
    <font>
      <sz val="8"/>
      <color indexed="32"/>
      <name val="Arial"/>
      <family val="2"/>
    </font>
    <font>
      <sz val="12"/>
      <color indexed="17"/>
      <name val="Arial"/>
      <family val="2"/>
    </font>
    <font>
      <sz val="8"/>
      <color indexed="10"/>
      <name val="Arial"/>
      <family val="2"/>
    </font>
    <font>
      <sz val="14"/>
      <name val="‚l‚r –¾’©"/>
      <charset val="255"/>
    </font>
    <font>
      <sz val="8"/>
      <color indexed="12"/>
      <name val="Helvetica"/>
      <charset val="134"/>
    </font>
    <font>
      <sz val="8"/>
      <name val="Helv"/>
      <charset val="134"/>
    </font>
    <font>
      <b/>
      <sz val="8"/>
      <name val="NewCenturySchlbk"/>
      <charset val="134"/>
    </font>
    <font>
      <i/>
      <sz val="8"/>
      <color indexed="8"/>
      <name val="Arial"/>
      <family val="2"/>
    </font>
    <font>
      <b/>
      <sz val="8"/>
      <color indexed="28"/>
      <name val="Arial"/>
      <family val="2"/>
    </font>
    <font>
      <b/>
      <sz val="18"/>
      <color indexed="62"/>
      <name val="Cambria"/>
      <family val="1"/>
    </font>
    <font>
      <b/>
      <i/>
      <sz val="12"/>
      <color indexed="10"/>
      <name val="Times New Roman"/>
      <family val="1"/>
    </font>
    <font>
      <b/>
      <sz val="9"/>
      <color indexed="9"/>
      <name val="Calibri"/>
      <family val="2"/>
    </font>
    <font>
      <b/>
      <sz val="11"/>
      <color indexed="8"/>
      <name val="Arial"/>
      <family val="2"/>
    </font>
    <font>
      <b/>
      <sz val="11"/>
      <color indexed="23"/>
      <name val="Arial"/>
      <family val="2"/>
    </font>
    <font>
      <sz val="10"/>
      <color indexed="23"/>
      <name val="Arial"/>
      <family val="2"/>
    </font>
    <font>
      <sz val="9"/>
      <color indexed="10"/>
      <name val="Arial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sz val="9"/>
      <name val="Helvetica-Black"/>
      <charset val="134"/>
    </font>
    <font>
      <b/>
      <sz val="10"/>
      <color indexed="18"/>
      <name val="Arial"/>
      <family val="2"/>
    </font>
    <font>
      <sz val="8"/>
      <name val="Calibri"/>
      <family val="2"/>
    </font>
    <font>
      <sz val="24"/>
      <color indexed="13"/>
      <name val="Helv"/>
      <charset val="134"/>
    </font>
    <font>
      <b/>
      <sz val="10"/>
      <color theme="1"/>
      <name val="Arial"/>
      <family val="2"/>
    </font>
    <font>
      <i/>
      <strike/>
      <sz val="12"/>
      <color indexed="48"/>
      <name val="Arial"/>
      <family val="2"/>
    </font>
    <font>
      <sz val="10"/>
      <color rgb="FFFF0000"/>
      <name val="Arial"/>
      <family val="2"/>
    </font>
    <font>
      <u/>
      <sz val="11"/>
      <color indexed="12"/>
      <name val="明朝"/>
      <charset val="128"/>
    </font>
    <font>
      <sz val="12"/>
      <name val="뼻뮝"/>
      <charset val="129"/>
    </font>
    <font>
      <sz val="12"/>
      <name val="바탕체"/>
      <charset val="129"/>
    </font>
    <font>
      <sz val="14"/>
      <name val="ＭＳ ・団"/>
      <charset val="128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1"/>
      <color indexed="56"/>
      <name val="宋体"/>
      <charset val="134"/>
    </font>
    <font>
      <sz val="9"/>
      <color indexed="8"/>
      <name val="ＭＳ Ｐゴシック"/>
      <charset val="128"/>
    </font>
    <font>
      <sz val="12"/>
      <name val="ＭＳ ゴシック"/>
      <charset val="128"/>
    </font>
    <font>
      <b/>
      <sz val="11"/>
      <color indexed="9"/>
      <name val="宋体"/>
      <charset val="134"/>
    </font>
    <font>
      <u/>
      <sz val="11"/>
      <color indexed="36"/>
      <name val="明朝"/>
      <charset val="128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10"/>
      <name val="宋体"/>
      <charset val="134"/>
    </font>
    <font>
      <sz val="11"/>
      <color indexed="60"/>
      <name val="宋体"/>
      <charset val="134"/>
    </font>
    <font>
      <sz val="11"/>
      <name val="ＭＳ ゴシック"/>
      <charset val="128"/>
    </font>
    <font>
      <sz val="9"/>
      <name val="ＭＳ 明朝"/>
      <charset val="128"/>
    </font>
    <font>
      <sz val="11"/>
      <color indexed="52"/>
      <name val="宋体"/>
      <charset val="134"/>
    </font>
    <font>
      <b/>
      <sz val="11"/>
      <color indexed="10"/>
      <name val="Calibri"/>
      <family val="2"/>
    </font>
    <font>
      <b/>
      <sz val="12"/>
      <color indexed="10"/>
      <name val="Calibri"/>
      <family val="2"/>
    </font>
    <font>
      <sz val="11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color indexed="12"/>
      <name val="Tahoma"/>
      <family val="2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rgb="FF0000FF"/>
      <name val="Arial"/>
      <family val="2"/>
    </font>
    <font>
      <sz val="12"/>
      <color rgb="FF008000"/>
      <name val="Arial"/>
      <family val="2"/>
    </font>
    <font>
      <b/>
      <sz val="12"/>
      <color theme="1"/>
      <name val="Arial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1"/>
      <color rgb="FF111111"/>
      <name val="Arial"/>
      <family val="2"/>
    </font>
    <font>
      <sz val="11"/>
      <name val="Calibri"/>
      <family val="2"/>
    </font>
    <font>
      <sz val="10"/>
      <color indexed="8"/>
      <name val="MS Sans Serif"/>
    </font>
    <font>
      <b/>
      <sz val="11"/>
      <color theme="0"/>
      <name val="Calibri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</font>
    <font>
      <sz val="11"/>
      <color theme="0"/>
      <name val="Calibri"/>
      <family val="2"/>
    </font>
    <font>
      <b/>
      <sz val="11"/>
      <color theme="1"/>
      <name val="Arial"/>
      <family val="2"/>
    </font>
    <font>
      <b/>
      <sz val="12"/>
      <color rgb="FFC00000"/>
      <name val="Calibri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22222"/>
      <name val="Calibri"/>
      <family val="2"/>
      <scheme val="minor"/>
    </font>
  </fonts>
  <fills count="1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5"/>
        <bgColor indexed="35"/>
      </patternFill>
    </fill>
    <fill>
      <patternFill patternType="solid">
        <fgColor rgb="FF00B0F0"/>
        <bgColor indexed="34"/>
      </patternFill>
    </fill>
    <fill>
      <patternFill patternType="solid">
        <fgColor indexed="42"/>
        <bgColor indexed="31"/>
      </patternFill>
    </fill>
    <fill>
      <patternFill patternType="solid">
        <fgColor indexed="10"/>
        <bgColor indexed="60"/>
      </patternFill>
    </fill>
    <fill>
      <patternFill patternType="solid">
        <fgColor indexed="51"/>
        <bgColor indexed="52"/>
      </patternFill>
    </fill>
    <fill>
      <patternFill patternType="solid">
        <fgColor indexed="13"/>
        <bgColor indexed="34"/>
      </patternFill>
    </fill>
    <fill>
      <patternFill patternType="solid">
        <fgColor indexed="23"/>
        <bgColor indexed="55"/>
      </patternFill>
    </fill>
    <fill>
      <patternFill patternType="solid">
        <fgColor indexed="44"/>
        <bgColor indexed="24"/>
      </patternFill>
    </fill>
    <fill>
      <patternFill patternType="solid">
        <fgColor indexed="54"/>
        <bgColor indexed="23"/>
      </patternFill>
    </fill>
    <fill>
      <patternFill patternType="solid">
        <fgColor indexed="25"/>
        <bgColor indexed="60"/>
      </patternFill>
    </fill>
    <fill>
      <patternFill patternType="solid">
        <fgColor indexed="61"/>
        <bgColor indexed="62"/>
      </patternFill>
    </fill>
    <fill>
      <patternFill patternType="solid">
        <fgColor indexed="11"/>
        <bgColor indexed="49"/>
      </patternFill>
    </fill>
    <fill>
      <patternFill patternType="solid">
        <fgColor indexed="40"/>
        <bgColor indexed="49"/>
      </patternFill>
    </fill>
    <fill>
      <patternFill patternType="solid">
        <fgColor indexed="47"/>
        <bgColor indexed="22"/>
      </patternFill>
    </fill>
    <fill>
      <patternFill patternType="solid">
        <fgColor indexed="24"/>
        <bgColor indexed="4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22"/>
        <bgColor indexed="64"/>
      </patternFill>
    </fill>
    <fill>
      <patternFill patternType="gray0625">
        <fgColor indexed="10"/>
        <bgColor indexed="9"/>
      </patternFill>
    </fill>
    <fill>
      <patternFill patternType="solid">
        <fgColor theme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22"/>
      </patternFill>
    </fill>
    <fill>
      <patternFill patternType="lightUp">
        <fgColor indexed="9"/>
        <bgColor indexed="55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29"/>
        <bgColor indexed="64"/>
      </patternFill>
    </fill>
    <fill>
      <patternFill patternType="solid">
        <fgColor theme="7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3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indexed="12"/>
        <bgColor indexed="64"/>
      </patternFill>
    </fill>
    <fill>
      <patternFill patternType="lightGray">
        <b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8"/>
        <bgColor indexed="17"/>
      </patternFill>
    </fill>
    <fill>
      <patternFill patternType="solid">
        <fgColor indexed="27"/>
        <bgColor indexed="27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47"/>
        <bgColor indexed="47"/>
      </patternFill>
    </fill>
    <fill>
      <patternFill patternType="solid">
        <fgColor indexed="4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52"/>
        <bgColor indexed="64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12"/>
        <bgColor indexed="9"/>
      </patternFill>
    </fill>
    <fill>
      <patternFill patternType="lightUp">
        <fgColor indexed="9"/>
        <bgColor indexed="22"/>
      </patternFill>
    </fill>
    <fill>
      <patternFill patternType="darkGray">
        <fgColor indexed="13"/>
        <bgColor indexed="9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9"/>
      </patternFill>
    </fill>
    <fill>
      <patternFill patternType="solid">
        <fgColor indexed="33"/>
        <bgColor indexed="64"/>
      </patternFill>
    </fill>
    <fill>
      <patternFill patternType="solid">
        <fgColor indexed="56"/>
        <bgColor indexed="64"/>
      </patternFill>
    </fill>
    <fill>
      <patternFill patternType="mediumGray">
        <fgColor indexed="22"/>
      </patternFill>
    </fill>
    <fill>
      <patternFill patternType="solid">
        <fgColor indexed="2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4B083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tted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rgb="FF00355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indexed="9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thin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medium">
        <color auto="1"/>
      </left>
      <right style="medium">
        <color auto="1"/>
      </right>
      <top/>
      <bottom style="thick">
        <color indexed="37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57"/>
      </left>
      <right style="double">
        <color indexed="57"/>
      </right>
      <top/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/>
      <bottom style="thin">
        <color indexed="2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23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42">
    <xf numFmtId="0" fontId="0" fillId="0" borderId="0"/>
    <xf numFmtId="172" fontId="54" fillId="0" borderId="40" applyBorder="0"/>
    <xf numFmtId="0" fontId="50" fillId="0" borderId="0"/>
    <xf numFmtId="0" fontId="53" fillId="36" borderId="0" applyNumberFormat="0" applyBorder="0" applyAlignment="0" applyProtection="0"/>
    <xf numFmtId="176" fontId="352" fillId="0" borderId="0" applyFont="0" applyFill="0" applyBorder="0" applyAlignment="0" applyProtection="0"/>
    <xf numFmtId="0" fontId="49" fillId="28" borderId="43" applyNumberFormat="0" applyAlignment="0" applyProtection="0"/>
    <xf numFmtId="37" fontId="51" fillId="0" borderId="0" applyFont="0" applyFill="0" applyBorder="0" applyAlignment="0" applyProtection="0"/>
    <xf numFmtId="180" fontId="60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60" fillId="0" borderId="0"/>
    <xf numFmtId="0" fontId="60" fillId="0" borderId="0"/>
    <xf numFmtId="164" fontId="60" fillId="0" borderId="0" applyFont="0" applyFill="0" applyBorder="0" applyAlignment="0" applyProtection="0"/>
    <xf numFmtId="171" fontId="60" fillId="0" borderId="0"/>
    <xf numFmtId="0" fontId="29" fillId="52" borderId="0" applyNumberFormat="0" applyBorder="0" applyAlignment="0" applyProtection="0"/>
    <xf numFmtId="0" fontId="59" fillId="0" borderId="0" applyFont="0" applyFill="0" applyBorder="0" applyAlignment="0"/>
    <xf numFmtId="0" fontId="65" fillId="0" borderId="48">
      <alignment horizontal="left" vertical="center"/>
    </xf>
    <xf numFmtId="0" fontId="68" fillId="42" borderId="50" applyNumberFormat="0" applyAlignment="0" applyProtection="0"/>
    <xf numFmtId="0" fontId="60" fillId="0" borderId="0" applyNumberFormat="0" applyFill="0" applyBorder="0" applyAlignment="0" applyProtection="0"/>
    <xf numFmtId="0" fontId="49" fillId="28" borderId="43" applyNumberFormat="0" applyAlignment="0" applyProtection="0"/>
    <xf numFmtId="1" fontId="71" fillId="45" borderId="29" applyNumberFormat="0" applyBorder="0" applyAlignment="0">
      <alignment horizontal="centerContinuous" vertical="center"/>
      <protection locked="0"/>
    </xf>
    <xf numFmtId="184" fontId="60" fillId="0" borderId="0">
      <alignment horizontal="left" wrapText="1"/>
    </xf>
    <xf numFmtId="179" fontId="83" fillId="0" borderId="48" applyNumberFormat="0" applyFill="0" applyBorder="0" applyProtection="0"/>
    <xf numFmtId="184" fontId="60" fillId="0" borderId="0">
      <alignment horizontal="left" wrapText="1"/>
    </xf>
    <xf numFmtId="9" fontId="352" fillId="0" borderId="0" applyFont="0" applyFill="0" applyBorder="0" applyAlignment="0" applyProtection="0"/>
    <xf numFmtId="0" fontId="62" fillId="38" borderId="43" applyNumberFormat="0" applyAlignment="0" applyProtection="0"/>
    <xf numFmtId="0" fontId="60" fillId="0" borderId="0"/>
    <xf numFmtId="2" fontId="60" fillId="0" borderId="0" applyFont="0" applyFill="0" applyBorder="0" applyAlignment="0" applyProtection="0"/>
    <xf numFmtId="0" fontId="60" fillId="0" borderId="0"/>
    <xf numFmtId="0" fontId="74" fillId="48" borderId="0" applyNumberFormat="0" applyBorder="0" applyAlignment="0" applyProtection="0"/>
    <xf numFmtId="0" fontId="60" fillId="0" borderId="0" applyNumberFormat="0" applyFill="0" applyBorder="0" applyAlignment="0" applyProtection="0"/>
    <xf numFmtId="0" fontId="85" fillId="0" borderId="0"/>
    <xf numFmtId="164" fontId="352" fillId="0" borderId="0" applyFont="0" applyFill="0" applyBorder="0" applyAlignment="0" applyProtection="0"/>
    <xf numFmtId="0" fontId="29" fillId="57" borderId="0" applyNumberFormat="0" applyBorder="0" applyAlignment="0" applyProtection="0"/>
    <xf numFmtId="185" fontId="352" fillId="0" borderId="0" applyFont="0" applyFill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60" fillId="0" borderId="0"/>
    <xf numFmtId="191" fontId="84" fillId="0" borderId="0" applyFill="0" applyBorder="0" applyProtection="0">
      <alignment horizontal="center"/>
    </xf>
    <xf numFmtId="0" fontId="79" fillId="44" borderId="0">
      <alignment vertical="top"/>
    </xf>
    <xf numFmtId="183" fontId="60" fillId="0" borderId="0"/>
    <xf numFmtId="0" fontId="77" fillId="0" borderId="0" applyNumberFormat="0" applyFill="0" applyBorder="0" applyAlignment="0" applyProtection="0"/>
    <xf numFmtId="0" fontId="65" fillId="0" borderId="48">
      <alignment horizontal="left" vertical="center"/>
    </xf>
    <xf numFmtId="180" fontId="60" fillId="0" borderId="0"/>
    <xf numFmtId="0" fontId="72" fillId="47" borderId="0" applyNumberFormat="0" applyProtection="0">
      <alignment horizontal="center" vertical="center"/>
    </xf>
    <xf numFmtId="0" fontId="49" fillId="28" borderId="43" applyNumberFormat="0" applyAlignment="0" applyProtection="0"/>
    <xf numFmtId="0" fontId="60" fillId="0" borderId="0"/>
    <xf numFmtId="0" fontId="49" fillId="28" borderId="43" applyNumberFormat="0" applyAlignment="0" applyProtection="0"/>
    <xf numFmtId="0" fontId="60" fillId="0" borderId="0"/>
    <xf numFmtId="0" fontId="60" fillId="0" borderId="0">
      <alignment horizontal="left" wrapText="1"/>
    </xf>
    <xf numFmtId="0" fontId="60" fillId="0" borderId="0"/>
    <xf numFmtId="49" fontId="55" fillId="0" borderId="0" applyFill="0" applyBorder="0"/>
    <xf numFmtId="0" fontId="60" fillId="0" borderId="0"/>
    <xf numFmtId="0" fontId="75" fillId="0" borderId="0">
      <alignment horizontal="center" wrapText="1"/>
      <protection locked="0"/>
    </xf>
    <xf numFmtId="184" fontId="60" fillId="0" borderId="0">
      <alignment horizontal="left" wrapText="1"/>
    </xf>
    <xf numFmtId="0" fontId="60" fillId="0" borderId="0"/>
    <xf numFmtId="0" fontId="73" fillId="0" borderId="0"/>
    <xf numFmtId="0" fontId="82" fillId="0" borderId="54" applyNumberFormat="0" applyFill="0" applyAlignment="0" applyProtection="0"/>
    <xf numFmtId="0" fontId="60" fillId="0" borderId="0"/>
    <xf numFmtId="172" fontId="76" fillId="0" borderId="0"/>
    <xf numFmtId="0" fontId="63" fillId="38" borderId="45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173" fontId="57" fillId="0" borderId="0" applyFont="0" applyFill="0" applyBorder="0" applyAlignment="0" applyProtection="0"/>
    <xf numFmtId="0" fontId="89" fillId="0" borderId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190" fontId="55" fillId="0" borderId="0">
      <protection locked="0"/>
    </xf>
    <xf numFmtId="0" fontId="57" fillId="0" borderId="0"/>
    <xf numFmtId="0" fontId="57" fillId="0" borderId="0"/>
    <xf numFmtId="0" fontId="96" fillId="0" borderId="1" applyNumberFormat="0" applyFill="0" applyBorder="0" applyAlignment="0" applyProtection="0">
      <alignment horizontal="center"/>
    </xf>
    <xf numFmtId="0" fontId="67" fillId="41" borderId="49">
      <alignment vertical="center" wrapText="1"/>
    </xf>
    <xf numFmtId="4" fontId="94" fillId="0" borderId="0" applyFont="0" applyFill="0" applyBorder="0" applyAlignment="0" applyProtection="0"/>
    <xf numFmtId="0" fontId="29" fillId="46" borderId="56" applyNumberFormat="0" applyFont="0" applyAlignment="0" applyProtection="0"/>
    <xf numFmtId="0" fontId="29" fillId="65" borderId="0" applyNumberFormat="0" applyBorder="0" applyAlignment="0" applyProtection="0"/>
    <xf numFmtId="37" fontId="102" fillId="0" borderId="0">
      <alignment horizontal="center"/>
    </xf>
    <xf numFmtId="0" fontId="48" fillId="67" borderId="0" applyNumberFormat="0" applyBorder="0" applyAlignment="0" applyProtection="0"/>
    <xf numFmtId="0" fontId="60" fillId="0" borderId="0" applyNumberFormat="0" applyFill="0" applyBorder="0" applyAlignment="0" applyProtection="0"/>
    <xf numFmtId="189" fontId="60" fillId="0" borderId="48" applyFont="0" applyFill="0" applyBorder="0" applyAlignment="0" applyProtection="0"/>
    <xf numFmtId="0" fontId="60" fillId="0" borderId="0" applyNumberFormat="0" applyFill="0" applyBorder="0" applyAlignment="0" applyProtection="0"/>
    <xf numFmtId="193" fontId="60" fillId="0" borderId="0" applyFill="0" applyBorder="0" applyAlignment="0"/>
    <xf numFmtId="0" fontId="60" fillId="0" borderId="0" applyNumberFormat="0" applyFill="0" applyBorder="0" applyAlignment="0" applyProtection="0"/>
    <xf numFmtId="0" fontId="53" fillId="53" borderId="0" applyNumberFormat="0" applyBorder="0" applyAlignment="0" applyProtection="0"/>
    <xf numFmtId="0" fontId="70" fillId="0" borderId="51" applyNumberFormat="0" applyFill="0" applyAlignment="0" applyProtection="0">
      <alignment vertical="center"/>
    </xf>
    <xf numFmtId="184" fontId="60" fillId="0" borderId="0">
      <alignment horizontal="left" wrapText="1"/>
    </xf>
    <xf numFmtId="0" fontId="60" fillId="0" borderId="0" applyNumberFormat="0" applyFill="0" applyBorder="0" applyAlignment="0" applyProtection="0"/>
    <xf numFmtId="0" fontId="55" fillId="0" borderId="0" applyNumberFormat="0"/>
    <xf numFmtId="0" fontId="62" fillId="38" borderId="43" applyNumberFormat="0" applyAlignment="0" applyProtection="0"/>
    <xf numFmtId="184" fontId="60" fillId="0" borderId="0">
      <alignment horizontal="left" wrapText="1"/>
    </xf>
    <xf numFmtId="0" fontId="60" fillId="0" borderId="0"/>
    <xf numFmtId="178" fontId="60" fillId="0" borderId="0" applyFill="0" applyBorder="0" applyAlignment="0"/>
    <xf numFmtId="0" fontId="60" fillId="0" borderId="0" applyNumberFormat="0" applyFill="0" applyBorder="0" applyAlignment="0" applyProtection="0"/>
    <xf numFmtId="0" fontId="91" fillId="61" borderId="0" applyNumberFormat="0" applyBorder="0" applyAlignment="0" applyProtection="0"/>
    <xf numFmtId="0" fontId="81" fillId="0" borderId="1" applyNumberFormat="0" applyFill="0" applyProtection="0">
      <alignment horizontal="center" wrapText="1"/>
    </xf>
    <xf numFmtId="0" fontId="68" fillId="42" borderId="50" applyNumberFormat="0" applyAlignment="0" applyProtection="0"/>
    <xf numFmtId="0" fontId="68" fillId="42" borderId="50" applyNumberFormat="0" applyAlignment="0" applyProtection="0"/>
    <xf numFmtId="0" fontId="65" fillId="0" borderId="48">
      <alignment horizontal="left" vertical="center"/>
    </xf>
    <xf numFmtId="0" fontId="65" fillId="0" borderId="48">
      <alignment horizontal="left" vertical="center"/>
    </xf>
    <xf numFmtId="193" fontId="60" fillId="0" borderId="0" applyFont="0" applyFill="0" applyBorder="0" applyAlignment="0" applyProtection="0"/>
    <xf numFmtId="172" fontId="76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9" fillId="28" borderId="43" applyNumberFormat="0" applyAlignment="0" applyProtection="0"/>
    <xf numFmtId="0" fontId="60" fillId="0" borderId="0" applyNumberFormat="0" applyFill="0" applyBorder="0" applyAlignment="0" applyProtection="0"/>
    <xf numFmtId="180" fontId="60" fillId="0" borderId="0"/>
    <xf numFmtId="198" fontId="60" fillId="0" borderId="55" applyBorder="0">
      <alignment horizontal="right"/>
    </xf>
    <xf numFmtId="198" fontId="60" fillId="0" borderId="55" applyBorder="0">
      <alignment horizontal="right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190" fontId="55" fillId="0" borderId="0">
      <protection locked="0"/>
    </xf>
    <xf numFmtId="0" fontId="91" fillId="61" borderId="0" applyNumberFormat="0" applyBorder="0" applyAlignment="0" applyProtection="0"/>
    <xf numFmtId="0" fontId="68" fillId="42" borderId="50" applyNumberFormat="0" applyAlignment="0" applyProtection="0"/>
    <xf numFmtId="0" fontId="68" fillId="42" borderId="50" applyNumberFormat="0" applyAlignment="0" applyProtection="0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89" fillId="0" borderId="0"/>
    <xf numFmtId="0" fontId="65" fillId="0" borderId="0" applyNumberFormat="0" applyFill="0" applyBorder="0" applyAlignment="0" applyProtection="0"/>
    <xf numFmtId="10" fontId="56" fillId="0" borderId="44" applyAlignment="0">
      <protection locked="0"/>
    </xf>
    <xf numFmtId="0" fontId="53" fillId="66" borderId="0" applyNumberFormat="0" applyBorder="0" applyAlignment="0" applyProtection="0"/>
    <xf numFmtId="0" fontId="60" fillId="0" borderId="0" applyNumberFormat="0" applyFill="0" applyBorder="0" applyAlignment="0" applyProtection="0"/>
    <xf numFmtId="0" fontId="60" fillId="0" borderId="0"/>
    <xf numFmtId="0" fontId="53" fillId="69" borderId="0" applyNumberFormat="0" applyBorder="0" applyAlignment="0" applyProtection="0"/>
    <xf numFmtId="0" fontId="88" fillId="0" borderId="0">
      <alignment vertical="top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190" fontId="55" fillId="0" borderId="0">
      <protection locked="0"/>
    </xf>
    <xf numFmtId="0" fontId="91" fillId="61" borderId="0" applyNumberFormat="0" applyBorder="0" applyAlignment="0" applyProtection="0"/>
    <xf numFmtId="0" fontId="65" fillId="0" borderId="27" applyNumberFormat="0" applyAlignment="0" applyProtection="0">
      <alignment horizontal="left"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49" fontId="60" fillId="0" borderId="0" applyFill="0" applyBorder="0">
      <alignment horizontal="right" vertical="center"/>
    </xf>
    <xf numFmtId="0" fontId="60" fillId="0" borderId="0" applyNumberFormat="0" applyFill="0" applyBorder="0" applyAlignment="0" applyProtection="0"/>
    <xf numFmtId="0" fontId="107" fillId="32" borderId="0" applyNumberFormat="0" applyBorder="0" applyAlignment="0" applyProtection="0"/>
    <xf numFmtId="0" fontId="60" fillId="0" borderId="0"/>
    <xf numFmtId="0" fontId="68" fillId="42" borderId="50" applyNumberFormat="0" applyAlignment="0" applyProtection="0"/>
    <xf numFmtId="0" fontId="68" fillId="42" borderId="50" applyNumberFormat="0" applyAlignment="0" applyProtection="0"/>
    <xf numFmtId="0" fontId="65" fillId="0" borderId="48">
      <alignment horizontal="left" vertical="center"/>
    </xf>
    <xf numFmtId="0" fontId="65" fillId="0" borderId="48">
      <alignment horizontal="left" vertical="center"/>
    </xf>
    <xf numFmtId="182" fontId="100" fillId="0" borderId="0" applyFont="0" applyFill="0" applyBorder="0" applyAlignment="0" applyProtection="0"/>
    <xf numFmtId="205" fontId="113" fillId="0" borderId="0"/>
    <xf numFmtId="0" fontId="49" fillId="28" borderId="43" applyNumberFormat="0" applyAlignment="0" applyProtection="0"/>
    <xf numFmtId="215" fontId="60" fillId="0" borderId="0" applyFont="0" applyFill="0" applyBorder="0" applyAlignment="0" applyProtection="0"/>
    <xf numFmtId="0" fontId="49" fillId="28" borderId="43" applyNumberFormat="0" applyAlignment="0" applyProtection="0"/>
    <xf numFmtId="0" fontId="60" fillId="0" borderId="0"/>
    <xf numFmtId="0" fontId="60" fillId="0" borderId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74" fillId="48" borderId="0" applyNumberFormat="0" applyBorder="0" applyAlignment="0" applyProtection="0"/>
    <xf numFmtId="176" fontId="116" fillId="0" borderId="0" applyFont="0" applyFill="0" applyBorder="0" applyAlignment="0" applyProtection="0"/>
    <xf numFmtId="170" fontId="66" fillId="39" borderId="48" applyFont="0">
      <alignment horizontal="right"/>
    </xf>
    <xf numFmtId="185" fontId="352" fillId="0" borderId="0" applyFont="0" applyFill="0" applyBorder="0" applyAlignment="0" applyProtection="0"/>
    <xf numFmtId="184" fontId="60" fillId="0" borderId="0">
      <alignment horizontal="left" wrapText="1"/>
    </xf>
    <xf numFmtId="0" fontId="68" fillId="42" borderId="50" applyNumberFormat="0" applyAlignment="0" applyProtection="0"/>
    <xf numFmtId="0" fontId="68" fillId="42" borderId="50" applyNumberFormat="0" applyAlignment="0" applyProtection="0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0" fillId="0" borderId="0" applyNumberFormat="0" applyFill="0" applyBorder="0" applyAlignment="0" applyProtection="0"/>
    <xf numFmtId="0" fontId="49" fillId="28" borderId="43" applyNumberFormat="0" applyAlignment="0" applyProtection="0"/>
    <xf numFmtId="0" fontId="60" fillId="0" borderId="0"/>
    <xf numFmtId="0" fontId="60" fillId="0" borderId="0"/>
    <xf numFmtId="0" fontId="60" fillId="0" borderId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60" fillId="0" borderId="0"/>
    <xf numFmtId="0" fontId="60" fillId="0" borderId="0"/>
    <xf numFmtId="0" fontId="52" fillId="0" borderId="0"/>
    <xf numFmtId="9" fontId="60" fillId="0" borderId="0" applyFon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69" fontId="60" fillId="61" borderId="31" applyNumberFormat="0" applyFont="0" applyBorder="0" applyAlignment="0" applyProtection="0"/>
    <xf numFmtId="193" fontId="60" fillId="0" borderId="0" applyFill="0" applyBorder="0" applyAlignment="0"/>
    <xf numFmtId="0" fontId="93" fillId="0" borderId="0">
      <alignment vertical="top"/>
    </xf>
    <xf numFmtId="169" fontId="60" fillId="61" borderId="31" applyNumberFormat="0" applyFont="0" applyBorder="0" applyAlignment="0" applyProtection="0"/>
    <xf numFmtId="217" fontId="108" fillId="0" borderId="0">
      <alignment horizontal="right"/>
    </xf>
    <xf numFmtId="9" fontId="51" fillId="0" borderId="0">
      <alignment horizontal="right"/>
    </xf>
    <xf numFmtId="169" fontId="60" fillId="61" borderId="31" applyNumberFormat="0" applyFont="0" applyBorder="0" applyAlignment="0" applyProtection="0"/>
    <xf numFmtId="0" fontId="60" fillId="0" borderId="0"/>
    <xf numFmtId="193" fontId="60" fillId="0" borderId="0" applyFill="0" applyBorder="0" applyAlignment="0"/>
    <xf numFmtId="0" fontId="60" fillId="0" borderId="0">
      <alignment horizontal="left" wrapText="1"/>
    </xf>
    <xf numFmtId="0" fontId="60" fillId="0" borderId="0" applyNumberFormat="0" applyFill="0" applyBorder="0" applyAlignment="0" applyProtection="0"/>
    <xf numFmtId="0" fontId="29" fillId="52" borderId="0" applyNumberFormat="0" applyBorder="0" applyAlignment="0" applyProtection="0"/>
    <xf numFmtId="203" fontId="93" fillId="0" borderId="0"/>
    <xf numFmtId="169" fontId="60" fillId="61" borderId="31" applyNumberFormat="0" applyFont="0" applyBorder="0" applyAlignment="0" applyProtection="0"/>
    <xf numFmtId="193" fontId="60" fillId="0" borderId="0" applyFill="0" applyBorder="0" applyAlignment="0"/>
    <xf numFmtId="0" fontId="60" fillId="0" borderId="0"/>
    <xf numFmtId="192" fontId="55" fillId="72" borderId="40" applyNumberFormat="0" applyFont="0" applyBorder="0" applyAlignment="0" applyProtection="0">
      <alignment horizontal="right"/>
    </xf>
    <xf numFmtId="0" fontId="62" fillId="38" borderId="43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92" fontId="55" fillId="72" borderId="40" applyNumberFormat="0" applyFont="0" applyBorder="0" applyAlignment="0" applyProtection="0">
      <alignment horizontal="right"/>
    </xf>
    <xf numFmtId="166" fontId="60" fillId="0" borderId="0" applyFont="0" applyFill="0" applyBorder="0" applyAlignment="0"/>
    <xf numFmtId="0" fontId="60" fillId="0" borderId="0" applyNumberFormat="0" applyFill="0" applyBorder="0" applyAlignment="0" applyProtection="0"/>
    <xf numFmtId="198" fontId="60" fillId="0" borderId="55" applyBorder="0">
      <alignment horizontal="right"/>
    </xf>
    <xf numFmtId="0" fontId="49" fillId="28" borderId="43" applyNumberFormat="0" applyAlignment="0" applyProtection="0"/>
    <xf numFmtId="0" fontId="60" fillId="0" borderId="0" applyNumberFormat="0" applyFill="0" applyBorder="0" applyAlignment="0" applyProtection="0"/>
    <xf numFmtId="0" fontId="105" fillId="38" borderId="45" applyNumberFormat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69" fontId="60" fillId="61" borderId="31" applyNumberFormat="0" applyFont="0" applyBorder="0" applyAlignment="0" applyProtection="0"/>
    <xf numFmtId="193" fontId="60" fillId="0" borderId="0" applyFill="0" applyBorder="0" applyAlignment="0"/>
    <xf numFmtId="0" fontId="93" fillId="0" borderId="0">
      <alignment vertical="top"/>
    </xf>
    <xf numFmtId="0" fontId="352" fillId="0" borderId="0"/>
    <xf numFmtId="0" fontId="106" fillId="0" borderId="0"/>
    <xf numFmtId="0" fontId="60" fillId="0" borderId="0"/>
    <xf numFmtId="0" fontId="123" fillId="0" borderId="0" applyNumberFormat="0" applyFill="0" applyBorder="0" applyAlignment="0" applyProtection="0"/>
    <xf numFmtId="0" fontId="67" fillId="41" borderId="49">
      <alignment vertical="center" wrapText="1"/>
    </xf>
    <xf numFmtId="0" fontId="60" fillId="0" borderId="0" applyNumberFormat="0" applyFill="0" applyBorder="0" applyAlignment="0" applyProtection="0"/>
    <xf numFmtId="0" fontId="124" fillId="0" borderId="31" applyNumberFormat="0" applyFont="0" applyFill="0" applyBorder="0" applyAlignment="0">
      <alignment horizontal="center" vertical="center"/>
    </xf>
    <xf numFmtId="0" fontId="118" fillId="38" borderId="48">
      <alignment vertical="center"/>
    </xf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222" fontId="60" fillId="0" borderId="0" applyFont="0" applyFill="0" applyBorder="0" applyAlignment="0" applyProtection="0"/>
    <xf numFmtId="0" fontId="120" fillId="0" borderId="0">
      <protection locked="0"/>
    </xf>
    <xf numFmtId="0" fontId="60" fillId="0" borderId="0" applyNumberFormat="0" applyFill="0" applyBorder="0" applyAlignment="0" applyProtection="0"/>
    <xf numFmtId="0" fontId="110" fillId="30" borderId="61" applyNumberFormat="0" applyAlignment="0" applyProtection="0"/>
    <xf numFmtId="0" fontId="60" fillId="0" borderId="0" applyNumberFormat="0" applyFill="0" applyBorder="0" applyAlignment="0" applyProtection="0"/>
    <xf numFmtId="0" fontId="62" fillId="38" borderId="43" applyNumberFormat="0" applyAlignment="0" applyProtection="0"/>
    <xf numFmtId="224" fontId="60" fillId="0" borderId="0" applyFont="0" applyFill="0" applyBorder="0" applyAlignment="0" applyProtection="0"/>
    <xf numFmtId="0" fontId="74" fillId="48" borderId="0" applyNumberFormat="0" applyBorder="0" applyAlignment="0" applyProtection="0"/>
    <xf numFmtId="0" fontId="60" fillId="0" borderId="0"/>
    <xf numFmtId="40" fontId="117" fillId="0" borderId="0" applyFont="0" applyFill="0" applyBorder="0" applyAlignment="0" applyProtection="0"/>
    <xf numFmtId="0" fontId="29" fillId="46" borderId="56" applyNumberFormat="0" applyFont="0" applyAlignment="0" applyProtection="0"/>
    <xf numFmtId="0" fontId="60" fillId="0" borderId="0"/>
    <xf numFmtId="176" fontId="60" fillId="0" borderId="0" applyFont="0" applyFill="0" applyBorder="0" applyAlignment="0" applyProtection="0"/>
    <xf numFmtId="0" fontId="114" fillId="0" borderId="66">
      <alignment horizontal="right" vertical="center"/>
    </xf>
    <xf numFmtId="0" fontId="132" fillId="0" borderId="0" applyNumberFormat="0" applyFill="0" applyBorder="0" applyAlignment="0" applyProtection="0">
      <alignment vertical="top"/>
      <protection locked="0"/>
    </xf>
    <xf numFmtId="0" fontId="65" fillId="0" borderId="48">
      <alignment horizontal="left" vertical="center"/>
    </xf>
    <xf numFmtId="0" fontId="60" fillId="0" borderId="0"/>
    <xf numFmtId="0" fontId="59" fillId="0" borderId="0"/>
    <xf numFmtId="0" fontId="112" fillId="0" borderId="0"/>
    <xf numFmtId="0" fontId="49" fillId="28" borderId="43" applyNumberFormat="0" applyAlignment="0" applyProtection="0"/>
    <xf numFmtId="0" fontId="119" fillId="0" borderId="0"/>
    <xf numFmtId="0" fontId="60" fillId="0" borderId="0"/>
    <xf numFmtId="0" fontId="29" fillId="80" borderId="0" applyNumberFormat="0" applyBorder="0" applyAlignment="0" applyProtection="0"/>
    <xf numFmtId="0" fontId="60" fillId="0" borderId="0" applyNumberFormat="0" applyFill="0" applyBorder="0" applyAlignment="0" applyProtection="0"/>
    <xf numFmtId="182" fontId="100" fillId="0" borderId="0" applyFont="0" applyFill="0" applyBorder="0" applyAlignment="0" applyProtection="0"/>
    <xf numFmtId="49" fontId="59" fillId="0" borderId="0" applyProtection="0">
      <alignment horizontal="left"/>
    </xf>
    <xf numFmtId="0" fontId="48" fillId="35" borderId="0" applyNumberFormat="0" applyBorder="0" applyAlignment="0" applyProtection="0"/>
    <xf numFmtId="225" fontId="352" fillId="0" borderId="0" applyFont="0" applyFill="0" applyBorder="0" applyAlignment="0" applyProtection="0"/>
    <xf numFmtId="0" fontId="134" fillId="28" borderId="43" applyNumberFormat="0" applyAlignment="0" applyProtection="0">
      <alignment vertical="center"/>
    </xf>
    <xf numFmtId="15" fontId="60" fillId="0" borderId="0" applyFill="0" applyBorder="0"/>
    <xf numFmtId="0" fontId="67" fillId="41" borderId="49">
      <alignment vertical="center" wrapText="1"/>
    </xf>
    <xf numFmtId="0" fontId="75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35" borderId="0" applyNumberFormat="0" applyBorder="0" applyAlignment="0" applyProtection="0"/>
    <xf numFmtId="0" fontId="75" fillId="0" borderId="0"/>
    <xf numFmtId="176" fontId="6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7" fillId="41" borderId="49">
      <alignment vertical="center" wrapText="1"/>
    </xf>
    <xf numFmtId="0" fontId="128" fillId="0" borderId="0" applyFont="0" applyAlignment="0">
      <alignment horizontal="center" vertical="center"/>
    </xf>
    <xf numFmtId="0" fontId="128" fillId="0" borderId="0" applyFont="0" applyAlignment="0">
      <alignment horizontal="center" vertical="center"/>
    </xf>
    <xf numFmtId="0" fontId="60" fillId="0" borderId="0" applyNumberFormat="0" applyFill="0" applyBorder="0" applyAlignment="0" applyProtection="0"/>
    <xf numFmtId="0" fontId="128" fillId="0" borderId="0" applyFont="0" applyAlignment="0">
      <alignment horizontal="center" vertical="center"/>
    </xf>
    <xf numFmtId="190" fontId="55" fillId="0" borderId="0">
      <protection locked="0"/>
    </xf>
    <xf numFmtId="0" fontId="128" fillId="0" borderId="0" applyFont="0" applyAlignment="0">
      <alignment horizontal="center" vertical="center"/>
    </xf>
    <xf numFmtId="0" fontId="60" fillId="0" borderId="0" applyNumberFormat="0" applyFill="0" applyBorder="0" applyAlignment="0" applyProtection="0"/>
    <xf numFmtId="170" fontId="66" fillId="39" borderId="48" applyFont="0">
      <alignment horizontal="right"/>
    </xf>
    <xf numFmtId="0" fontId="70" fillId="0" borderId="41" applyNumberFormat="0" applyFill="0" applyAlignment="0" applyProtection="0">
      <alignment vertical="center"/>
    </xf>
    <xf numFmtId="0" fontId="53" fillId="53" borderId="0" applyNumberFormat="0" applyBorder="0" applyAlignment="0" applyProtection="0"/>
    <xf numFmtId="0" fontId="60" fillId="0" borderId="0"/>
    <xf numFmtId="0" fontId="60" fillId="0" borderId="0"/>
    <xf numFmtId="0" fontId="128" fillId="0" borderId="0" applyFont="0" applyAlignment="0">
      <alignment horizontal="center" vertical="center"/>
    </xf>
    <xf numFmtId="198" fontId="94" fillId="0" borderId="0"/>
    <xf numFmtId="0" fontId="60" fillId="0" borderId="0"/>
    <xf numFmtId="2" fontId="60" fillId="0" borderId="69" applyFill="0" applyBorder="0" applyProtection="0">
      <alignment horizontal="center"/>
    </xf>
    <xf numFmtId="0" fontId="128" fillId="0" borderId="0" applyFont="0" applyAlignment="0">
      <alignment horizontal="center" vertical="center"/>
    </xf>
    <xf numFmtId="1" fontId="71" fillId="45" borderId="29" applyNumberFormat="0" applyBorder="0" applyAlignment="0">
      <alignment horizontal="centerContinuous" vertical="center"/>
      <protection locked="0"/>
    </xf>
    <xf numFmtId="0" fontId="128" fillId="0" borderId="0" applyFont="0" applyAlignment="0">
      <alignment horizontal="center" vertical="center"/>
    </xf>
    <xf numFmtId="0" fontId="65" fillId="0" borderId="48">
      <alignment horizontal="left" vertical="center"/>
    </xf>
    <xf numFmtId="192" fontId="55" fillId="72" borderId="40" applyNumberFormat="0" applyFont="0" applyBorder="0" applyAlignment="0" applyProtection="0">
      <alignment horizontal="right"/>
    </xf>
    <xf numFmtId="0" fontId="62" fillId="38" borderId="43" applyNumberFormat="0" applyAlignment="0" applyProtection="0"/>
    <xf numFmtId="0" fontId="59" fillId="0" borderId="0"/>
    <xf numFmtId="169" fontId="60" fillId="61" borderId="31" applyNumberFormat="0" applyFont="0" applyBorder="0" applyAlignment="0" applyProtection="0"/>
    <xf numFmtId="0" fontId="60" fillId="0" borderId="0"/>
    <xf numFmtId="0" fontId="65" fillId="0" borderId="48">
      <alignment horizontal="left" vertical="center"/>
    </xf>
    <xf numFmtId="0" fontId="65" fillId="0" borderId="48">
      <alignment horizontal="left" vertical="center"/>
    </xf>
    <xf numFmtId="169" fontId="60" fillId="61" borderId="31" applyNumberFormat="0" applyFont="0" applyBorder="0" applyAlignment="0" applyProtection="0"/>
    <xf numFmtId="0" fontId="59" fillId="0" borderId="0"/>
    <xf numFmtId="176" fontId="128" fillId="0" borderId="13"/>
    <xf numFmtId="0" fontId="53" fillId="82" borderId="0" applyNumberFormat="0" applyBorder="0" applyAlignment="0" applyProtection="0"/>
    <xf numFmtId="0" fontId="60" fillId="0" borderId="0"/>
    <xf numFmtId="0" fontId="59" fillId="0" borderId="0">
      <alignment horizontal="center"/>
    </xf>
    <xf numFmtId="225" fontId="57" fillId="0" borderId="0" applyFont="0" applyFill="0" applyBorder="0" applyAlignment="0" applyProtection="0"/>
    <xf numFmtId="0" fontId="59" fillId="0" borderId="0">
      <alignment horizontal="center"/>
    </xf>
    <xf numFmtId="0" fontId="60" fillId="0" borderId="0"/>
    <xf numFmtId="225" fontId="352" fillId="0" borderId="0" applyFont="0" applyFill="0" applyBorder="0" applyAlignment="0" applyProtection="0"/>
    <xf numFmtId="225" fontId="60" fillId="0" borderId="0" applyFont="0" applyFill="0" applyBorder="0" applyAlignment="0" applyProtection="0"/>
    <xf numFmtId="9" fontId="94" fillId="0" borderId="13" applyNumberFormat="0" applyBorder="0"/>
    <xf numFmtId="0" fontId="60" fillId="0" borderId="0"/>
    <xf numFmtId="0" fontId="49" fillId="28" borderId="43" applyNumberFormat="0" applyAlignment="0" applyProtection="0"/>
    <xf numFmtId="0" fontId="60" fillId="0" borderId="0"/>
    <xf numFmtId="176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229" fontId="120" fillId="0" borderId="0">
      <protection locked="0"/>
    </xf>
    <xf numFmtId="171" fontId="60" fillId="0" borderId="0" applyFont="0" applyFill="0" applyBorder="0" applyAlignment="0" applyProtection="0"/>
    <xf numFmtId="184" fontId="60" fillId="0" borderId="0">
      <alignment horizontal="left" wrapText="1"/>
    </xf>
    <xf numFmtId="228" fontId="352" fillId="0" borderId="0" applyFont="0" applyFill="0" applyBorder="0" applyAlignment="0" applyProtection="0"/>
    <xf numFmtId="228" fontId="57" fillId="0" borderId="0" applyFont="0" applyFill="0" applyBorder="0" applyAlignment="0" applyProtection="0"/>
    <xf numFmtId="192" fontId="55" fillId="72" borderId="40" applyNumberFormat="0" applyFont="0" applyBorder="0" applyAlignment="0" applyProtection="0">
      <alignment horizontal="right"/>
    </xf>
    <xf numFmtId="0" fontId="29" fillId="52" borderId="0" applyNumberFormat="0" applyBorder="0" applyAlignment="0" applyProtection="0"/>
    <xf numFmtId="184" fontId="60" fillId="0" borderId="0">
      <alignment horizontal="left" wrapText="1"/>
    </xf>
    <xf numFmtId="228" fontId="352" fillId="0" borderId="0" applyFont="0" applyFill="0" applyBorder="0" applyAlignment="0" applyProtection="0"/>
    <xf numFmtId="202" fontId="60" fillId="0" borderId="0" applyFon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0" fillId="0" borderId="0" applyProtection="0">
      <alignment horizontal="right" vertical="top"/>
    </xf>
    <xf numFmtId="180" fontId="60" fillId="0" borderId="0"/>
    <xf numFmtId="0" fontId="53" fillId="85" borderId="0" applyNumberFormat="0" applyBorder="0" applyAlignment="0" applyProtection="0"/>
    <xf numFmtId="0" fontId="60" fillId="0" borderId="0"/>
    <xf numFmtId="0" fontId="29" fillId="28" borderId="0" applyNumberFormat="0" applyBorder="0" applyAlignment="0" applyProtection="0"/>
    <xf numFmtId="0" fontId="60" fillId="0" borderId="0"/>
    <xf numFmtId="0" fontId="60" fillId="0" borderId="0"/>
    <xf numFmtId="184" fontId="60" fillId="0" borderId="0">
      <alignment horizontal="left" wrapText="1"/>
    </xf>
    <xf numFmtId="180" fontId="60" fillId="0" borderId="0"/>
    <xf numFmtId="184" fontId="60" fillId="0" borderId="0">
      <alignment horizontal="left" wrapText="1"/>
    </xf>
    <xf numFmtId="0" fontId="60" fillId="38" borderId="0"/>
    <xf numFmtId="0" fontId="60" fillId="0" borderId="0" applyNumberFormat="0" applyFill="0" applyBorder="0" applyAlignment="0" applyProtection="0"/>
    <xf numFmtId="2" fontId="60" fillId="0" borderId="69" applyFill="0" applyBorder="0" applyProtection="0">
      <alignment horizontal="center"/>
    </xf>
    <xf numFmtId="0" fontId="60" fillId="0" borderId="0" applyNumberFormat="0" applyFill="0" applyBorder="0" applyAlignment="0" applyProtection="0"/>
    <xf numFmtId="0" fontId="48" fillId="76" borderId="0" applyNumberFormat="0" applyBorder="0" applyAlignment="0" applyProtection="0"/>
    <xf numFmtId="0" fontId="60" fillId="0" borderId="0" applyNumberFormat="0" applyFill="0" applyBorder="0" applyAlignment="0" applyProtection="0"/>
    <xf numFmtId="0" fontId="62" fillId="38" borderId="43" applyNumberFormat="0" applyAlignment="0" applyProtection="0"/>
    <xf numFmtId="232" fontId="128" fillId="55" borderId="40" applyBorder="0">
      <alignment horizontal="right"/>
    </xf>
    <xf numFmtId="0" fontId="60" fillId="0" borderId="0"/>
    <xf numFmtId="184" fontId="60" fillId="0" borderId="0">
      <alignment horizontal="left" wrapText="1"/>
    </xf>
    <xf numFmtId="0" fontId="60" fillId="0" borderId="0" applyNumberForma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172" fontId="60" fillId="0" borderId="0"/>
    <xf numFmtId="4" fontId="60" fillId="46" borderId="0"/>
    <xf numFmtId="0" fontId="95" fillId="0" borderId="7"/>
    <xf numFmtId="188" fontId="60" fillId="0" borderId="0" applyFont="0" applyFill="0" applyBorder="0" applyAlignment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27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74" fillId="48" borderId="0" applyNumberFormat="0" applyBorder="0" applyAlignment="0" applyProtection="0"/>
    <xf numFmtId="0" fontId="60" fillId="0" borderId="0"/>
    <xf numFmtId="176" fontId="60" fillId="0" borderId="0" applyFont="0" applyFill="0" applyBorder="0" applyAlignment="0" applyProtection="0"/>
    <xf numFmtId="0" fontId="114" fillId="0" borderId="66">
      <alignment horizontal="right" vertical="center"/>
    </xf>
    <xf numFmtId="0" fontId="60" fillId="0" borderId="0" applyNumberForma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0" fontId="49" fillId="28" borderId="43" applyNumberFormat="0" applyAlignment="0" applyProtection="0"/>
    <xf numFmtId="0" fontId="6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60" fillId="0" borderId="0" applyNumberFormat="0" applyFill="0" applyBorder="0" applyAlignment="0" applyProtection="0"/>
    <xf numFmtId="208" fontId="55" fillId="0" borderId="0" applyFill="0" applyBorder="0" applyProtection="0">
      <alignment horizontal="right" wrapText="1"/>
    </xf>
    <xf numFmtId="0" fontId="60" fillId="38" borderId="0"/>
    <xf numFmtId="0" fontId="60" fillId="0" borderId="0" applyNumberFormat="0" applyFill="0" applyBorder="0" applyAlignment="0" applyProtection="0"/>
    <xf numFmtId="0" fontId="60" fillId="0" borderId="0"/>
    <xf numFmtId="0" fontId="67" fillId="41" borderId="49">
      <alignment vertical="center" wrapText="1"/>
    </xf>
    <xf numFmtId="0" fontId="60" fillId="0" borderId="0" applyNumberFormat="0" applyFill="0" applyBorder="0" applyAlignment="0" applyProtection="0"/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0" fontId="60" fillId="0" borderId="0"/>
    <xf numFmtId="184" fontId="60" fillId="0" borderId="0">
      <alignment horizontal="left" wrapText="1"/>
    </xf>
    <xf numFmtId="14" fontId="60" fillId="0" borderId="0" applyFont="0" applyFill="0" applyBorder="0" applyAlignment="0" applyProtection="0"/>
    <xf numFmtId="0" fontId="53" fillId="51" borderId="0" applyNumberFormat="0" applyBorder="0" applyAlignment="0" applyProtection="0"/>
    <xf numFmtId="0" fontId="60" fillId="0" borderId="0" applyNumberFormat="0" applyFill="0" applyBorder="0" applyAlignment="0" applyProtection="0"/>
    <xf numFmtId="0" fontId="60" fillId="0" borderId="0"/>
    <xf numFmtId="9" fontId="35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36" fillId="84" borderId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8" fillId="0" borderId="0" applyFont="0" applyFill="0" applyBorder="0" applyAlignment="0" applyProtection="0">
      <alignment horizontal="right"/>
    </xf>
    <xf numFmtId="205" fontId="138" fillId="0" borderId="0"/>
    <xf numFmtId="202" fontId="60" fillId="0" borderId="0" applyFill="0" applyBorder="0" applyAlignment="0"/>
    <xf numFmtId="184" fontId="60" fillId="0" borderId="0">
      <alignment horizontal="left" wrapText="1"/>
    </xf>
    <xf numFmtId="0" fontId="60" fillId="0" borderId="0" applyNumberFormat="0" applyFill="0" applyBorder="0" applyAlignment="0" applyProtection="0"/>
    <xf numFmtId="0" fontId="60" fillId="0" borderId="0"/>
    <xf numFmtId="176" fontId="2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190" fontId="55" fillId="0" borderId="0">
      <protection locked="0"/>
    </xf>
    <xf numFmtId="0" fontId="60" fillId="0" borderId="0" applyNumberFormat="0" applyFill="0" applyBorder="0" applyAlignment="0" applyProtection="0"/>
    <xf numFmtId="0" fontId="62" fillId="38" borderId="43" applyNumberFormat="0" applyAlignment="0" applyProtection="0"/>
    <xf numFmtId="0" fontId="60" fillId="0" borderId="0" applyNumberFormat="0" applyFill="0" applyBorder="0" applyAlignment="0" applyProtection="0"/>
    <xf numFmtId="0" fontId="130" fillId="0" borderId="68" applyNumberFormat="0" applyFill="0" applyAlignment="0" applyProtection="0"/>
    <xf numFmtId="0" fontId="86" fillId="28" borderId="60" applyNumberFormat="0" applyAlignment="0"/>
    <xf numFmtId="0" fontId="60" fillId="0" borderId="0" applyNumberFormat="0" applyFill="0" applyBorder="0" applyAlignment="0" applyProtection="0"/>
    <xf numFmtId="0" fontId="50" fillId="0" borderId="0"/>
    <xf numFmtId="0" fontId="60" fillId="0" borderId="0"/>
    <xf numFmtId="0" fontId="60" fillId="0" borderId="0" applyNumberFormat="0" applyFill="0" applyBorder="0" applyAlignment="0" applyProtection="0"/>
    <xf numFmtId="232" fontId="128" fillId="55" borderId="40" applyBorder="0">
      <alignment horizontal="right"/>
    </xf>
    <xf numFmtId="237" fontId="5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2" fillId="38" borderId="43" applyNumberFormat="0" applyAlignment="0" applyProtection="0"/>
    <xf numFmtId="0" fontId="60" fillId="0" borderId="0" applyNumberFormat="0" applyFill="0" applyBorder="0" applyAlignment="0" applyProtection="0"/>
    <xf numFmtId="0" fontId="50" fillId="0" borderId="0"/>
    <xf numFmtId="0" fontId="60" fillId="0" borderId="0"/>
    <xf numFmtId="49" fontId="55" fillId="0" borderId="0" applyFill="0" applyBorder="0"/>
    <xf numFmtId="0" fontId="60" fillId="0" borderId="0" applyNumberFormat="0" applyFill="0" applyBorder="0" applyAlignment="0" applyProtection="0"/>
    <xf numFmtId="0" fontId="67" fillId="41" borderId="49">
      <alignment vertical="center" wrapText="1"/>
    </xf>
    <xf numFmtId="0" fontId="60" fillId="0" borderId="0"/>
    <xf numFmtId="0" fontId="67" fillId="41" borderId="49">
      <alignment vertical="center" wrapText="1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1" fillId="60" borderId="7">
      <alignment horizontal="left" vertical="center" wrapText="1"/>
    </xf>
    <xf numFmtId="182" fontId="106" fillId="0" borderId="0" applyFont="0" applyFill="0" applyBorder="0" applyAlignment="0" applyProtection="0"/>
    <xf numFmtId="164" fontId="352" fillId="0" borderId="0" applyFont="0" applyFill="0" applyBorder="0" applyAlignment="0" applyProtection="0"/>
    <xf numFmtId="0" fontId="29" fillId="57" borderId="0" applyNumberFormat="0" applyBorder="0" applyAlignment="0" applyProtection="0"/>
    <xf numFmtId="0" fontId="60" fillId="0" borderId="0"/>
    <xf numFmtId="185" fontId="57" fillId="0" borderId="0" applyFont="0" applyFill="0" applyBorder="0" applyAlignment="0" applyProtection="0"/>
    <xf numFmtId="0" fontId="109" fillId="60" borderId="7"/>
    <xf numFmtId="0" fontId="60" fillId="0" borderId="0" applyNumberFormat="0" applyFill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184" fontId="60" fillId="0" borderId="0">
      <alignment horizontal="left" wrapText="1"/>
    </xf>
    <xf numFmtId="0" fontId="60" fillId="0" borderId="0" applyNumberFormat="0" applyFill="0" applyBorder="0" applyAlignment="0" applyProtection="0"/>
    <xf numFmtId="179" fontId="83" fillId="0" borderId="48" applyNumberFormat="0" applyFill="0" applyBorder="0" applyProtection="0"/>
    <xf numFmtId="0" fontId="60" fillId="0" borderId="0" applyNumberFormat="0" applyFill="0" applyBorder="0" applyAlignment="0" applyProtection="0"/>
    <xf numFmtId="0" fontId="95" fillId="0" borderId="7"/>
    <xf numFmtId="207" fontId="60" fillId="0" borderId="0" applyFon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0" fontId="30" fillId="86" borderId="0" applyNumberFormat="0" applyBorder="0" applyAlignment="0" applyProtection="0"/>
    <xf numFmtId="233" fontId="94" fillId="0" borderId="0"/>
    <xf numFmtId="0" fontId="60" fillId="0" borderId="0">
      <alignment horizontal="left" wrapText="1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/>
    <xf numFmtId="172" fontId="131" fillId="0" borderId="0">
      <alignment horizontal="left" indent="1"/>
    </xf>
    <xf numFmtId="0" fontId="60" fillId="0" borderId="0" applyNumberFormat="0" applyFill="0" applyBorder="0" applyAlignment="0" applyProtection="0"/>
    <xf numFmtId="0" fontId="60" fillId="0" borderId="0"/>
    <xf numFmtId="202" fontId="60" fillId="0" borderId="0" applyFill="0" applyBorder="0" applyAlignment="0"/>
    <xf numFmtId="0" fontId="74" fillId="48" borderId="0" applyNumberFormat="0" applyBorder="0" applyAlignment="0" applyProtection="0"/>
    <xf numFmtId="0" fontId="60" fillId="0" borderId="0" applyNumberFormat="0" applyFill="0" applyBorder="0" applyAlignment="0" applyProtection="0"/>
    <xf numFmtId="0" fontId="29" fillId="80" borderId="0" applyNumberFormat="0" applyBorder="0" applyAlignment="0" applyProtection="0"/>
    <xf numFmtId="0" fontId="60" fillId="0" borderId="0"/>
    <xf numFmtId="184" fontId="60" fillId="0" borderId="0">
      <alignment horizontal="left" wrapText="1"/>
    </xf>
    <xf numFmtId="0" fontId="60" fillId="0" borderId="0" applyNumberFormat="0" applyFill="0" applyBorder="0" applyAlignment="0" applyProtection="0"/>
    <xf numFmtId="172" fontId="138" fillId="61" borderId="0" applyNumberFormat="0" applyFont="0" applyBorder="0" applyAlignment="0" applyProtection="0"/>
    <xf numFmtId="184" fontId="60" fillId="0" borderId="0">
      <alignment horizontal="left" wrapText="1"/>
    </xf>
    <xf numFmtId="202" fontId="60" fillId="0" borderId="0" applyFill="0" applyBorder="0" applyAlignment="0"/>
    <xf numFmtId="0" fontId="29" fillId="80" borderId="0" applyNumberFormat="0" applyBorder="0" applyAlignment="0" applyProtection="0"/>
    <xf numFmtId="0" fontId="60" fillId="0" borderId="0" applyNumberFormat="0" applyFill="0" applyBorder="0" applyAlignment="0" applyProtection="0"/>
    <xf numFmtId="184" fontId="60" fillId="0" borderId="0">
      <alignment horizontal="left" wrapText="1"/>
    </xf>
    <xf numFmtId="0" fontId="60" fillId="0" borderId="0" applyNumberFormat="0" applyFill="0" applyBorder="0" applyAlignment="0" applyProtection="0"/>
    <xf numFmtId="0" fontId="49" fillId="28" borderId="43" applyNumberFormat="0" applyAlignment="0" applyProtection="0"/>
    <xf numFmtId="236" fontId="60" fillId="38" borderId="0" applyFont="0" applyBorder="0"/>
    <xf numFmtId="0" fontId="60" fillId="0" borderId="0" applyNumberFormat="0" applyFill="0" applyBorder="0" applyAlignment="0" applyProtection="0"/>
    <xf numFmtId="229" fontId="120" fillId="0" borderId="0">
      <protection locked="0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/>
    <xf numFmtId="0" fontId="67" fillId="3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5" fillId="0" borderId="7"/>
    <xf numFmtId="0" fontId="60" fillId="0" borderId="0" applyNumberFormat="0" applyFill="0" applyBorder="0" applyAlignment="0" applyProtection="0"/>
    <xf numFmtId="0" fontId="29" fillId="46" borderId="56" applyNumberFormat="0" applyFont="0" applyAlignment="0" applyProtection="0"/>
    <xf numFmtId="0" fontId="114" fillId="0" borderId="0">
      <alignment horizontal="left"/>
    </xf>
    <xf numFmtId="0" fontId="60" fillId="0" borderId="0"/>
    <xf numFmtId="184" fontId="60" fillId="0" borderId="0">
      <alignment horizontal="left" wrapText="1"/>
    </xf>
    <xf numFmtId="0" fontId="81" fillId="0" borderId="29" applyBorder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0" fillId="0" borderId="41" applyNumberFormat="0" applyFill="0" applyAlignment="0" applyProtection="0"/>
    <xf numFmtId="0" fontId="60" fillId="0" borderId="0" applyNumberFormat="0" applyFill="0" applyBorder="0" applyAlignment="0" applyProtection="0"/>
    <xf numFmtId="0" fontId="81" fillId="60" borderId="7">
      <alignment horizontal="left" vertical="center" wrapText="1"/>
    </xf>
    <xf numFmtId="0" fontId="60" fillId="0" borderId="0"/>
    <xf numFmtId="0" fontId="60" fillId="0" borderId="0" applyNumberFormat="0" applyFill="0" applyBorder="0" applyAlignment="0" applyProtection="0"/>
    <xf numFmtId="176" fontId="60" fillId="0" borderId="0" applyFont="0" applyFill="0" applyBorder="0" applyAlignment="0" applyProtection="0"/>
    <xf numFmtId="208" fontId="61" fillId="0" borderId="0" applyFill="0" applyBorder="0" applyProtection="0">
      <alignment horizontal="right" wrapText="1"/>
    </xf>
    <xf numFmtId="0" fontId="60" fillId="0" borderId="0" applyNumberFormat="0" applyFill="0" applyBorder="0" applyAlignment="0" applyProtection="0"/>
    <xf numFmtId="10" fontId="56" fillId="0" borderId="44" applyAlignment="0">
      <protection locked="0"/>
    </xf>
    <xf numFmtId="184" fontId="60" fillId="0" borderId="0">
      <alignment horizontal="left" wrapText="1"/>
    </xf>
    <xf numFmtId="232" fontId="128" fillId="55" borderId="40" applyBorder="0">
      <alignment horizontal="right"/>
    </xf>
    <xf numFmtId="0" fontId="62" fillId="38" borderId="43" applyNumberFormat="0" applyAlignment="0" applyProtection="0"/>
    <xf numFmtId="0" fontId="60" fillId="0" borderId="0"/>
    <xf numFmtId="0" fontId="60" fillId="46" borderId="56" applyNumberFormat="0" applyFont="0" applyAlignment="0" applyProtection="0"/>
    <xf numFmtId="0" fontId="145" fillId="87" borderId="0"/>
    <xf numFmtId="0" fontId="60" fillId="0" borderId="0" applyNumberFormat="0" applyFill="0" applyBorder="0" applyAlignment="0" applyProtection="0"/>
    <xf numFmtId="0" fontId="60" fillId="0" borderId="0"/>
    <xf numFmtId="170" fontId="66" fillId="39" borderId="48" applyFont="0">
      <alignment horizontal="right"/>
    </xf>
    <xf numFmtId="0" fontId="60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>
      <alignment horizontal="center"/>
    </xf>
    <xf numFmtId="184" fontId="60" fillId="0" borderId="0">
      <alignment horizontal="left" wrapText="1"/>
    </xf>
    <xf numFmtId="0" fontId="57" fillId="81" borderId="0" applyNumberFormat="0" applyFont="0" applyAlignment="0" applyProtection="0"/>
    <xf numFmtId="184" fontId="60" fillId="0" borderId="0">
      <alignment horizontal="left" wrapText="1"/>
    </xf>
    <xf numFmtId="180" fontId="60" fillId="0" borderId="0"/>
    <xf numFmtId="0" fontId="49" fillId="28" borderId="43" applyNumberFormat="0" applyAlignment="0" applyProtection="0"/>
    <xf numFmtId="0" fontId="60" fillId="0" borderId="0" applyNumberFormat="0" applyFill="0" applyBorder="0" applyAlignment="0" applyProtection="0"/>
    <xf numFmtId="0" fontId="98" fillId="0" borderId="0" applyNumberFormat="0" applyFill="0" applyBorder="0" applyProtection="0">
      <alignment horizontal="left"/>
    </xf>
    <xf numFmtId="0" fontId="60" fillId="0" borderId="0"/>
    <xf numFmtId="0" fontId="60" fillId="0" borderId="0" applyNumberFormat="0" applyFill="0" applyBorder="0" applyAlignment="0" applyProtection="0"/>
    <xf numFmtId="0" fontId="88" fillId="0" borderId="0">
      <alignment vertical="top"/>
    </xf>
    <xf numFmtId="0" fontId="48" fillId="67" borderId="0" applyNumberFormat="0" applyBorder="0" applyAlignment="0" applyProtection="0"/>
    <xf numFmtId="183" fontId="60" fillId="0" borderId="0"/>
    <xf numFmtId="0" fontId="53" fillId="69" borderId="0" applyNumberFormat="0" applyBorder="0" applyAlignment="0" applyProtection="0"/>
    <xf numFmtId="0" fontId="60" fillId="0" borderId="0" applyNumberFormat="0" applyFill="0" applyBorder="0" applyAlignment="0" applyProtection="0"/>
    <xf numFmtId="0" fontId="52" fillId="0" borderId="0">
      <protection locked="0"/>
    </xf>
    <xf numFmtId="227" fontId="123" fillId="0" borderId="40" applyAlignment="0" applyProtection="0"/>
    <xf numFmtId="0" fontId="146" fillId="0" borderId="0"/>
    <xf numFmtId="0" fontId="60" fillId="0" borderId="0" applyNumberFormat="0" applyFill="0" applyBorder="0" applyAlignment="0" applyProtection="0"/>
    <xf numFmtId="176" fontId="128" fillId="0" borderId="40"/>
    <xf numFmtId="0" fontId="60" fillId="0" borderId="0"/>
    <xf numFmtId="0" fontId="128" fillId="0" borderId="0"/>
    <xf numFmtId="0" fontId="60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81" fillId="0" borderId="29" applyBorder="0"/>
    <xf numFmtId="0" fontId="60" fillId="0" borderId="0" applyNumberForma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0" fontId="60" fillId="0" borderId="0">
      <alignment horizontal="left" wrapText="1"/>
    </xf>
    <xf numFmtId="0" fontId="60" fillId="0" borderId="0" applyNumberFormat="0" applyFill="0" applyBorder="0" applyAlignment="0" applyProtection="0"/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0" fontId="60" fillId="46" borderId="56" applyNumberFormat="0" applyFont="0" applyAlignment="0" applyProtection="0"/>
    <xf numFmtId="0" fontId="60" fillId="0" borderId="0" applyNumberFormat="0" applyFill="0" applyBorder="0" applyAlignment="0" applyProtection="0"/>
    <xf numFmtId="0" fontId="130" fillId="0" borderId="68" applyNumberFormat="0" applyFill="0" applyAlignment="0" applyProtection="0"/>
    <xf numFmtId="0" fontId="60" fillId="0" borderId="0"/>
    <xf numFmtId="0" fontId="60" fillId="38" borderId="0"/>
    <xf numFmtId="0" fontId="60" fillId="0" borderId="0" applyNumberFormat="0" applyFill="0" applyBorder="0" applyAlignment="0" applyProtection="0"/>
    <xf numFmtId="0" fontId="48" fillId="67" borderId="0" applyNumberFormat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239" fontId="35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147" fillId="0" borderId="71" applyNumberFormat="0" applyFill="0" applyAlignment="0" applyProtection="0"/>
    <xf numFmtId="4" fontId="60" fillId="46" borderId="0"/>
    <xf numFmtId="0" fontId="60" fillId="0" borderId="0" applyNumberFormat="0" applyFill="0" applyBorder="0" applyAlignment="0" applyProtection="0"/>
    <xf numFmtId="9" fontId="148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352" fillId="0" borderId="0"/>
    <xf numFmtId="0" fontId="60" fillId="0" borderId="0" applyNumberFormat="0" applyFill="0" applyBorder="0" applyAlignment="0" applyProtection="0"/>
    <xf numFmtId="193" fontId="60" fillId="0" borderId="0" applyFont="0" applyFill="0" applyBorder="0" applyAlignment="0" applyProtection="0"/>
    <xf numFmtId="0" fontId="65" fillId="0" borderId="48">
      <alignment horizontal="left" vertical="center"/>
    </xf>
    <xf numFmtId="0" fontId="68" fillId="42" borderId="50" applyNumberFormat="0" applyAlignment="0" applyProtection="0"/>
    <xf numFmtId="0" fontId="68" fillId="42" borderId="50" applyNumberFormat="0" applyAlignment="0" applyProtection="0"/>
    <xf numFmtId="0" fontId="60" fillId="0" borderId="0"/>
    <xf numFmtId="0" fontId="48" fillId="35" borderId="0" applyNumberFormat="0" applyBorder="0" applyAlignment="0" applyProtection="0"/>
    <xf numFmtId="0" fontId="60" fillId="0" borderId="0" applyNumberForma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0" fontId="49" fillId="28" borderId="43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/>
    <xf numFmtId="0" fontId="109" fillId="0" borderId="7"/>
    <xf numFmtId="0" fontId="65" fillId="0" borderId="48">
      <alignment horizontal="left" vertical="center"/>
    </xf>
    <xf numFmtId="0" fontId="60" fillId="0" borderId="0" applyNumberFormat="0" applyFill="0" applyBorder="0" applyAlignment="0" applyProtection="0"/>
    <xf numFmtId="0" fontId="149" fillId="88" borderId="7">
      <alignment horizontal="left" vertical="center"/>
    </xf>
    <xf numFmtId="184" fontId="60" fillId="0" borderId="0">
      <alignment horizontal="left" wrapText="1"/>
    </xf>
    <xf numFmtId="0" fontId="65" fillId="0" borderId="48">
      <alignment horizontal="left"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/>
    <xf numFmtId="37" fontId="150" fillId="0" borderId="0"/>
    <xf numFmtId="0" fontId="60" fillId="0" borderId="0" applyNumberForma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>
      <alignment horizontal="left" wrapText="1"/>
    </xf>
    <xf numFmtId="0" fontId="60" fillId="0" borderId="0"/>
    <xf numFmtId="0" fontId="62" fillId="38" borderId="43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240" fontId="52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352" fillId="0" borderId="0" applyFont="0" applyFill="0" applyBorder="0" applyAlignment="0" applyProtection="0"/>
    <xf numFmtId="0" fontId="151" fillId="70" borderId="0" applyNumberFormat="0" applyBorder="0" applyAlignment="0" applyProtection="0"/>
    <xf numFmtId="0" fontId="152" fillId="0" borderId="0" applyFont="0" applyFill="0" applyBorder="0" applyAlignment="0" applyProtection="0"/>
    <xf numFmtId="183" fontId="60" fillId="0" borderId="0"/>
    <xf numFmtId="224" fontId="60" fillId="0" borderId="0" applyFont="0" applyFill="0" applyBorder="0" applyAlignment="0" applyProtection="0"/>
    <xf numFmtId="0" fontId="60" fillId="0" borderId="0"/>
    <xf numFmtId="0" fontId="60" fillId="0" borderId="0" applyNumberFormat="0" applyFill="0" applyBorder="0" applyAlignment="0" applyProtection="0"/>
    <xf numFmtId="241" fontId="35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239" fontId="352" fillId="0" borderId="0" applyFont="0" applyFill="0" applyBorder="0" applyAlignment="0" applyProtection="0"/>
    <xf numFmtId="38" fontId="94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60" fillId="0" borderId="0" applyNumberFormat="0" applyFill="0" applyBorder="0" applyAlignment="0" applyProtection="0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153" fillId="89" borderId="0"/>
    <xf numFmtId="0" fontId="60" fillId="0" borderId="0" applyNumberFormat="0" applyFill="0" applyBorder="0" applyAlignment="0" applyProtection="0"/>
    <xf numFmtId="0" fontId="67" fillId="41" borderId="49">
      <alignment vertical="center" wrapText="1"/>
    </xf>
    <xf numFmtId="242" fontId="5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7" fillId="41" borderId="49">
      <alignment vertical="center" wrapText="1"/>
    </xf>
    <xf numFmtId="0" fontId="60" fillId="0" borderId="0" applyNumberFormat="0" applyFill="0" applyBorder="0" applyAlignment="0" applyProtection="0"/>
    <xf numFmtId="0" fontId="60" fillId="0" borderId="0"/>
    <xf numFmtId="0" fontId="60" fillId="0" borderId="0"/>
    <xf numFmtId="243" fontId="114" fillId="0" borderId="66">
      <alignment horizontal="right" vertical="center"/>
    </xf>
    <xf numFmtId="0" fontId="60" fillId="0" borderId="0" applyNumberFormat="0" applyFill="0" applyBorder="0" applyAlignment="0" applyProtection="0"/>
    <xf numFmtId="9" fontId="97" fillId="0" borderId="0"/>
    <xf numFmtId="0" fontId="60" fillId="0" borderId="0"/>
    <xf numFmtId="202" fontId="60" fillId="0" borderId="0" applyFill="0" applyBorder="0" applyAlignment="0"/>
    <xf numFmtId="0" fontId="60" fillId="0" borderId="0"/>
    <xf numFmtId="0" fontId="60" fillId="0" borderId="0" applyNumberFormat="0" applyFill="0" applyBorder="0" applyAlignment="0" applyProtection="0"/>
    <xf numFmtId="244" fontId="60" fillId="0" borderId="0" applyFont="0" applyFill="0" applyBorder="0" applyAlignment="0" applyProtection="0"/>
    <xf numFmtId="0" fontId="60" fillId="0" borderId="0"/>
    <xf numFmtId="37" fontId="56" fillId="0" borderId="44" applyAlignment="0">
      <protection locked="0"/>
    </xf>
    <xf numFmtId="0" fontId="60" fillId="0" borderId="0" applyNumberFormat="0" applyFill="0" applyBorder="0" applyAlignment="0" applyProtection="0"/>
    <xf numFmtId="0" fontId="67" fillId="41" borderId="49">
      <alignment vertical="center" wrapText="1"/>
    </xf>
    <xf numFmtId="0" fontId="60" fillId="0" borderId="0" applyNumberFormat="0" applyFill="0" applyBorder="0" applyAlignment="0" applyProtection="0"/>
    <xf numFmtId="0" fontId="95" fillId="0" borderId="7"/>
    <xf numFmtId="0" fontId="60" fillId="0" borderId="0" applyNumberFormat="0" applyFill="0" applyBorder="0" applyAlignment="0" applyProtection="0"/>
    <xf numFmtId="0" fontId="60" fillId="0" borderId="0" applyFont="0" applyFill="0" applyBorder="0" applyAlignment="0" applyProtection="0"/>
    <xf numFmtId="184" fontId="60" fillId="0" borderId="0">
      <alignment horizontal="left" wrapText="1"/>
    </xf>
    <xf numFmtId="0" fontId="30" fillId="0" borderId="41" applyNumberFormat="0" applyFill="0" applyAlignment="0" applyProtection="0"/>
    <xf numFmtId="174" fontId="61" fillId="0" borderId="1"/>
    <xf numFmtId="0" fontId="60" fillId="0" borderId="0"/>
    <xf numFmtId="0" fontId="65" fillId="0" borderId="48">
      <alignment horizontal="left" vertical="center"/>
    </xf>
    <xf numFmtId="0" fontId="154" fillId="0" borderId="0" applyBorder="0" applyAlignment="0"/>
    <xf numFmtId="0" fontId="60" fillId="0" borderId="0" applyNumberFormat="0" applyFill="0" applyBorder="0" applyAlignment="0" applyProtection="0"/>
    <xf numFmtId="0" fontId="50" fillId="0" borderId="0"/>
    <xf numFmtId="0" fontId="60" fillId="0" borderId="0" applyNumberFormat="0" applyFill="0" applyBorder="0" applyAlignment="0" applyProtection="0"/>
    <xf numFmtId="0" fontId="67" fillId="41" borderId="49">
      <alignment vertical="center" wrapText="1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/>
    <xf numFmtId="0" fontId="53" fillId="51" borderId="0" applyNumberFormat="0" applyBorder="0" applyAlignment="0" applyProtection="0"/>
    <xf numFmtId="14" fontId="60" fillId="0" borderId="0" applyFont="0" applyFill="0" applyBorder="0" applyAlignment="0" applyProtection="0"/>
    <xf numFmtId="172" fontId="76" fillId="0" borderId="0"/>
    <xf numFmtId="9" fontId="6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206" fontId="81" fillId="0" borderId="13" applyFont="0" applyFill="0" applyBorder="0" applyAlignment="0" applyProtection="0">
      <alignment horizontal="right"/>
      <protection locked="0"/>
    </xf>
    <xf numFmtId="0" fontId="60" fillId="0" borderId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60" fillId="0" borderId="0" applyNumberFormat="0" applyFill="0" applyBorder="0" applyAlignment="0" applyProtection="0"/>
    <xf numFmtId="206" fontId="81" fillId="0" borderId="13" applyFont="0" applyFill="0" applyBorder="0" applyAlignment="0" applyProtection="0">
      <alignment horizontal="right"/>
      <protection locked="0"/>
    </xf>
    <xf numFmtId="0" fontId="155" fillId="0" borderId="47">
      <alignment horizontal="left" vertical="top"/>
    </xf>
    <xf numFmtId="0" fontId="60" fillId="0" borderId="0"/>
    <xf numFmtId="0" fontId="60" fillId="0" borderId="0" applyNumberFormat="0" applyFill="0" applyBorder="0" applyAlignment="0" applyProtection="0"/>
    <xf numFmtId="0" fontId="88" fillId="0" borderId="0">
      <alignment vertical="top"/>
    </xf>
    <xf numFmtId="0" fontId="156" fillId="36" borderId="31">
      <alignment horizontal="center" vertical="center" wrapText="1"/>
    </xf>
    <xf numFmtId="0" fontId="157" fillId="90" borderId="0"/>
    <xf numFmtId="239" fontId="57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0" applyNumberFormat="0" applyFill="0" applyBorder="0" applyProtection="0">
      <alignment wrapText="1"/>
    </xf>
    <xf numFmtId="0" fontId="60" fillId="0" borderId="0"/>
    <xf numFmtId="0" fontId="147" fillId="0" borderId="71" applyNumberFormat="0" applyFill="0" applyAlignment="0" applyProtection="0"/>
    <xf numFmtId="184" fontId="60" fillId="0" borderId="0">
      <alignment horizontal="left" wrapText="1"/>
    </xf>
    <xf numFmtId="0" fontId="60" fillId="0" borderId="0" applyNumberFormat="0" applyFill="0" applyBorder="0" applyAlignment="0" applyProtection="0"/>
    <xf numFmtId="0" fontId="62" fillId="38" borderId="43" applyNumberFormat="0" applyAlignment="0" applyProtection="0"/>
    <xf numFmtId="0" fontId="55" fillId="0" borderId="0" applyNumberFormat="0"/>
    <xf numFmtId="0" fontId="60" fillId="0" borderId="0" applyNumberFormat="0" applyFill="0" applyBorder="0" applyAlignment="0" applyProtection="0"/>
    <xf numFmtId="173" fontId="352" fillId="0" borderId="0" applyFont="0" applyFill="0" applyBorder="0" applyAlignment="0" applyProtection="0"/>
    <xf numFmtId="0" fontId="63" fillId="38" borderId="45" applyNumberFormat="0" applyAlignment="0" applyProtection="0"/>
    <xf numFmtId="0" fontId="60" fillId="0" borderId="0" applyNumberFormat="0" applyFill="0" applyBorder="0" applyAlignment="0" applyProtection="0"/>
    <xf numFmtId="0" fontId="62" fillId="38" borderId="43" applyNumberFormat="0" applyAlignment="0" applyProtection="0"/>
    <xf numFmtId="0" fontId="158" fillId="0" borderId="0">
      <alignment horizontal="left" vertical="center" indent="2"/>
    </xf>
    <xf numFmtId="0" fontId="60" fillId="0" borderId="0" applyNumberFormat="0" applyFill="0" applyBorder="0" applyAlignment="0" applyProtection="0"/>
    <xf numFmtId="0" fontId="29" fillId="69" borderId="0" applyNumberFormat="0" applyBorder="0" applyAlignment="0" applyProtection="0"/>
    <xf numFmtId="0" fontId="60" fillId="0" borderId="0" applyNumberFormat="0" applyFill="0" applyBorder="0" applyAlignment="0" applyProtection="0"/>
    <xf numFmtId="0" fontId="137" fillId="0" borderId="70" applyNumberFormat="0" applyFill="0" applyAlignment="0" applyProtection="0"/>
    <xf numFmtId="0" fontId="30" fillId="0" borderId="41" applyNumberFormat="0" applyFill="0" applyAlignment="0" applyProtection="0"/>
    <xf numFmtId="0" fontId="60" fillId="0" borderId="0" applyNumberFormat="0" applyFill="0" applyBorder="0" applyAlignment="0" applyProtection="0"/>
    <xf numFmtId="0" fontId="52" fillId="0" borderId="0"/>
    <xf numFmtId="0" fontId="60" fillId="0" borderId="0"/>
    <xf numFmtId="0" fontId="60" fillId="0" borderId="0"/>
    <xf numFmtId="3" fontId="159" fillId="61" borderId="64" applyBorder="0">
      <protection hidden="1"/>
    </xf>
    <xf numFmtId="1" fontId="71" fillId="45" borderId="29" applyNumberFormat="0" applyBorder="0" applyAlignment="0">
      <alignment horizontal="centerContinuous" vertical="center"/>
      <protection locked="0"/>
    </xf>
    <xf numFmtId="202" fontId="60" fillId="0" borderId="0" applyFill="0" applyBorder="0" applyAlignment="0"/>
    <xf numFmtId="0" fontId="52" fillId="0" borderId="0"/>
    <xf numFmtId="0" fontId="60" fillId="0" borderId="0"/>
    <xf numFmtId="168" fontId="60" fillId="0" borderId="0" applyFont="0" applyFill="0" applyBorder="0" applyAlignment="0" applyProtection="0"/>
    <xf numFmtId="0" fontId="60" fillId="0" borderId="0"/>
    <xf numFmtId="0" fontId="60" fillId="38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2" fillId="38" borderId="43" applyNumberFormat="0" applyAlignment="0" applyProtection="0"/>
    <xf numFmtId="0" fontId="60" fillId="0" borderId="0"/>
    <xf numFmtId="223" fontId="81" fillId="38" borderId="48" applyNumberFormat="0" applyAlignment="0" applyProtection="0"/>
    <xf numFmtId="223" fontId="81" fillId="38" borderId="48" applyNumberFormat="0" applyAlignment="0" applyProtection="0"/>
    <xf numFmtId="0" fontId="60" fillId="0" borderId="0"/>
    <xf numFmtId="0" fontId="48" fillId="40" borderId="0" applyNumberFormat="0" applyBorder="0" applyAlignment="0" applyProtection="0"/>
    <xf numFmtId="176" fontId="60" fillId="0" borderId="0" applyFont="0" applyFill="0" applyBorder="0" applyAlignment="0" applyProtection="0"/>
    <xf numFmtId="0" fontId="81" fillId="0" borderId="59" applyBorder="0">
      <alignment horizontal="center" vertical="center"/>
    </xf>
    <xf numFmtId="0" fontId="60" fillId="0" borderId="0"/>
    <xf numFmtId="0" fontId="60" fillId="0" borderId="0"/>
    <xf numFmtId="0" fontId="60" fillId="0" borderId="0"/>
    <xf numFmtId="172" fontId="60" fillId="0" borderId="0" applyNumberFormat="0" applyFont="0" applyAlignment="0" applyProtection="0"/>
    <xf numFmtId="0" fontId="160" fillId="27" borderId="42" applyNumberFormat="0" applyAlignment="0" applyProtection="0"/>
    <xf numFmtId="0" fontId="60" fillId="0" borderId="0"/>
    <xf numFmtId="0" fontId="352" fillId="0" borderId="0"/>
    <xf numFmtId="0" fontId="352" fillId="0" borderId="0"/>
    <xf numFmtId="245" fontId="352" fillId="0" borderId="0" applyFont="0" applyFill="0" applyBorder="0" applyAlignment="0" applyProtection="0"/>
    <xf numFmtId="202" fontId="60" fillId="0" borderId="0" applyFont="0" applyFill="0" applyBorder="0" applyAlignment="0" applyProtection="0"/>
    <xf numFmtId="0" fontId="60" fillId="0" borderId="0"/>
    <xf numFmtId="0" fontId="60" fillId="0" borderId="0"/>
    <xf numFmtId="172" fontId="54" fillId="0" borderId="40" applyBorder="0"/>
    <xf numFmtId="0" fontId="60" fillId="0" borderId="0"/>
    <xf numFmtId="0" fontId="60" fillId="0" borderId="0"/>
    <xf numFmtId="0" fontId="48" fillId="67" borderId="0" applyNumberFormat="0" applyBorder="0" applyAlignment="0" applyProtection="0"/>
    <xf numFmtId="3" fontId="159" fillId="61" borderId="64" applyBorder="0">
      <protection hidden="1"/>
    </xf>
    <xf numFmtId="0" fontId="60" fillId="0" borderId="0"/>
    <xf numFmtId="0" fontId="57" fillId="0" borderId="0"/>
    <xf numFmtId="0" fontId="57" fillId="0" borderId="0"/>
    <xf numFmtId="0" fontId="60" fillId="0" borderId="0"/>
    <xf numFmtId="37" fontId="101" fillId="0" borderId="44" applyAlignment="0">
      <protection locked="0"/>
    </xf>
    <xf numFmtId="184" fontId="60" fillId="0" borderId="0">
      <alignment horizontal="left" wrapText="1"/>
    </xf>
    <xf numFmtId="0" fontId="60" fillId="0" borderId="0"/>
    <xf numFmtId="0" fontId="60" fillId="0" borderId="0"/>
    <xf numFmtId="172" fontId="54" fillId="0" borderId="40" applyBorder="0"/>
    <xf numFmtId="0" fontId="60" fillId="0" borderId="0"/>
    <xf numFmtId="176" fontId="60" fillId="0" borderId="0" applyFont="0" applyFill="0" applyBorder="0" applyAlignment="0" applyProtection="0"/>
    <xf numFmtId="0" fontId="60" fillId="0" borderId="0"/>
    <xf numFmtId="0" fontId="101" fillId="0" borderId="0" applyNumberFormat="0" applyFill="0" applyBorder="0" applyAlignment="0">
      <protection locked="0"/>
    </xf>
    <xf numFmtId="0" fontId="60" fillId="0" borderId="0"/>
    <xf numFmtId="37" fontId="56" fillId="0" borderId="44" applyAlignment="0">
      <protection locked="0"/>
    </xf>
    <xf numFmtId="0" fontId="60" fillId="0" borderId="0"/>
    <xf numFmtId="0" fontId="60" fillId="0" borderId="0"/>
    <xf numFmtId="0" fontId="60" fillId="0" borderId="0"/>
    <xf numFmtId="0" fontId="70" fillId="0" borderId="51" applyNumberFormat="0" applyFill="0" applyAlignment="0" applyProtection="0">
      <alignment vertical="center"/>
    </xf>
    <xf numFmtId="0" fontId="48" fillId="79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161" fillId="0" borderId="0"/>
    <xf numFmtId="0" fontId="75" fillId="0" borderId="21" applyNumberFormat="0" applyFont="0" applyFill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28" borderId="43" applyNumberFormat="0" applyAlignment="0" applyProtection="0"/>
    <xf numFmtId="0" fontId="60" fillId="0" borderId="0"/>
    <xf numFmtId="179" fontId="60" fillId="0" borderId="0" applyFont="0" applyFill="0" applyBorder="0" applyAlignment="0" applyProtection="0"/>
    <xf numFmtId="0" fontId="60" fillId="0" borderId="0"/>
    <xf numFmtId="0" fontId="60" fillId="0" borderId="0"/>
    <xf numFmtId="196" fontId="51" fillId="0" borderId="29" applyBorder="0" applyAlignment="0">
      <protection locked="0"/>
    </xf>
    <xf numFmtId="0" fontId="60" fillId="0" borderId="0"/>
    <xf numFmtId="0" fontId="60" fillId="0" borderId="0"/>
    <xf numFmtId="0" fontId="67" fillId="41" borderId="49">
      <alignment vertical="center" wrapText="1"/>
    </xf>
    <xf numFmtId="0" fontId="49" fillId="28" borderId="43" applyNumberFormat="0" applyAlignment="0" applyProtection="0"/>
    <xf numFmtId="0" fontId="60" fillId="0" borderId="0"/>
    <xf numFmtId="0" fontId="49" fillId="28" borderId="43" applyNumberFormat="0" applyAlignment="0" applyProtection="0"/>
    <xf numFmtId="0" fontId="162" fillId="0" borderId="0" applyFill="0" applyBorder="0" applyAlignment="0" applyProtection="0"/>
    <xf numFmtId="0" fontId="60" fillId="0" borderId="0"/>
    <xf numFmtId="0" fontId="60" fillId="0" borderId="0"/>
    <xf numFmtId="0" fontId="53" fillId="66" borderId="0" applyNumberFormat="0" applyBorder="0" applyAlignment="0" applyProtection="0"/>
    <xf numFmtId="0" fontId="53" fillId="53" borderId="0" applyNumberFormat="0" applyBorder="0" applyAlignment="0" applyProtection="0"/>
    <xf numFmtId="0" fontId="60" fillId="0" borderId="0"/>
    <xf numFmtId="0" fontId="352" fillId="81" borderId="0" applyNumberFormat="0" applyFont="0" applyAlignment="0" applyProtection="0"/>
    <xf numFmtId="173" fontId="352" fillId="0" borderId="0" applyFont="0" applyFill="0" applyBorder="0" applyAlignment="0" applyProtection="0"/>
    <xf numFmtId="0" fontId="60" fillId="0" borderId="0"/>
    <xf numFmtId="0" fontId="60" fillId="0" borderId="0"/>
    <xf numFmtId="0" fontId="352" fillId="81" borderId="0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60" fillId="0" borderId="0"/>
    <xf numFmtId="0" fontId="60" fillId="0" borderId="0"/>
    <xf numFmtId="0" fontId="67" fillId="41" borderId="49">
      <alignment vertical="center" wrapText="1"/>
    </xf>
    <xf numFmtId="0" fontId="60" fillId="0" borderId="0"/>
    <xf numFmtId="184" fontId="60" fillId="0" borderId="0">
      <alignment horizontal="left" wrapText="1"/>
    </xf>
    <xf numFmtId="0" fontId="60" fillId="0" borderId="0"/>
    <xf numFmtId="0" fontId="53" fillId="53" borderId="0" applyNumberFormat="0" applyBorder="0" applyAlignment="0" applyProtection="0"/>
    <xf numFmtId="0" fontId="163" fillId="91" borderId="0"/>
    <xf numFmtId="0" fontId="60" fillId="0" borderId="0"/>
    <xf numFmtId="202" fontId="60" fillId="0" borderId="0" applyFill="0" applyBorder="0" applyAlignment="0"/>
    <xf numFmtId="184" fontId="60" fillId="0" borderId="0">
      <alignment horizontal="left" wrapText="1"/>
    </xf>
    <xf numFmtId="0" fontId="60" fillId="0" borderId="0"/>
    <xf numFmtId="0" fontId="60" fillId="0" borderId="0"/>
    <xf numFmtId="0" fontId="60" fillId="0" borderId="0"/>
    <xf numFmtId="1" fontId="55" fillId="0" borderId="0" applyNumberFormat="0" applyBorder="0" applyAlignment="0" applyProtection="0"/>
    <xf numFmtId="0" fontId="60" fillId="0" borderId="0"/>
    <xf numFmtId="0" fontId="53" fillId="57" borderId="0" applyNumberFormat="0" applyBorder="0" applyAlignment="0" applyProtection="0"/>
    <xf numFmtId="189" fontId="60" fillId="0" borderId="48" applyFont="0" applyFill="0" applyBorder="0" applyAlignment="0" applyProtection="0"/>
    <xf numFmtId="0" fontId="60" fillId="0" borderId="0"/>
    <xf numFmtId="0" fontId="29" fillId="46" borderId="56" applyNumberFormat="0" applyFont="0" applyAlignment="0" applyProtection="0"/>
    <xf numFmtId="0" fontId="60" fillId="0" borderId="0"/>
    <xf numFmtId="0" fontId="352" fillId="0" borderId="0"/>
    <xf numFmtId="0" fontId="60" fillId="0" borderId="0"/>
    <xf numFmtId="0" fontId="352" fillId="0" borderId="0"/>
    <xf numFmtId="0" fontId="352" fillId="0" borderId="0"/>
    <xf numFmtId="0" fontId="60" fillId="0" borderId="0"/>
    <xf numFmtId="0" fontId="60" fillId="46" borderId="56" applyNumberFormat="0" applyFont="0" applyAlignment="0" applyProtection="0"/>
    <xf numFmtId="0" fontId="60" fillId="0" borderId="0"/>
    <xf numFmtId="190" fontId="55" fillId="0" borderId="0">
      <protection locked="0"/>
    </xf>
    <xf numFmtId="0" fontId="60" fillId="0" borderId="0"/>
    <xf numFmtId="0" fontId="29" fillId="80" borderId="0" applyNumberFormat="0" applyBorder="0" applyAlignment="0" applyProtection="0"/>
    <xf numFmtId="0" fontId="60" fillId="0" borderId="0"/>
    <xf numFmtId="0" fontId="60" fillId="0" borderId="0"/>
    <xf numFmtId="0" fontId="5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81" fillId="60" borderId="7">
      <alignment horizontal="left" vertical="center" wrapText="1"/>
    </xf>
    <xf numFmtId="0" fontId="60" fillId="0" borderId="0"/>
    <xf numFmtId="0" fontId="60" fillId="0" borderId="0"/>
    <xf numFmtId="0" fontId="60" fillId="0" borderId="0"/>
    <xf numFmtId="0" fontId="29" fillId="92" borderId="0" applyNumberFormat="0" applyBorder="0" applyAlignment="0" applyProtection="0"/>
    <xf numFmtId="0" fontId="60" fillId="0" borderId="0"/>
    <xf numFmtId="176" fontId="5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7" fillId="41" borderId="49">
      <alignment vertical="center" wrapText="1"/>
    </xf>
    <xf numFmtId="10" fontId="55" fillId="46" borderId="31" applyNumberFormat="0" applyBorder="0" applyAlignment="0" applyProtection="0"/>
    <xf numFmtId="0" fontId="60" fillId="0" borderId="0"/>
    <xf numFmtId="0" fontId="109" fillId="0" borderId="7"/>
    <xf numFmtId="0" fontId="60" fillId="0" borderId="0"/>
    <xf numFmtId="0" fontId="60" fillId="0" borderId="0"/>
    <xf numFmtId="0" fontId="60" fillId="0" borderId="0"/>
    <xf numFmtId="0" fontId="60" fillId="0" borderId="0"/>
    <xf numFmtId="172" fontId="93" fillId="0" borderId="0">
      <alignment horizontal="right"/>
    </xf>
    <xf numFmtId="184" fontId="60" fillId="0" borderId="0">
      <alignment horizontal="left" wrapText="1"/>
    </xf>
    <xf numFmtId="0" fontId="60" fillId="0" borderId="0"/>
    <xf numFmtId="0" fontId="55" fillId="0" borderId="0" applyNumberFormat="0" applyFill="0" applyBorder="0" applyAlignment="0" applyProtection="0"/>
    <xf numFmtId="0" fontId="65" fillId="0" borderId="48">
      <alignment horizontal="left" vertical="center"/>
    </xf>
    <xf numFmtId="0" fontId="60" fillId="0" borderId="0"/>
    <xf numFmtId="0" fontId="67" fillId="41" borderId="49">
      <alignment vertical="center" wrapText="1"/>
    </xf>
    <xf numFmtId="0" fontId="70" fillId="0" borderId="51" applyNumberFormat="0" applyFill="0" applyAlignment="0" applyProtection="0">
      <alignment vertical="center"/>
    </xf>
    <xf numFmtId="178" fontId="60" fillId="0" borderId="0" applyFill="0" applyBorder="0" applyAlignment="0"/>
    <xf numFmtId="208" fontId="55" fillId="0" borderId="0" applyFill="0" applyBorder="0" applyProtection="0">
      <alignment horizontal="right" wrapText="1"/>
    </xf>
    <xf numFmtId="199" fontId="100" fillId="0" borderId="0" applyFont="0" applyFill="0" applyBorder="0" applyAlignment="0" applyProtection="0"/>
    <xf numFmtId="172" fontId="93" fillId="0" borderId="19" applyNumberFormat="0" applyBorder="0" applyAlignment="0" applyProtection="0"/>
    <xf numFmtId="0" fontId="95" fillId="0" borderId="7"/>
    <xf numFmtId="174" fontId="55" fillId="46" borderId="0">
      <alignment horizontal="center"/>
    </xf>
    <xf numFmtId="0" fontId="60" fillId="0" borderId="0"/>
    <xf numFmtId="0" fontId="60" fillId="0" borderId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109" fillId="60" borderId="7"/>
    <xf numFmtId="0" fontId="62" fillId="38" borderId="43" applyNumberFormat="0" applyAlignment="0" applyProtection="0"/>
    <xf numFmtId="0" fontId="52" fillId="0" borderId="0"/>
    <xf numFmtId="192" fontId="55" fillId="72" borderId="40" applyNumberFormat="0" applyFont="0" applyBorder="0" applyAlignment="0" applyProtection="0">
      <alignment horizontal="right"/>
    </xf>
    <xf numFmtId="0" fontId="60" fillId="0" borderId="0"/>
    <xf numFmtId="232" fontId="128" fillId="0" borderId="40" applyBorder="0">
      <alignment horizontal="right"/>
    </xf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24" fillId="0" borderId="31" applyNumberFormat="0" applyFont="0" applyFill="0" applyBorder="0" applyAlignment="0">
      <alignment horizontal="center" vertical="center"/>
    </xf>
    <xf numFmtId="0" fontId="88" fillId="0" borderId="0">
      <alignment vertical="top"/>
    </xf>
    <xf numFmtId="0" fontId="164" fillId="0" borderId="0" applyNumberFormat="0" applyFill="0" applyBorder="0" applyAlignment="0" applyProtection="0"/>
    <xf numFmtId="0" fontId="60" fillId="0" borderId="0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0" fontId="60" fillId="0" borderId="0" applyFill="0" applyBorder="0" applyAlignment="0"/>
    <xf numFmtId="180" fontId="60" fillId="0" borderId="0"/>
    <xf numFmtId="246" fontId="165" fillId="0" borderId="0" applyFill="0" applyBorder="0" applyAlignment="0" applyProtection="0"/>
    <xf numFmtId="0" fontId="60" fillId="0" borderId="0"/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0" fontId="60" fillId="38" borderId="0"/>
    <xf numFmtId="0" fontId="128" fillId="0" borderId="0"/>
    <xf numFmtId="245" fontId="352" fillId="0" borderId="0" applyFont="0" applyFill="0" applyBorder="0" applyAlignment="0" applyProtection="0"/>
    <xf numFmtId="185" fontId="352" fillId="0" borderId="0" applyFont="0" applyFill="0" applyBorder="0" applyAlignment="0" applyProtection="0"/>
    <xf numFmtId="245" fontId="57" fillId="0" borderId="0" applyFont="0" applyFill="0" applyBorder="0" applyAlignment="0" applyProtection="0"/>
    <xf numFmtId="202" fontId="60" fillId="0" borderId="0" applyFont="0" applyFill="0" applyBorder="0" applyAlignment="0" applyProtection="0"/>
    <xf numFmtId="245" fontId="352" fillId="0" borderId="0" applyFont="0" applyFill="0" applyBorder="0" applyAlignment="0" applyProtection="0"/>
    <xf numFmtId="202" fontId="60" fillId="0" borderId="0" applyFont="0" applyFill="0" applyBorder="0" applyAlignment="0" applyProtection="0"/>
    <xf numFmtId="198" fontId="60" fillId="0" borderId="55" applyBorder="0">
      <alignment horizontal="right"/>
    </xf>
    <xf numFmtId="198" fontId="60" fillId="0" borderId="55" applyBorder="0">
      <alignment horizontal="right"/>
    </xf>
    <xf numFmtId="245" fontId="352" fillId="0" borderId="0" applyFont="0" applyFill="0" applyBorder="0" applyAlignment="0" applyProtection="0"/>
    <xf numFmtId="185" fontId="352" fillId="0" borderId="0" applyFont="0" applyFill="0" applyBorder="0" applyAlignment="0" applyProtection="0"/>
    <xf numFmtId="0" fontId="60" fillId="0" borderId="0"/>
    <xf numFmtId="180" fontId="60" fillId="0" borderId="0"/>
    <xf numFmtId="248" fontId="60" fillId="0" borderId="0" applyFont="0" applyFill="0" applyBorder="0" applyAlignment="0" applyProtection="0"/>
    <xf numFmtId="0" fontId="88" fillId="0" borderId="0">
      <alignment vertical="top"/>
    </xf>
    <xf numFmtId="0" fontId="60" fillId="0" borderId="0"/>
    <xf numFmtId="169" fontId="60" fillId="61" borderId="31" applyNumberFormat="0" applyFont="0" applyBorder="0" applyAlignment="0" applyProtection="0"/>
    <xf numFmtId="180" fontId="60" fillId="0" borderId="0"/>
    <xf numFmtId="0" fontId="29" fillId="66" borderId="0" applyNumberFormat="0" applyBorder="0" applyAlignment="0" applyProtection="0"/>
    <xf numFmtId="0" fontId="52" fillId="0" borderId="0"/>
    <xf numFmtId="183" fontId="60" fillId="0" borderId="0"/>
    <xf numFmtId="249" fontId="60" fillId="0" borderId="0" applyFont="0" applyFill="0" applyBorder="0" applyAlignment="0" applyProtection="0"/>
    <xf numFmtId="0" fontId="95" fillId="0" borderId="7"/>
    <xf numFmtId="207" fontId="60" fillId="0" borderId="0" applyFill="0" applyBorder="0" applyAlignment="0" applyProtection="0"/>
    <xf numFmtId="0" fontId="95" fillId="0" borderId="7"/>
    <xf numFmtId="182" fontId="60" fillId="0" borderId="0" applyFill="0" applyBorder="0" applyAlignment="0" applyProtection="0"/>
    <xf numFmtId="0" fontId="95" fillId="0" borderId="7"/>
    <xf numFmtId="205" fontId="138" fillId="0" borderId="0"/>
    <xf numFmtId="0" fontId="88" fillId="0" borderId="0">
      <alignment vertical="top"/>
    </xf>
    <xf numFmtId="0" fontId="61" fillId="0" borderId="0" applyNumberFormat="0" applyFill="0" applyBorder="0" applyProtection="0">
      <alignment wrapText="1"/>
    </xf>
    <xf numFmtId="184" fontId="60" fillId="0" borderId="0">
      <alignment horizontal="left" wrapText="1"/>
    </xf>
    <xf numFmtId="0" fontId="60" fillId="0" borderId="0"/>
    <xf numFmtId="183" fontId="88" fillId="0" borderId="0">
      <alignment vertical="top"/>
    </xf>
    <xf numFmtId="172" fontId="76" fillId="0" borderId="0"/>
    <xf numFmtId="37" fontId="56" fillId="0" borderId="44" applyAlignment="0">
      <protection locked="0"/>
    </xf>
    <xf numFmtId="0" fontId="167" fillId="0" borderId="0" applyNumberFormat="0" applyFill="0" applyBorder="0" applyAlignment="0" applyProtection="0"/>
    <xf numFmtId="189" fontId="60" fillId="0" borderId="48" applyFont="0" applyFill="0" applyBorder="0" applyAlignment="0" applyProtection="0"/>
    <xf numFmtId="184" fontId="60" fillId="0" borderId="0">
      <alignment horizontal="left" wrapText="1"/>
    </xf>
    <xf numFmtId="184" fontId="60" fillId="0" borderId="0">
      <alignment horizontal="left" wrapText="1"/>
    </xf>
    <xf numFmtId="0" fontId="59" fillId="0" borderId="0"/>
    <xf numFmtId="184" fontId="60" fillId="0" borderId="0">
      <alignment horizontal="left" wrapText="1"/>
    </xf>
    <xf numFmtId="184" fontId="60" fillId="0" borderId="0">
      <alignment horizontal="left" wrapText="1"/>
    </xf>
    <xf numFmtId="0" fontId="48" fillId="76" borderId="0" applyNumberFormat="0" applyBorder="0" applyAlignment="0" applyProtection="0"/>
    <xf numFmtId="184" fontId="60" fillId="0" borderId="0">
      <alignment horizontal="left" wrapText="1"/>
    </xf>
    <xf numFmtId="184" fontId="60" fillId="0" borderId="0">
      <alignment horizontal="left" wrapText="1"/>
    </xf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184" fontId="60" fillId="0" borderId="0">
      <alignment horizontal="left" wrapText="1"/>
    </xf>
    <xf numFmtId="179" fontId="83" fillId="0" borderId="48" applyNumberFormat="0" applyFill="0" applyBorder="0" applyProtection="0"/>
    <xf numFmtId="184" fontId="60" fillId="0" borderId="0">
      <alignment horizontal="left" wrapText="1"/>
    </xf>
    <xf numFmtId="0" fontId="49" fillId="28" borderId="43" applyNumberFormat="0" applyAlignment="0" applyProtection="0"/>
    <xf numFmtId="184" fontId="60" fillId="0" borderId="0">
      <alignment horizontal="left" wrapText="1"/>
    </xf>
    <xf numFmtId="184" fontId="60" fillId="0" borderId="0">
      <alignment horizontal="left" wrapText="1"/>
    </xf>
    <xf numFmtId="184" fontId="60" fillId="0" borderId="0">
      <alignment horizontal="left" wrapText="1"/>
    </xf>
    <xf numFmtId="0" fontId="60" fillId="46" borderId="56" applyNumberFormat="0" applyFont="0" applyAlignment="0" applyProtection="0"/>
    <xf numFmtId="184" fontId="60" fillId="0" borderId="0">
      <alignment horizontal="left" wrapText="1"/>
    </xf>
    <xf numFmtId="232" fontId="128" fillId="55" borderId="40" applyBorder="0">
      <alignment horizontal="right"/>
    </xf>
    <xf numFmtId="0" fontId="62" fillId="38" borderId="43" applyNumberFormat="0" applyAlignment="0" applyProtection="0"/>
    <xf numFmtId="184" fontId="60" fillId="0" borderId="0">
      <alignment horizontal="left" wrapText="1"/>
    </xf>
    <xf numFmtId="232" fontId="128" fillId="55" borderId="40" applyBorder="0">
      <alignment horizontal="right"/>
    </xf>
    <xf numFmtId="0" fontId="62" fillId="38" borderId="43" applyNumberFormat="0" applyAlignment="0" applyProtection="0"/>
    <xf numFmtId="184" fontId="60" fillId="0" borderId="0">
      <alignment horizontal="left" wrapText="1"/>
    </xf>
    <xf numFmtId="0" fontId="60" fillId="0" borderId="0"/>
    <xf numFmtId="184" fontId="60" fillId="0" borderId="0">
      <alignment horizontal="left" wrapText="1"/>
    </xf>
    <xf numFmtId="0" fontId="29" fillId="48" borderId="0" applyNumberFormat="0" applyBorder="0" applyAlignment="0" applyProtection="0"/>
    <xf numFmtId="184" fontId="60" fillId="0" borderId="0">
      <alignment horizontal="left" wrapText="1"/>
    </xf>
    <xf numFmtId="2" fontId="60" fillId="0" borderId="69" applyFill="0" applyBorder="0" applyProtection="0">
      <alignment horizontal="center"/>
    </xf>
    <xf numFmtId="184" fontId="60" fillId="0" borderId="0">
      <alignment horizontal="left" wrapText="1"/>
    </xf>
    <xf numFmtId="184" fontId="60" fillId="0" borderId="0">
      <alignment horizontal="left" wrapText="1"/>
    </xf>
    <xf numFmtId="184" fontId="60" fillId="0" borderId="0">
      <alignment horizontal="left" wrapText="1"/>
    </xf>
    <xf numFmtId="184" fontId="60" fillId="0" borderId="0">
      <alignment horizontal="left" wrapText="1"/>
    </xf>
    <xf numFmtId="178" fontId="60" fillId="0" borderId="0" applyFill="0" applyBorder="0" applyAlignment="0"/>
    <xf numFmtId="0" fontId="29" fillId="55" borderId="0" applyNumberFormat="0" applyBorder="0" applyAlignment="0" applyProtection="0"/>
    <xf numFmtId="250" fontId="67" fillId="51" borderId="0" applyNumberFormat="0" applyBorder="0">
      <alignment horizontal="center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184" fontId="60" fillId="0" borderId="0">
      <alignment horizontal="left" wrapText="1"/>
    </xf>
    <xf numFmtId="184" fontId="60" fillId="0" borderId="0">
      <alignment horizontal="left" wrapText="1"/>
    </xf>
    <xf numFmtId="0" fontId="80" fillId="0" borderId="0">
      <alignment vertical="center"/>
    </xf>
    <xf numFmtId="184" fontId="60" fillId="0" borderId="0">
      <alignment horizontal="left" wrapText="1"/>
    </xf>
    <xf numFmtId="172" fontId="54" fillId="0" borderId="40" applyBorder="0"/>
    <xf numFmtId="184" fontId="60" fillId="0" borderId="0">
      <alignment horizontal="left" wrapText="1"/>
    </xf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60" fillId="93" borderId="0"/>
    <xf numFmtId="184" fontId="60" fillId="0" borderId="0">
      <alignment horizontal="left" wrapText="1"/>
    </xf>
    <xf numFmtId="223" fontId="81" fillId="38" borderId="48" applyNumberFormat="0" applyAlignment="0" applyProtection="0"/>
    <xf numFmtId="178" fontId="60" fillId="0" borderId="0" applyFill="0" applyBorder="0" applyAlignment="0"/>
    <xf numFmtId="184" fontId="60" fillId="0" borderId="0">
      <alignment horizontal="left" wrapText="1"/>
    </xf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184" fontId="60" fillId="0" borderId="0">
      <alignment horizontal="left" wrapText="1"/>
    </xf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179" fontId="83" fillId="0" borderId="48" applyNumberFormat="0" applyFill="0" applyBorder="0" applyProtection="0"/>
    <xf numFmtId="184" fontId="60" fillId="0" borderId="0">
      <alignment horizontal="left" wrapText="1"/>
    </xf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179" fontId="83" fillId="0" borderId="48" applyNumberFormat="0" applyFill="0" applyBorder="0" applyProtection="0"/>
    <xf numFmtId="182" fontId="60" fillId="0" borderId="0" applyFill="0" applyBorder="0" applyAlignment="0" applyProtection="0"/>
    <xf numFmtId="251" fontId="60" fillId="0" borderId="0" applyFont="0" applyFill="0" applyBorder="0" applyAlignment="0" applyProtection="0"/>
    <xf numFmtId="38" fontId="94" fillId="0" borderId="0" applyFont="0" applyFill="0" applyBorder="0" applyAlignment="0" applyProtection="0"/>
    <xf numFmtId="182" fontId="100" fillId="0" borderId="0" applyFont="0" applyFill="0" applyBorder="0" applyAlignment="0" applyProtection="0"/>
    <xf numFmtId="249" fontId="100" fillId="0" borderId="0" applyFont="0" applyFill="0" applyBorder="0" applyAlignment="0" applyProtection="0"/>
    <xf numFmtId="0" fontId="49" fillId="28" borderId="43" applyNumberFormat="0" applyAlignment="0" applyProtection="0"/>
    <xf numFmtId="207" fontId="60" fillId="0" borderId="0" applyFont="0" applyFill="0" applyBorder="0" applyAlignment="0" applyProtection="0"/>
    <xf numFmtId="0" fontId="49" fillId="28" borderId="43" applyNumberFormat="0" applyAlignment="0" applyProtection="0"/>
    <xf numFmtId="207" fontId="60" fillId="0" borderId="0" applyFill="0" applyBorder="0" applyAlignment="0" applyProtection="0"/>
    <xf numFmtId="0" fontId="50" fillId="0" borderId="0"/>
    <xf numFmtId="0" fontId="49" fillId="28" borderId="43" applyNumberFormat="0" applyAlignment="0" applyProtection="0"/>
    <xf numFmtId="0" fontId="53" fillId="69" borderId="0" applyNumberFormat="0" applyBorder="0" applyAlignment="0" applyProtection="0"/>
    <xf numFmtId="0" fontId="60" fillId="0" borderId="0" applyNumberFormat="0" applyFill="0" applyBorder="0" applyAlignment="0" applyProtection="0"/>
    <xf numFmtId="1" fontId="71" fillId="45" borderId="29" applyNumberFormat="0" applyBorder="0" applyAlignment="0">
      <alignment horizontal="centerContinuous" vertical="center"/>
      <protection locked="0"/>
    </xf>
    <xf numFmtId="0" fontId="60" fillId="0" borderId="0" applyNumberFormat="0" applyFill="0" applyBorder="0" applyAlignment="0" applyProtection="0"/>
    <xf numFmtId="0" fontId="65" fillId="0" borderId="48">
      <alignment horizontal="left" vertical="center"/>
    </xf>
    <xf numFmtId="184" fontId="60" fillId="0" borderId="0">
      <alignment horizontal="left" wrapText="1"/>
    </xf>
    <xf numFmtId="184" fontId="60" fillId="0" borderId="0">
      <alignment horizontal="left" wrapText="1"/>
    </xf>
    <xf numFmtId="0" fontId="60" fillId="0" borderId="0"/>
    <xf numFmtId="0" fontId="62" fillId="38" borderId="43" applyNumberFormat="0" applyAlignment="0" applyProtection="0"/>
    <xf numFmtId="184" fontId="60" fillId="0" borderId="0">
      <alignment horizontal="left" wrapText="1"/>
    </xf>
    <xf numFmtId="1" fontId="101" fillId="81" borderId="0" applyBorder="0" applyAlignment="0" applyProtection="0"/>
    <xf numFmtId="184" fontId="60" fillId="0" borderId="0">
      <alignment horizontal="left" wrapText="1"/>
    </xf>
    <xf numFmtId="0" fontId="68" fillId="42" borderId="50" applyNumberFormat="0" applyAlignment="0" applyProtection="0"/>
    <xf numFmtId="184" fontId="60" fillId="0" borderId="0">
      <alignment horizontal="left" wrapText="1"/>
    </xf>
    <xf numFmtId="184" fontId="60" fillId="0" borderId="0">
      <alignment horizontal="left" wrapText="1"/>
    </xf>
    <xf numFmtId="208" fontId="55" fillId="0" borderId="0" applyFill="0" applyBorder="0" applyProtection="0">
      <alignment horizontal="right" wrapText="1"/>
    </xf>
    <xf numFmtId="184" fontId="60" fillId="0" borderId="0">
      <alignment horizontal="left" wrapText="1"/>
    </xf>
    <xf numFmtId="184" fontId="60" fillId="0" borderId="0">
      <alignment horizontal="left" wrapText="1"/>
    </xf>
    <xf numFmtId="184" fontId="60" fillId="0" borderId="0">
      <alignment horizontal="left" wrapText="1"/>
    </xf>
    <xf numFmtId="184" fontId="60" fillId="0" borderId="0">
      <alignment horizontal="left" wrapText="1"/>
    </xf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172" fontId="60" fillId="0" borderId="0"/>
    <xf numFmtId="184" fontId="60" fillId="0" borderId="0">
      <alignment horizontal="left" wrapText="1"/>
    </xf>
    <xf numFmtId="0" fontId="49" fillId="28" borderId="43" applyNumberFormat="0" applyAlignment="0" applyProtection="0"/>
    <xf numFmtId="184" fontId="60" fillId="0" borderId="0">
      <alignment horizontal="left" wrapText="1"/>
    </xf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184" fontId="60" fillId="0" borderId="0">
      <alignment horizontal="left" wrapText="1"/>
    </xf>
    <xf numFmtId="184" fontId="60" fillId="0" borderId="0">
      <alignment horizontal="left" wrapText="1"/>
    </xf>
    <xf numFmtId="184" fontId="60" fillId="0" borderId="0">
      <alignment horizontal="left" wrapText="1"/>
    </xf>
    <xf numFmtId="0" fontId="60" fillId="0" borderId="0"/>
    <xf numFmtId="4" fontId="88" fillId="48" borderId="72" applyNumberFormat="0" applyProtection="0">
      <alignment horizontal="right" vertical="center"/>
    </xf>
    <xf numFmtId="0" fontId="88" fillId="0" borderId="0" applyFont="0" applyFill="0" applyBorder="0" applyAlignment="0" applyProtection="0">
      <alignment horizontal="right"/>
    </xf>
    <xf numFmtId="0" fontId="60" fillId="0" borderId="0"/>
    <xf numFmtId="0" fontId="29" fillId="48" borderId="0" applyNumberFormat="0" applyBorder="0" applyAlignment="0" applyProtection="0"/>
    <xf numFmtId="205" fontId="138" fillId="0" borderId="0"/>
    <xf numFmtId="172" fontId="76" fillId="0" borderId="0"/>
    <xf numFmtId="0" fontId="62" fillId="38" borderId="43" applyNumberFormat="0" applyAlignment="0" applyProtection="0"/>
    <xf numFmtId="0" fontId="62" fillId="38" borderId="43" applyNumberFormat="0" applyAlignment="0" applyProtection="0"/>
    <xf numFmtId="172" fontId="76" fillId="0" borderId="0"/>
    <xf numFmtId="0" fontId="62" fillId="38" borderId="43" applyNumberFormat="0" applyAlignment="0" applyProtection="0"/>
    <xf numFmtId="0" fontId="62" fillId="38" borderId="43" applyNumberFormat="0" applyAlignment="0" applyProtection="0"/>
    <xf numFmtId="252" fontId="60" fillId="0" borderId="0"/>
    <xf numFmtId="172" fontId="76" fillId="0" borderId="0"/>
    <xf numFmtId="241" fontId="352" fillId="0" borderId="0" applyFont="0" applyFill="0" applyBorder="0" applyAlignment="0" applyProtection="0"/>
    <xf numFmtId="241" fontId="57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2" fillId="48" borderId="0" applyNumberFormat="0" applyFont="0" applyBorder="0" applyAlignment="0" applyProtection="0"/>
    <xf numFmtId="241" fontId="352" fillId="0" borderId="0" applyFont="0" applyFill="0" applyBorder="0" applyAlignment="0" applyProtection="0"/>
    <xf numFmtId="253" fontId="55" fillId="0" borderId="0" applyFont="0" applyFill="0" applyBorder="0" applyAlignment="0" applyProtection="0"/>
    <xf numFmtId="241" fontId="352" fillId="0" borderId="0" applyFont="0" applyFill="0" applyBorder="0" applyAlignment="0" applyProtection="0"/>
    <xf numFmtId="0" fontId="106" fillId="46" borderId="56" applyNumberFormat="0" applyFont="0" applyAlignment="0" applyProtection="0">
      <alignment vertical="center"/>
    </xf>
    <xf numFmtId="254" fontId="352" fillId="0" borderId="0" applyFont="0" applyFill="0" applyBorder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254" fontId="57" fillId="0" borderId="0" applyFont="0" applyFill="0" applyBorder="0" applyProtection="0">
      <alignment horizontal="right"/>
    </xf>
    <xf numFmtId="193" fontId="60" fillId="0" borderId="0" applyFill="0" applyBorder="0" applyAlignment="0"/>
    <xf numFmtId="254" fontId="352" fillId="0" borderId="0" applyFont="0" applyFill="0" applyBorder="0" applyProtection="0">
      <alignment horizontal="right"/>
    </xf>
    <xf numFmtId="193" fontId="60" fillId="0" borderId="0" applyFill="0" applyBorder="0" applyAlignment="0"/>
    <xf numFmtId="0" fontId="60" fillId="0" borderId="0">
      <alignment horizontal="left" wrapText="1"/>
    </xf>
    <xf numFmtId="15" fontId="52" fillId="0" borderId="0" applyFont="0" applyFill="0" applyBorder="0" applyProtection="0">
      <alignment horizontal="center"/>
    </xf>
    <xf numFmtId="172" fontId="93" fillId="0" borderId="0">
      <alignment horizontal="right"/>
    </xf>
    <xf numFmtId="0" fontId="60" fillId="0" borderId="0">
      <alignment horizontal="left" wrapText="1"/>
    </xf>
    <xf numFmtId="0" fontId="60" fillId="0" borderId="0"/>
    <xf numFmtId="0" fontId="52" fillId="0" borderId="0"/>
    <xf numFmtId="0" fontId="60" fillId="0" borderId="0">
      <alignment horizontal="left" wrapText="1"/>
    </xf>
    <xf numFmtId="0" fontId="60" fillId="0" borderId="0">
      <alignment horizontal="left" wrapText="1"/>
    </xf>
    <xf numFmtId="0" fontId="61" fillId="0" borderId="73" applyFont="0" applyFill="0" applyBorder="0"/>
    <xf numFmtId="0" fontId="60" fillId="0" borderId="0">
      <alignment horizontal="left" wrapText="1"/>
    </xf>
    <xf numFmtId="1" fontId="71" fillId="45" borderId="29" applyNumberFormat="0" applyBorder="0" applyAlignment="0">
      <alignment horizontal="centerContinuous" vertical="center"/>
      <protection locked="0"/>
    </xf>
    <xf numFmtId="0" fontId="60" fillId="0" borderId="0">
      <alignment horizontal="left" wrapText="1"/>
    </xf>
    <xf numFmtId="208" fontId="61" fillId="0" borderId="0" applyFill="0" applyBorder="0" applyProtection="0">
      <alignment horizontal="right" wrapText="1"/>
    </xf>
    <xf numFmtId="0" fontId="60" fillId="0" borderId="0">
      <alignment horizontal="left" wrapText="1"/>
    </xf>
    <xf numFmtId="190" fontId="55" fillId="0" borderId="0">
      <protection locked="0"/>
    </xf>
    <xf numFmtId="180" fontId="59" fillId="0" borderId="0" applyFont="0" applyFill="0" applyBorder="0" applyAlignment="0" applyProtection="0"/>
    <xf numFmtId="0" fontId="60" fillId="0" borderId="0">
      <alignment horizontal="left" wrapText="1"/>
    </xf>
    <xf numFmtId="37" fontId="56" fillId="0" borderId="44" applyAlignment="0">
      <protection locked="0"/>
    </xf>
    <xf numFmtId="0" fontId="60" fillId="0" borderId="0">
      <alignment horizontal="left" wrapText="1"/>
    </xf>
    <xf numFmtId="0" fontId="60" fillId="0" borderId="0">
      <alignment horizontal="left" wrapText="1"/>
    </xf>
    <xf numFmtId="0" fontId="60" fillId="0" borderId="0">
      <alignment horizontal="left" wrapText="1"/>
    </xf>
    <xf numFmtId="0" fontId="29" fillId="55" borderId="0" applyNumberFormat="0" applyBorder="0" applyAlignment="0" applyProtection="0"/>
    <xf numFmtId="0" fontId="60" fillId="0" borderId="0">
      <alignment horizontal="left" wrapText="1"/>
    </xf>
    <xf numFmtId="0" fontId="60" fillId="0" borderId="0">
      <alignment horizontal="left" wrapText="1"/>
    </xf>
    <xf numFmtId="0" fontId="60" fillId="0" borderId="0">
      <alignment horizontal="left" wrapText="1"/>
    </xf>
    <xf numFmtId="0" fontId="60" fillId="0" borderId="0">
      <alignment horizontal="left" wrapText="1"/>
    </xf>
    <xf numFmtId="232" fontId="128" fillId="0" borderId="40" applyBorder="0">
      <alignment horizontal="right"/>
    </xf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189" fontId="60" fillId="0" borderId="48" applyFont="0" applyFill="0" applyBorder="0" applyAlignment="0" applyProtection="0"/>
    <xf numFmtId="0" fontId="124" fillId="0" borderId="31" applyNumberFormat="0" applyFont="0" applyFill="0" applyBorder="0" applyAlignment="0">
      <alignment horizontal="center" vertical="center"/>
    </xf>
    <xf numFmtId="0" fontId="60" fillId="0" borderId="0">
      <alignment horizontal="left" wrapText="1"/>
    </xf>
    <xf numFmtId="0" fontId="60" fillId="0" borderId="0">
      <alignment horizontal="left" wrapText="1"/>
    </xf>
    <xf numFmtId="0" fontId="60" fillId="0" borderId="0">
      <alignment horizontal="left" wrapText="1"/>
    </xf>
    <xf numFmtId="0" fontId="60" fillId="0" borderId="0">
      <alignment horizontal="left" wrapText="1"/>
    </xf>
    <xf numFmtId="0" fontId="67" fillId="41" borderId="49">
      <alignment vertical="center" wrapText="1"/>
    </xf>
    <xf numFmtId="227" fontId="60" fillId="0" borderId="0"/>
    <xf numFmtId="0" fontId="60" fillId="0" borderId="0">
      <alignment horizontal="left" wrapText="1"/>
    </xf>
    <xf numFmtId="0" fontId="62" fillId="38" borderId="43" applyNumberFormat="0" applyAlignment="0" applyProtection="0"/>
    <xf numFmtId="0" fontId="60" fillId="0" borderId="0">
      <alignment horizontal="left" wrapText="1"/>
    </xf>
    <xf numFmtId="0" fontId="65" fillId="0" borderId="48">
      <alignment horizontal="left" vertical="center"/>
    </xf>
    <xf numFmtId="0" fontId="60" fillId="0" borderId="0">
      <alignment horizontal="left" wrapText="1"/>
    </xf>
    <xf numFmtId="0" fontId="60" fillId="0" borderId="0">
      <alignment horizontal="left" wrapText="1"/>
    </xf>
    <xf numFmtId="0" fontId="60" fillId="0" borderId="0"/>
    <xf numFmtId="0" fontId="60" fillId="0" borderId="0"/>
    <xf numFmtId="0" fontId="60" fillId="0" borderId="0">
      <alignment horizontal="left" wrapText="1"/>
    </xf>
    <xf numFmtId="0" fontId="29" fillId="46" borderId="56" applyNumberFormat="0" applyFont="0" applyAlignment="0" applyProtection="0"/>
    <xf numFmtId="0" fontId="60" fillId="0" borderId="0">
      <alignment horizontal="left" wrapText="1"/>
    </xf>
    <xf numFmtId="0" fontId="60" fillId="0" borderId="0">
      <alignment horizontal="left" wrapText="1"/>
    </xf>
    <xf numFmtId="0" fontId="29" fillId="46" borderId="56" applyNumberFormat="0" applyFont="0" applyAlignment="0" applyProtection="0"/>
    <xf numFmtId="0" fontId="60" fillId="0" borderId="0">
      <alignment horizontal="left" wrapText="1"/>
    </xf>
    <xf numFmtId="0" fontId="29" fillId="46" borderId="56" applyNumberFormat="0" applyFont="0" applyAlignment="0" applyProtection="0"/>
    <xf numFmtId="0" fontId="60" fillId="0" borderId="0">
      <alignment horizontal="left" wrapText="1"/>
    </xf>
    <xf numFmtId="0" fontId="29" fillId="46" borderId="56" applyNumberFormat="0" applyFont="0" applyAlignment="0" applyProtection="0"/>
    <xf numFmtId="0" fontId="60" fillId="0" borderId="0">
      <alignment horizontal="left" wrapText="1"/>
    </xf>
    <xf numFmtId="0" fontId="60" fillId="0" borderId="0">
      <alignment horizontal="left" wrapText="1"/>
    </xf>
    <xf numFmtId="0" fontId="60" fillId="0" borderId="0">
      <alignment horizontal="left" wrapText="1"/>
    </xf>
    <xf numFmtId="38" fontId="94" fillId="0" borderId="0" applyFont="0" applyFill="0" applyBorder="0" applyAlignment="0" applyProtection="0"/>
    <xf numFmtId="0" fontId="60" fillId="46" borderId="56" applyNumberFormat="0" applyFont="0" applyAlignment="0" applyProtection="0"/>
    <xf numFmtId="0" fontId="60" fillId="0" borderId="0">
      <alignment horizontal="left" wrapText="1"/>
    </xf>
    <xf numFmtId="0" fontId="60" fillId="0" borderId="0">
      <alignment horizontal="left" wrapText="1"/>
    </xf>
    <xf numFmtId="0" fontId="60" fillId="0" borderId="0">
      <alignment horizontal="left" wrapText="1"/>
    </xf>
    <xf numFmtId="240" fontId="52" fillId="0" borderId="0" applyFont="0" applyFill="0" applyBorder="0" applyAlignment="0" applyProtection="0"/>
    <xf numFmtId="0" fontId="60" fillId="0" borderId="0">
      <alignment horizontal="left" wrapText="1"/>
    </xf>
    <xf numFmtId="0" fontId="29" fillId="80" borderId="0" applyNumberFormat="0" applyBorder="0" applyAlignment="0" applyProtection="0"/>
    <xf numFmtId="0" fontId="60" fillId="0" borderId="0">
      <alignment horizontal="left" wrapText="1"/>
    </xf>
    <xf numFmtId="192" fontId="55" fillId="72" borderId="40" applyNumberFormat="0" applyFont="0" applyBorder="0" applyAlignment="0" applyProtection="0">
      <alignment horizontal="right"/>
    </xf>
    <xf numFmtId="0" fontId="60" fillId="0" borderId="0">
      <alignment horizontal="left" wrapText="1"/>
    </xf>
    <xf numFmtId="0" fontId="67" fillId="41" borderId="49">
      <alignment vertical="center" wrapText="1"/>
    </xf>
    <xf numFmtId="0" fontId="60" fillId="0" borderId="0">
      <alignment horizontal="left" wrapText="1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0" fontId="170" fillId="0" borderId="46" applyNumberFormat="0" applyFill="0" applyAlignment="0" applyProtection="0"/>
    <xf numFmtId="0" fontId="60" fillId="0" borderId="0">
      <alignment horizontal="left" wrapText="1"/>
    </xf>
    <xf numFmtId="0" fontId="67" fillId="41" borderId="49">
      <alignment vertical="center" wrapText="1"/>
    </xf>
    <xf numFmtId="0" fontId="60" fillId="0" borderId="0">
      <alignment horizontal="left" wrapText="1"/>
    </xf>
    <xf numFmtId="0" fontId="67" fillId="41" borderId="49">
      <alignment vertical="center" wrapText="1"/>
    </xf>
    <xf numFmtId="0" fontId="60" fillId="0" borderId="0">
      <alignment horizontal="left" wrapText="1"/>
    </xf>
    <xf numFmtId="0" fontId="67" fillId="41" borderId="49">
      <alignment vertical="center" wrapText="1"/>
    </xf>
    <xf numFmtId="0" fontId="60" fillId="0" borderId="0" applyNumberFormat="0" applyFill="0" applyBorder="0" applyAlignment="0" applyProtection="0"/>
    <xf numFmtId="0" fontId="29" fillId="90" borderId="0" applyNumberFormat="0" applyBorder="0" applyAlignment="0" applyProtection="0"/>
    <xf numFmtId="190" fontId="55" fillId="0" borderId="0">
      <protection locked="0"/>
    </xf>
    <xf numFmtId="49" fontId="60" fillId="0" borderId="0" applyFill="0" applyBorder="0">
      <alignment horizontal="right" vertical="center"/>
    </xf>
    <xf numFmtId="0" fontId="60" fillId="0" borderId="0"/>
    <xf numFmtId="0" fontId="57" fillId="78" borderId="0" applyNumberFormat="0" applyBorder="0" applyAlignment="0" applyProtection="0"/>
    <xf numFmtId="180" fontId="60" fillId="0" borderId="0"/>
    <xf numFmtId="0" fontId="88" fillId="0" borderId="0">
      <alignment vertical="top"/>
    </xf>
    <xf numFmtId="192" fontId="55" fillId="72" borderId="40" applyNumberFormat="0" applyFont="0" applyBorder="0" applyAlignment="0" applyProtection="0">
      <alignment horizontal="right"/>
    </xf>
    <xf numFmtId="0" fontId="60" fillId="46" borderId="56" applyNumberFormat="0" applyFont="0" applyAlignment="0" applyProtection="0"/>
    <xf numFmtId="0" fontId="60" fillId="0" borderId="0"/>
    <xf numFmtId="180" fontId="60" fillId="0" borderId="0"/>
    <xf numFmtId="182" fontId="60" fillId="0" borderId="0" applyFont="0" applyFill="0" applyBorder="0" applyAlignment="0" applyProtection="0"/>
    <xf numFmtId="0" fontId="53" fillId="95" borderId="0" applyNumberFormat="0" applyBorder="0" applyAlignment="0" applyProtection="0"/>
    <xf numFmtId="255" fontId="60" fillId="0" borderId="0" applyFont="0" applyFill="0" applyBorder="0" applyAlignment="0" applyProtection="0"/>
    <xf numFmtId="169" fontId="60" fillId="61" borderId="31" applyNumberFormat="0" applyFont="0" applyBorder="0" applyAlignment="0" applyProtection="0"/>
    <xf numFmtId="256" fontId="60" fillId="0" borderId="0" applyFont="0" applyFill="0" applyBorder="0" applyAlignment="0" applyProtection="0"/>
    <xf numFmtId="0" fontId="55" fillId="0" borderId="0" applyFill="0" applyBorder="0">
      <alignment vertical="center"/>
    </xf>
    <xf numFmtId="0" fontId="60" fillId="0" borderId="0"/>
    <xf numFmtId="184" fontId="60" fillId="0" borderId="0">
      <alignment horizontal="left" wrapText="1"/>
    </xf>
    <xf numFmtId="180" fontId="60" fillId="0" borderId="0"/>
    <xf numFmtId="0" fontId="52" fillId="0" borderId="0"/>
    <xf numFmtId="0" fontId="172" fillId="0" borderId="0">
      <alignment horizontal="right" vertical="center"/>
    </xf>
    <xf numFmtId="0" fontId="60" fillId="0" borderId="0"/>
    <xf numFmtId="180" fontId="60" fillId="0" borderId="0"/>
    <xf numFmtId="0" fontId="55" fillId="0" borderId="0"/>
    <xf numFmtId="0" fontId="50" fillId="0" borderId="0"/>
    <xf numFmtId="184" fontId="60" fillId="0" borderId="0">
      <alignment horizontal="left" wrapText="1"/>
    </xf>
    <xf numFmtId="172" fontId="76" fillId="0" borderId="0"/>
    <xf numFmtId="183" fontId="88" fillId="0" borderId="0">
      <alignment vertical="top"/>
    </xf>
    <xf numFmtId="0" fontId="29" fillId="52" borderId="0" applyNumberFormat="0" applyBorder="0" applyAlignment="0" applyProtection="0"/>
    <xf numFmtId="183" fontId="88" fillId="0" borderId="0">
      <alignment vertical="top"/>
    </xf>
    <xf numFmtId="0" fontId="60" fillId="0" borderId="0"/>
    <xf numFmtId="193" fontId="60" fillId="0" borderId="0" applyFill="0" applyBorder="0" applyAlignment="0"/>
    <xf numFmtId="180" fontId="60" fillId="0" borderId="0"/>
    <xf numFmtId="0" fontId="67" fillId="41" borderId="49">
      <alignment vertical="center" wrapText="1"/>
    </xf>
    <xf numFmtId="0" fontId="67" fillId="41" borderId="49">
      <alignment vertical="center" wrapText="1"/>
    </xf>
    <xf numFmtId="242" fontId="52" fillId="0" borderId="0" applyFont="0" applyFill="0" applyBorder="0" applyAlignment="0" applyProtection="0"/>
    <xf numFmtId="0" fontId="118" fillId="38" borderId="48">
      <alignment vertical="center"/>
    </xf>
    <xf numFmtId="0" fontId="118" fillId="38" borderId="48">
      <alignment vertical="center"/>
    </xf>
    <xf numFmtId="0" fontId="67" fillId="41" borderId="49">
      <alignment vertical="center" wrapText="1"/>
    </xf>
    <xf numFmtId="242" fontId="52" fillId="0" borderId="0" applyFont="0" applyFill="0" applyBorder="0" applyAlignment="0" applyProtection="0"/>
    <xf numFmtId="0" fontId="118" fillId="38" borderId="48">
      <alignment vertical="center"/>
    </xf>
    <xf numFmtId="0" fontId="118" fillId="38" borderId="48">
      <alignment vertical="center"/>
    </xf>
    <xf numFmtId="0" fontId="67" fillId="41" borderId="49">
      <alignment vertical="center" wrapText="1"/>
    </xf>
    <xf numFmtId="242" fontId="52" fillId="0" borderId="0" applyFont="0" applyFill="0" applyBorder="0" applyAlignment="0" applyProtection="0"/>
    <xf numFmtId="0" fontId="118" fillId="38" borderId="48">
      <alignment vertical="center"/>
    </xf>
    <xf numFmtId="0" fontId="118" fillId="38" borderId="48">
      <alignment vertical="center"/>
    </xf>
    <xf numFmtId="0" fontId="67" fillId="41" borderId="49">
      <alignment vertical="center" wrapText="1"/>
    </xf>
    <xf numFmtId="242" fontId="52" fillId="0" borderId="0" applyFont="0" applyFill="0" applyBorder="0" applyAlignment="0" applyProtection="0"/>
    <xf numFmtId="0" fontId="118" fillId="38" borderId="48">
      <alignment vertical="center"/>
    </xf>
    <xf numFmtId="0" fontId="118" fillId="38" borderId="48">
      <alignment vertical="center"/>
    </xf>
    <xf numFmtId="0" fontId="67" fillId="41" borderId="49">
      <alignment vertical="center" wrapText="1"/>
    </xf>
    <xf numFmtId="0" fontId="60" fillId="0" borderId="0"/>
    <xf numFmtId="242" fontId="52" fillId="0" borderId="0" applyFont="0" applyFill="0" applyBorder="0" applyAlignment="0" applyProtection="0"/>
    <xf numFmtId="0" fontId="118" fillId="38" borderId="48">
      <alignment vertical="center"/>
    </xf>
    <xf numFmtId="0" fontId="67" fillId="41" borderId="49">
      <alignment vertical="center" wrapText="1"/>
    </xf>
    <xf numFmtId="0" fontId="118" fillId="38" borderId="48">
      <alignment vertical="center"/>
    </xf>
    <xf numFmtId="0" fontId="67" fillId="41" borderId="49">
      <alignment vertical="center" wrapText="1"/>
    </xf>
    <xf numFmtId="0" fontId="118" fillId="38" borderId="48">
      <alignment vertical="center"/>
    </xf>
    <xf numFmtId="258" fontId="55" fillId="46" borderId="0" applyFont="0" applyBorder="0" applyAlignment="0">
      <protection locked="0"/>
    </xf>
    <xf numFmtId="0" fontId="67" fillId="41" borderId="49">
      <alignment vertical="center" wrapText="1"/>
    </xf>
    <xf numFmtId="223" fontId="81" fillId="38" borderId="48" applyNumberFormat="0" applyAlignment="0" applyProtection="0"/>
    <xf numFmtId="0" fontId="118" fillId="38" borderId="48">
      <alignment vertical="center"/>
    </xf>
    <xf numFmtId="0" fontId="60" fillId="0" borderId="0" applyFont="0" applyFill="0" applyBorder="0" applyAlignment="0" applyProtection="0"/>
    <xf numFmtId="0" fontId="67" fillId="41" borderId="49">
      <alignment vertical="center" wrapText="1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8" fillId="42" borderId="50" applyNumberFormat="0" applyAlignment="0" applyProtection="0"/>
    <xf numFmtId="0" fontId="68" fillId="42" borderId="50" applyNumberFormat="0" applyAlignment="0" applyProtection="0"/>
    <xf numFmtId="0" fontId="67" fillId="41" borderId="49">
      <alignment vertical="center" wrapText="1"/>
    </xf>
    <xf numFmtId="260" fontId="92" fillId="0" borderId="31"/>
    <xf numFmtId="0" fontId="67" fillId="41" borderId="49">
      <alignment vertical="center" wrapText="1"/>
    </xf>
    <xf numFmtId="0" fontId="60" fillId="0" borderId="0"/>
    <xf numFmtId="0" fontId="64" fillId="0" borderId="47">
      <alignment horizontal="left" vertical="top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78" fillId="0" borderId="0"/>
    <xf numFmtId="0" fontId="67" fillId="41" borderId="49">
      <alignment vertical="center" wrapText="1"/>
    </xf>
    <xf numFmtId="0" fontId="60" fillId="0" borderId="0"/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81" fillId="0" borderId="1" applyNumberFormat="0" applyFill="0" applyProtection="0">
      <alignment horizontal="center" wrapText="1"/>
    </xf>
    <xf numFmtId="0" fontId="67" fillId="41" borderId="49">
      <alignment vertical="center" wrapText="1"/>
    </xf>
    <xf numFmtId="172" fontId="54" fillId="0" borderId="40" applyBorder="0"/>
    <xf numFmtId="0" fontId="67" fillId="41" borderId="49">
      <alignment vertical="center" wrapText="1"/>
    </xf>
    <xf numFmtId="0" fontId="149" fillId="88" borderId="7">
      <alignment horizontal="left" vertical="center"/>
    </xf>
    <xf numFmtId="263" fontId="173" fillId="81" borderId="0">
      <alignment horizontal="right" vertical="center"/>
      <protection locked="0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178" fontId="60" fillId="0" borderId="0" applyFill="0" applyBorder="0" applyAlignment="0"/>
    <xf numFmtId="0" fontId="29" fillId="55" borderId="0" applyNumberFormat="0" applyBorder="0" applyAlignment="0" applyProtection="0"/>
    <xf numFmtId="0" fontId="81" fillId="0" borderId="1" applyNumberFormat="0" applyFill="0" applyProtection="0">
      <alignment horizontal="center" wrapText="1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7" fillId="41" borderId="49">
      <alignment vertical="center" wrapText="1"/>
    </xf>
    <xf numFmtId="178" fontId="60" fillId="0" borderId="0" applyFill="0" applyBorder="0" applyAlignment="0"/>
    <xf numFmtId="0" fontId="29" fillId="55" borderId="0" applyNumberFormat="0" applyBorder="0" applyAlignment="0" applyProtection="0"/>
    <xf numFmtId="0" fontId="81" fillId="0" borderId="1" applyNumberFormat="0" applyFill="0" applyProtection="0">
      <alignment horizontal="center" wrapText="1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7" fillId="41" borderId="49">
      <alignment vertical="center" wrapText="1"/>
    </xf>
    <xf numFmtId="178" fontId="60" fillId="0" borderId="0" applyFill="0" applyBorder="0" applyAlignment="0"/>
    <xf numFmtId="0" fontId="29" fillId="55" borderId="0" applyNumberFormat="0" applyBorder="0" applyAlignment="0" applyProtection="0"/>
    <xf numFmtId="0" fontId="65" fillId="0" borderId="48">
      <alignment horizontal="left" vertical="center"/>
    </xf>
    <xf numFmtId="0" fontId="67" fillId="41" borderId="49">
      <alignment vertical="center" wrapText="1"/>
    </xf>
    <xf numFmtId="0" fontId="57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43" borderId="0" applyNumberFormat="0" applyBorder="0" applyAlignment="0" applyProtection="0"/>
    <xf numFmtId="0" fontId="109" fillId="60" borderId="7"/>
    <xf numFmtId="0" fontId="67" fillId="41" borderId="49">
      <alignment vertical="center" wrapText="1"/>
    </xf>
    <xf numFmtId="0" fontId="29" fillId="55" borderId="0" applyNumberFormat="0" applyBorder="0" applyAlignment="0" applyProtection="0"/>
    <xf numFmtId="0" fontId="67" fillId="41" borderId="49">
      <alignment vertical="center" wrapText="1"/>
    </xf>
    <xf numFmtId="0" fontId="29" fillId="55" borderId="0" applyNumberFormat="0" applyBorder="0" applyAlignment="0" applyProtection="0"/>
    <xf numFmtId="0" fontId="67" fillId="41" borderId="49">
      <alignment vertical="center" wrapText="1"/>
    </xf>
    <xf numFmtId="0" fontId="57" fillId="62" borderId="0" applyNumberFormat="0" applyBorder="0" applyAlignment="0" applyProtection="0"/>
    <xf numFmtId="0" fontId="67" fillId="41" borderId="49">
      <alignment vertical="center" wrapText="1"/>
    </xf>
    <xf numFmtId="0" fontId="80" fillId="80" borderId="0" applyNumberFormat="0" applyBorder="0" applyAlignment="0" applyProtection="0">
      <alignment vertical="center"/>
    </xf>
    <xf numFmtId="0" fontId="67" fillId="41" borderId="49">
      <alignment vertical="center" wrapText="1"/>
    </xf>
    <xf numFmtId="0" fontId="80" fillId="55" borderId="0" applyNumberFormat="0" applyBorder="0" applyAlignment="0" applyProtection="0">
      <alignment vertical="center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184" fontId="60" fillId="0" borderId="0">
      <alignment horizontal="left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137" fillId="0" borderId="70" applyNumberFormat="0" applyFill="0" applyAlignment="0" applyProtection="0"/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10" fontId="55" fillId="46" borderId="31" applyNumberFormat="0" applyBorder="0" applyAlignment="0" applyProtection="0"/>
    <xf numFmtId="0" fontId="67" fillId="41" borderId="49">
      <alignment vertical="center" wrapText="1"/>
    </xf>
    <xf numFmtId="10" fontId="55" fillId="46" borderId="31" applyNumberFormat="0" applyBorder="0" applyAlignment="0" applyProtection="0"/>
    <xf numFmtId="0" fontId="67" fillId="41" borderId="49">
      <alignment vertical="center" wrapText="1"/>
    </xf>
    <xf numFmtId="0" fontId="58" fillId="0" borderId="0" applyFont="0" applyFill="0" applyBorder="0" applyAlignment="0" applyProtection="0">
      <alignment horizontal="right"/>
    </xf>
    <xf numFmtId="10" fontId="55" fillId="46" borderId="31" applyNumberFormat="0" applyBorder="0" applyAlignment="0" applyProtection="0"/>
    <xf numFmtId="0" fontId="67" fillId="41" borderId="49">
      <alignment vertical="center" wrapText="1"/>
    </xf>
    <xf numFmtId="0" fontId="53" fillId="51" borderId="0" applyNumberFormat="0" applyBorder="0" applyAlignment="0" applyProtection="0"/>
    <xf numFmtId="10" fontId="55" fillId="46" borderId="31" applyNumberFormat="0" applyBorder="0" applyAlignment="0" applyProtection="0"/>
    <xf numFmtId="0" fontId="67" fillId="41" borderId="49">
      <alignment vertical="center" wrapText="1"/>
    </xf>
    <xf numFmtId="0" fontId="53" fillId="31" borderId="0" applyNumberFormat="0" applyBorder="0" applyAlignment="0" applyProtection="0"/>
    <xf numFmtId="0" fontId="67" fillId="41" borderId="49">
      <alignment vertical="center" wrapText="1"/>
    </xf>
    <xf numFmtId="0" fontId="53" fillId="36" borderId="0" applyNumberFormat="0" applyBorder="0" applyAlignment="0" applyProtection="0"/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57" fillId="0" borderId="0"/>
    <xf numFmtId="0" fontId="57" fillId="0" borderId="0"/>
    <xf numFmtId="187" fontId="60" fillId="0" borderId="0" applyFill="0" applyBorder="0">
      <alignment horizontal="right"/>
      <protection locked="0"/>
    </xf>
    <xf numFmtId="0" fontId="67" fillId="41" borderId="49">
      <alignment vertical="center" wrapText="1"/>
    </xf>
    <xf numFmtId="0" fontId="57" fillId="0" borderId="0"/>
    <xf numFmtId="0" fontId="57" fillId="0" borderId="0"/>
    <xf numFmtId="0" fontId="67" fillId="41" borderId="49">
      <alignment vertical="center" wrapText="1"/>
    </xf>
    <xf numFmtId="0" fontId="57" fillId="0" borderId="0"/>
    <xf numFmtId="0" fontId="57" fillId="0" borderId="0"/>
    <xf numFmtId="0" fontId="67" fillId="41" borderId="49">
      <alignment vertical="center" wrapText="1"/>
    </xf>
    <xf numFmtId="0" fontId="57" fillId="0" borderId="0"/>
    <xf numFmtId="0" fontId="57" fillId="0" borderId="0"/>
    <xf numFmtId="0" fontId="67" fillId="41" borderId="49">
      <alignment vertical="center" wrapText="1"/>
    </xf>
    <xf numFmtId="0" fontId="57" fillId="0" borderId="0"/>
    <xf numFmtId="0" fontId="57" fillId="0" borderId="0"/>
    <xf numFmtId="0" fontId="67" fillId="41" borderId="49">
      <alignment vertical="center" wrapText="1"/>
    </xf>
    <xf numFmtId="0" fontId="57" fillId="0" borderId="0"/>
    <xf numFmtId="0" fontId="57" fillId="0" borderId="0"/>
    <xf numFmtId="0" fontId="67" fillId="41" borderId="49">
      <alignment vertical="center" wrapText="1"/>
    </xf>
    <xf numFmtId="0" fontId="57" fillId="0" borderId="0"/>
    <xf numFmtId="0" fontId="57" fillId="0" borderId="0"/>
    <xf numFmtId="0" fontId="60" fillId="38" borderId="0"/>
    <xf numFmtId="265" fontId="55" fillId="0" borderId="1" applyFont="0" applyFill="0" applyBorder="0" applyAlignment="0" applyProtection="0">
      <alignment horizontal="right"/>
    </xf>
    <xf numFmtId="0" fontId="60" fillId="38" borderId="0"/>
    <xf numFmtId="0" fontId="48" fillId="23" borderId="0" applyNumberFormat="0" applyBorder="0" applyAlignment="0" applyProtection="0"/>
    <xf numFmtId="189" fontId="60" fillId="0" borderId="48" applyFont="0" applyFill="0" applyBorder="0" applyAlignment="0" applyProtection="0"/>
    <xf numFmtId="0" fontId="67" fillId="41" borderId="49">
      <alignment vertical="center" wrapText="1"/>
    </xf>
    <xf numFmtId="266" fontId="179" fillId="0" borderId="0" applyFont="0" applyFill="0" applyBorder="0" applyAlignment="0" applyProtection="0"/>
    <xf numFmtId="197" fontId="60" fillId="0" borderId="0" applyFill="0" applyBorder="0" applyAlignment="0"/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0" fontId="67" fillId="41" borderId="49">
      <alignment vertical="center" wrapText="1"/>
    </xf>
    <xf numFmtId="231" fontId="52" fillId="0" borderId="0" applyFont="0" applyFill="0" applyBorder="0" applyAlignment="0" applyProtection="0"/>
    <xf numFmtId="192" fontId="55" fillId="72" borderId="40" applyNumberFormat="0" applyFont="0" applyBorder="0" applyAlignment="0" applyProtection="0">
      <alignment horizontal="right"/>
    </xf>
    <xf numFmtId="0" fontId="60" fillId="46" borderId="56" applyNumberFormat="0" applyFont="0" applyAlignment="0" applyProtection="0"/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0" fontId="60" fillId="46" borderId="56" applyNumberFormat="0" applyFont="0" applyAlignment="0" applyProtection="0"/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0" fontId="60" fillId="46" borderId="56" applyNumberFormat="0" applyFont="0" applyAlignment="0" applyProtection="0"/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0" fontId="67" fillId="41" borderId="49">
      <alignment vertical="center" wrapText="1"/>
    </xf>
    <xf numFmtId="192" fontId="55" fillId="72" borderId="40" applyNumberFormat="0" applyFont="0" applyBorder="0" applyAlignment="0" applyProtection="0">
      <alignment horizontal="right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37" fontId="128" fillId="98" borderId="0" applyNumberFormat="0" applyFont="0" applyAlignment="0">
      <protection locked="0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180" fillId="0" borderId="0" applyNumberFormat="0" applyFill="0" applyBorder="0" applyAlignment="0" applyProtection="0"/>
    <xf numFmtId="0" fontId="67" fillId="41" borderId="49">
      <alignment vertical="center" wrapText="1"/>
    </xf>
    <xf numFmtId="0" fontId="180" fillId="0" borderId="0" applyNumberFormat="0" applyFill="0" applyBorder="0" applyAlignment="0" applyProtection="0"/>
    <xf numFmtId="0" fontId="67" fillId="41" borderId="49">
      <alignment vertical="center" wrapText="1"/>
    </xf>
    <xf numFmtId="0" fontId="29" fillId="55" borderId="0" applyNumberFormat="0" applyBorder="0" applyAlignment="0" applyProtection="0"/>
    <xf numFmtId="4" fontId="89" fillId="0" borderId="0" applyFont="0" applyFill="0" applyBorder="0" applyAlignment="0" applyProtection="0"/>
    <xf numFmtId="0" fontId="181" fillId="0" borderId="0" applyNumberFormat="0" applyFill="0" applyBorder="0" applyAlignment="0" applyProtection="0"/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0" fillId="0" borderId="0" applyFont="0" applyFill="0" applyBorder="0" applyAlignment="0" applyProtection="0"/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232" fontId="128" fillId="0" borderId="40" applyBorder="0">
      <alignment horizontal="right"/>
    </xf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267" fontId="182" fillId="0" borderId="0">
      <alignment horizontal="right"/>
    </xf>
    <xf numFmtId="0" fontId="124" fillId="0" borderId="31" applyNumberFormat="0" applyFont="0" applyFill="0" applyBorder="0" applyAlignment="0">
      <alignment horizontal="center" vertical="center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5" fillId="45" borderId="0" applyFont="0" applyAlignment="0">
      <alignment vertical="center"/>
    </xf>
    <xf numFmtId="0" fontId="67" fillId="41" borderId="49">
      <alignment vertical="center" wrapText="1"/>
    </xf>
    <xf numFmtId="269" fontId="60" fillId="0" borderId="0" applyFill="0" applyBorder="0">
      <alignment horizontal="right"/>
      <protection locked="0"/>
    </xf>
    <xf numFmtId="0" fontId="67" fillId="41" borderId="49">
      <alignment vertical="center" wrapText="1"/>
    </xf>
    <xf numFmtId="270" fontId="61" fillId="0" borderId="0" applyFill="0" applyBorder="0">
      <alignment horizontal="right"/>
    </xf>
    <xf numFmtId="0" fontId="67" fillId="41" borderId="49">
      <alignment vertical="center" wrapText="1"/>
    </xf>
    <xf numFmtId="0" fontId="67" fillId="41" borderId="49">
      <alignment vertical="center" wrapText="1"/>
    </xf>
    <xf numFmtId="270" fontId="55" fillId="46" borderId="0" applyFont="0" applyBorder="0" applyAlignment="0" applyProtection="0">
      <protection locked="0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183" fillId="61" borderId="0" applyNumberFormat="0" applyBorder="0" applyAlignment="0" applyProtection="0">
      <alignment vertical="center"/>
    </xf>
    <xf numFmtId="192" fontId="55" fillId="72" borderId="40" applyNumberFormat="0" applyFont="0" applyBorder="0" applyAlignment="0" applyProtection="0">
      <alignment horizontal="right"/>
    </xf>
    <xf numFmtId="0" fontId="67" fillId="41" borderId="49">
      <alignment vertical="center" wrapText="1"/>
    </xf>
    <xf numFmtId="271" fontId="184" fillId="0" borderId="0" applyFont="0" applyFill="0" applyBorder="0" applyAlignment="0" applyProtection="0"/>
    <xf numFmtId="192" fontId="55" fillId="72" borderId="40" applyNumberFormat="0" applyFont="0" applyBorder="0" applyAlignment="0" applyProtection="0">
      <alignment horizontal="right"/>
    </xf>
    <xf numFmtId="0" fontId="67" fillId="41" borderId="49">
      <alignment vertical="center" wrapText="1"/>
    </xf>
    <xf numFmtId="0" fontId="67" fillId="41" borderId="49">
      <alignment vertical="center" wrapText="1"/>
    </xf>
    <xf numFmtId="172" fontId="93" fillId="0" borderId="0">
      <alignment horizontal="right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41" borderId="49">
      <alignment vertical="center" wrapText="1"/>
    </xf>
    <xf numFmtId="0" fontId="67" fillId="30" borderId="0"/>
    <xf numFmtId="0" fontId="153" fillId="89" borderId="0"/>
    <xf numFmtId="0" fontId="60" fillId="0" borderId="0" applyFont="0" applyFill="0" applyBorder="0" applyAlignment="0" applyProtection="0"/>
    <xf numFmtId="0" fontId="163" fillId="91" borderId="0"/>
    <xf numFmtId="0" fontId="60" fillId="0" borderId="0"/>
    <xf numFmtId="0" fontId="146" fillId="0" borderId="0"/>
    <xf numFmtId="210" fontId="55" fillId="0" borderId="0" applyFont="0" applyFill="0" applyBorder="0" applyAlignment="0" applyProtection="0"/>
    <xf numFmtId="0" fontId="55" fillId="0" borderId="0"/>
    <xf numFmtId="0" fontId="60" fillId="0" borderId="0"/>
    <xf numFmtId="0" fontId="53" fillId="69" borderId="0" applyNumberFormat="0" applyBorder="0" applyAlignment="0" applyProtection="0"/>
    <xf numFmtId="0" fontId="60" fillId="0" borderId="0"/>
    <xf numFmtId="0" fontId="161" fillId="0" borderId="0"/>
    <xf numFmtId="190" fontId="55" fillId="0" borderId="0">
      <protection locked="0"/>
    </xf>
    <xf numFmtId="190" fontId="55" fillId="0" borderId="0">
      <protection locked="0"/>
    </xf>
    <xf numFmtId="190" fontId="55" fillId="0" borderId="0">
      <protection locked="0"/>
    </xf>
    <xf numFmtId="190" fontId="55" fillId="0" borderId="0">
      <protection locked="0"/>
    </xf>
    <xf numFmtId="0" fontId="81" fillId="60" borderId="7">
      <alignment horizontal="left" vertical="center" wrapText="1"/>
    </xf>
    <xf numFmtId="190" fontId="55" fillId="0" borderId="0">
      <protection locked="0"/>
    </xf>
    <xf numFmtId="190" fontId="55" fillId="0" borderId="0">
      <protection locked="0"/>
    </xf>
    <xf numFmtId="190" fontId="55" fillId="0" borderId="0">
      <protection locked="0"/>
    </xf>
    <xf numFmtId="0" fontId="60" fillId="0" borderId="0"/>
    <xf numFmtId="0" fontId="29" fillId="46" borderId="56" applyNumberFormat="0" applyFont="0" applyAlignment="0" applyProtection="0"/>
    <xf numFmtId="190" fontId="55" fillId="0" borderId="0">
      <protection locked="0"/>
    </xf>
    <xf numFmtId="176" fontId="88" fillId="0" borderId="0" applyFont="0" applyFill="0" applyBorder="0" applyAlignment="0" applyProtection="0"/>
    <xf numFmtId="190" fontId="55" fillId="0" borderId="0">
      <protection locked="0"/>
    </xf>
    <xf numFmtId="0" fontId="57" fillId="73" borderId="0" applyNumberFormat="0" applyBorder="0" applyAlignment="0" applyProtection="0"/>
    <xf numFmtId="190" fontId="55" fillId="0" borderId="0">
      <protection locked="0"/>
    </xf>
    <xf numFmtId="275" fontId="55" fillId="0" borderId="0" applyFont="0" applyFill="0" applyBorder="0" applyAlignment="0" applyProtection="0"/>
    <xf numFmtId="190" fontId="55" fillId="0" borderId="0">
      <protection locked="0"/>
    </xf>
    <xf numFmtId="190" fontId="55" fillId="0" borderId="0">
      <protection locked="0"/>
    </xf>
    <xf numFmtId="190" fontId="55" fillId="0" borderId="0">
      <protection locked="0"/>
    </xf>
    <xf numFmtId="190" fontId="55" fillId="0" borderId="0">
      <protection locked="0"/>
    </xf>
    <xf numFmtId="190" fontId="55" fillId="0" borderId="0">
      <protection locked="0"/>
    </xf>
    <xf numFmtId="0" fontId="352" fillId="0" borderId="0"/>
    <xf numFmtId="190" fontId="55" fillId="0" borderId="0">
      <protection locked="0"/>
    </xf>
    <xf numFmtId="190" fontId="55" fillId="0" borderId="0">
      <protection locked="0"/>
    </xf>
    <xf numFmtId="196" fontId="51" fillId="0" borderId="29" applyBorder="0" applyAlignment="0">
      <protection locked="0"/>
    </xf>
    <xf numFmtId="190" fontId="55" fillId="0" borderId="0">
      <protection locked="0"/>
    </xf>
    <xf numFmtId="184" fontId="60" fillId="0" borderId="0">
      <alignment horizontal="left" wrapText="1"/>
    </xf>
    <xf numFmtId="205" fontId="95" fillId="0" borderId="0"/>
    <xf numFmtId="184" fontId="60" fillId="0" borderId="0">
      <alignment horizontal="left" wrapText="1"/>
    </xf>
    <xf numFmtId="0" fontId="91" fillId="61" borderId="0" applyNumberFormat="0" applyBorder="0" applyAlignment="0" applyProtection="0"/>
    <xf numFmtId="184" fontId="60" fillId="0" borderId="0">
      <alignment horizontal="left" wrapText="1"/>
    </xf>
    <xf numFmtId="196" fontId="51" fillId="0" borderId="29" applyBorder="0" applyAlignment="0">
      <protection locked="0"/>
    </xf>
    <xf numFmtId="0" fontId="99" fillId="0" borderId="0" applyFill="0" applyBorder="0">
      <alignment horizontal="left"/>
    </xf>
    <xf numFmtId="184" fontId="60" fillId="0" borderId="0">
      <alignment horizontal="left" wrapText="1"/>
    </xf>
    <xf numFmtId="0" fontId="57" fillId="0" borderId="0"/>
    <xf numFmtId="0" fontId="57" fillId="0" borderId="0"/>
    <xf numFmtId="184" fontId="60" fillId="0" borderId="0">
      <alignment horizontal="left" wrapText="1"/>
    </xf>
    <xf numFmtId="184" fontId="60" fillId="0" borderId="0">
      <alignment horizontal="left" wrapText="1"/>
    </xf>
    <xf numFmtId="2" fontId="55" fillId="68" borderId="0" applyNumberFormat="0" applyFont="0" applyBorder="0" applyAlignment="0" applyProtection="0"/>
    <xf numFmtId="184" fontId="60" fillId="0" borderId="0">
      <alignment horizontal="left" wrapText="1"/>
    </xf>
    <xf numFmtId="0" fontId="106" fillId="0" borderId="0">
      <protection locked="0"/>
    </xf>
    <xf numFmtId="184" fontId="60" fillId="0" borderId="0">
      <alignment horizontal="left" wrapText="1"/>
    </xf>
    <xf numFmtId="184" fontId="60" fillId="0" borderId="0">
      <alignment horizontal="left" wrapText="1"/>
    </xf>
    <xf numFmtId="170" fontId="66" fillId="39" borderId="48" applyFont="0">
      <alignment horizontal="right"/>
    </xf>
    <xf numFmtId="184" fontId="60" fillId="0" borderId="0">
      <alignment horizontal="left" wrapText="1"/>
    </xf>
    <xf numFmtId="184" fontId="60" fillId="0" borderId="0">
      <alignment horizontal="left" wrapText="1"/>
    </xf>
    <xf numFmtId="0" fontId="57" fillId="62" borderId="0" applyNumberFormat="0" applyBorder="0" applyAlignment="0" applyProtection="0"/>
    <xf numFmtId="184" fontId="60" fillId="0" borderId="0">
      <alignment horizontal="left" wrapText="1"/>
    </xf>
    <xf numFmtId="0" fontId="114" fillId="0" borderId="63">
      <alignment horizontal="right" vertical="center"/>
    </xf>
    <xf numFmtId="184" fontId="60" fillId="0" borderId="0">
      <alignment horizontal="left" wrapText="1"/>
    </xf>
    <xf numFmtId="0" fontId="86" fillId="28" borderId="60" applyNumberFormat="0" applyAlignment="0"/>
    <xf numFmtId="200" fontId="60" fillId="0" borderId="0" applyFont="0" applyFill="0" applyBorder="0" applyAlignment="0" applyProtection="0"/>
    <xf numFmtId="184" fontId="60" fillId="0" borderId="0">
      <alignment horizontal="left" wrapText="1"/>
    </xf>
    <xf numFmtId="192" fontId="55" fillId="72" borderId="40" applyNumberFormat="0" applyFont="0" applyBorder="0" applyAlignment="0" applyProtection="0">
      <alignment horizontal="right"/>
    </xf>
    <xf numFmtId="0" fontId="109" fillId="60" borderId="7"/>
    <xf numFmtId="184" fontId="60" fillId="0" borderId="0">
      <alignment horizontal="left" wrapText="1"/>
    </xf>
    <xf numFmtId="0" fontId="63" fillId="38" borderId="45" applyNumberFormat="0" applyAlignment="0" applyProtection="0"/>
    <xf numFmtId="0" fontId="60" fillId="0" borderId="0" applyFont="0" applyFill="0" applyBorder="0" applyAlignment="0" applyProtection="0"/>
    <xf numFmtId="184" fontId="60" fillId="0" borderId="0">
      <alignment horizontal="left" wrapText="1"/>
    </xf>
    <xf numFmtId="184" fontId="60" fillId="0" borderId="0">
      <alignment horizontal="left" wrapText="1"/>
    </xf>
    <xf numFmtId="0" fontId="138" fillId="0" borderId="0"/>
    <xf numFmtId="184" fontId="60" fillId="0" borderId="0">
      <alignment horizontal="left" wrapText="1"/>
    </xf>
    <xf numFmtId="0" fontId="29" fillId="48" borderId="0" applyNumberFormat="0" applyBorder="0" applyAlignment="0" applyProtection="0"/>
    <xf numFmtId="219" fontId="121" fillId="0" borderId="0">
      <alignment vertical="center"/>
    </xf>
    <xf numFmtId="0" fontId="188" fillId="0" borderId="0" applyNumberFormat="0" applyFill="0" applyBorder="0" applyProtection="0">
      <alignment vertical="top"/>
    </xf>
    <xf numFmtId="0" fontId="29" fillId="52" borderId="0" applyNumberFormat="0" applyBorder="0" applyAlignment="0" applyProtection="0"/>
    <xf numFmtId="0" fontId="122" fillId="0" borderId="65" applyNumberFormat="0" applyFill="0" applyAlignment="0" applyProtection="0"/>
    <xf numFmtId="0" fontId="98" fillId="0" borderId="57" applyNumberFormat="0" applyFill="0" applyProtection="0">
      <alignment horizontal="center"/>
    </xf>
    <xf numFmtId="0" fontId="189" fillId="0" borderId="0" applyNumberFormat="0" applyFill="0" applyBorder="0" applyProtection="0">
      <alignment horizontal="centerContinuous"/>
    </xf>
    <xf numFmtId="0" fontId="190" fillId="0" borderId="0" applyNumberFormat="0" applyFill="0" applyBorder="0" applyProtection="0">
      <alignment horizontal="centerContinuous"/>
    </xf>
    <xf numFmtId="190" fontId="55" fillId="0" borderId="0">
      <protection locked="0"/>
    </xf>
    <xf numFmtId="0" fontId="60" fillId="0" borderId="0"/>
    <xf numFmtId="0" fontId="96" fillId="0" borderId="1" applyNumberFormat="0" applyFill="0" applyBorder="0" applyAlignment="0" applyProtection="0">
      <alignment horizontal="center"/>
    </xf>
    <xf numFmtId="0" fontId="91" fillId="61" borderId="0" applyNumberFormat="0" applyBorder="0" applyAlignment="0" applyProtection="0"/>
    <xf numFmtId="0" fontId="65" fillId="0" borderId="48">
      <alignment horizontal="left" vertical="center"/>
    </xf>
    <xf numFmtId="0" fontId="60" fillId="0" borderId="0"/>
    <xf numFmtId="164" fontId="59" fillId="0" borderId="0" applyFont="0" applyFill="0" applyBorder="0" applyAlignment="0" applyProtection="0"/>
    <xf numFmtId="2" fontId="55" fillId="68" borderId="0" applyNumberFormat="0" applyFont="0" applyBorder="0" applyAlignment="0" applyProtection="0"/>
    <xf numFmtId="0" fontId="60" fillId="0" borderId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49" fontId="60" fillId="0" borderId="0" applyFill="0" applyBorder="0">
      <alignment horizontal="right" vertical="center"/>
    </xf>
    <xf numFmtId="0" fontId="60" fillId="0" borderId="0"/>
    <xf numFmtId="0" fontId="60" fillId="46" borderId="56" applyNumberFormat="0" applyFont="0" applyAlignment="0" applyProtection="0"/>
    <xf numFmtId="0" fontId="60" fillId="0" borderId="0"/>
    <xf numFmtId="0" fontId="60" fillId="0" borderId="0"/>
    <xf numFmtId="227" fontId="123" fillId="0" borderId="40" applyAlignment="0" applyProtection="0"/>
    <xf numFmtId="0" fontId="60" fillId="0" borderId="0"/>
    <xf numFmtId="43" fontId="352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128" fillId="0" borderId="13"/>
    <xf numFmtId="0" fontId="60" fillId="0" borderId="0"/>
    <xf numFmtId="0" fontId="60" fillId="0" borderId="0"/>
    <xf numFmtId="2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49" fontId="192" fillId="0" borderId="0" applyNumberFormat="0" applyFont="0" applyBorder="0" applyAlignment="0">
      <alignment vertical="center"/>
    </xf>
    <xf numFmtId="0" fontId="49" fillId="28" borderId="43" applyNumberFormat="0" applyAlignment="0" applyProtection="0"/>
    <xf numFmtId="1" fontId="71" fillId="45" borderId="29" applyNumberFormat="0" applyBorder="0" applyAlignment="0">
      <alignment horizontal="centerContinuous" vertical="center"/>
      <protection locked="0"/>
    </xf>
    <xf numFmtId="0" fontId="60" fillId="0" borderId="0"/>
    <xf numFmtId="0" fontId="60" fillId="0" borderId="0"/>
    <xf numFmtId="0" fontId="60" fillId="0" borderId="0"/>
    <xf numFmtId="0" fontId="50" fillId="0" borderId="0"/>
    <xf numFmtId="0" fontId="60" fillId="0" borderId="0"/>
    <xf numFmtId="0" fontId="60" fillId="0" borderId="0"/>
    <xf numFmtId="43" fontId="352" fillId="0" borderId="0" applyFont="0" applyFill="0" applyBorder="0" applyAlignment="0" applyProtection="0"/>
    <xf numFmtId="0" fontId="60" fillId="0" borderId="0"/>
    <xf numFmtId="0" fontId="149" fillId="88" borderId="7">
      <alignment horizontal="left" vertical="center"/>
    </xf>
    <xf numFmtId="0" fontId="60" fillId="0" borderId="0"/>
    <xf numFmtId="0" fontId="60" fillId="0" borderId="0"/>
    <xf numFmtId="0" fontId="88" fillId="0" borderId="0">
      <protection locked="0"/>
    </xf>
    <xf numFmtId="0" fontId="60" fillId="0" borderId="0"/>
    <xf numFmtId="0" fontId="53" fillId="51" borderId="0" applyNumberFormat="0" applyBorder="0" applyAlignment="0" applyProtection="0"/>
    <xf numFmtId="14" fontId="60" fillId="0" borderId="0" applyFont="0" applyFill="0" applyBorder="0" applyAlignment="0" applyProtection="0"/>
    <xf numFmtId="0" fontId="60" fillId="0" borderId="0"/>
    <xf numFmtId="0" fontId="60" fillId="0" borderId="0"/>
    <xf numFmtId="0" fontId="29" fillId="52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60" fillId="0" borderId="0"/>
    <xf numFmtId="0" fontId="60" fillId="0" borderId="0"/>
    <xf numFmtId="229" fontId="120" fillId="0" borderId="0">
      <protection locked="0"/>
    </xf>
    <xf numFmtId="236" fontId="60" fillId="38" borderId="0" applyFont="0" applyBorder="0"/>
    <xf numFmtId="0" fontId="49" fillId="28" borderId="43" applyNumberFormat="0" applyAlignment="0" applyProtection="0"/>
    <xf numFmtId="0" fontId="60" fillId="0" borderId="0"/>
    <xf numFmtId="0" fontId="60" fillId="0" borderId="0"/>
    <xf numFmtId="0" fontId="60" fillId="0" borderId="0"/>
    <xf numFmtId="0" fontId="95" fillId="0" borderId="7"/>
    <xf numFmtId="0" fontId="60" fillId="0" borderId="0"/>
    <xf numFmtId="0" fontId="60" fillId="0" borderId="0"/>
    <xf numFmtId="0" fontId="29" fillId="28" borderId="0" applyNumberFormat="0" applyBorder="0" applyAlignment="0" applyProtection="0"/>
    <xf numFmtId="0" fontId="60" fillId="0" borderId="0"/>
    <xf numFmtId="0" fontId="60" fillId="0" borderId="0"/>
    <xf numFmtId="0" fontId="196" fillId="0" borderId="0" applyNumberFormat="0" applyFill="0" applyBorder="0" applyAlignment="0" applyProtection="0">
      <alignment vertical="top"/>
      <protection locked="0"/>
    </xf>
    <xf numFmtId="0" fontId="60" fillId="0" borderId="0"/>
    <xf numFmtId="227" fontId="123" fillId="0" borderId="4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4" fillId="0" borderId="0">
      <alignment wrapText="1"/>
    </xf>
    <xf numFmtId="0" fontId="60" fillId="0" borderId="0"/>
    <xf numFmtId="0" fontId="60" fillId="0" borderId="0"/>
    <xf numFmtId="0" fontId="60" fillId="0" borderId="0"/>
    <xf numFmtId="0" fontId="52" fillId="0" borderId="0"/>
    <xf numFmtId="0" fontId="74" fillId="48" borderId="0" applyNumberFormat="0" applyBorder="0" applyAlignment="0" applyProtection="0"/>
    <xf numFmtId="0" fontId="62" fillId="38" borderId="43" applyNumberFormat="0" applyAlignment="0" applyProtection="0"/>
    <xf numFmtId="0" fontId="89" fillId="0" borderId="0"/>
    <xf numFmtId="0" fontId="89" fillId="0" borderId="0"/>
    <xf numFmtId="43" fontId="352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128" fillId="0" borderId="13"/>
    <xf numFmtId="0" fontId="52" fillId="0" borderId="0"/>
    <xf numFmtId="204" fontId="59" fillId="0" borderId="0" applyFont="0" applyFill="0" applyBorder="0" applyAlignment="0" applyProtection="0"/>
    <xf numFmtId="208" fontId="61" fillId="0" borderId="0" applyFill="0" applyBorder="0" applyProtection="0">
      <alignment horizontal="right" wrapText="1"/>
    </xf>
    <xf numFmtId="0" fontId="52" fillId="0" borderId="0"/>
    <xf numFmtId="0" fontId="52" fillId="0" borderId="0"/>
    <xf numFmtId="0" fontId="143" fillId="0" borderId="0"/>
    <xf numFmtId="0" fontId="52" fillId="0" borderId="0"/>
    <xf numFmtId="202" fontId="60" fillId="0" borderId="0" applyFill="0" applyBorder="0" applyAlignment="0"/>
    <xf numFmtId="0" fontId="29" fillId="80" borderId="0" applyNumberFormat="0" applyBorder="0" applyAlignment="0" applyProtection="0"/>
    <xf numFmtId="176" fontId="60" fillId="0" borderId="0" applyFont="0" applyFill="0" applyBorder="0" applyAlignment="0" applyProtection="0"/>
    <xf numFmtId="0" fontId="52" fillId="0" borderId="0"/>
    <xf numFmtId="0" fontId="60" fillId="0" borderId="0" applyBorder="0"/>
    <xf numFmtId="0" fontId="52" fillId="0" borderId="0"/>
    <xf numFmtId="0" fontId="52" fillId="0" borderId="0"/>
    <xf numFmtId="279" fontId="59" fillId="0" borderId="0" applyFill="0" applyBorder="0" applyProtection="0">
      <alignment horizontal="right"/>
    </xf>
    <xf numFmtId="238" fontId="59" fillId="0" borderId="0" applyFill="0" applyBorder="0" applyProtection="0">
      <alignment horizontal="right"/>
    </xf>
    <xf numFmtId="280" fontId="84" fillId="0" borderId="0" applyFill="0" applyBorder="0" applyProtection="0">
      <alignment horizontal="center"/>
    </xf>
    <xf numFmtId="281" fontId="197" fillId="0" borderId="0" applyFill="0" applyBorder="0" applyProtection="0">
      <alignment horizontal="right"/>
    </xf>
    <xf numFmtId="282" fontId="59" fillId="0" borderId="0" applyFill="0" applyBorder="0" applyProtection="0">
      <alignment horizontal="right"/>
    </xf>
    <xf numFmtId="37" fontId="198" fillId="46" borderId="13" applyNumberFormat="0" applyBorder="0">
      <alignment horizontal="center"/>
    </xf>
    <xf numFmtId="283" fontId="59" fillId="0" borderId="0" applyFill="0" applyBorder="0" applyProtection="0">
      <alignment horizontal="right"/>
    </xf>
    <xf numFmtId="2" fontId="60" fillId="0" borderId="0" applyFont="0" applyFill="0" applyBorder="0" applyAlignment="0" applyProtection="0"/>
    <xf numFmtId="284" fontId="59" fillId="0" borderId="0" applyFill="0" applyBorder="0" applyProtection="0">
      <alignment horizontal="right"/>
    </xf>
    <xf numFmtId="0" fontId="57" fillId="29" borderId="0" applyNumberFormat="0" applyBorder="0" applyAlignment="0" applyProtection="0"/>
    <xf numFmtId="285" fontId="59" fillId="0" borderId="0" applyFill="0" applyBorder="0" applyProtection="0">
      <alignment horizontal="right"/>
    </xf>
    <xf numFmtId="180" fontId="59" fillId="0" borderId="0" applyFont="0" applyFill="0" applyBorder="0" applyAlignment="0" applyProtection="0"/>
    <xf numFmtId="286" fontId="60" fillId="0" borderId="0"/>
    <xf numFmtId="286" fontId="60" fillId="0" borderId="0"/>
    <xf numFmtId="183" fontId="92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99" fillId="0" borderId="0" applyFill="0" applyBorder="0">
      <alignment horizontal="left"/>
    </xf>
    <xf numFmtId="0" fontId="57" fillId="0" borderId="0"/>
    <xf numFmtId="0" fontId="57" fillId="0" borderId="0"/>
    <xf numFmtId="286" fontId="60" fillId="0" borderId="0"/>
    <xf numFmtId="237" fontId="52" fillId="0" borderId="0" applyFont="0" applyFill="0" applyBorder="0" applyAlignment="0" applyProtection="0"/>
    <xf numFmtId="0" fontId="53" fillId="36" borderId="0" applyNumberFormat="0" applyBorder="0" applyAlignment="0" applyProtection="0"/>
    <xf numFmtId="0" fontId="61" fillId="0" borderId="0" applyNumberFormat="0" applyFill="0" applyBorder="0" applyProtection="0">
      <alignment horizontal="center" wrapText="1"/>
    </xf>
    <xf numFmtId="237" fontId="52" fillId="0" borderId="0" applyFont="0" applyFill="0" applyBorder="0" applyAlignment="0" applyProtection="0"/>
    <xf numFmtId="232" fontId="128" fillId="55" borderId="40" applyBorder="0">
      <alignment horizontal="right"/>
    </xf>
    <xf numFmtId="237" fontId="52" fillId="0" borderId="0" applyFont="0" applyFill="0" applyBorder="0" applyAlignment="0" applyProtection="0"/>
    <xf numFmtId="232" fontId="128" fillId="55" borderId="40" applyBorder="0">
      <alignment horizontal="right"/>
    </xf>
    <xf numFmtId="237" fontId="52" fillId="0" borderId="0" applyFont="0" applyFill="0" applyBorder="0" applyAlignment="0" applyProtection="0"/>
    <xf numFmtId="232" fontId="128" fillId="55" borderId="40" applyBorder="0">
      <alignment horizontal="right"/>
    </xf>
    <xf numFmtId="1" fontId="55" fillId="0" borderId="0" applyNumberFormat="0" applyBorder="0" applyAlignment="0" applyProtection="0"/>
    <xf numFmtId="237" fontId="52" fillId="0" borderId="0" applyFont="0" applyFill="0" applyBorder="0" applyAlignment="0" applyProtection="0"/>
    <xf numFmtId="287" fontId="60" fillId="0" borderId="0" applyFont="0" applyFill="0" applyBorder="0" applyAlignment="0" applyProtection="0"/>
    <xf numFmtId="231" fontId="52" fillId="0" borderId="0" applyFont="0" applyFill="0" applyBorder="0" applyAlignment="0" applyProtection="0"/>
    <xf numFmtId="0" fontId="29" fillId="46" borderId="56" applyNumberFormat="0" applyFont="0" applyAlignment="0" applyProtection="0"/>
    <xf numFmtId="231" fontId="52" fillId="0" borderId="0" applyFont="0" applyFill="0" applyBorder="0" applyAlignment="0" applyProtection="0"/>
    <xf numFmtId="0" fontId="60" fillId="0" borderId="0"/>
    <xf numFmtId="231" fontId="52" fillId="0" borderId="0" applyFont="0" applyFill="0" applyBorder="0" applyAlignment="0" applyProtection="0"/>
    <xf numFmtId="0" fontId="352" fillId="0" borderId="0"/>
    <xf numFmtId="231" fontId="52" fillId="0" borderId="0" applyFont="0" applyFill="0" applyBorder="0" applyAlignment="0" applyProtection="0"/>
    <xf numFmtId="0" fontId="29" fillId="0" borderId="0"/>
    <xf numFmtId="231" fontId="52" fillId="0" borderId="0" applyFont="0" applyFill="0" applyBorder="0" applyAlignment="0" applyProtection="0"/>
    <xf numFmtId="0" fontId="60" fillId="0" borderId="0"/>
    <xf numFmtId="0" fontId="52" fillId="0" borderId="0" applyNumberFormat="0" applyFill="0" applyBorder="0" applyAlignment="0" applyProtection="0"/>
    <xf numFmtId="169" fontId="60" fillId="61" borderId="31" applyNumberFormat="0" applyFont="0" applyBorder="0" applyAlignment="0" applyProtection="0"/>
    <xf numFmtId="235" fontId="60" fillId="0" borderId="0">
      <alignment vertical="center"/>
    </xf>
    <xf numFmtId="0" fontId="142" fillId="64" borderId="50" applyNumberFormat="0" applyAlignment="0" applyProtection="0"/>
    <xf numFmtId="194" fontId="60" fillId="0" borderId="0" applyFont="0" applyFill="0" applyBorder="0" applyAlignment="0" applyProtection="0"/>
    <xf numFmtId="212" fontId="141" fillId="0" borderId="0">
      <alignment horizontal="right" vertical="center"/>
    </xf>
    <xf numFmtId="0" fontId="60" fillId="0" borderId="0"/>
    <xf numFmtId="0" fontId="199" fillId="0" borderId="0"/>
    <xf numFmtId="232" fontId="128" fillId="55" borderId="40" applyBorder="0">
      <alignment horizontal="right"/>
    </xf>
    <xf numFmtId="0" fontId="62" fillId="38" borderId="43" applyNumberFormat="0" applyAlignment="0" applyProtection="0"/>
    <xf numFmtId="234" fontId="60" fillId="0" borderId="0" applyFont="0" applyFill="0" applyBorder="0" applyAlignment="0" applyProtection="0"/>
    <xf numFmtId="230" fontId="60" fillId="0" borderId="0"/>
    <xf numFmtId="0" fontId="60" fillId="0" borderId="0"/>
    <xf numFmtId="232" fontId="128" fillId="55" borderId="40" applyBorder="0">
      <alignment horizontal="right"/>
    </xf>
    <xf numFmtId="3" fontId="133" fillId="0" borderId="0"/>
    <xf numFmtId="234" fontId="60" fillId="0" borderId="0" applyFont="0" applyFill="0" applyBorder="0" applyAlignment="0" applyProtection="0"/>
    <xf numFmtId="235" fontId="60" fillId="0" borderId="0">
      <alignment vertical="center"/>
    </xf>
    <xf numFmtId="232" fontId="128" fillId="55" borderId="40" applyBorder="0">
      <alignment horizontal="right"/>
    </xf>
    <xf numFmtId="234" fontId="60" fillId="0" borderId="0" applyFont="0" applyFill="0" applyBorder="0" applyAlignment="0" applyProtection="0"/>
    <xf numFmtId="0" fontId="60" fillId="0" borderId="0"/>
    <xf numFmtId="0" fontId="55" fillId="0" borderId="0" applyNumberFormat="0" applyFill="0" applyBorder="0" applyAlignment="0" applyProtection="0"/>
    <xf numFmtId="0" fontId="65" fillId="0" borderId="48">
      <alignment horizontal="left" vertical="center"/>
    </xf>
    <xf numFmtId="0" fontId="60" fillId="0" borderId="0"/>
    <xf numFmtId="0" fontId="29" fillId="48" borderId="0" applyNumberFormat="0" applyBorder="0" applyAlignment="0" applyProtection="0"/>
    <xf numFmtId="0" fontId="60" fillId="0" borderId="0"/>
    <xf numFmtId="0" fontId="29" fillId="48" borderId="0" applyNumberFormat="0" applyBorder="0" applyAlignment="0" applyProtection="0"/>
    <xf numFmtId="0" fontId="60" fillId="0" borderId="0"/>
    <xf numFmtId="0" fontId="60" fillId="0" borderId="0"/>
    <xf numFmtId="0" fontId="60" fillId="0" borderId="0" applyNumberForma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60" fillId="0" borderId="0"/>
    <xf numFmtId="0" fontId="126" fillId="0" borderId="0"/>
    <xf numFmtId="0" fontId="60" fillId="0" borderId="0"/>
    <xf numFmtId="207" fontId="100" fillId="0" borderId="0" applyFont="0" applyFill="0" applyBorder="0" applyAlignment="0" applyProtection="0"/>
    <xf numFmtId="0" fontId="201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202" fillId="0" borderId="0"/>
    <xf numFmtId="0" fontId="29" fillId="66" borderId="0" applyNumberFormat="0" applyBorder="0" applyAlignment="0" applyProtection="0"/>
    <xf numFmtId="192" fontId="55" fillId="72" borderId="40" applyNumberFormat="0" applyFont="0" applyBorder="0" applyAlignment="0" applyProtection="0">
      <alignment horizontal="right"/>
    </xf>
    <xf numFmtId="198" fontId="60" fillId="0" borderId="0">
      <alignment horizontal="center" wrapText="1"/>
    </xf>
    <xf numFmtId="0" fontId="94" fillId="0" borderId="0"/>
    <xf numFmtId="9" fontId="60" fillId="0" borderId="0"/>
    <xf numFmtId="49" fontId="60" fillId="0" borderId="0" applyFill="0" applyBorder="0">
      <alignment horizontal="right" vertical="center"/>
    </xf>
    <xf numFmtId="9" fontId="60" fillId="0" borderId="0"/>
    <xf numFmtId="9" fontId="60" fillId="0" borderId="0"/>
    <xf numFmtId="9" fontId="60" fillId="0" borderId="0"/>
    <xf numFmtId="1" fontId="135" fillId="83" borderId="47" applyNumberFormat="0" applyBorder="0" applyAlignment="0">
      <alignment horizontal="center" vertical="top" wrapText="1"/>
      <protection hidden="1"/>
    </xf>
    <xf numFmtId="9" fontId="60" fillId="0" borderId="0"/>
    <xf numFmtId="9" fontId="60" fillId="0" borderId="0"/>
    <xf numFmtId="9" fontId="60" fillId="0" borderId="0"/>
    <xf numFmtId="9" fontId="60" fillId="0" borderId="0"/>
    <xf numFmtId="9" fontId="60" fillId="0" borderId="0"/>
    <xf numFmtId="0" fontId="52" fillId="0" borderId="0"/>
    <xf numFmtId="0" fontId="60" fillId="0" borderId="0"/>
    <xf numFmtId="227" fontId="123" fillId="0" borderId="40" applyAlignment="0" applyProtection="0"/>
    <xf numFmtId="233" fontId="94" fillId="0" borderId="0"/>
    <xf numFmtId="0" fontId="105" fillId="44" borderId="45" applyNumberFormat="0" applyAlignment="0" applyProtection="0">
      <alignment vertical="center"/>
    </xf>
    <xf numFmtId="169" fontId="94" fillId="0" borderId="0"/>
    <xf numFmtId="0" fontId="62" fillId="38" borderId="43" applyNumberFormat="0" applyAlignment="0" applyProtection="0"/>
    <xf numFmtId="0" fontId="105" fillId="44" borderId="45" applyNumberFormat="0" applyAlignment="0" applyProtection="0">
      <alignment vertical="center"/>
    </xf>
    <xf numFmtId="169" fontId="94" fillId="0" borderId="0"/>
    <xf numFmtId="0" fontId="137" fillId="0" borderId="70" applyNumberFormat="0" applyFill="0" applyAlignment="0" applyProtection="0"/>
    <xf numFmtId="0" fontId="94" fillId="0" borderId="0"/>
    <xf numFmtId="0" fontId="60" fillId="0" borderId="0"/>
    <xf numFmtId="2" fontId="94" fillId="0" borderId="0"/>
    <xf numFmtId="2" fontId="94" fillId="0" borderId="0"/>
    <xf numFmtId="1" fontId="71" fillId="45" borderId="29" applyNumberFormat="0" applyBorder="0" applyAlignment="0">
      <alignment horizontal="centerContinuous" vertical="center"/>
      <protection locked="0"/>
    </xf>
    <xf numFmtId="10" fontId="94" fillId="0" borderId="0"/>
    <xf numFmtId="1" fontId="71" fillId="45" borderId="29" applyNumberFormat="0" applyBorder="0" applyAlignment="0">
      <alignment horizontal="centerContinuous" vertical="center"/>
      <protection locked="0"/>
    </xf>
    <xf numFmtId="10" fontId="94" fillId="0" borderId="0"/>
    <xf numFmtId="0" fontId="154" fillId="0" borderId="0" applyFill="0" applyBorder="0">
      <alignment vertical="center"/>
    </xf>
    <xf numFmtId="172" fontId="60" fillId="0" borderId="0"/>
    <xf numFmtId="172" fontId="60" fillId="0" borderId="0"/>
    <xf numFmtId="172" fontId="60" fillId="0" borderId="0"/>
    <xf numFmtId="172" fontId="60" fillId="0" borderId="0"/>
    <xf numFmtId="172" fontId="60" fillId="0" borderId="0"/>
    <xf numFmtId="172" fontId="60" fillId="0" borderId="0"/>
    <xf numFmtId="172" fontId="60" fillId="0" borderId="0"/>
    <xf numFmtId="0" fontId="49" fillId="28" borderId="43" applyNumberFormat="0" applyAlignment="0" applyProtection="0"/>
    <xf numFmtId="265" fontId="55" fillId="0" borderId="1" applyFont="0" applyFill="0" applyBorder="0" applyAlignment="0" applyProtection="0">
      <alignment horizontal="right"/>
    </xf>
    <xf numFmtId="265" fontId="55" fillId="0" borderId="1" applyFont="0" applyFill="0" applyBorder="0" applyAlignment="0" applyProtection="0">
      <alignment horizontal="right"/>
    </xf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189" fontId="60" fillId="0" borderId="48" applyFont="0" applyFill="0" applyBorder="0" applyAlignment="0" applyProtection="0"/>
    <xf numFmtId="0" fontId="50" fillId="0" borderId="0"/>
    <xf numFmtId="265" fontId="55" fillId="0" borderId="1" applyFont="0" applyFill="0" applyBorder="0" applyAlignment="0" applyProtection="0">
      <alignment horizontal="right"/>
    </xf>
    <xf numFmtId="0" fontId="50" fillId="0" borderId="0"/>
    <xf numFmtId="265" fontId="55" fillId="0" borderId="1" applyFont="0" applyFill="0" applyBorder="0" applyAlignment="0" applyProtection="0">
      <alignment horizontal="right"/>
    </xf>
    <xf numFmtId="0" fontId="48" fillId="23" borderId="0" applyNumberFormat="0" applyBorder="0" applyAlignment="0" applyProtection="0"/>
    <xf numFmtId="0" fontId="57" fillId="25" borderId="0" applyNumberFormat="0" applyBorder="0" applyAlignment="0" applyProtection="0"/>
    <xf numFmtId="0" fontId="60" fillId="46" borderId="56" applyNumberFormat="0" applyFont="0" applyAlignment="0" applyProtection="0"/>
    <xf numFmtId="0" fontId="29" fillId="92" borderId="0" applyNumberFormat="0" applyBorder="0" applyAlignment="0" applyProtection="0"/>
    <xf numFmtId="0" fontId="29" fillId="65" borderId="0" applyNumberFormat="0" applyBorder="0" applyAlignment="0" applyProtection="0"/>
    <xf numFmtId="198" fontId="60" fillId="0" borderId="55" applyBorder="0">
      <alignment horizontal="right"/>
    </xf>
    <xf numFmtId="0" fontId="29" fillId="92" borderId="0" applyNumberFormat="0" applyBorder="0" applyAlignment="0" applyProtection="0"/>
    <xf numFmtId="0" fontId="62" fillId="38" borderId="43" applyNumberFormat="0" applyAlignment="0" applyProtection="0"/>
    <xf numFmtId="192" fontId="55" fillId="72" borderId="40" applyNumberFormat="0" applyFont="0" applyBorder="0" applyAlignment="0" applyProtection="0">
      <alignment horizontal="right"/>
    </xf>
    <xf numFmtId="0" fontId="29" fillId="92" borderId="0" applyNumberFormat="0" applyBorder="0" applyAlignment="0" applyProtection="0"/>
    <xf numFmtId="0" fontId="48" fillId="63" borderId="0" applyNumberFormat="0" applyBorder="0" applyAlignment="0" applyProtection="0"/>
    <xf numFmtId="1" fontId="71" fillId="45" borderId="29" applyNumberFormat="0" applyBorder="0" applyAlignment="0">
      <alignment horizontal="centerContinuous" vertical="center"/>
      <protection locked="0"/>
    </xf>
    <xf numFmtId="0" fontId="29" fillId="92" borderId="0" applyNumberFormat="0" applyBorder="0" applyAlignment="0" applyProtection="0"/>
    <xf numFmtId="0" fontId="29" fillId="92" borderId="0" applyNumberFormat="0" applyBorder="0" applyAlignment="0" applyProtection="0"/>
    <xf numFmtId="0" fontId="91" fillId="61" borderId="0" applyNumberFormat="0" applyBorder="0" applyAlignment="0" applyProtection="0"/>
    <xf numFmtId="0" fontId="29" fillId="92" borderId="0" applyNumberFormat="0" applyBorder="0" applyAlignment="0" applyProtection="0"/>
    <xf numFmtId="0" fontId="29" fillId="92" borderId="0" applyNumberFormat="0" applyBorder="0" applyAlignment="0" applyProtection="0"/>
    <xf numFmtId="0" fontId="29" fillId="92" borderId="0" applyNumberFormat="0" applyBorder="0" applyAlignment="0" applyProtection="0"/>
    <xf numFmtId="0" fontId="29" fillId="92" borderId="0" applyNumberFormat="0" applyBorder="0" applyAlignment="0" applyProtection="0"/>
    <xf numFmtId="0" fontId="57" fillId="25" borderId="0" applyNumberFormat="0" applyBorder="0" applyAlignment="0" applyProtection="0"/>
    <xf numFmtId="0" fontId="57" fillId="75" borderId="0" applyNumberFormat="0" applyBorder="0" applyAlignment="0" applyProtection="0"/>
    <xf numFmtId="0" fontId="29" fillId="46" borderId="56" applyNumberFormat="0" applyFont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118" fillId="38" borderId="48">
      <alignment vertical="center"/>
    </xf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290" fontId="60" fillId="0" borderId="0" applyFont="0" applyFill="0" applyBorder="0" applyAlignment="0" applyProtection="0">
      <alignment horizontal="right"/>
    </xf>
    <xf numFmtId="0" fontId="57" fillId="75" borderId="0" applyNumberFormat="0" applyBorder="0" applyAlignment="0" applyProtection="0"/>
    <xf numFmtId="0" fontId="57" fillId="77" borderId="0" applyNumberFormat="0" applyBorder="0" applyAlignment="0" applyProtection="0"/>
    <xf numFmtId="2" fontId="94" fillId="0" borderId="0" applyBorder="0" applyProtection="0"/>
    <xf numFmtId="0" fontId="29" fillId="61" borderId="0" applyNumberFormat="0" applyBorder="0" applyAlignment="0" applyProtection="0"/>
    <xf numFmtId="236" fontId="60" fillId="38" borderId="0" applyFont="0" applyBorder="0"/>
    <xf numFmtId="49" fontId="60" fillId="0" borderId="0" applyFill="0" applyBorder="0">
      <alignment horizontal="right" vertical="center"/>
    </xf>
    <xf numFmtId="0" fontId="29" fillId="61" borderId="0" applyNumberFormat="0" applyBorder="0" applyAlignment="0" applyProtection="0"/>
    <xf numFmtId="236" fontId="60" fillId="38" borderId="0" applyFont="0" applyBorder="0"/>
    <xf numFmtId="229" fontId="120" fillId="0" borderId="0">
      <protection locked="0"/>
    </xf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49" fontId="60" fillId="0" borderId="0" applyFill="0" applyBorder="0">
      <alignment horizontal="right" vertical="center"/>
    </xf>
    <xf numFmtId="0" fontId="29" fillId="61" borderId="0" applyNumberFormat="0" applyBorder="0" applyAlignment="0" applyProtection="0"/>
    <xf numFmtId="49" fontId="60" fillId="0" borderId="0" applyFill="0" applyBorder="0">
      <alignment horizontal="right" vertical="center"/>
    </xf>
    <xf numFmtId="0" fontId="29" fillId="61" borderId="0" applyNumberFormat="0" applyBorder="0" applyAlignment="0" applyProtection="0"/>
    <xf numFmtId="193" fontId="60" fillId="0" borderId="0" applyFill="0" applyBorder="0" applyAlignment="0"/>
    <xf numFmtId="49" fontId="60" fillId="0" borderId="0" applyFill="0" applyBorder="0">
      <alignment horizontal="right" vertical="center"/>
    </xf>
    <xf numFmtId="0" fontId="29" fillId="61" borderId="0" applyNumberFormat="0" applyBorder="0" applyAlignment="0" applyProtection="0"/>
    <xf numFmtId="193" fontId="60" fillId="0" borderId="0" applyFill="0" applyBorder="0" applyAlignment="0"/>
    <xf numFmtId="172" fontId="204" fillId="38" borderId="0" applyFont="0" applyBorder="0"/>
    <xf numFmtId="49" fontId="60" fillId="0" borderId="0" applyFill="0" applyBorder="0">
      <alignment horizontal="right" vertical="center"/>
    </xf>
    <xf numFmtId="0" fontId="29" fillId="61" borderId="0" applyNumberFormat="0" applyBorder="0" applyAlignment="0" applyProtection="0"/>
    <xf numFmtId="193" fontId="60" fillId="0" borderId="0" applyFill="0" applyBorder="0" applyAlignment="0"/>
    <xf numFmtId="49" fontId="60" fillId="0" borderId="0" applyFill="0" applyBorder="0">
      <alignment horizontal="right" vertical="center"/>
    </xf>
    <xf numFmtId="0" fontId="29" fillId="61" borderId="0" applyNumberFormat="0" applyBorder="0" applyAlignment="0" applyProtection="0"/>
    <xf numFmtId="193" fontId="60" fillId="0" borderId="0" applyFill="0" applyBorder="0" applyAlignment="0"/>
    <xf numFmtId="49" fontId="60" fillId="0" borderId="0" applyFill="0" applyBorder="0">
      <alignment horizontal="right" vertical="center"/>
    </xf>
    <xf numFmtId="0" fontId="57" fillId="77" borderId="0" applyNumberFormat="0" applyBorder="0" applyAlignment="0" applyProtection="0"/>
    <xf numFmtId="193" fontId="60" fillId="0" borderId="0" applyFill="0" applyBorder="0" applyAlignment="0"/>
    <xf numFmtId="0" fontId="57" fillId="29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118" fillId="38" borderId="48">
      <alignment vertical="center"/>
    </xf>
    <xf numFmtId="0" fontId="29" fillId="52" borderId="0" applyNumberFormat="0" applyBorder="0" applyAlignment="0" applyProtection="0"/>
    <xf numFmtId="233" fontId="61" fillId="0" borderId="0" applyBorder="0">
      <alignment horizontal="right"/>
    </xf>
    <xf numFmtId="0" fontId="120" fillId="0" borderId="0">
      <protection locked="0"/>
    </xf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53" fillId="99" borderId="0" applyNumberFormat="0" applyBorder="0" applyAlignment="0" applyProtection="0"/>
    <xf numFmtId="292" fontId="59" fillId="0" borderId="0">
      <alignment horizontal="center"/>
    </xf>
    <xf numFmtId="192" fontId="55" fillId="72" borderId="40" applyNumberFormat="0" applyFont="0" applyBorder="0" applyAlignment="0" applyProtection="0">
      <alignment horizontal="right"/>
    </xf>
    <xf numFmtId="0" fontId="29" fillId="52" borderId="0" applyNumberFormat="0" applyBorder="0" applyAlignment="0" applyProtection="0"/>
    <xf numFmtId="192" fontId="55" fillId="72" borderId="40" applyNumberFormat="0" applyFont="0" applyBorder="0" applyAlignment="0" applyProtection="0">
      <alignment horizontal="right"/>
    </xf>
    <xf numFmtId="0" fontId="29" fillId="52" borderId="0" applyNumberFormat="0" applyBorder="0" applyAlignment="0" applyProtection="0"/>
    <xf numFmtId="192" fontId="55" fillId="72" borderId="40" applyNumberFormat="0" applyFont="0" applyBorder="0" applyAlignment="0" applyProtection="0">
      <alignment horizontal="right"/>
    </xf>
    <xf numFmtId="0" fontId="29" fillId="52" borderId="0" applyNumberFormat="0" applyBorder="0" applyAlignment="0" applyProtection="0"/>
    <xf numFmtId="0" fontId="57" fillId="73" borderId="0" applyNumberFormat="0" applyBorder="0" applyAlignment="0" applyProtection="0"/>
    <xf numFmtId="0" fontId="29" fillId="90" borderId="0" applyNumberFormat="0" applyBorder="0" applyAlignment="0" applyProtection="0"/>
    <xf numFmtId="0" fontId="88" fillId="0" borderId="0"/>
    <xf numFmtId="0" fontId="29" fillId="90" borderId="0" applyNumberFormat="0" applyBorder="0" applyAlignment="0" applyProtection="0"/>
    <xf numFmtId="0" fontId="68" fillId="42" borderId="50" applyNumberFormat="0" applyAlignment="0" applyProtection="0"/>
    <xf numFmtId="0" fontId="29" fillId="90" borderId="0" applyNumberFormat="0" applyBorder="0" applyAlignment="0" applyProtection="0"/>
    <xf numFmtId="0" fontId="29" fillId="90" borderId="0" applyNumberFormat="0" applyBorder="0" applyAlignment="0" applyProtection="0"/>
    <xf numFmtId="0" fontId="29" fillId="90" borderId="0" applyNumberFormat="0" applyBorder="0" applyAlignment="0" applyProtection="0"/>
    <xf numFmtId="0" fontId="29" fillId="90" borderId="0" applyNumberFormat="0" applyBorder="0" applyAlignment="0" applyProtection="0"/>
    <xf numFmtId="0" fontId="29" fillId="90" borderId="0" applyNumberFormat="0" applyBorder="0" applyAlignment="0" applyProtection="0"/>
    <xf numFmtId="0" fontId="29" fillId="90" borderId="0" applyNumberFormat="0" applyBorder="0" applyAlignment="0" applyProtection="0"/>
    <xf numFmtId="0" fontId="57" fillId="71" borderId="0" applyNumberFormat="0" applyBorder="0" applyAlignment="0" applyProtection="0"/>
    <xf numFmtId="0" fontId="29" fillId="28" borderId="0" applyNumberFormat="0" applyBorder="0" applyAlignment="0" applyProtection="0"/>
    <xf numFmtId="176" fontId="60" fillId="0" borderId="0" applyFont="0" applyFill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53" fillId="36" borderId="0" applyNumberFormat="0" applyBorder="0" applyAlignment="0" applyProtection="0"/>
    <xf numFmtId="0" fontId="61" fillId="0" borderId="0" applyNumberFormat="0" applyFill="0" applyBorder="0" applyProtection="0">
      <alignment horizontal="center" wrapText="1"/>
    </xf>
    <xf numFmtId="0" fontId="29" fillId="28" borderId="0" applyNumberFormat="0" applyBorder="0" applyAlignment="0" applyProtection="0"/>
    <xf numFmtId="40" fontId="60" fillId="0" borderId="0" applyNumberFormat="0">
      <alignment horizontal="right"/>
    </xf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57" fillId="71" borderId="0" applyNumberFormat="0" applyBorder="0" applyAlignment="0" applyProtection="0"/>
    <xf numFmtId="0" fontId="29" fillId="48" borderId="0" applyNumberFormat="0" applyBorder="0" applyAlignment="0" applyProtection="0"/>
    <xf numFmtId="0" fontId="29" fillId="61" borderId="0" applyNumberFormat="0" applyBorder="0" applyAlignment="0" applyProtection="0"/>
    <xf numFmtId="295" fontId="173" fillId="81" borderId="0">
      <alignment horizontal="right" vertical="center"/>
      <protection locked="0"/>
    </xf>
    <xf numFmtId="0" fontId="29" fillId="90" borderId="0" applyNumberFormat="0" applyBorder="0" applyAlignment="0" applyProtection="0"/>
    <xf numFmtId="0" fontId="29" fillId="28" borderId="0" applyNumberFormat="0" applyBorder="0" applyAlignment="0" applyProtection="0"/>
    <xf numFmtId="9" fontId="116" fillId="0" borderId="0" applyFont="0" applyFill="0" applyBorder="0" applyAlignment="0" applyProtection="0"/>
    <xf numFmtId="0" fontId="50" fillId="0" borderId="0"/>
    <xf numFmtId="0" fontId="29" fillId="92" borderId="0" applyNumberFormat="0" applyBorder="0" applyAlignment="0" applyProtection="0"/>
    <xf numFmtId="0" fontId="208" fillId="0" borderId="0" applyNumberFormat="0" applyAlignment="0">
      <alignment horizontal="left"/>
    </xf>
    <xf numFmtId="0" fontId="29" fillId="61" borderId="0" applyNumberFormat="0" applyBorder="0" applyAlignment="0" applyProtection="0"/>
    <xf numFmtId="0" fontId="29" fillId="52" borderId="0" applyNumberFormat="0" applyBorder="0" applyAlignment="0" applyProtection="0"/>
    <xf numFmtId="0" fontId="29" fillId="90" borderId="0" applyNumberFormat="0" applyBorder="0" applyAlignment="0" applyProtection="0"/>
    <xf numFmtId="0" fontId="80" fillId="92" borderId="0" applyNumberFormat="0" applyBorder="0" applyAlignment="0" applyProtection="0">
      <alignment vertical="center"/>
    </xf>
    <xf numFmtId="202" fontId="60" fillId="0" borderId="0" applyFill="0" applyBorder="0" applyAlignment="0"/>
    <xf numFmtId="0" fontId="80" fillId="48" borderId="0" applyNumberFormat="0" applyBorder="0" applyAlignment="0" applyProtection="0">
      <alignment vertical="center"/>
    </xf>
    <xf numFmtId="202" fontId="60" fillId="0" borderId="0" applyFill="0" applyBorder="0" applyAlignment="0"/>
    <xf numFmtId="0" fontId="80" fillId="61" borderId="0" applyNumberFormat="0" applyBorder="0" applyAlignment="0" applyProtection="0">
      <alignment vertical="center"/>
    </xf>
    <xf numFmtId="202" fontId="60" fillId="0" borderId="0" applyFill="0" applyBorder="0" applyAlignment="0"/>
    <xf numFmtId="0" fontId="80" fillId="52" borderId="0" applyNumberFormat="0" applyBorder="0" applyAlignment="0" applyProtection="0">
      <alignment vertical="center"/>
    </xf>
    <xf numFmtId="202" fontId="60" fillId="0" borderId="0" applyFill="0" applyBorder="0" applyAlignment="0"/>
    <xf numFmtId="0" fontId="80" fillId="90" borderId="0" applyNumberFormat="0" applyBorder="0" applyAlignment="0" applyProtection="0">
      <alignment vertical="center"/>
    </xf>
    <xf numFmtId="202" fontId="60" fillId="0" borderId="0" applyFill="0" applyBorder="0" applyAlignment="0"/>
    <xf numFmtId="0" fontId="80" fillId="28" borderId="0" applyNumberFormat="0" applyBorder="0" applyAlignment="0" applyProtection="0">
      <alignment vertical="center"/>
    </xf>
    <xf numFmtId="0" fontId="210" fillId="0" borderId="0"/>
    <xf numFmtId="170" fontId="66" fillId="39" borderId="48" applyFont="0">
      <alignment horizontal="right"/>
    </xf>
    <xf numFmtId="0" fontId="57" fillId="33" borderId="0" applyNumberFormat="0" applyBorder="0" applyAlignment="0" applyProtection="0"/>
    <xf numFmtId="202" fontId="60" fillId="0" borderId="0" applyFill="0" applyBorder="0" applyAlignment="0"/>
    <xf numFmtId="0" fontId="29" fillId="80" borderId="0" applyNumberFormat="0" applyBorder="0" applyAlignment="0" applyProtection="0"/>
    <xf numFmtId="176" fontId="60" fillId="0" borderId="0" applyFont="0" applyFill="0" applyBorder="0" applyAlignment="0" applyProtection="0"/>
    <xf numFmtId="0" fontId="29" fillId="80" borderId="0" applyNumberFormat="0" applyBorder="0" applyAlignment="0" applyProtection="0"/>
    <xf numFmtId="0" fontId="62" fillId="38" borderId="43" applyNumberFormat="0" applyAlignment="0" applyProtection="0"/>
    <xf numFmtId="192" fontId="55" fillId="72" borderId="40" applyNumberFormat="0" applyFont="0" applyBorder="0" applyAlignment="0" applyProtection="0">
      <alignment horizontal="right"/>
    </xf>
    <xf numFmtId="0" fontId="29" fillId="80" borderId="0" applyNumberFormat="0" applyBorder="0" applyAlignment="0" applyProtection="0"/>
    <xf numFmtId="202" fontId="60" fillId="0" borderId="0" applyFill="0" applyBorder="0" applyAlignment="0"/>
    <xf numFmtId="0" fontId="29" fillId="80" borderId="0" applyNumberFormat="0" applyBorder="0" applyAlignment="0" applyProtection="0"/>
    <xf numFmtId="296" fontId="212" fillId="0" borderId="0" applyFont="0" applyFill="0" applyBorder="0" applyAlignment="0" applyProtection="0"/>
    <xf numFmtId="202" fontId="60" fillId="0" borderId="0" applyFill="0" applyBorder="0" applyAlignment="0"/>
    <xf numFmtId="0" fontId="29" fillId="80" borderId="0" applyNumberFormat="0" applyBorder="0" applyAlignment="0" applyProtection="0"/>
    <xf numFmtId="291" fontId="352" fillId="0" borderId="0" applyFont="0" applyFill="0" applyBorder="0" applyAlignment="0" applyProtection="0"/>
    <xf numFmtId="0" fontId="29" fillId="80" borderId="0" applyNumberFormat="0" applyBorder="0" applyAlignment="0" applyProtection="0"/>
    <xf numFmtId="0" fontId="57" fillId="24" borderId="0" applyNumberFormat="0" applyBorder="0" applyAlignment="0" applyProtection="0"/>
    <xf numFmtId="0" fontId="29" fillId="80" borderId="0" applyNumberFormat="0" applyBorder="0" applyAlignment="0" applyProtection="0"/>
    <xf numFmtId="0" fontId="29" fillId="80" borderId="0" applyNumberFormat="0" applyBorder="0" applyAlignment="0" applyProtection="0"/>
    <xf numFmtId="0" fontId="57" fillId="3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57" fillId="24" borderId="0" applyNumberFormat="0" applyBorder="0" applyAlignment="0" applyProtection="0"/>
    <xf numFmtId="0" fontId="29" fillId="69" borderId="0" applyNumberFormat="0" applyBorder="0" applyAlignment="0" applyProtection="0"/>
    <xf numFmtId="0" fontId="213" fillId="100" borderId="0" applyNumberFormat="0" applyProtection="0">
      <alignment horizontal="center" vertical="center"/>
    </xf>
    <xf numFmtId="0" fontId="29" fillId="69" borderId="0" applyNumberFormat="0" applyBorder="0" applyAlignment="0" applyProtection="0"/>
    <xf numFmtId="0" fontId="65" fillId="0" borderId="48">
      <alignment horizontal="left" vertical="center"/>
    </xf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148" fillId="0" borderId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38" fontId="94" fillId="0" borderId="0" applyFont="0" applyFill="0" applyBorder="0" applyAlignment="0" applyProtection="0"/>
    <xf numFmtId="0" fontId="57" fillId="54" borderId="0" applyNumberFormat="0" applyBorder="0" applyAlignment="0" applyProtection="0"/>
    <xf numFmtId="0" fontId="57" fillId="7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1" fontId="55" fillId="0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4" fontId="166" fillId="81" borderId="72" applyNumberFormat="0" applyProtection="0">
      <alignment vertical="center"/>
    </xf>
    <xf numFmtId="0" fontId="57" fillId="59" borderId="0" applyNumberFormat="0" applyBorder="0" applyAlignment="0" applyProtection="0"/>
    <xf numFmtId="0" fontId="29" fillId="80" borderId="0" applyNumberFormat="0" applyBorder="0" applyAlignment="0" applyProtection="0"/>
    <xf numFmtId="0" fontId="29" fillId="80" borderId="0" applyNumberFormat="0" applyBorder="0" applyAlignment="0" applyProtection="0"/>
    <xf numFmtId="0" fontId="29" fillId="80" borderId="0" applyNumberFormat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0" fontId="29" fillId="80" borderId="0" applyNumberFormat="0" applyBorder="0" applyAlignment="0" applyProtection="0"/>
    <xf numFmtId="0" fontId="29" fillId="80" borderId="0" applyNumberFormat="0" applyBorder="0" applyAlignment="0" applyProtection="0"/>
    <xf numFmtId="174" fontId="61" fillId="0" borderId="1"/>
    <xf numFmtId="0" fontId="29" fillId="80" borderId="0" applyNumberFormat="0" applyBorder="0" applyAlignment="0" applyProtection="0"/>
    <xf numFmtId="0" fontId="57" fillId="59" borderId="0" applyNumberFormat="0" applyBorder="0" applyAlignment="0" applyProtection="0"/>
    <xf numFmtId="0" fontId="29" fillId="80" borderId="0" applyNumberFormat="0" applyBorder="0" applyAlignment="0" applyProtection="0"/>
    <xf numFmtId="0" fontId="29" fillId="66" borderId="0" applyNumberFormat="0" applyBorder="0" applyAlignment="0" applyProtection="0"/>
    <xf numFmtId="0" fontId="29" fillId="69" borderId="0" applyNumberFormat="0" applyBorder="0" applyAlignment="0" applyProtection="0"/>
    <xf numFmtId="0" fontId="29" fillId="52" borderId="0" applyNumberFormat="0" applyBorder="0" applyAlignment="0" applyProtection="0"/>
    <xf numFmtId="0" fontId="29" fillId="55" borderId="0" applyNumberFormat="0" applyBorder="0" applyAlignment="0" applyProtection="0"/>
    <xf numFmtId="0" fontId="29" fillId="80" borderId="0" applyNumberFormat="0" applyBorder="0" applyAlignment="0" applyProtection="0"/>
    <xf numFmtId="202" fontId="60" fillId="0" borderId="0" applyFill="0" applyBorder="0" applyAlignment="0"/>
    <xf numFmtId="0" fontId="29" fillId="66" borderId="0" applyNumberFormat="0" applyBorder="0" applyAlignment="0" applyProtection="0"/>
    <xf numFmtId="202" fontId="60" fillId="0" borderId="0" applyFill="0" applyBorder="0" applyAlignment="0"/>
    <xf numFmtId="0" fontId="29" fillId="69" borderId="0" applyNumberFormat="0" applyBorder="0" applyAlignment="0" applyProtection="0"/>
    <xf numFmtId="202" fontId="60" fillId="0" borderId="0" applyFill="0" applyBorder="0" applyAlignment="0"/>
    <xf numFmtId="0" fontId="29" fillId="52" borderId="0" applyNumberFormat="0" applyBorder="0" applyAlignment="0" applyProtection="0"/>
    <xf numFmtId="202" fontId="60" fillId="0" borderId="0" applyFill="0" applyBorder="0" applyAlignment="0"/>
    <xf numFmtId="0" fontId="29" fillId="55" borderId="0" applyNumberFormat="0" applyBorder="0" applyAlignment="0" applyProtection="0"/>
    <xf numFmtId="202" fontId="60" fillId="0" borderId="0" applyFill="0" applyBorder="0" applyAlignment="0"/>
    <xf numFmtId="0" fontId="80" fillId="80" borderId="0" applyNumberFormat="0" applyBorder="0" applyAlignment="0" applyProtection="0">
      <alignment vertical="center"/>
    </xf>
    <xf numFmtId="298" fontId="60" fillId="0" borderId="0" applyFont="0" applyFill="0" applyBorder="0" applyAlignment="0" applyProtection="0"/>
    <xf numFmtId="0" fontId="80" fillId="66" borderId="0" applyNumberFormat="0" applyBorder="0" applyAlignment="0" applyProtection="0">
      <alignment vertical="center"/>
    </xf>
    <xf numFmtId="299" fontId="60" fillId="0" borderId="0" applyFont="0" applyFill="0" applyBorder="0" applyAlignment="0" applyProtection="0"/>
    <xf numFmtId="0" fontId="80" fillId="69" borderId="0" applyNumberFormat="0" applyBorder="0" applyAlignment="0" applyProtection="0">
      <alignment vertical="center"/>
    </xf>
    <xf numFmtId="43" fontId="60" fillId="0" borderId="0" applyFont="0" applyFill="0" applyBorder="0" applyAlignment="0" applyProtection="0"/>
    <xf numFmtId="0" fontId="80" fillId="52" borderId="0" applyNumberFormat="0" applyBorder="0" applyAlignment="0" applyProtection="0">
      <alignment vertical="center"/>
    </xf>
    <xf numFmtId="0" fontId="53" fillId="99" borderId="0" applyNumberFormat="0" applyBorder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53" fillId="99" borderId="0" applyNumberFormat="0" applyBorder="0" applyAlignment="0" applyProtection="0"/>
    <xf numFmtId="0" fontId="49" fillId="28" borderId="43" applyNumberFormat="0" applyAlignment="0" applyProtection="0"/>
    <xf numFmtId="0" fontId="53" fillId="99" borderId="0" applyNumberFormat="0" applyBorder="0" applyAlignment="0" applyProtection="0"/>
    <xf numFmtId="0" fontId="49" fillId="28" borderId="43" applyNumberFormat="0" applyAlignment="0" applyProtection="0"/>
    <xf numFmtId="0" fontId="29" fillId="101" borderId="0" applyNumberFormat="0" applyBorder="0" applyAlignment="0" applyProtection="0"/>
    <xf numFmtId="0" fontId="53" fillId="99" borderId="0" applyNumberFormat="0" applyBorder="0" applyAlignment="0" applyProtection="0"/>
    <xf numFmtId="0" fontId="49" fillId="28" borderId="43" applyNumberFormat="0" applyAlignment="0" applyProtection="0"/>
    <xf numFmtId="0" fontId="53" fillId="99" borderId="0" applyNumberFormat="0" applyBorder="0" applyAlignment="0" applyProtection="0"/>
    <xf numFmtId="0" fontId="53" fillId="99" borderId="0" applyNumberFormat="0" applyBorder="0" applyAlignment="0" applyProtection="0"/>
    <xf numFmtId="0" fontId="53" fillId="99" borderId="0" applyNumberFormat="0" applyBorder="0" applyAlignment="0" applyProtection="0"/>
    <xf numFmtId="0" fontId="48" fillId="74" borderId="0" applyNumberFormat="0" applyBorder="0" applyAlignment="0" applyProtection="0"/>
    <xf numFmtId="0" fontId="53" fillId="66" borderId="0" applyNumberFormat="0" applyBorder="0" applyAlignment="0" applyProtection="0"/>
    <xf numFmtId="0" fontId="53" fillId="66" borderId="0" applyNumberFormat="0" applyBorder="0" applyAlignment="0" applyProtection="0"/>
    <xf numFmtId="0" fontId="53" fillId="66" borderId="0" applyNumberFormat="0" applyBorder="0" applyAlignment="0" applyProtection="0"/>
    <xf numFmtId="0" fontId="53" fillId="66" borderId="0" applyNumberFormat="0" applyBorder="0" applyAlignment="0" applyProtection="0"/>
    <xf numFmtId="276" fontId="187" fillId="39" borderId="0" applyNumberFormat="0" applyFont="0" applyBorder="0" applyAlignment="0">
      <alignment horizontal="right"/>
    </xf>
    <xf numFmtId="0" fontId="53" fillId="66" borderId="0" applyNumberFormat="0" applyBorder="0" applyAlignment="0" applyProtection="0"/>
    <xf numFmtId="0" fontId="53" fillId="66" borderId="0" applyNumberFormat="0" applyBorder="0" applyAlignment="0" applyProtection="0"/>
    <xf numFmtId="0" fontId="53" fillId="66" borderId="0" applyNumberFormat="0" applyBorder="0" applyAlignment="0" applyProtection="0"/>
    <xf numFmtId="0" fontId="48" fillId="34" borderId="0" applyNumberFormat="0" applyBorder="0" applyAlignment="0" applyProtection="0"/>
    <xf numFmtId="0" fontId="62" fillId="38" borderId="43" applyNumberFormat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1" fontId="71" fillId="45" borderId="29" applyNumberFormat="0" applyBorder="0" applyAlignment="0">
      <alignment horizontal="centerContinuous" vertical="center"/>
      <protection locked="0"/>
    </xf>
    <xf numFmtId="0" fontId="53" fillId="95" borderId="0" applyNumberFormat="0" applyBorder="0" applyAlignment="0" applyProtection="0"/>
    <xf numFmtId="232" fontId="51" fillId="0" borderId="0" applyBorder="0">
      <alignment horizontal="right"/>
    </xf>
    <xf numFmtId="0" fontId="81" fillId="0" borderId="59" applyBorder="0">
      <alignment horizontal="center" vertical="center"/>
    </xf>
    <xf numFmtId="0" fontId="53" fillId="95" borderId="0" applyNumberFormat="0" applyBorder="0" applyAlignment="0" applyProtection="0"/>
    <xf numFmtId="0" fontId="49" fillId="28" borderId="43" applyNumberFormat="0" applyAlignment="0" applyProtection="0"/>
    <xf numFmtId="0" fontId="53" fillId="95" borderId="0" applyNumberFormat="0" applyBorder="0" applyAlignment="0" applyProtection="0"/>
    <xf numFmtId="0" fontId="81" fillId="0" borderId="59" applyBorder="0">
      <alignment horizontal="center" vertical="center"/>
    </xf>
    <xf numFmtId="0" fontId="60" fillId="0" borderId="0"/>
    <xf numFmtId="0" fontId="53" fillId="95" borderId="0" applyNumberFormat="0" applyBorder="0" applyAlignment="0" applyProtection="0"/>
    <xf numFmtId="0" fontId="81" fillId="0" borderId="59" applyBorder="0">
      <alignment horizontal="center" vertical="center"/>
    </xf>
    <xf numFmtId="0" fontId="53" fillId="95" borderId="0" applyNumberFormat="0" applyBorder="0" applyAlignment="0" applyProtection="0"/>
    <xf numFmtId="0" fontId="81" fillId="0" borderId="59" applyBorder="0">
      <alignment horizontal="center" vertical="center"/>
    </xf>
    <xf numFmtId="0" fontId="81" fillId="0" borderId="59" applyBorder="0">
      <alignment horizontal="center" vertical="center"/>
    </xf>
    <xf numFmtId="0" fontId="53" fillId="95" borderId="0" applyNumberFormat="0" applyBorder="0" applyAlignment="0" applyProtection="0"/>
    <xf numFmtId="0" fontId="81" fillId="0" borderId="59" applyBorder="0">
      <alignment horizontal="center" vertical="center"/>
    </xf>
    <xf numFmtId="0" fontId="81" fillId="0" borderId="59" applyBorder="0">
      <alignment horizontal="center" vertical="center"/>
    </xf>
    <xf numFmtId="0" fontId="53" fillId="95" borderId="0" applyNumberFormat="0" applyBorder="0" applyAlignment="0" applyProtection="0"/>
    <xf numFmtId="0" fontId="81" fillId="0" borderId="59" applyBorder="0">
      <alignment horizontal="center" vertical="center"/>
    </xf>
    <xf numFmtId="0" fontId="81" fillId="0" borderId="59" applyBorder="0">
      <alignment horizontal="center" vertical="center"/>
    </xf>
    <xf numFmtId="0" fontId="352" fillId="0" borderId="0"/>
    <xf numFmtId="0" fontId="53" fillId="95" borderId="0" applyNumberFormat="0" applyBorder="0" applyAlignment="0" applyProtection="0"/>
    <xf numFmtId="0" fontId="81" fillId="0" borderId="59" applyBorder="0">
      <alignment horizontal="center" vertical="center"/>
    </xf>
    <xf numFmtId="193" fontId="60" fillId="0" borderId="0" applyFill="0" applyBorder="0" applyAlignment="0"/>
    <xf numFmtId="0" fontId="48" fillId="49" borderId="0" applyNumberFormat="0" applyBorder="0" applyAlignment="0" applyProtection="0"/>
    <xf numFmtId="0" fontId="81" fillId="0" borderId="59" applyBorder="0">
      <alignment horizontal="center" vertical="center"/>
    </xf>
    <xf numFmtId="193" fontId="60" fillId="0" borderId="0" applyFill="0" applyBorder="0" applyAlignment="0"/>
    <xf numFmtId="14" fontId="61" fillId="0" borderId="1" applyFont="0" applyFill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300" fontId="217" fillId="81" borderId="67" applyAlignment="0">
      <protection locked="0"/>
    </xf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70" fillId="0" borderId="51" applyNumberFormat="0" applyFill="0" applyAlignment="0" applyProtection="0">
      <alignment vertical="center"/>
    </xf>
    <xf numFmtId="0" fontId="53" fillId="53" borderId="0" applyNumberFormat="0" applyBorder="0" applyAlignment="0" applyProtection="0"/>
    <xf numFmtId="0" fontId="53" fillId="102" borderId="0" applyNumberFormat="0" applyBorder="0" applyAlignment="0" applyProtection="0"/>
    <xf numFmtId="0" fontId="218" fillId="0" borderId="0" applyNumberFormat="0" applyFill="0" applyBorder="0" applyAlignment="0" applyProtection="0">
      <alignment vertical="top"/>
      <protection locked="0"/>
    </xf>
    <xf numFmtId="0" fontId="53" fillId="102" borderId="0" applyNumberFormat="0" applyBorder="0" applyAlignment="0" applyProtection="0"/>
    <xf numFmtId="0" fontId="53" fillId="102" borderId="0" applyNumberFormat="0" applyBorder="0" applyAlignment="0" applyProtection="0"/>
    <xf numFmtId="0" fontId="53" fillId="102" borderId="0" applyNumberFormat="0" applyBorder="0" applyAlignment="0" applyProtection="0"/>
    <xf numFmtId="0" fontId="53" fillId="102" borderId="0" applyNumberFormat="0" applyBorder="0" applyAlignment="0" applyProtection="0"/>
    <xf numFmtId="0" fontId="53" fillId="102" borderId="0" applyNumberFormat="0" applyBorder="0" applyAlignment="0" applyProtection="0"/>
    <xf numFmtId="0" fontId="53" fillId="102" borderId="0" applyNumberFormat="0" applyBorder="0" applyAlignment="0" applyProtection="0"/>
    <xf numFmtId="0" fontId="53" fillId="102" borderId="0" applyNumberFormat="0" applyBorder="0" applyAlignment="0" applyProtection="0"/>
    <xf numFmtId="0" fontId="48" fillId="37" borderId="0" applyNumberFormat="0" applyBorder="0" applyAlignment="0" applyProtection="0"/>
    <xf numFmtId="0" fontId="53" fillId="99" borderId="0" applyNumberFormat="0" applyBorder="0" applyAlignment="0" applyProtection="0"/>
    <xf numFmtId="0" fontId="53" fillId="66" borderId="0" applyNumberFormat="0" applyBorder="0" applyAlignment="0" applyProtection="0"/>
    <xf numFmtId="0" fontId="53" fillId="95" borderId="0" applyNumberFormat="0" applyBorder="0" applyAlignment="0" applyProtection="0"/>
    <xf numFmtId="0" fontId="53" fillId="53" borderId="0" applyNumberFormat="0" applyBorder="0" applyAlignment="0" applyProtection="0"/>
    <xf numFmtId="1" fontId="71" fillId="45" borderId="29" applyNumberFormat="0" applyBorder="0" applyAlignment="0">
      <alignment horizontal="centerContinuous" vertical="center"/>
      <protection locked="0"/>
    </xf>
    <xf numFmtId="0" fontId="53" fillId="102" borderId="0" applyNumberFormat="0" applyBorder="0" applyAlignment="0" applyProtection="0"/>
    <xf numFmtId="1" fontId="71" fillId="45" borderId="29" applyNumberFormat="0" applyBorder="0" applyAlignment="0">
      <alignment horizontal="centerContinuous" vertical="center"/>
      <protection locked="0"/>
    </xf>
    <xf numFmtId="0" fontId="53" fillId="99" borderId="0" applyNumberFormat="0" applyBorder="0" applyAlignment="0" applyProtection="0"/>
    <xf numFmtId="10" fontId="56" fillId="0" borderId="44" applyAlignment="0">
      <protection locked="0"/>
    </xf>
    <xf numFmtId="0" fontId="65" fillId="0" borderId="0" applyNumberFormat="0" applyFill="0" applyBorder="0" applyAlignment="0" applyProtection="0"/>
    <xf numFmtId="0" fontId="53" fillId="69" borderId="0" applyNumberFormat="0" applyBorder="0" applyAlignment="0" applyProtection="0"/>
    <xf numFmtId="10" fontId="56" fillId="0" borderId="44" applyAlignment="0">
      <protection locked="0"/>
    </xf>
    <xf numFmtId="0" fontId="65" fillId="0" borderId="0" applyNumberFormat="0" applyFill="0" applyBorder="0" applyAlignment="0" applyProtection="0"/>
    <xf numFmtId="0" fontId="53" fillId="95" borderId="0" applyNumberFormat="0" applyBorder="0" applyAlignment="0" applyProtection="0"/>
    <xf numFmtId="10" fontId="56" fillId="0" borderId="44" applyAlignment="0">
      <protection locked="0"/>
    </xf>
    <xf numFmtId="0" fontId="65" fillId="0" borderId="0" applyNumberFormat="0" applyFill="0" applyBorder="0" applyAlignment="0" applyProtection="0"/>
    <xf numFmtId="0" fontId="53" fillId="53" borderId="0" applyNumberFormat="0" applyBorder="0" applyAlignment="0" applyProtection="0"/>
    <xf numFmtId="10" fontId="56" fillId="0" borderId="44" applyAlignment="0">
      <protection locked="0"/>
    </xf>
    <xf numFmtId="0" fontId="53" fillId="102" borderId="0" applyNumberFormat="0" applyBorder="0" applyAlignment="0" applyProtection="0"/>
    <xf numFmtId="10" fontId="56" fillId="0" borderId="44" applyAlignment="0">
      <protection locked="0"/>
    </xf>
    <xf numFmtId="0" fontId="178" fillId="99" borderId="0" applyNumberFormat="0" applyBorder="0" applyAlignment="0" applyProtection="0">
      <alignment vertical="center"/>
    </xf>
    <xf numFmtId="0" fontId="53" fillId="95" borderId="0" applyNumberFormat="0" applyBorder="0" applyAlignment="0" applyProtection="0"/>
    <xf numFmtId="0" fontId="178" fillId="66" borderId="0" applyNumberFormat="0" applyBorder="0" applyAlignment="0" applyProtection="0">
      <alignment vertical="center"/>
    </xf>
    <xf numFmtId="0" fontId="60" fillId="0" borderId="0" applyFont="0" applyFill="0" applyBorder="0" applyAlignment="0" applyProtection="0"/>
    <xf numFmtId="0" fontId="178" fillId="69" borderId="0" applyNumberFormat="0" applyBorder="0" applyAlignment="0" applyProtection="0">
      <alignment vertical="center"/>
    </xf>
    <xf numFmtId="0" fontId="60" fillId="0" borderId="0" applyFont="0" applyFill="0" applyBorder="0" applyAlignment="0" applyProtection="0"/>
    <xf numFmtId="0" fontId="178" fillId="95" borderId="0" applyNumberFormat="0" applyBorder="0" applyAlignment="0" applyProtection="0">
      <alignment vertical="center"/>
    </xf>
    <xf numFmtId="0" fontId="178" fillId="53" borderId="0" applyNumberFormat="0" applyBorder="0" applyAlignment="0" applyProtection="0">
      <alignment vertical="center"/>
    </xf>
    <xf numFmtId="0" fontId="178" fillId="102" borderId="0" applyNumberFormat="0" applyBorder="0" applyAlignment="0" applyProtection="0">
      <alignment vertical="center"/>
    </xf>
    <xf numFmtId="179" fontId="221" fillId="0" borderId="0" applyNumberFormat="0" applyFill="0" applyProtection="0"/>
    <xf numFmtId="0" fontId="203" fillId="41" borderId="0"/>
    <xf numFmtId="172" fontId="204" fillId="66" borderId="0" applyNumberFormat="0" applyFont="0" applyBorder="0" applyAlignment="0" applyProtection="0"/>
    <xf numFmtId="172" fontId="138" fillId="61" borderId="0" applyNumberFormat="0" applyFont="0" applyBorder="0" applyAlignment="0" applyProtection="0"/>
    <xf numFmtId="172" fontId="55" fillId="92" borderId="0" applyBorder="0"/>
    <xf numFmtId="172" fontId="60" fillId="0" borderId="19" applyNumberFormat="0" applyBorder="0" applyAlignment="0" applyProtection="0"/>
    <xf numFmtId="172" fontId="60" fillId="0" borderId="19" applyNumberFormat="0" applyBorder="0" applyAlignment="0" applyProtection="0"/>
    <xf numFmtId="37" fontId="198" fillId="46" borderId="13" applyNumberFormat="0" applyBorder="0">
      <alignment horizontal="center"/>
    </xf>
    <xf numFmtId="37" fontId="198" fillId="46" borderId="13" applyNumberFormat="0" applyBorder="0">
      <alignment horizontal="center"/>
    </xf>
    <xf numFmtId="172" fontId="60" fillId="0" borderId="19" applyNumberFormat="0" applyBorder="0" applyAlignment="0" applyProtection="0"/>
    <xf numFmtId="0" fontId="29" fillId="46" borderId="56" applyNumberFormat="0" applyFont="0" applyAlignment="0" applyProtection="0"/>
    <xf numFmtId="172" fontId="60" fillId="0" borderId="19" applyNumberFormat="0" applyBorder="0" applyAlignment="0" applyProtection="0"/>
    <xf numFmtId="0" fontId="29" fillId="46" borderId="56" applyNumberFormat="0" applyFont="0" applyAlignment="0" applyProtection="0"/>
    <xf numFmtId="172" fontId="60" fillId="0" borderId="19" applyNumberFormat="0" applyBorder="0" applyAlignment="0" applyProtection="0"/>
    <xf numFmtId="0" fontId="29" fillId="46" borderId="56" applyNumberFormat="0" applyFont="0" applyAlignment="0" applyProtection="0"/>
    <xf numFmtId="172" fontId="60" fillId="0" borderId="19" applyNumberFormat="0" applyBorder="0" applyAlignment="0" applyProtection="0"/>
    <xf numFmtId="0" fontId="29" fillId="46" borderId="56" applyNumberFormat="0" applyFont="0" applyAlignment="0" applyProtection="0"/>
    <xf numFmtId="232" fontId="55" fillId="0" borderId="19" applyBorder="0">
      <alignment horizontal="right"/>
    </xf>
    <xf numFmtId="304" fontId="60" fillId="0" borderId="0" applyFont="0" applyFill="0" applyBorder="0" applyAlignment="0" applyProtection="0"/>
    <xf numFmtId="169" fontId="224" fillId="0" borderId="0" applyBorder="0">
      <alignment horizontal="right"/>
    </xf>
    <xf numFmtId="169" fontId="226" fillId="0" borderId="19" applyBorder="0">
      <alignment horizontal="right"/>
    </xf>
    <xf numFmtId="0" fontId="53" fillId="85" borderId="0" applyNumberFormat="0" applyBorder="0" applyAlignment="0" applyProtection="0"/>
    <xf numFmtId="172" fontId="54" fillId="0" borderId="40" applyBorder="0"/>
    <xf numFmtId="0" fontId="227" fillId="0" borderId="0" applyNumberFormat="0" applyFill="0" applyBorder="0" applyAlignment="0" applyProtection="0">
      <alignment vertical="top"/>
      <protection locked="0"/>
    </xf>
    <xf numFmtId="172" fontId="54" fillId="0" borderId="40" applyBorder="0"/>
    <xf numFmtId="0" fontId="228" fillId="0" borderId="0" applyNumberFormat="0" applyFill="0" applyBorder="0" applyAlignment="0" applyProtection="0"/>
    <xf numFmtId="172" fontId="54" fillId="0" borderId="40" applyBorder="0"/>
    <xf numFmtId="172" fontId="54" fillId="0" borderId="40" applyBorder="0"/>
    <xf numFmtId="172" fontId="54" fillId="0" borderId="40" applyBorder="0"/>
    <xf numFmtId="172" fontId="54" fillId="0" borderId="40" applyBorder="0"/>
    <xf numFmtId="172" fontId="54" fillId="0" borderId="40" applyBorder="0"/>
    <xf numFmtId="172" fontId="54" fillId="0" borderId="40" applyBorder="0"/>
    <xf numFmtId="172" fontId="204" fillId="81" borderId="19" applyNumberFormat="0" applyFont="0" applyBorder="0" applyAlignment="0" applyProtection="0"/>
    <xf numFmtId="232" fontId="128" fillId="55" borderId="40" applyBorder="0">
      <alignment horizontal="right"/>
    </xf>
    <xf numFmtId="232" fontId="128" fillId="55" borderId="40" applyBorder="0">
      <alignment horizontal="right"/>
    </xf>
    <xf numFmtId="234" fontId="60" fillId="0" borderId="0" applyFont="0" applyFill="0" applyBorder="0" applyAlignment="0" applyProtection="0"/>
    <xf numFmtId="232" fontId="128" fillId="0" borderId="40" applyBorder="0">
      <alignment horizontal="right"/>
    </xf>
    <xf numFmtId="232" fontId="128" fillId="0" borderId="40" applyBorder="0">
      <alignment horizontal="right"/>
    </xf>
    <xf numFmtId="232" fontId="128" fillId="0" borderId="40" applyBorder="0">
      <alignment horizontal="right"/>
    </xf>
    <xf numFmtId="232" fontId="128" fillId="0" borderId="40" applyBorder="0">
      <alignment horizontal="right"/>
    </xf>
    <xf numFmtId="0" fontId="229" fillId="0" borderId="0" applyFont="0" applyFill="0" applyBorder="0" applyAlignment="0" applyProtection="0"/>
    <xf numFmtId="232" fontId="128" fillId="0" borderId="40" applyBorder="0">
      <alignment horizontal="right"/>
    </xf>
    <xf numFmtId="232" fontId="128" fillId="0" borderId="40" applyBorder="0">
      <alignment horizontal="right"/>
    </xf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24" fillId="0" borderId="31" applyNumberFormat="0" applyFont="0" applyFill="0" applyBorder="0" applyAlignment="0">
      <alignment horizontal="center" vertical="center"/>
    </xf>
    <xf numFmtId="232" fontId="128" fillId="0" borderId="40" applyBorder="0">
      <alignment horizontal="right"/>
    </xf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189" fontId="60" fillId="0" borderId="48" applyFont="0" applyFill="0" applyBorder="0" applyAlignment="0" applyProtection="0"/>
    <xf numFmtId="232" fontId="128" fillId="0" borderId="40" applyBorder="0">
      <alignment horizontal="right"/>
    </xf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189" fontId="60" fillId="0" borderId="48" applyFont="0" applyFill="0" applyBorder="0" applyAlignment="0" applyProtection="0"/>
    <xf numFmtId="232" fontId="128" fillId="0" borderId="40" applyBorder="0">
      <alignment horizontal="right"/>
    </xf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189" fontId="60" fillId="0" borderId="48" applyFont="0" applyFill="0" applyBorder="0" applyAlignment="0" applyProtection="0"/>
    <xf numFmtId="0" fontId="60" fillId="0" borderId="0" applyNumberFormat="0" applyFill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189" fontId="60" fillId="0" borderId="48" applyFont="0" applyFill="0" applyBorder="0" applyAlignment="0" applyProtection="0"/>
    <xf numFmtId="0" fontId="92" fillId="0" borderId="0" applyNumberFormat="0" applyFill="0" applyBorder="0" applyProtection="0">
      <alignment wrapText="1"/>
    </xf>
    <xf numFmtId="232" fontId="128" fillId="0" borderId="40" applyBorder="0">
      <alignment horizontal="right"/>
    </xf>
    <xf numFmtId="0" fontId="50" fillId="0" borderId="0"/>
    <xf numFmtId="0" fontId="128" fillId="38" borderId="76" applyBorder="0">
      <alignment horizontal="center"/>
    </xf>
    <xf numFmtId="0" fontId="29" fillId="65" borderId="0" applyNumberFormat="0" applyBorder="0" applyAlignment="0" applyProtection="0"/>
    <xf numFmtId="179" fontId="203" fillId="0" borderId="0" applyFill="0" applyBorder="0" applyAlignment="0"/>
    <xf numFmtId="0" fontId="49" fillId="28" borderId="43" applyNumberFormat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243" fontId="114" fillId="0" borderId="66">
      <alignment horizontal="right" vertical="center"/>
    </xf>
    <xf numFmtId="0" fontId="118" fillId="38" borderId="48">
      <alignment vertical="center"/>
    </xf>
    <xf numFmtId="0" fontId="29" fillId="65" borderId="0" applyNumberFormat="0" applyBorder="0" applyAlignment="0" applyProtection="0"/>
    <xf numFmtId="309" fontId="60" fillId="0" borderId="0">
      <alignment horizontal="right"/>
    </xf>
    <xf numFmtId="0" fontId="53" fillId="96" borderId="0" applyNumberFormat="0" applyBorder="0" applyAlignment="0" applyProtection="0"/>
    <xf numFmtId="0" fontId="48" fillId="35" borderId="0" applyNumberFormat="0" applyBorder="0" applyAlignment="0" applyProtection="0"/>
    <xf numFmtId="310" fontId="52" fillId="0" borderId="0" applyFont="0" applyFill="0" applyBorder="0" applyAlignment="0" applyProtection="0"/>
    <xf numFmtId="3" fontId="144" fillId="81" borderId="64" applyBorder="0">
      <alignment horizontal="left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9" fillId="6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164" fontId="60" fillId="0" borderId="0" applyFont="0" applyFill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53" fillId="51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53" fillId="51" borderId="0" applyNumberFormat="0" applyBorder="0" applyAlignment="0" applyProtection="0"/>
    <xf numFmtId="14" fontId="60" fillId="0" borderId="0" applyFont="0" applyFill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53" fillId="51" borderId="0" applyNumberFormat="0" applyBorder="0" applyAlignment="0" applyProtection="0"/>
    <xf numFmtId="14" fontId="60" fillId="0" borderId="0" applyFont="0" applyFill="0" applyBorder="0" applyAlignment="0" applyProtection="0"/>
    <xf numFmtId="0" fontId="53" fillId="51" borderId="0" applyNumberFormat="0" applyBorder="0" applyAlignment="0" applyProtection="0"/>
    <xf numFmtId="14" fontId="60" fillId="0" borderId="0" applyFont="0" applyFill="0" applyBorder="0" applyAlignment="0" applyProtection="0"/>
    <xf numFmtId="0" fontId="53" fillId="51" borderId="0" applyNumberFormat="0" applyBorder="0" applyAlignment="0" applyProtection="0"/>
    <xf numFmtId="0" fontId="48" fillId="35" borderId="0" applyNumberFormat="0" applyBorder="0" applyAlignment="0" applyProtection="0"/>
    <xf numFmtId="0" fontId="29" fillId="43" borderId="0" applyNumberFormat="0" applyBorder="0" applyAlignment="0" applyProtection="0"/>
    <xf numFmtId="177" fontId="61" fillId="0" borderId="0" applyFill="0" applyBorder="0" applyProtection="0">
      <alignment horizontal="right" wrapText="1"/>
    </xf>
    <xf numFmtId="0" fontId="29" fillId="43" borderId="0" applyNumberFormat="0" applyBorder="0" applyAlignment="0" applyProtection="0"/>
    <xf numFmtId="183" fontId="60" fillId="0" borderId="0" applyNumberFormat="0" applyFont="0" applyFill="0" applyBorder="0" applyAlignment="0" applyProtection="0"/>
    <xf numFmtId="0" fontId="29" fillId="43" borderId="0" applyNumberFormat="0" applyBorder="0" applyAlignment="0" applyProtection="0"/>
    <xf numFmtId="0" fontId="29" fillId="57" borderId="0" applyNumberFormat="0" applyBorder="0" applyAlignment="0" applyProtection="0"/>
    <xf numFmtId="0" fontId="62" fillId="38" borderId="43" applyNumberFormat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9" fillId="28" borderId="43" applyNumberFormat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9" fillId="28" borderId="43" applyNumberFormat="0" applyAlignment="0" applyProtection="0"/>
    <xf numFmtId="0" fontId="53" fillId="31" borderId="0" applyNumberFormat="0" applyBorder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9" fillId="28" borderId="43" applyNumberFormat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9" fillId="28" borderId="43" applyNumberFormat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9" fillId="28" borderId="43" applyNumberFormat="0" applyAlignment="0" applyProtection="0"/>
    <xf numFmtId="9" fontId="57" fillId="0" borderId="0" applyFont="0" applyFill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9" fillId="28" borderId="43" applyNumberFormat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9" fillId="28" borderId="43" applyNumberFormat="0" applyAlignment="0" applyProtection="0"/>
    <xf numFmtId="0" fontId="53" fillId="31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60" fillId="0" borderId="0"/>
    <xf numFmtId="0" fontId="48" fillId="26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81" fillId="0" borderId="29" applyBorder="0"/>
    <xf numFmtId="0" fontId="53" fillId="31" borderId="0" applyNumberFormat="0" applyBorder="0" applyAlignment="0" applyProtection="0"/>
    <xf numFmtId="0" fontId="81" fillId="0" borderId="29" applyBorder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101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109" fillId="60" borderId="7"/>
    <xf numFmtId="0" fontId="29" fillId="101" borderId="0" applyNumberFormat="0" applyBorder="0" applyAlignment="0" applyProtection="0"/>
    <xf numFmtId="0" fontId="29" fillId="46" borderId="56" applyNumberFormat="0" applyFont="0" applyAlignment="0" applyProtection="0"/>
    <xf numFmtId="0" fontId="53" fillId="57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37" fontId="60" fillId="0" borderId="0" applyFont="0" applyFill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1" fontId="135" fillId="83" borderId="47" applyNumberFormat="0" applyBorder="0" applyAlignment="0">
      <alignment horizontal="center" vertical="top" wrapText="1"/>
      <protection hidden="1"/>
    </xf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29" fillId="43" borderId="0" applyNumberFormat="0" applyBorder="0" applyAlignment="0" applyProtection="0"/>
    <xf numFmtId="0" fontId="109" fillId="60" borderId="7"/>
    <xf numFmtId="0" fontId="53" fillId="36" borderId="0" applyNumberFormat="0" applyBorder="0" applyAlignment="0" applyProtection="0"/>
    <xf numFmtId="206" fontId="81" fillId="0" borderId="13" applyFont="0" applyFill="0" applyBorder="0" applyAlignment="0" applyProtection="0">
      <alignment horizontal="right"/>
      <protection locked="0"/>
    </xf>
    <xf numFmtId="0" fontId="53" fillId="36" borderId="0" applyNumberFormat="0" applyBorder="0" applyAlignment="0" applyProtection="0"/>
    <xf numFmtId="206" fontId="81" fillId="0" borderId="13" applyFont="0" applyFill="0" applyBorder="0" applyAlignment="0" applyProtection="0">
      <alignment horizontal="right"/>
      <protection locked="0"/>
    </xf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109" fillId="60" borderId="7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109" fillId="60" borderId="7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109" fillId="60" borderId="7"/>
    <xf numFmtId="0" fontId="53" fillId="3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3" fontId="60" fillId="0" borderId="0" applyFont="0" applyFill="0" applyBorder="0" applyAlignment="0" applyProtection="0"/>
    <xf numFmtId="0" fontId="109" fillId="60" borderId="7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61" fillId="0" borderId="0" applyNumberFormat="0" applyFill="0" applyBorder="0" applyProtection="0">
      <alignment horizontal="center" wrapText="1"/>
    </xf>
    <xf numFmtId="0" fontId="48" fillId="76" borderId="0" applyNumberFormat="0" applyBorder="0" applyAlignment="0" applyProtection="0"/>
    <xf numFmtId="0" fontId="61" fillId="0" borderId="0" applyNumberFormat="0" applyFill="0" applyBorder="0" applyProtection="0">
      <alignment horizontal="center" wrapText="1"/>
    </xf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95" fillId="0" borderId="7"/>
    <xf numFmtId="0" fontId="29" fillId="65" borderId="0" applyNumberFormat="0" applyBorder="0" applyAlignment="0" applyProtection="0"/>
    <xf numFmtId="0" fontId="60" fillId="0" borderId="0"/>
    <xf numFmtId="0" fontId="29" fillId="46" borderId="56" applyNumberFormat="0" applyFont="0" applyAlignment="0" applyProtection="0"/>
    <xf numFmtId="0" fontId="29" fillId="57" borderId="0" applyNumberFormat="0" applyBorder="0" applyAlignment="0" applyProtection="0"/>
    <xf numFmtId="0" fontId="60" fillId="0" borderId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48" fillId="67" borderId="0" applyNumberFormat="0" applyBorder="0" applyAlignment="0" applyProtection="0"/>
    <xf numFmtId="0" fontId="239" fillId="0" borderId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53" fillId="95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53" fillId="95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179" fontId="83" fillId="0" borderId="48" applyNumberFormat="0" applyFill="0" applyBorder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179" fontId="83" fillId="0" borderId="48" applyNumberFormat="0" applyFill="0" applyBorder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179" fontId="83" fillId="0" borderId="48" applyNumberFormat="0" applyFill="0" applyBorder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0" fontId="53" fillId="95" borderId="0" applyNumberFormat="0" applyBorder="0" applyAlignment="0" applyProtection="0"/>
    <xf numFmtId="0" fontId="48" fillId="67" borderId="0" applyNumberFormat="0" applyBorder="0" applyAlignment="0" applyProtection="0"/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0" fontId="48" fillId="67" borderId="0" applyNumberFormat="0" applyBorder="0" applyAlignment="0" applyProtection="0"/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0" fontId="48" fillId="67" borderId="0" applyNumberFormat="0" applyBorder="0" applyAlignment="0" applyProtection="0"/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0" fontId="53" fillId="95" borderId="0" applyNumberFormat="0" applyBorder="0" applyAlignment="0" applyProtection="0"/>
    <xf numFmtId="0" fontId="53" fillId="95" borderId="0" applyNumberFormat="0" applyBorder="0" applyAlignment="0" applyProtection="0"/>
    <xf numFmtId="0" fontId="53" fillId="95" borderId="0" applyNumberFormat="0" applyBorder="0" applyAlignment="0" applyProtection="0"/>
    <xf numFmtId="0" fontId="29" fillId="94" borderId="0" applyNumberFormat="0" applyBorder="0" applyAlignment="0" applyProtection="0"/>
    <xf numFmtId="267" fontId="216" fillId="0" borderId="0">
      <alignment horizontal="center"/>
    </xf>
    <xf numFmtId="0" fontId="29" fillId="94" borderId="0" applyNumberFormat="0" applyBorder="0" applyAlignment="0" applyProtection="0"/>
    <xf numFmtId="0" fontId="49" fillId="28" borderId="43" applyNumberFormat="0" applyAlignment="0" applyProtection="0"/>
    <xf numFmtId="0" fontId="29" fillId="94" borderId="0" applyNumberFormat="0" applyBorder="0" applyAlignment="0" applyProtection="0"/>
    <xf numFmtId="192" fontId="55" fillId="72" borderId="40" applyNumberFormat="0" applyFont="0" applyBorder="0" applyAlignment="0" applyProtection="0">
      <alignment horizontal="right"/>
    </xf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53" fillId="96" borderId="0" applyNumberFormat="0" applyBorder="0" applyAlignment="0" applyProtection="0"/>
    <xf numFmtId="257" fontId="171" fillId="0" borderId="0" applyFont="0" applyFill="0" applyBorder="0" applyAlignment="0" applyProtection="0"/>
    <xf numFmtId="0" fontId="48" fillId="40" borderId="0" applyNumberFormat="0" applyBorder="0" applyAlignment="0" applyProtection="0"/>
    <xf numFmtId="176" fontId="60" fillId="0" borderId="0" applyFont="0" applyFill="0" applyBorder="0" applyAlignment="0" applyProtection="0"/>
    <xf numFmtId="0" fontId="81" fillId="0" borderId="59" applyBorder="0">
      <alignment horizontal="center" vertical="center"/>
    </xf>
    <xf numFmtId="0" fontId="48" fillId="40" borderId="0" applyNumberFormat="0" applyBorder="0" applyAlignment="0" applyProtection="0"/>
    <xf numFmtId="176" fontId="60" fillId="0" borderId="0" applyFont="0" applyFill="0" applyBorder="0" applyAlignment="0" applyProtection="0"/>
    <xf numFmtId="0" fontId="81" fillId="0" borderId="59" applyBorder="0">
      <alignment horizontal="center" vertical="center"/>
    </xf>
    <xf numFmtId="0" fontId="48" fillId="40" borderId="0" applyNumberFormat="0" applyBorder="0" applyAlignment="0" applyProtection="0"/>
    <xf numFmtId="176" fontId="60" fillId="0" borderId="0" applyFont="0" applyFill="0" applyBorder="0" applyAlignment="0" applyProtection="0"/>
    <xf numFmtId="0" fontId="81" fillId="0" borderId="59" applyBorder="0">
      <alignment horizontal="center" vertical="center"/>
    </xf>
    <xf numFmtId="0" fontId="48" fillId="40" borderId="0" applyNumberFormat="0" applyBorder="0" applyAlignment="0" applyProtection="0"/>
    <xf numFmtId="43" fontId="352" fillId="0" borderId="0" applyFont="0" applyFill="0" applyBorder="0" applyAlignment="0" applyProtection="0"/>
    <xf numFmtId="2" fontId="60" fillId="0" borderId="0" applyFont="0" applyFill="0" applyBorder="0" applyAlignment="0" applyProtection="0"/>
    <xf numFmtId="0" fontId="81" fillId="0" borderId="59" applyBorder="0">
      <alignment horizontal="center" vertical="center"/>
    </xf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81" fillId="0" borderId="59" applyBorder="0">
      <alignment horizontal="center" vertical="center"/>
    </xf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81" fillId="0" borderId="59" applyBorder="0">
      <alignment horizontal="center" vertical="center"/>
    </xf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53" fillId="53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170" fontId="66" fillId="39" borderId="48" applyFont="0">
      <alignment horizontal="right"/>
    </xf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170" fontId="66" fillId="39" borderId="48" applyFont="0">
      <alignment horizontal="right"/>
    </xf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170" fontId="66" fillId="39" borderId="48" applyFont="0">
      <alignment horizontal="right"/>
    </xf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170" fontId="66" fillId="39" borderId="48" applyFont="0">
      <alignment horizontal="right"/>
    </xf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170" fontId="66" fillId="39" borderId="48" applyFont="0">
      <alignment horizontal="right"/>
    </xf>
    <xf numFmtId="0" fontId="53" fillId="53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70" fillId="0" borderId="41" applyNumberFormat="0" applyFill="0" applyAlignment="0" applyProtection="0">
      <alignment vertical="center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70" fillId="0" borderId="41" applyNumberFormat="0" applyFill="0" applyAlignment="0" applyProtection="0">
      <alignment vertical="center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70" fillId="0" borderId="41" applyNumberFormat="0" applyFill="0" applyAlignment="0" applyProtection="0">
      <alignment vertical="center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70" fillId="0" borderId="41" applyNumberFormat="0" applyFill="0" applyAlignment="0" applyProtection="0">
      <alignment vertical="center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70" fillId="0" borderId="41" applyNumberFormat="0" applyFill="0" applyAlignment="0" applyProtection="0">
      <alignment vertical="center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0" fontId="53" fillId="53" borderId="0" applyNumberFormat="0" applyBorder="0" applyAlignment="0" applyProtection="0"/>
    <xf numFmtId="170" fontId="66" fillId="39" borderId="48" applyFont="0">
      <alignment horizontal="right"/>
    </xf>
    <xf numFmtId="0" fontId="352" fillId="0" borderId="0"/>
    <xf numFmtId="0" fontId="48" fillId="40" borderId="0" applyNumberFormat="0" applyBorder="0" applyAlignment="0" applyProtection="0"/>
    <xf numFmtId="170" fontId="66" fillId="39" borderId="48" applyFont="0">
      <alignment horizontal="right"/>
    </xf>
    <xf numFmtId="170" fontId="66" fillId="39" borderId="48" applyFont="0">
      <alignment horizontal="right"/>
    </xf>
    <xf numFmtId="0" fontId="48" fillId="40" borderId="0" applyNumberFormat="0" applyBorder="0" applyAlignment="0" applyProtection="0"/>
    <xf numFmtId="170" fontId="66" fillId="39" borderId="48" applyFont="0">
      <alignment horizontal="right"/>
    </xf>
    <xf numFmtId="0" fontId="48" fillId="40" borderId="0" applyNumberFormat="0" applyBorder="0" applyAlignment="0" applyProtection="0"/>
    <xf numFmtId="170" fontId="66" fillId="39" borderId="48" applyFont="0">
      <alignment horizontal="right"/>
    </xf>
    <xf numFmtId="0" fontId="53" fillId="53" borderId="0" applyNumberFormat="0" applyBorder="0" applyAlignment="0" applyProtection="0"/>
    <xf numFmtId="0" fontId="70" fillId="0" borderId="51" applyNumberFormat="0" applyFill="0" applyAlignment="0" applyProtection="0">
      <alignment vertical="center"/>
    </xf>
    <xf numFmtId="170" fontId="66" fillId="39" borderId="48" applyFont="0">
      <alignment horizontal="right"/>
    </xf>
    <xf numFmtId="0" fontId="53" fillId="53" borderId="0" applyNumberFormat="0" applyBorder="0" applyAlignment="0" applyProtection="0"/>
    <xf numFmtId="0" fontId="70" fillId="0" borderId="41" applyNumberFormat="0" applyFill="0" applyAlignment="0" applyProtection="0">
      <alignment vertical="center"/>
    </xf>
    <xf numFmtId="170" fontId="66" fillId="39" borderId="48" applyFont="0">
      <alignment horizontal="right"/>
    </xf>
    <xf numFmtId="0" fontId="53" fillId="53" borderId="0" applyNumberFormat="0" applyBorder="0" applyAlignment="0" applyProtection="0"/>
    <xf numFmtId="0" fontId="70" fillId="0" borderId="41" applyNumberFormat="0" applyFill="0" applyAlignment="0" applyProtection="0">
      <alignment vertical="center"/>
    </xf>
    <xf numFmtId="170" fontId="66" fillId="39" borderId="48" applyFont="0">
      <alignment horizontal="right"/>
    </xf>
    <xf numFmtId="0" fontId="48" fillId="40" borderId="0" applyNumberFormat="0" applyBorder="0" applyAlignment="0" applyProtection="0"/>
    <xf numFmtId="0" fontId="70" fillId="0" borderId="41" applyNumberFormat="0" applyFill="0" applyAlignment="0" applyProtection="0">
      <alignment vertical="center"/>
    </xf>
    <xf numFmtId="170" fontId="66" fillId="39" borderId="48" applyFont="0">
      <alignment horizontal="right"/>
    </xf>
    <xf numFmtId="0" fontId="29" fillId="43" borderId="0" applyNumberFormat="0" applyBorder="0" applyAlignment="0" applyProtection="0"/>
    <xf numFmtId="220" fontId="29" fillId="0" borderId="0" applyFont="0" applyFill="0" applyBorder="0" applyAlignment="0" applyProtection="0"/>
    <xf numFmtId="0" fontId="29" fillId="97" borderId="0" applyNumberFormat="0" applyBorder="0" applyAlignment="0" applyProtection="0"/>
    <xf numFmtId="0" fontId="29" fillId="97" borderId="0" applyNumberFormat="0" applyBorder="0" applyAlignment="0" applyProtection="0"/>
    <xf numFmtId="0" fontId="29" fillId="97" borderId="0" applyNumberFormat="0" applyBorder="0" applyAlignment="0" applyProtection="0"/>
    <xf numFmtId="199" fontId="60" fillId="0" borderId="0" applyFont="0" applyFill="0" applyBorder="0" applyAlignment="0" applyProtection="0"/>
    <xf numFmtId="0" fontId="53" fillId="97" borderId="0" applyNumberFormat="0" applyBorder="0" applyAlignment="0" applyProtection="0"/>
    <xf numFmtId="0" fontId="50" fillId="0" borderId="0"/>
    <xf numFmtId="0" fontId="49" fillId="28" borderId="43" applyNumberFormat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60" fillId="0" borderId="0" applyFont="0" applyFill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46" fillId="0" borderId="0" applyFill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50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53" fillId="85" borderId="0" applyNumberFormat="0" applyBorder="0" applyAlignment="0" applyProtection="0"/>
    <xf numFmtId="0" fontId="60" fillId="46" borderId="56" applyNumberFormat="0" applyFont="0" applyAlignment="0" applyProtection="0"/>
    <xf numFmtId="0" fontId="53" fillId="85" borderId="0" applyNumberFormat="0" applyBorder="0" applyAlignment="0" applyProtection="0"/>
    <xf numFmtId="0" fontId="245" fillId="0" borderId="79" applyNumberFormat="0" applyFill="0" applyAlignment="0" applyProtection="0"/>
    <xf numFmtId="0" fontId="60" fillId="46" borderId="56" applyNumberFormat="0" applyFont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189" fontId="60" fillId="0" borderId="48" applyFont="0" applyFill="0" applyBorder="0" applyAlignment="0" applyProtection="0"/>
    <xf numFmtId="0" fontId="53" fillId="85" borderId="0" applyNumberFormat="0" applyBorder="0" applyAlignment="0" applyProtection="0"/>
    <xf numFmtId="0" fontId="62" fillId="38" borderId="43" applyNumberFormat="0" applyAlignment="0" applyProtection="0"/>
    <xf numFmtId="0" fontId="48" fillId="23" borderId="0" applyNumberFormat="0" applyBorder="0" applyAlignment="0" applyProtection="0"/>
    <xf numFmtId="0" fontId="53" fillId="85" borderId="0" applyNumberFormat="0" applyBorder="0" applyAlignment="0" applyProtection="0"/>
    <xf numFmtId="0" fontId="62" fillId="38" borderId="43" applyNumberFormat="0" applyAlignment="0" applyProtection="0"/>
    <xf numFmtId="0" fontId="53" fillId="85" borderId="0" applyNumberFormat="0" applyBorder="0" applyAlignment="0" applyProtection="0"/>
    <xf numFmtId="0" fontId="62" fillId="38" borderId="43" applyNumberFormat="0" applyAlignment="0" applyProtection="0"/>
    <xf numFmtId="0" fontId="53" fillId="85" borderId="0" applyNumberFormat="0" applyBorder="0" applyAlignment="0" applyProtection="0"/>
    <xf numFmtId="0" fontId="62" fillId="38" borderId="43" applyNumberFormat="0" applyAlignment="0" applyProtection="0"/>
    <xf numFmtId="0" fontId="48" fillId="23" borderId="0" applyNumberFormat="0" applyBorder="0" applyAlignment="0" applyProtection="0"/>
    <xf numFmtId="176" fontId="60" fillId="0" borderId="0" applyFont="0" applyFill="0" applyBorder="0" applyAlignment="0" applyProtection="0">
      <alignment vertical="top"/>
    </xf>
    <xf numFmtId="199" fontId="60" fillId="0" borderId="0" applyFont="0" applyFill="0" applyBorder="0" applyAlignment="0" applyProtection="0"/>
    <xf numFmtId="209" fontId="60" fillId="0" borderId="0" applyFont="0" applyFill="0" applyBorder="0" applyAlignment="0"/>
    <xf numFmtId="189" fontId="60" fillId="0" borderId="48" applyFont="0" applyFill="0" applyBorder="0" applyAlignment="0" applyProtection="0"/>
    <xf numFmtId="0" fontId="62" fillId="38" borderId="43" applyNumberFormat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189" fontId="60" fillId="0" borderId="48" applyFont="0" applyFill="0" applyBorder="0" applyAlignment="0" applyProtection="0"/>
    <xf numFmtId="312" fontId="60" fillId="0" borderId="0" applyFont="0" applyFill="0" applyBorder="0" applyAlignment="0" applyProtection="0">
      <alignment vertical="top"/>
    </xf>
    <xf numFmtId="272" fontId="185" fillId="0" borderId="0" applyFont="0" applyFill="0" applyBorder="0" applyAlignment="0" applyProtection="0"/>
    <xf numFmtId="0" fontId="60" fillId="46" borderId="56" applyNumberFormat="0" applyFont="0" applyAlignment="0" applyProtection="0"/>
    <xf numFmtId="274" fontId="55" fillId="0" borderId="0" applyFill="0" applyBorder="0" applyProtection="0">
      <alignment horizontal="right"/>
    </xf>
    <xf numFmtId="0" fontId="55" fillId="0" borderId="0" applyNumberFormat="0" applyAlignment="0"/>
    <xf numFmtId="0" fontId="81" fillId="0" borderId="29" applyBorder="0"/>
    <xf numFmtId="276" fontId="187" fillId="39" borderId="0" applyNumberFormat="0" applyFont="0" applyBorder="0" applyAlignment="0">
      <alignment horizontal="right"/>
    </xf>
    <xf numFmtId="170" fontId="66" fillId="39" borderId="48" applyFont="0">
      <alignment horizontal="right"/>
    </xf>
    <xf numFmtId="0" fontId="60" fillId="0" borderId="0"/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223" fontId="129" fillId="81" borderId="67" applyAlignment="0">
      <protection locked="0"/>
    </xf>
    <xf numFmtId="0" fontId="74" fillId="48" borderId="0" applyNumberFormat="0" applyBorder="0" applyAlignment="0" applyProtection="0"/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0" fontId="29" fillId="0" borderId="0"/>
    <xf numFmtId="170" fontId="66" fillId="39" borderId="48" applyFont="0">
      <alignment horizontal="right"/>
    </xf>
    <xf numFmtId="208" fontId="55" fillId="0" borderId="0" applyFill="0" applyBorder="0" applyProtection="0">
      <alignment horizontal="right" wrapText="1"/>
    </xf>
    <xf numFmtId="0" fontId="70" fillId="0" borderId="41" applyNumberFormat="0" applyFill="0" applyAlignment="0" applyProtection="0">
      <alignment vertical="center"/>
    </xf>
    <xf numFmtId="170" fontId="66" fillId="39" borderId="48" applyFont="0">
      <alignment horizontal="right"/>
    </xf>
    <xf numFmtId="0" fontId="70" fillId="0" borderId="41" applyNumberFormat="0" applyFill="0" applyAlignment="0" applyProtection="0">
      <alignment vertical="center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37" fontId="87" fillId="38" borderId="0"/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170" fontId="66" fillId="39" borderId="48" applyFont="0">
      <alignment horizontal="right"/>
    </xf>
    <xf numFmtId="0" fontId="352" fillId="0" borderId="0"/>
    <xf numFmtId="170" fontId="66" fillId="39" borderId="48" applyFont="0">
      <alignment horizontal="right"/>
    </xf>
    <xf numFmtId="193" fontId="60" fillId="0" borderId="0" applyFill="0" applyBorder="0" applyAlignment="0"/>
    <xf numFmtId="170" fontId="66" fillId="39" borderId="48" applyFont="0">
      <alignment horizontal="right"/>
    </xf>
    <xf numFmtId="0" fontId="65" fillId="0" borderId="48">
      <alignment horizontal="left" vertical="center"/>
    </xf>
    <xf numFmtId="170" fontId="66" fillId="39" borderId="48" applyFont="0">
      <alignment horizontal="right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55" fillId="0" borderId="0" applyNumberFormat="0" applyFill="0" applyBorder="0" applyAlignment="0" applyProtection="0"/>
    <xf numFmtId="0" fontId="65" fillId="0" borderId="48">
      <alignment horizontal="left" vertical="center"/>
    </xf>
    <xf numFmtId="0" fontId="55" fillId="0" borderId="0" applyNumberFormat="0" applyFill="0" applyBorder="0" applyAlignment="0" applyProtection="0"/>
    <xf numFmtId="0" fontId="65" fillId="0" borderId="48">
      <alignment horizontal="left" vertical="center"/>
    </xf>
    <xf numFmtId="181" fontId="97" fillId="0" borderId="0" applyFont="0" applyFill="0" applyBorder="0" applyAlignment="0" applyProtection="0"/>
    <xf numFmtId="0" fontId="29" fillId="46" borderId="56" applyNumberFormat="0" applyFont="0" applyAlignment="0" applyProtection="0"/>
    <xf numFmtId="201" fontId="97" fillId="0" borderId="0" applyFont="0" applyFill="0" applyBorder="0" applyAlignment="0" applyProtection="0"/>
    <xf numFmtId="0" fontId="94" fillId="0" borderId="0"/>
    <xf numFmtId="0" fontId="60" fillId="0" borderId="0" applyFill="0"/>
    <xf numFmtId="0" fontId="60" fillId="0" borderId="0" applyFill="0"/>
    <xf numFmtId="0" fontId="60" fillId="0" borderId="0" applyFill="0"/>
    <xf numFmtId="0" fontId="60" fillId="0" borderId="0" applyFill="0"/>
    <xf numFmtId="0" fontId="60" fillId="0" borderId="0" applyFill="0"/>
    <xf numFmtId="0" fontId="60" fillId="0" borderId="0" applyFill="0"/>
    <xf numFmtId="0" fontId="50" fillId="0" borderId="0"/>
    <xf numFmtId="0" fontId="111" fillId="0" borderId="0" applyNumberFormat="0" applyFill="0" applyBorder="0" applyAlignment="0" applyProtection="0"/>
    <xf numFmtId="0" fontId="75" fillId="0" borderId="0">
      <alignment horizontal="center" wrapText="1"/>
      <protection locked="0"/>
    </xf>
    <xf numFmtId="0" fontId="60" fillId="0" borderId="0" applyNumberFormat="0" applyFill="0" applyBorder="0" applyAlignment="0" applyProtection="0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92" fillId="0" borderId="0" applyNumberFormat="0" applyFill="0" applyBorder="0" applyAlignment="0" applyProtection="0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251" fillId="0" borderId="0"/>
    <xf numFmtId="192" fontId="55" fillId="72" borderId="40" applyNumberFormat="0" applyFont="0" applyBorder="0" applyAlignment="0" applyProtection="0">
      <alignment horizontal="right"/>
    </xf>
    <xf numFmtId="179" fontId="252" fillId="0" borderId="0" applyNumberFormat="0" applyFill="0" applyBorder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253" fillId="81" borderId="0" applyNumberFormat="0" applyBorder="0" applyAlignment="0" applyProtection="0"/>
    <xf numFmtId="0" fontId="60" fillId="38" borderId="0">
      <alignment vertical="center"/>
    </xf>
    <xf numFmtId="0" fontId="60" fillId="38" borderId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37" fontId="168" fillId="0" borderId="0" applyNumberFormat="0" applyFill="0" applyBorder="0" applyAlignment="0" applyProtection="0">
      <alignment horizontal="right"/>
    </xf>
    <xf numFmtId="0" fontId="255" fillId="50" borderId="0" applyNumberFormat="0" applyBorder="0" applyAlignment="0" applyProtection="0"/>
    <xf numFmtId="198" fontId="60" fillId="0" borderId="55" applyBorder="0">
      <alignment horizontal="right"/>
    </xf>
    <xf numFmtId="198" fontId="60" fillId="0" borderId="55" applyBorder="0">
      <alignment horizontal="right"/>
    </xf>
    <xf numFmtId="0" fontId="256" fillId="51" borderId="0" applyNumberFormat="0">
      <alignment horizontal="left"/>
    </xf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192" fontId="55" fillId="72" borderId="40" applyNumberFormat="0" applyFont="0" applyBorder="0" applyAlignment="0" applyProtection="0">
      <alignment horizontal="right"/>
    </xf>
    <xf numFmtId="0" fontId="62" fillId="38" borderId="43" applyNumberFormat="0" applyAlignment="0" applyProtection="0"/>
    <xf numFmtId="0" fontId="62" fillId="38" borderId="43" applyNumberFormat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63" fillId="38" borderId="45" applyNumberFormat="0" applyAlignment="0" applyProtection="0"/>
    <xf numFmtId="3" fontId="169" fillId="0" borderId="0"/>
    <xf numFmtId="172" fontId="60" fillId="0" borderId="0" applyNumberFormat="0" applyFont="0" applyAlignment="0" applyProtection="0"/>
    <xf numFmtId="172" fontId="60" fillId="0" borderId="0" applyNumberFormat="0" applyFont="0" applyAlignment="0" applyProtection="0"/>
    <xf numFmtId="0" fontId="110" fillId="30" borderId="61" applyNumberFormat="0" applyAlignment="0" applyProtection="0"/>
    <xf numFmtId="0" fontId="65" fillId="0" borderId="48">
      <alignment horizontal="left" vertical="center"/>
    </xf>
    <xf numFmtId="172" fontId="60" fillId="0" borderId="0" applyNumberFormat="0" applyFont="0" applyAlignment="0" applyProtection="0"/>
    <xf numFmtId="0" fontId="110" fillId="30" borderId="61" applyNumberFormat="0" applyAlignment="0" applyProtection="0"/>
    <xf numFmtId="0" fontId="65" fillId="0" borderId="48">
      <alignment horizontal="left" vertical="center"/>
    </xf>
    <xf numFmtId="172" fontId="60" fillId="0" borderId="0" applyNumberFormat="0" applyFont="0" applyAlignment="0" applyProtection="0"/>
    <xf numFmtId="0" fontId="110" fillId="30" borderId="61" applyNumberFormat="0" applyAlignment="0" applyProtection="0"/>
    <xf numFmtId="0" fontId="65" fillId="0" borderId="48">
      <alignment horizontal="left" vertical="center"/>
    </xf>
    <xf numFmtId="172" fontId="60" fillId="0" borderId="0" applyNumberFormat="0" applyFont="0" applyAlignment="0" applyProtection="0"/>
    <xf numFmtId="0" fontId="110" fillId="30" borderId="61" applyNumberFormat="0" applyAlignment="0" applyProtection="0"/>
    <xf numFmtId="172" fontId="60" fillId="0" borderId="0" applyNumberFormat="0" applyFont="0" applyAlignment="0" applyProtection="0"/>
    <xf numFmtId="0" fontId="110" fillId="30" borderId="61" applyNumberFormat="0" applyAlignment="0" applyProtection="0"/>
    <xf numFmtId="14" fontId="51" fillId="0" borderId="0" applyNumberFormat="0" applyFill="0" applyBorder="0" applyAlignment="0" applyProtection="0">
      <alignment horizontal="center"/>
    </xf>
    <xf numFmtId="0" fontId="261" fillId="0" borderId="0" applyNumberFormat="0" applyFill="0" applyBorder="0" applyAlignment="0" applyProtection="0"/>
    <xf numFmtId="0" fontId="62" fillId="38" borderId="43" applyNumberFormat="0" applyAlignment="0" applyProtection="0"/>
    <xf numFmtId="0" fontId="177" fillId="0" borderId="1" applyNumberFormat="0" applyFill="0" applyAlignment="0" applyProtection="0"/>
    <xf numFmtId="0" fontId="177" fillId="0" borderId="1" applyNumberFormat="0" applyFill="0" applyAlignment="0" applyProtection="0"/>
    <xf numFmtId="0" fontId="177" fillId="0" borderId="1" applyNumberFormat="0" applyFill="0" applyAlignment="0" applyProtection="0"/>
    <xf numFmtId="0" fontId="177" fillId="0" borderId="1" applyNumberFormat="0" applyFill="0" applyAlignment="0" applyProtection="0"/>
    <xf numFmtId="0" fontId="177" fillId="0" borderId="1" applyNumberFormat="0" applyFill="0" applyAlignment="0" applyProtection="0"/>
    <xf numFmtId="314" fontId="60" fillId="0" borderId="0" applyFont="0" applyFill="0" applyBorder="0" applyAlignment="0" applyProtection="0"/>
    <xf numFmtId="227" fontId="123" fillId="0" borderId="40" applyAlignment="0" applyProtection="0"/>
    <xf numFmtId="192" fontId="55" fillId="72" borderId="40" applyNumberFormat="0" applyFont="0" applyBorder="0" applyAlignment="0" applyProtection="0">
      <alignment horizontal="right"/>
    </xf>
    <xf numFmtId="227" fontId="123" fillId="0" borderId="40" applyAlignment="0" applyProtection="0"/>
    <xf numFmtId="227" fontId="123" fillId="0" borderId="40" applyAlignment="0" applyProtection="0"/>
    <xf numFmtId="227" fontId="123" fillId="0" borderId="40" applyAlignment="0" applyProtection="0"/>
    <xf numFmtId="227" fontId="123" fillId="0" borderId="40" applyAlignment="0" applyProtection="0"/>
    <xf numFmtId="227" fontId="123" fillId="0" borderId="40" applyAlignment="0" applyProtection="0"/>
    <xf numFmtId="227" fontId="123" fillId="0" borderId="40" applyAlignment="0" applyProtection="0"/>
    <xf numFmtId="227" fontId="123" fillId="0" borderId="40" applyAlignment="0" applyProtection="0"/>
    <xf numFmtId="227" fontId="123" fillId="0" borderId="40" applyAlignment="0" applyProtection="0"/>
    <xf numFmtId="179" fontId="60" fillId="0" borderId="81" applyNumberFormat="0" applyFill="0" applyAlignment="0" applyProtection="0"/>
    <xf numFmtId="37" fontId="93" fillId="38" borderId="0" applyNumberFormat="0" applyFont="0" applyBorder="0" applyAlignment="0" applyProtection="0">
      <alignment horizontal="left"/>
      <protection locked="0"/>
    </xf>
    <xf numFmtId="179" fontId="175" fillId="0" borderId="0" applyNumberFormat="0" applyFill="0" applyBorder="0" applyAlignment="0" applyProtection="0"/>
    <xf numFmtId="177" fontId="61" fillId="0" borderId="0" applyFill="0" applyBorder="0" applyProtection="0">
      <alignment horizontal="right" wrapText="1"/>
    </xf>
    <xf numFmtId="0" fontId="91" fillId="61" borderId="0" applyNumberFormat="0" applyBorder="0" applyAlignment="0" applyProtection="0"/>
    <xf numFmtId="0" fontId="178" fillId="31" borderId="0" applyNumberFormat="0" applyBorder="0" applyAlignment="0" applyProtection="0">
      <alignment vertical="center"/>
    </xf>
    <xf numFmtId="0" fontId="60" fillId="46" borderId="56" applyNumberFormat="0" applyFont="0" applyAlignment="0" applyProtection="0"/>
    <xf numFmtId="240" fontId="52" fillId="0" borderId="0" applyFont="0" applyFill="0" applyBorder="0" applyAlignment="0" applyProtection="0"/>
    <xf numFmtId="240" fontId="52" fillId="0" borderId="0" applyFont="0" applyFill="0" applyBorder="0" applyAlignment="0" applyProtection="0"/>
    <xf numFmtId="240" fontId="52" fillId="0" borderId="0" applyFont="0" applyFill="0" applyBorder="0" applyAlignment="0" applyProtection="0"/>
    <xf numFmtId="240" fontId="52" fillId="0" borderId="0" applyFont="0" applyFill="0" applyBorder="0" applyAlignment="0" applyProtection="0"/>
    <xf numFmtId="261" fontId="60" fillId="44" borderId="0" applyFont="0">
      <alignment horizontal="left" indent="1"/>
    </xf>
    <xf numFmtId="264" fontId="89" fillId="0" borderId="0"/>
    <xf numFmtId="207" fontId="60" fillId="0" borderId="0" applyFont="0" applyFill="0" applyBorder="0" applyAlignment="0" applyProtection="0"/>
    <xf numFmtId="38" fontId="81" fillId="0" borderId="0" applyFont="0" applyBorder="0" applyAlignment="0">
      <alignment horizontal="centerContinuous"/>
    </xf>
    <xf numFmtId="38" fontId="81" fillId="0" borderId="0" applyFont="0" applyBorder="0" applyAlignment="0">
      <alignment horizontal="centerContinuous"/>
    </xf>
    <xf numFmtId="199" fontId="60" fillId="0" borderId="0" applyFont="0" applyFill="0" applyBorder="0" applyAlignment="0" applyProtection="0"/>
    <xf numFmtId="38" fontId="81" fillId="0" borderId="0" applyFont="0" applyBorder="0" applyAlignment="0">
      <alignment horizontal="centerContinuous"/>
    </xf>
    <xf numFmtId="38" fontId="81" fillId="0" borderId="0" applyFont="0" applyBorder="0" applyAlignment="0">
      <alignment horizontal="centerContinuous"/>
    </xf>
    <xf numFmtId="0" fontId="50" fillId="0" borderId="0"/>
    <xf numFmtId="38" fontId="81" fillId="0" borderId="0" applyFont="0" applyBorder="0" applyAlignment="0">
      <alignment horizontal="centerContinuous"/>
    </xf>
    <xf numFmtId="232" fontId="176" fillId="98" borderId="0" applyNumberFormat="0" applyBorder="0" applyAlignment="0"/>
    <xf numFmtId="38" fontId="81" fillId="0" borderId="0" applyFont="0" applyBorder="0" applyAlignment="0">
      <alignment horizontal="centerContinuous"/>
    </xf>
    <xf numFmtId="0" fontId="174" fillId="0" borderId="0"/>
    <xf numFmtId="0" fontId="29" fillId="0" borderId="0"/>
    <xf numFmtId="0" fontId="174" fillId="0" borderId="0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0" fillId="0" borderId="0"/>
    <xf numFmtId="10" fontId="56" fillId="0" borderId="44" applyAlignment="0">
      <protection locked="0"/>
    </xf>
    <xf numFmtId="0" fontId="55" fillId="0" borderId="0"/>
    <xf numFmtId="0" fontId="60" fillId="46" borderId="56" applyNumberFormat="0" applyFont="0" applyAlignment="0" applyProtection="0"/>
    <xf numFmtId="0" fontId="60" fillId="0" borderId="0" applyNumberFormat="0" applyFill="0" applyBorder="0" applyAlignment="0"/>
    <xf numFmtId="2" fontId="55" fillId="68" borderId="0" applyNumberFormat="0" applyFont="0" applyBorder="0" applyAlignment="0" applyProtection="0"/>
    <xf numFmtId="0" fontId="86" fillId="28" borderId="60" applyNumberFormat="0" applyAlignment="0"/>
    <xf numFmtId="2" fontId="55" fillId="68" borderId="0" applyNumberFormat="0" applyFont="0" applyBorder="0" applyAlignment="0" applyProtection="0"/>
    <xf numFmtId="2" fontId="55" fillId="68" borderId="0" applyNumberFormat="0" applyFont="0" applyBorder="0" applyAlignment="0" applyProtection="0"/>
    <xf numFmtId="2" fontId="55" fillId="68" borderId="0" applyNumberFormat="0" applyFont="0" applyBorder="0" applyAlignment="0" applyProtection="0"/>
    <xf numFmtId="179" fontId="203" fillId="0" borderId="0" applyFill="0" applyBorder="0" applyAlignment="0"/>
    <xf numFmtId="0" fontId="200" fillId="0" borderId="0" applyNumberFormat="0" applyFill="0" applyBorder="0" applyAlignment="0" applyProtection="0"/>
    <xf numFmtId="288" fontId="203" fillId="0" borderId="0" applyFill="0" applyBorder="0" applyAlignment="0"/>
    <xf numFmtId="0" fontId="60" fillId="0" borderId="0" applyFill="0" applyBorder="0" applyAlignment="0"/>
    <xf numFmtId="248" fontId="60" fillId="0" borderId="0" applyFill="0" applyBorder="0" applyAlignment="0"/>
    <xf numFmtId="229" fontId="120" fillId="0" borderId="0">
      <protection locked="0"/>
    </xf>
    <xf numFmtId="236" fontId="60" fillId="38" borderId="0" applyFont="0" applyBorder="0"/>
    <xf numFmtId="0" fontId="49" fillId="28" borderId="43" applyNumberFormat="0" applyAlignment="0" applyProtection="0"/>
    <xf numFmtId="0" fontId="60" fillId="0" borderId="0" applyFill="0" applyBorder="0" applyAlignment="0"/>
    <xf numFmtId="0" fontId="49" fillId="28" borderId="43" applyNumberFormat="0" applyAlignment="0" applyProtection="0"/>
    <xf numFmtId="197" fontId="60" fillId="0" borderId="0" applyFill="0" applyBorder="0" applyAlignment="0"/>
    <xf numFmtId="0" fontId="49" fillId="28" borderId="43" applyNumberFormat="0" applyAlignment="0" applyProtection="0"/>
    <xf numFmtId="179" fontId="203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79" fontId="203" fillId="0" borderId="0" applyFill="0" applyBorder="0" applyAlignment="0"/>
    <xf numFmtId="1" fontId="60" fillId="81" borderId="0">
      <alignment horizontal="center" vertical="center"/>
    </xf>
    <xf numFmtId="0" fontId="29" fillId="46" borderId="56" applyNumberFormat="0" applyFont="0" applyAlignment="0" applyProtection="0"/>
    <xf numFmtId="38" fontId="114" fillId="98" borderId="67">
      <alignment horizontal="right"/>
    </xf>
    <xf numFmtId="14" fontId="88" fillId="0" borderId="0" applyFill="0" applyBorder="0" applyAlignment="0"/>
    <xf numFmtId="0" fontId="49" fillId="28" borderId="43" applyNumberFormat="0" applyAlignment="0" applyProtection="0"/>
    <xf numFmtId="3" fontId="136" fillId="61" borderId="74" applyBorder="0">
      <alignment horizontal="left"/>
      <protection hidden="1"/>
    </xf>
    <xf numFmtId="0" fontId="60" fillId="38" borderId="0"/>
    <xf numFmtId="0" fontId="55" fillId="0" borderId="0" applyNumberFormat="0" applyFill="0" applyBorder="0" applyProtection="0">
      <alignment wrapText="1"/>
    </xf>
    <xf numFmtId="0" fontId="60" fillId="0" borderId="0">
      <alignment vertical="center"/>
    </xf>
    <xf numFmtId="177" fontId="55" fillId="0" borderId="0" applyFill="0" applyBorder="0" applyProtection="0">
      <alignment horizontal="right" wrapText="1"/>
    </xf>
    <xf numFmtId="0" fontId="142" fillId="64" borderId="50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192" fontId="55" fillId="72" borderId="40" applyNumberFormat="0" applyFont="0" applyBorder="0" applyAlignment="0" applyProtection="0">
      <alignment horizontal="right"/>
    </xf>
    <xf numFmtId="0" fontId="62" fillId="38" borderId="43" applyNumberFormat="0" applyAlignment="0" applyProtection="0"/>
    <xf numFmtId="0" fontId="55" fillId="0" borderId="0" applyNumberFormat="0"/>
    <xf numFmtId="0" fontId="62" fillId="38" borderId="43" applyNumberFormat="0" applyAlignment="0" applyProtection="0"/>
    <xf numFmtId="0" fontId="55" fillId="0" borderId="0" applyNumberFormat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49" fontId="60" fillId="0" borderId="0" applyFill="0" applyBorder="0">
      <alignment horizontal="right" vertical="center"/>
    </xf>
    <xf numFmtId="0" fontId="62" fillId="38" borderId="43" applyNumberFormat="0" applyAlignment="0" applyProtection="0"/>
    <xf numFmtId="192" fontId="55" fillId="72" borderId="40" applyNumberFormat="0" applyFont="0" applyBorder="0" applyAlignment="0" applyProtection="0">
      <alignment horizontal="right"/>
    </xf>
    <xf numFmtId="0" fontId="180" fillId="0" borderId="0" applyNumberFormat="0" applyFill="0" applyBorder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289" fontId="55" fillId="0" borderId="0" applyFont="0" applyFill="0" applyBorder="0" applyAlignment="0" applyProtection="0">
      <alignment horizontal="right"/>
    </xf>
    <xf numFmtId="0" fontId="62" fillId="38" borderId="43" applyNumberFormat="0" applyAlignment="0" applyProtection="0"/>
    <xf numFmtId="0" fontId="62" fillId="38" borderId="43" applyNumberFormat="0" applyAlignment="0" applyProtection="0"/>
    <xf numFmtId="208" fontId="61" fillId="0" borderId="0" applyFill="0" applyBorder="0" applyProtection="0">
      <alignment horizontal="right" wrapText="1"/>
    </xf>
    <xf numFmtId="0" fontId="62" fillId="38" borderId="43" applyNumberFormat="0" applyAlignment="0" applyProtection="0"/>
    <xf numFmtId="208" fontId="61" fillId="0" borderId="0" applyFill="0" applyBorder="0" applyProtection="0">
      <alignment horizontal="right" wrapText="1"/>
    </xf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198" fontId="60" fillId="0" borderId="55" applyBorder="0">
      <alignment horizontal="right"/>
    </xf>
    <xf numFmtId="0" fontId="29" fillId="46" borderId="56" applyNumberFormat="0" applyFon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5" fillId="0" borderId="48">
      <alignment horizontal="left" vertical="center"/>
    </xf>
    <xf numFmtId="0" fontId="62" fillId="38" borderId="43" applyNumberFormat="0" applyAlignment="0" applyProtection="0"/>
    <xf numFmtId="0" fontId="65" fillId="0" borderId="48">
      <alignment horizontal="left" vertical="center"/>
    </xf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291" fontId="352" fillId="0" borderId="0" applyFont="0" applyFill="0" applyBorder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0" fillId="0" borderId="0" applyFont="0" applyFill="0" applyBorder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192" fontId="55" fillId="72" borderId="40" applyNumberFormat="0" applyFont="0" applyBorder="0" applyAlignment="0" applyProtection="0">
      <alignment horizontal="right"/>
    </xf>
    <xf numFmtId="2" fontId="94" fillId="0" borderId="0" applyBorder="0" applyProtection="0"/>
    <xf numFmtId="0" fontId="62" fillId="38" borderId="43" applyNumberFormat="0" applyAlignment="0" applyProtection="0"/>
    <xf numFmtId="192" fontId="55" fillId="72" borderId="40" applyNumberFormat="0" applyFont="0" applyBorder="0" applyAlignment="0" applyProtection="0">
      <alignment horizontal="right"/>
    </xf>
    <xf numFmtId="0" fontId="62" fillId="38" borderId="43" applyNumberFormat="0" applyAlignment="0" applyProtection="0"/>
    <xf numFmtId="192" fontId="55" fillId="72" borderId="40" applyNumberFormat="0" applyFont="0" applyBorder="0" applyAlignment="0" applyProtection="0">
      <alignment horizontal="right"/>
    </xf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277" fontId="352" fillId="0" borderId="0" applyFont="0" applyFill="0" applyBorder="0" applyAlignment="0" applyProtection="0"/>
    <xf numFmtId="0" fontId="62" fillId="38" borderId="43" applyNumberFormat="0" applyAlignment="0" applyProtection="0"/>
    <xf numFmtId="0" fontId="65" fillId="0" borderId="27" applyNumberFormat="0" applyAlignment="0" applyProtection="0">
      <alignment horizontal="left" vertical="center"/>
    </xf>
    <xf numFmtId="0" fontId="62" fillId="38" borderId="43" applyNumberFormat="0" applyAlignment="0" applyProtection="0"/>
    <xf numFmtId="198" fontId="60" fillId="0" borderId="55" applyBorder="0">
      <alignment horizontal="right"/>
    </xf>
    <xf numFmtId="209" fontId="206" fillId="46" borderId="0" applyNumberFormat="0" applyBorder="0" applyAlignment="0">
      <protection locked="0"/>
    </xf>
    <xf numFmtId="0" fontId="62" fillId="38" borderId="43" applyNumberFormat="0" applyAlignment="0" applyProtection="0"/>
    <xf numFmtId="0" fontId="205" fillId="91" borderId="0">
      <alignment horizontal="right" vertical="center"/>
    </xf>
    <xf numFmtId="0" fontId="253" fillId="81" borderId="0" applyNumberFormat="0" applyBorder="0" applyAlignment="0" applyProtection="0"/>
    <xf numFmtId="0" fontId="62" fillId="38" borderId="43" applyNumberFormat="0" applyAlignment="0" applyProtection="0"/>
    <xf numFmtId="277" fontId="352" fillId="0" borderId="0" applyFont="0" applyFill="0" applyBorder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52" fillId="0" borderId="82" applyNumberFormat="0" applyFon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263" fillId="0" borderId="0" applyNumberFormat="0" applyAlignment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62" fillId="38" borderId="43" applyNumberFormat="0" applyAlignment="0" applyProtection="0"/>
    <xf numFmtId="0" fontId="264" fillId="0" borderId="0"/>
    <xf numFmtId="0" fontId="65" fillId="0" borderId="48">
      <alignment horizontal="left" vertical="center"/>
    </xf>
    <xf numFmtId="0" fontId="130" fillId="0" borderId="68" applyNumberFormat="0" applyFill="0" applyAlignment="0" applyProtection="0"/>
    <xf numFmtId="0" fontId="60" fillId="0" borderId="0" applyNumberFormat="0" applyFont="0" applyFill="0" applyBorder="0" applyProtection="0">
      <alignment horizontal="centerContinuous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08" fillId="0" borderId="0">
      <alignment horizontal="right"/>
    </xf>
    <xf numFmtId="172" fontId="88" fillId="108" borderId="0"/>
    <xf numFmtId="1" fontId="265" fillId="0" borderId="0"/>
    <xf numFmtId="0" fontId="180" fillId="0" borderId="0" applyNumberFormat="0" applyFill="0" applyBorder="0" applyAlignment="0" applyProtection="0"/>
    <xf numFmtId="0" fontId="160" fillId="27" borderId="42" applyNumberFormat="0" applyAlignment="0" applyProtection="0"/>
    <xf numFmtId="315" fontId="94" fillId="0" borderId="0" applyFont="0" applyFill="0" applyBorder="0" applyAlignment="0" applyProtection="0"/>
    <xf numFmtId="0" fontId="110" fillId="30" borderId="61" applyNumberFormat="0" applyAlignment="0" applyProtection="0"/>
    <xf numFmtId="0" fontId="65" fillId="0" borderId="48">
      <alignment horizontal="left" vertical="center"/>
    </xf>
    <xf numFmtId="0" fontId="110" fillId="30" borderId="61" applyNumberFormat="0" applyAlignment="0" applyProtection="0"/>
    <xf numFmtId="0" fontId="50" fillId="0" borderId="0"/>
    <xf numFmtId="0" fontId="110" fillId="30" borderId="61" applyNumberFormat="0" applyAlignment="0" applyProtection="0"/>
    <xf numFmtId="0" fontId="101" fillId="0" borderId="0">
      <protection locked="0"/>
    </xf>
    <xf numFmtId="0" fontId="110" fillId="30" borderId="61" applyNumberFormat="0" applyAlignment="0" applyProtection="0"/>
    <xf numFmtId="0" fontId="65" fillId="0" borderId="48">
      <alignment horizontal="left" vertical="center"/>
    </xf>
    <xf numFmtId="0" fontId="196" fillId="0" borderId="0" applyNumberFormat="0" applyFill="0" applyBorder="0" applyAlignment="0" applyProtection="0">
      <alignment vertical="top"/>
      <protection locked="0"/>
    </xf>
    <xf numFmtId="172" fontId="93" fillId="0" borderId="0">
      <alignment horizontal="right"/>
    </xf>
    <xf numFmtId="172" fontId="55" fillId="0" borderId="0" applyNumberFormat="0" applyFont="0" applyAlignment="0" applyProtection="0"/>
    <xf numFmtId="0" fontId="266" fillId="0" borderId="0" applyNumberFormat="0" applyFill="0" applyBorder="0" applyAlignment="0" applyProtection="0"/>
    <xf numFmtId="0" fontId="55" fillId="0" borderId="64"/>
    <xf numFmtId="0" fontId="55" fillId="0" borderId="64"/>
    <xf numFmtId="1" fontId="267" fillId="0" borderId="0">
      <alignment vertical="center"/>
    </xf>
    <xf numFmtId="0" fontId="96" fillId="0" borderId="1" applyNumberFormat="0" applyFill="0" applyBorder="0" applyAlignment="0" applyProtection="0">
      <alignment horizontal="center"/>
    </xf>
    <xf numFmtId="0" fontId="91" fillId="61" borderId="0" applyNumberFormat="0" applyBorder="0" applyAlignment="0" applyProtection="0"/>
    <xf numFmtId="0" fontId="96" fillId="0" borderId="1" applyNumberFormat="0" applyFill="0" applyBorder="0" applyAlignment="0" applyProtection="0">
      <alignment horizontal="center"/>
    </xf>
    <xf numFmtId="0" fontId="91" fillId="61" borderId="0" applyNumberFormat="0" applyBorder="0" applyAlignment="0" applyProtection="0"/>
    <xf numFmtId="0" fontId="65" fillId="0" borderId="48">
      <alignment horizontal="left" vertical="center"/>
    </xf>
    <xf numFmtId="316" fontId="173" fillId="81" borderId="0">
      <alignment horizontal="right" vertical="center"/>
      <protection locked="0"/>
    </xf>
    <xf numFmtId="0" fontId="114" fillId="0" borderId="66">
      <alignment horizontal="right" vertical="center"/>
    </xf>
    <xf numFmtId="202" fontId="60" fillId="0" borderId="0" applyFill="0" applyBorder="0" applyAlignment="0"/>
    <xf numFmtId="0" fontId="114" fillId="0" borderId="66">
      <alignment horizontal="right" vertical="center"/>
    </xf>
    <xf numFmtId="176" fontId="60" fillId="0" borderId="0" applyFont="0" applyFill="0" applyBorder="0" applyAlignment="0" applyProtection="0"/>
    <xf numFmtId="17" fontId="114" fillId="0" borderId="66">
      <alignment horizontal="right" vertical="center"/>
    </xf>
    <xf numFmtId="17" fontId="114" fillId="0" borderId="66">
      <alignment horizontal="right" vertical="center"/>
    </xf>
    <xf numFmtId="17" fontId="114" fillId="0" borderId="66">
      <alignment horizontal="righ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17" fontId="114" fillId="0" borderId="66">
      <alignment horizontal="right" vertical="center"/>
    </xf>
    <xf numFmtId="212" fontId="114" fillId="0" borderId="66">
      <alignment horizontal="right" vertical="center"/>
    </xf>
    <xf numFmtId="278" fontId="60" fillId="0" borderId="0" applyFill="0" applyBorder="0">
      <alignment horizontal="right"/>
    </xf>
    <xf numFmtId="212" fontId="114" fillId="0" borderId="66">
      <alignment horizontal="right" vertical="center"/>
    </xf>
    <xf numFmtId="212" fontId="114" fillId="0" borderId="66">
      <alignment horizontal="right" vertical="center"/>
    </xf>
    <xf numFmtId="212" fontId="114" fillId="0" borderId="66">
      <alignment horizontal="right" vertical="center"/>
    </xf>
    <xf numFmtId="263" fontId="114" fillId="0" borderId="66">
      <alignment horizontal="right" vertical="center"/>
    </xf>
    <xf numFmtId="263" fontId="114" fillId="0" borderId="66">
      <alignment horizontal="right" vertical="center"/>
    </xf>
    <xf numFmtId="0" fontId="147" fillId="0" borderId="71" applyNumberFormat="0" applyFill="0" applyAlignment="0" applyProtection="0"/>
    <xf numFmtId="263" fontId="114" fillId="0" borderId="66">
      <alignment horizontal="right" vertical="center"/>
    </xf>
    <xf numFmtId="193" fontId="60" fillId="0" borderId="0" applyFont="0" applyFill="0" applyBorder="0" applyAlignment="0" applyProtection="0"/>
    <xf numFmtId="0" fontId="65" fillId="0" borderId="48">
      <alignment horizontal="left" vertical="center"/>
    </xf>
    <xf numFmtId="0" fontId="68" fillId="42" borderId="50" applyNumberFormat="0" applyAlignment="0" applyProtection="0"/>
    <xf numFmtId="0" fontId="68" fillId="42" borderId="50" applyNumberFormat="0" applyAlignment="0" applyProtection="0"/>
    <xf numFmtId="263" fontId="114" fillId="0" borderId="66">
      <alignment horizontal="right" vertical="center"/>
    </xf>
    <xf numFmtId="0" fontId="147" fillId="0" borderId="71" applyNumberFormat="0" applyFill="0" applyAlignment="0" applyProtection="0"/>
    <xf numFmtId="243" fontId="114" fillId="0" borderId="66">
      <alignment horizontal="right" vertical="center"/>
    </xf>
    <xf numFmtId="243" fontId="114" fillId="0" borderId="66">
      <alignment horizontal="right" vertical="center"/>
    </xf>
    <xf numFmtId="0" fontId="118" fillId="38" borderId="48">
      <alignment vertical="center"/>
    </xf>
    <xf numFmtId="0" fontId="60" fillId="0" borderId="0">
      <alignment horizontal="center" wrapText="1"/>
      <protection hidden="1"/>
    </xf>
    <xf numFmtId="169" fontId="60" fillId="61" borderId="31" applyNumberFormat="0" applyFont="0" applyBorder="0" applyAlignment="0" applyProtection="0"/>
    <xf numFmtId="0" fontId="50" fillId="0" borderId="0"/>
    <xf numFmtId="0" fontId="81" fillId="0" borderId="29" applyBorder="0"/>
    <xf numFmtId="223" fontId="81" fillId="38" borderId="48" applyNumberFormat="0" applyAlignment="0" applyProtection="0"/>
    <xf numFmtId="0" fontId="81" fillId="0" borderId="29" applyBorder="0"/>
    <xf numFmtId="0" fontId="214" fillId="0" borderId="0"/>
    <xf numFmtId="0" fontId="81" fillId="0" borderId="29" applyBorder="0"/>
    <xf numFmtId="7" fontId="95" fillId="0" borderId="0"/>
    <xf numFmtId="0" fontId="81" fillId="0" borderId="29" applyBorder="0"/>
    <xf numFmtId="0" fontId="81" fillId="0" borderId="29" applyBorder="0"/>
    <xf numFmtId="0" fontId="81" fillId="0" borderId="29" applyBorder="0"/>
    <xf numFmtId="0" fontId="81" fillId="0" borderId="29" applyBorder="0"/>
    <xf numFmtId="0" fontId="81" fillId="0" borderId="29" applyBorder="0"/>
    <xf numFmtId="0" fontId="61" fillId="0" borderId="0" applyNumberFormat="0" applyFill="0" applyBorder="0" applyProtection="0">
      <alignment wrapText="1"/>
    </xf>
    <xf numFmtId="0" fontId="65" fillId="0" borderId="48">
      <alignment horizontal="left" vertical="center"/>
    </xf>
    <xf numFmtId="0" fontId="61" fillId="0" borderId="0" applyNumberFormat="0" applyFill="0" applyBorder="0" applyProtection="0">
      <alignment wrapText="1"/>
    </xf>
    <xf numFmtId="0" fontId="61" fillId="0" borderId="0" applyNumberFormat="0" applyFill="0" applyBorder="0" applyProtection="0">
      <alignment wrapText="1"/>
    </xf>
    <xf numFmtId="0" fontId="61" fillId="0" borderId="0" applyNumberFormat="0" applyFill="0" applyBorder="0" applyProtection="0">
      <alignment wrapText="1"/>
    </xf>
    <xf numFmtId="0" fontId="61" fillId="0" borderId="0" applyNumberFormat="0" applyFill="0" applyBorder="0" applyProtection="0">
      <alignment wrapText="1"/>
    </xf>
    <xf numFmtId="0" fontId="65" fillId="0" borderId="0" applyNumberFormat="0" applyFill="0" applyBorder="0" applyProtection="0">
      <alignment wrapText="1"/>
    </xf>
    <xf numFmtId="0" fontId="65" fillId="0" borderId="48">
      <alignment horizontal="left" vertical="center"/>
    </xf>
    <xf numFmtId="0" fontId="65" fillId="0" borderId="0" applyNumberFormat="0" applyFill="0" applyBorder="0" applyProtection="0">
      <alignment wrapText="1"/>
    </xf>
    <xf numFmtId="0" fontId="61" fillId="0" borderId="0" applyNumberFormat="0" applyFill="0" applyBorder="0" applyProtection="0">
      <alignment horizontal="center" wrapText="1"/>
    </xf>
    <xf numFmtId="0" fontId="61" fillId="0" borderId="0" applyNumberFormat="0" applyFill="0" applyBorder="0" applyProtection="0">
      <alignment horizontal="center" wrapText="1"/>
    </xf>
    <xf numFmtId="233" fontId="61" fillId="0" borderId="21" applyAlignment="0">
      <alignment horizontal="right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8" fillId="42" borderId="50" applyNumberFormat="0" applyAlignment="0" applyProtection="0"/>
    <xf numFmtId="0" fontId="68" fillId="42" borderId="50" applyNumberFormat="0" applyAlignment="0" applyProtection="0"/>
    <xf numFmtId="38" fontId="94" fillId="0" borderId="0" applyFont="0" applyFill="0" applyBorder="0" applyAlignment="0" applyProtection="0"/>
    <xf numFmtId="198" fontId="60" fillId="0" borderId="55" applyBorder="0">
      <alignment horizontal="right"/>
    </xf>
    <xf numFmtId="0" fontId="60" fillId="46" borderId="56" applyNumberFormat="0" applyFont="0" applyAlignment="0" applyProtection="0"/>
    <xf numFmtId="0" fontId="60" fillId="0" borderId="0" applyFont="0" applyFill="0" applyBorder="0" applyAlignment="0" applyProtection="0"/>
    <xf numFmtId="0" fontId="60" fillId="0" borderId="0"/>
    <xf numFmtId="0" fontId="60" fillId="0" borderId="0"/>
    <xf numFmtId="0" fontId="194" fillId="0" borderId="0">
      <alignment horizontal="left"/>
    </xf>
    <xf numFmtId="0" fontId="60" fillId="0" borderId="0"/>
    <xf numFmtId="209" fontId="51" fillId="0" borderId="67"/>
    <xf numFmtId="0" fontId="60" fillId="0" borderId="0"/>
    <xf numFmtId="0" fontId="60" fillId="0" borderId="0"/>
    <xf numFmtId="0" fontId="60" fillId="0" borderId="0"/>
    <xf numFmtId="15" fontId="141" fillId="0" borderId="0">
      <alignment horizontal="right" vertical="center"/>
    </xf>
    <xf numFmtId="3" fontId="193" fillId="81" borderId="64" applyBorder="0">
      <protection hidden="1"/>
    </xf>
    <xf numFmtId="0" fontId="60" fillId="0" borderId="0"/>
    <xf numFmtId="0" fontId="60" fillId="0" borderId="0"/>
    <xf numFmtId="0" fontId="195" fillId="0" borderId="0"/>
    <xf numFmtId="37" fontId="52" fillId="0" borderId="0"/>
    <xf numFmtId="0" fontId="60" fillId="0" borderId="0" applyFont="0" applyFill="0" applyBorder="0" applyAlignment="0" applyProtection="0"/>
    <xf numFmtId="317" fontId="81" fillId="0" borderId="0" applyFill="0" applyBorder="0"/>
    <xf numFmtId="202" fontId="60" fillId="0" borderId="0" applyFont="0" applyFill="0" applyBorder="0" applyAlignment="0" applyProtection="0"/>
    <xf numFmtId="202" fontId="60" fillId="0" borderId="0" applyFont="0" applyFill="0" applyBorder="0" applyAlignment="0" applyProtection="0"/>
    <xf numFmtId="202" fontId="60" fillId="0" borderId="0" applyFont="0" applyFill="0" applyBorder="0" applyAlignment="0" applyProtection="0"/>
    <xf numFmtId="226" fontId="268" fillId="0" borderId="0" applyFont="0" applyFill="0" applyBorder="0" applyAlignment="0" applyProtection="0"/>
    <xf numFmtId="227" fontId="55" fillId="0" borderId="0" applyFont="0" applyFill="0" applyBorder="0" applyAlignment="0" applyProtection="0"/>
    <xf numFmtId="318" fontId="58" fillId="0" borderId="0" applyFont="0" applyFill="0" applyBorder="0" applyAlignment="0" applyProtection="0">
      <alignment horizontal="right"/>
    </xf>
    <xf numFmtId="0" fontId="58" fillId="0" borderId="0" applyFont="0" applyFill="0" applyBorder="0" applyAlignment="0" applyProtection="0"/>
    <xf numFmtId="180" fontId="59" fillId="0" borderId="0" applyFont="0" applyFill="0" applyBorder="0" applyAlignment="0" applyProtection="0"/>
    <xf numFmtId="0" fontId="253" fillId="81" borderId="0" applyNumberFormat="0" applyBorder="0" applyAlignment="0" applyProtection="0"/>
    <xf numFmtId="176" fontId="60" fillId="0" borderId="0" applyFont="0" applyFill="0" applyBorder="0" applyAlignment="0" applyProtection="0"/>
    <xf numFmtId="0" fontId="65" fillId="0" borderId="48">
      <alignment horizontal="left" vertical="center"/>
    </xf>
    <xf numFmtId="180" fontId="59" fillId="0" borderId="0" applyFont="0" applyFill="0" applyBorder="0" applyAlignment="0" applyProtection="0"/>
    <xf numFmtId="0" fontId="253" fillId="81" borderId="0" applyNumberFormat="0" applyBorder="0" applyAlignment="0" applyProtection="0"/>
    <xf numFmtId="180" fontId="59" fillId="0" borderId="0" applyFont="0" applyFill="0" applyBorder="0" applyAlignment="0" applyProtection="0"/>
    <xf numFmtId="0" fontId="253" fillId="81" borderId="0" applyNumberFormat="0" applyBorder="0" applyAlignment="0" applyProtection="0"/>
    <xf numFmtId="180" fontId="59" fillId="0" borderId="0" applyFont="0" applyFill="0" applyBorder="0" applyAlignment="0" applyProtection="0"/>
    <xf numFmtId="0" fontId="253" fillId="81" borderId="0" applyNumberFormat="0" applyBorder="0" applyAlignment="0" applyProtection="0"/>
    <xf numFmtId="176" fontId="352" fillId="0" borderId="0" applyFont="0" applyFill="0" applyBorder="0" applyAlignment="0" applyProtection="0"/>
    <xf numFmtId="0" fontId="253" fillId="81" borderId="0" applyNumberFormat="0" applyBorder="0" applyAlignment="0" applyProtection="0"/>
    <xf numFmtId="176" fontId="352" fillId="0" borderId="0" applyFont="0" applyFill="0" applyBorder="0" applyAlignment="0" applyProtection="0"/>
    <xf numFmtId="0" fontId="49" fillId="28" borderId="43" applyNumberFormat="0" applyAlignment="0" applyProtection="0"/>
    <xf numFmtId="176" fontId="29" fillId="0" borderId="0" applyFont="0" applyFill="0" applyBorder="0" applyAlignment="0" applyProtection="0"/>
    <xf numFmtId="176" fontId="352" fillId="0" borderId="0" applyFont="0" applyFill="0" applyBorder="0" applyAlignment="0" applyProtection="0"/>
    <xf numFmtId="0" fontId="253" fillId="81" borderId="0" applyNumberFormat="0" applyBorder="0" applyAlignment="0" applyProtection="0"/>
    <xf numFmtId="176" fontId="29" fillId="0" borderId="0" applyFont="0" applyFill="0" applyBorder="0" applyAlignment="0" applyProtection="0"/>
    <xf numFmtId="176" fontId="352" fillId="0" borderId="0" applyFont="0" applyFill="0" applyBorder="0" applyAlignment="0" applyProtection="0"/>
    <xf numFmtId="176" fontId="352" fillId="0" borderId="0" applyFont="0" applyFill="0" applyBorder="0" applyAlignment="0" applyProtection="0"/>
    <xf numFmtId="176" fontId="352" fillId="0" borderId="0" applyFont="0" applyFill="0" applyBorder="0" applyAlignment="0" applyProtection="0"/>
    <xf numFmtId="176" fontId="352" fillId="0" borderId="0" applyFont="0" applyFill="0" applyBorder="0" applyAlignment="0" applyProtection="0"/>
    <xf numFmtId="202" fontId="60" fillId="0" borderId="0" applyFill="0" applyBorder="0" applyAlignment="0"/>
    <xf numFmtId="176" fontId="352" fillId="0" borderId="0" applyFont="0" applyFill="0" applyBorder="0" applyAlignment="0" applyProtection="0"/>
    <xf numFmtId="43" fontId="352" fillId="0" borderId="0" applyFont="0" applyFill="0" applyBorder="0" applyAlignment="0" applyProtection="0"/>
    <xf numFmtId="176" fontId="352" fillId="0" borderId="0" applyFont="0" applyFill="0" applyBorder="0" applyAlignment="0" applyProtection="0"/>
    <xf numFmtId="223" fontId="81" fillId="38" borderId="48" applyNumberFormat="0" applyAlignment="0" applyProtection="0"/>
    <xf numFmtId="1" fontId="55" fillId="0" borderId="0" applyNumberFormat="0" applyBorder="0" applyAlignment="0" applyProtection="0"/>
    <xf numFmtId="176" fontId="352" fillId="0" borderId="0" applyFont="0" applyFill="0" applyBorder="0" applyAlignment="0" applyProtection="0"/>
    <xf numFmtId="220" fontId="29" fillId="0" borderId="0" applyFont="0" applyFill="0" applyBorder="0" applyAlignment="0" applyProtection="0"/>
    <xf numFmtId="220" fontId="29" fillId="0" borderId="0" applyFont="0" applyFill="0" applyBorder="0" applyAlignment="0" applyProtection="0"/>
    <xf numFmtId="220" fontId="29" fillId="0" borderId="0" applyFont="0" applyFill="0" applyBorder="0" applyAlignment="0" applyProtection="0"/>
    <xf numFmtId="220" fontId="29" fillId="0" borderId="0" applyFont="0" applyFill="0" applyBorder="0" applyAlignment="0" applyProtection="0"/>
    <xf numFmtId="220" fontId="29" fillId="0" borderId="0" applyFont="0" applyFill="0" applyBorder="0" applyAlignment="0" applyProtection="0"/>
    <xf numFmtId="176" fontId="352" fillId="0" borderId="0" applyFont="0" applyFill="0" applyBorder="0" applyAlignment="0" applyProtection="0"/>
    <xf numFmtId="176" fontId="352" fillId="0" borderId="0" applyFont="0" applyFill="0" applyBorder="0" applyAlignment="0" applyProtection="0"/>
    <xf numFmtId="176" fontId="60" fillId="0" borderId="0" applyFont="0" applyFill="0" applyBorder="0" applyAlignment="0" applyProtection="0"/>
    <xf numFmtId="176" fontId="60" fillId="0" borderId="0" applyFont="0" applyFill="0" applyBorder="0" applyAlignment="0" applyProtection="0"/>
    <xf numFmtId="0" fontId="29" fillId="46" borderId="56" applyNumberFormat="0" applyFont="0" applyAlignment="0" applyProtection="0"/>
    <xf numFmtId="176" fontId="60" fillId="0" borderId="0" applyFont="0" applyFill="0" applyBorder="0" applyAlignment="0" applyProtection="0"/>
    <xf numFmtId="0" fontId="29" fillId="46" borderId="56" applyNumberFormat="0" applyFont="0" applyAlignment="0" applyProtection="0"/>
    <xf numFmtId="176" fontId="60" fillId="0" borderId="0" applyFont="0" applyFill="0" applyBorder="0" applyAlignment="0" applyProtection="0"/>
    <xf numFmtId="176" fontId="60" fillId="0" borderId="0" applyFont="0" applyFill="0" applyBorder="0" applyAlignment="0" applyProtection="0"/>
    <xf numFmtId="176" fontId="60" fillId="0" borderId="0" applyFont="0" applyFill="0" applyBorder="0" applyAlignment="0" applyProtection="0"/>
    <xf numFmtId="22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29" fillId="46" borderId="56" applyNumberFormat="0" applyFont="0" applyAlignment="0" applyProtection="0"/>
    <xf numFmtId="176" fontId="60" fillId="0" borderId="0" applyFont="0" applyFill="0" applyBorder="0" applyAlignment="0" applyProtection="0"/>
    <xf numFmtId="176" fontId="60" fillId="0" borderId="0" applyFont="0" applyFill="0" applyBorder="0" applyAlignment="0" applyProtection="0"/>
    <xf numFmtId="176" fontId="60" fillId="0" borderId="0" applyFont="0" applyFill="0" applyBorder="0" applyAlignment="0" applyProtection="0"/>
    <xf numFmtId="176" fontId="29" fillId="0" borderId="0" applyFont="0" applyFill="0" applyBorder="0" applyAlignment="0" applyProtection="0"/>
    <xf numFmtId="43" fontId="352" fillId="0" borderId="0" applyFont="0" applyFill="0" applyBorder="0" applyAlignment="0" applyProtection="0"/>
    <xf numFmtId="176" fontId="57" fillId="0" borderId="0" applyFont="0" applyFill="0" applyBorder="0" applyAlignment="0" applyProtection="0"/>
    <xf numFmtId="43" fontId="352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128" fillId="0" borderId="13"/>
    <xf numFmtId="176" fontId="60" fillId="0" borderId="0" applyFont="0" applyFill="0" applyBorder="0" applyAlignment="0" applyProtection="0"/>
    <xf numFmtId="226" fontId="60" fillId="0" borderId="0" applyFont="0" applyFill="0" applyBorder="0" applyAlignment="0" applyProtection="0"/>
    <xf numFmtId="298" fontId="60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128" fillId="0" borderId="13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213" fontId="59" fillId="0" borderId="0" applyFont="0" applyFill="0" applyBorder="0" applyAlignment="0" applyProtection="0"/>
    <xf numFmtId="0" fontId="60" fillId="0" borderId="0" applyFont="0" applyFill="0" applyBorder="0" applyAlignment="0" applyProtection="0"/>
    <xf numFmtId="213" fontId="60" fillId="0" borderId="0" applyFont="0" applyFill="0" applyBorder="0" applyAlignment="0" applyProtection="0"/>
    <xf numFmtId="176" fontId="60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60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0" fontId="130" fillId="0" borderId="68" applyNumberFormat="0" applyFill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204" fontId="59" fillId="0" borderId="0" applyFont="0" applyFill="0" applyBorder="0" applyAlignment="0" applyProtection="0"/>
    <xf numFmtId="49" fontId="60" fillId="0" borderId="0"/>
    <xf numFmtId="220" fontId="29" fillId="0" borderId="0" applyFont="0" applyFill="0" applyBorder="0" applyAlignment="0" applyProtection="0"/>
    <xf numFmtId="208" fontId="55" fillId="0" borderId="0" applyFill="0" applyBorder="0" applyProtection="0">
      <alignment horizontal="right" wrapText="1"/>
    </xf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8" fontId="60" fillId="0" borderId="0" applyFill="0" applyBorder="0" applyAlignment="0"/>
    <xf numFmtId="43" fontId="352" fillId="0" borderId="0" applyFont="0" applyFill="0" applyBorder="0" applyAlignment="0" applyProtection="0"/>
    <xf numFmtId="178" fontId="60" fillId="0" borderId="0" applyFill="0" applyBorder="0" applyAlignment="0"/>
    <xf numFmtId="43" fontId="352" fillId="0" borderId="0" applyFont="0" applyFill="0" applyBorder="0" applyAlignment="0" applyProtection="0"/>
    <xf numFmtId="178" fontId="60" fillId="0" borderId="0" applyFill="0" applyBorder="0" applyAlignment="0"/>
    <xf numFmtId="176" fontId="57" fillId="0" borderId="0" applyFont="0" applyFill="0" applyBorder="0" applyAlignment="0" applyProtection="0"/>
    <xf numFmtId="178" fontId="60" fillId="0" borderId="0" applyFill="0" applyBorder="0" applyAlignment="0"/>
    <xf numFmtId="221" fontId="115" fillId="0" borderId="0" applyFont="0" applyFill="0" applyBorder="0" applyAlignment="0" applyProtection="0"/>
    <xf numFmtId="208" fontId="61" fillId="0" borderId="0" applyFill="0" applyBorder="0" applyProtection="0">
      <alignment horizontal="right" wrapText="1"/>
    </xf>
    <xf numFmtId="180" fontId="59" fillId="0" borderId="0" applyFont="0" applyFill="0" applyBorder="0" applyAlignment="0" applyProtection="0"/>
    <xf numFmtId="0" fontId="352" fillId="0" borderId="0"/>
    <xf numFmtId="0" fontId="63" fillId="38" borderId="45" applyNumberFormat="0" applyAlignment="0" applyProtection="0"/>
    <xf numFmtId="211" fontId="94" fillId="0" borderId="0"/>
    <xf numFmtId="218" fontId="58" fillId="0" borderId="0" applyFont="0" applyFill="0" applyBorder="0" applyAlignment="0" applyProtection="0">
      <alignment horizontal="right"/>
    </xf>
    <xf numFmtId="0" fontId="60" fillId="46" borderId="56" applyNumberFormat="0" applyFont="0" applyAlignment="0" applyProtection="0"/>
    <xf numFmtId="209" fontId="94" fillId="0" borderId="0" applyFont="0" applyFill="0" applyBorder="0" applyAlignment="0" applyProtection="0"/>
    <xf numFmtId="40" fontId="94" fillId="0" borderId="0" applyFont="0" applyFill="0" applyBorder="0" applyAlignment="0" applyProtection="0"/>
    <xf numFmtId="40" fontId="94" fillId="0" borderId="0" applyFont="0" applyFill="0" applyBorder="0" applyAlignment="0" applyProtection="0"/>
    <xf numFmtId="0" fontId="89" fillId="0" borderId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0" borderId="0"/>
    <xf numFmtId="3" fontId="60" fillId="0" borderId="0" applyFont="0" applyFill="0" applyBorder="0" applyAlignment="0" applyProtection="0"/>
    <xf numFmtId="0" fontId="50" fillId="0" borderId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0" borderId="0"/>
    <xf numFmtId="3" fontId="60" fillId="0" borderId="0" applyFont="0" applyFill="0" applyBorder="0" applyAlignment="0" applyProtection="0"/>
    <xf numFmtId="0" fontId="49" fillId="28" borderId="43" applyNumberFormat="0" applyAlignment="0" applyProtection="0"/>
    <xf numFmtId="3" fontId="60" fillId="0" borderId="0" applyFont="0" applyFill="0" applyBorder="0" applyAlignment="0" applyProtection="0"/>
    <xf numFmtId="0" fontId="49" fillId="28" borderId="43" applyNumberFormat="0" applyAlignment="0" applyProtection="0"/>
    <xf numFmtId="0" fontId="195" fillId="0" borderId="0"/>
    <xf numFmtId="0" fontId="195" fillId="0" borderId="0"/>
    <xf numFmtId="49" fontId="55" fillId="0" borderId="0" applyFill="0" applyBorder="0"/>
    <xf numFmtId="40" fontId="94" fillId="0" borderId="0" applyFont="0" applyFill="0" applyBorder="0" applyAlignment="0" applyProtection="0"/>
    <xf numFmtId="0" fontId="219" fillId="103" borderId="0">
      <alignment horizontal="center" vertical="center" wrapText="1"/>
    </xf>
    <xf numFmtId="0" fontId="220" fillId="0" borderId="0" applyNumberFormat="0" applyFill="0" applyBorder="0">
      <alignment horizontal="right"/>
    </xf>
    <xf numFmtId="0" fontId="219" fillId="103" borderId="0">
      <alignment horizontal="center" vertical="center" wrapText="1"/>
    </xf>
    <xf numFmtId="49" fontId="60" fillId="0" borderId="0" applyFill="0" applyBorder="0">
      <alignment horizontal="right" vertical="center"/>
    </xf>
    <xf numFmtId="0" fontId="99" fillId="0" borderId="0" applyFill="0" applyBorder="0">
      <alignment horizontal="left"/>
    </xf>
    <xf numFmtId="0" fontId="99" fillId="0" borderId="0" applyFill="0" applyBorder="0">
      <alignment horizontal="left"/>
    </xf>
    <xf numFmtId="0" fontId="57" fillId="0" borderId="0"/>
    <xf numFmtId="0" fontId="57" fillId="0" borderId="0"/>
    <xf numFmtId="0" fontId="99" fillId="0" borderId="0" applyFill="0" applyBorder="0">
      <alignment horizontal="left"/>
    </xf>
    <xf numFmtId="0" fontId="57" fillId="0" borderId="0"/>
    <xf numFmtId="0" fontId="57" fillId="0" borderId="0"/>
    <xf numFmtId="0" fontId="99" fillId="0" borderId="0" applyFill="0" applyBorder="0">
      <alignment horizontal="left"/>
    </xf>
    <xf numFmtId="0" fontId="57" fillId="0" borderId="0"/>
    <xf numFmtId="0" fontId="57" fillId="0" borderId="0"/>
    <xf numFmtId="267" fontId="216" fillId="0" borderId="0">
      <alignment horizontal="center"/>
    </xf>
    <xf numFmtId="270" fontId="51" fillId="0" borderId="74" applyFont="0" applyFill="0" applyBorder="0" applyAlignment="0" applyProtection="0"/>
    <xf numFmtId="0" fontId="222" fillId="0" borderId="0" applyNumberFormat="0" applyAlignment="0">
      <alignment horizontal="left"/>
    </xf>
    <xf numFmtId="303" fontId="55" fillId="0" borderId="0" applyFont="0" applyFill="0" applyBorder="0" applyAlignment="0"/>
    <xf numFmtId="0" fontId="223" fillId="0" borderId="0">
      <alignment horizontal="left"/>
    </xf>
    <xf numFmtId="0" fontId="225" fillId="0" borderId="0">
      <alignment horizontal="left"/>
    </xf>
    <xf numFmtId="0" fontId="89" fillId="0" borderId="0"/>
    <xf numFmtId="0" fontId="89" fillId="0" borderId="0"/>
    <xf numFmtId="0" fontId="52" fillId="0" borderId="48" applyNumberFormat="0" applyFont="0" applyAlignment="0" applyProtection="0"/>
    <xf numFmtId="247" fontId="55" fillId="0" borderId="75" applyFont="0" applyFill="0" applyBorder="0" applyAlignment="0" applyProtection="0"/>
    <xf numFmtId="0" fontId="59" fillId="0" borderId="0">
      <alignment horizontal="center"/>
    </xf>
    <xf numFmtId="0" fontId="59" fillId="0" borderId="0">
      <alignment horizontal="center"/>
    </xf>
    <xf numFmtId="301" fontId="52" fillId="0" borderId="0"/>
    <xf numFmtId="179" fontId="203" fillId="0" borderId="0" applyFont="0" applyFill="0" applyBorder="0" applyAlignment="0" applyProtection="0"/>
    <xf numFmtId="193" fontId="60" fillId="0" borderId="0" applyFont="0" applyFill="0" applyBorder="0" applyAlignment="0" applyProtection="0"/>
    <xf numFmtId="0" fontId="68" fillId="42" borderId="50" applyNumberFormat="0" applyAlignment="0" applyProtection="0"/>
    <xf numFmtId="0" fontId="68" fillId="42" borderId="50" applyNumberFormat="0" applyAlignment="0" applyProtection="0"/>
    <xf numFmtId="193" fontId="60" fillId="0" borderId="0" applyFont="0" applyFill="0" applyBorder="0" applyAlignment="0" applyProtection="0"/>
    <xf numFmtId="0" fontId="65" fillId="0" borderId="48">
      <alignment horizontal="left" vertical="center"/>
    </xf>
    <xf numFmtId="0" fontId="68" fillId="42" borderId="50" applyNumberFormat="0" applyAlignment="0" applyProtection="0"/>
    <xf numFmtId="0" fontId="68" fillId="42" borderId="50" applyNumberFormat="0" applyAlignment="0" applyProtection="0"/>
    <xf numFmtId="193" fontId="60" fillId="0" borderId="0" applyFont="0" applyFill="0" applyBorder="0" applyAlignment="0" applyProtection="0"/>
    <xf numFmtId="0" fontId="65" fillId="0" borderId="48">
      <alignment horizontal="left" vertical="center"/>
    </xf>
    <xf numFmtId="0" fontId="68" fillId="42" borderId="50" applyNumberFormat="0" applyAlignment="0" applyProtection="0"/>
    <xf numFmtId="0" fontId="68" fillId="42" borderId="50" applyNumberFormat="0" applyAlignment="0" applyProtection="0"/>
    <xf numFmtId="193" fontId="60" fillId="0" borderId="0" applyFont="0" applyFill="0" applyBorder="0" applyAlignment="0" applyProtection="0"/>
    <xf numFmtId="0" fontId="65" fillId="0" borderId="48">
      <alignment horizontal="left" vertical="center"/>
    </xf>
    <xf numFmtId="0" fontId="68" fillId="42" borderId="50" applyNumberFormat="0" applyAlignment="0" applyProtection="0"/>
    <xf numFmtId="0" fontId="68" fillId="42" borderId="50" applyNumberFormat="0" applyAlignment="0" applyProtection="0"/>
    <xf numFmtId="166" fontId="60" fillId="0" borderId="0" applyFont="0" applyFill="0" applyBorder="0" applyAlignment="0"/>
    <xf numFmtId="192" fontId="55" fillId="72" borderId="40" applyNumberFormat="0" applyFont="0" applyBorder="0" applyAlignment="0" applyProtection="0">
      <alignment horizontal="right"/>
    </xf>
    <xf numFmtId="166" fontId="60" fillId="0" borderId="0" applyFont="0" applyFill="0" applyBorder="0" applyAlignment="0"/>
    <xf numFmtId="192" fontId="55" fillId="72" borderId="40" applyNumberFormat="0" applyFont="0" applyBorder="0" applyAlignment="0" applyProtection="0">
      <alignment horizontal="right"/>
    </xf>
    <xf numFmtId="166" fontId="60" fillId="0" borderId="0" applyFont="0" applyFill="0" applyBorder="0" applyAlignment="0"/>
    <xf numFmtId="192" fontId="55" fillId="72" borderId="40" applyNumberFormat="0" applyFont="0" applyBorder="0" applyAlignment="0" applyProtection="0">
      <alignment horizontal="right"/>
    </xf>
    <xf numFmtId="0" fontId="109" fillId="60" borderId="7"/>
    <xf numFmtId="166" fontId="60" fillId="0" borderId="0" applyFont="0" applyFill="0" applyBorder="0" applyAlignment="0"/>
    <xf numFmtId="192" fontId="55" fillId="72" borderId="40" applyNumberFormat="0" applyFont="0" applyBorder="0" applyAlignment="0" applyProtection="0">
      <alignment horizontal="right"/>
    </xf>
    <xf numFmtId="0" fontId="109" fillId="60" borderId="7"/>
    <xf numFmtId="166" fontId="60" fillId="0" borderId="0" applyFont="0" applyFill="0" applyBorder="0" applyAlignment="0"/>
    <xf numFmtId="192" fontId="55" fillId="72" borderId="40" applyNumberFormat="0" applyFont="0" applyBorder="0" applyAlignment="0" applyProtection="0">
      <alignment horizontal="right"/>
    </xf>
    <xf numFmtId="0" fontId="109" fillId="60" borderId="7"/>
    <xf numFmtId="166" fontId="60" fillId="0" borderId="0" applyFont="0" applyFill="0" applyBorder="0" applyAlignment="0"/>
    <xf numFmtId="192" fontId="55" fillId="72" borderId="40" applyNumberFormat="0" applyFont="0" applyBorder="0" applyAlignment="0" applyProtection="0">
      <alignment horizontal="right"/>
    </xf>
    <xf numFmtId="0" fontId="109" fillId="60" borderId="7"/>
    <xf numFmtId="302" fontId="106" fillId="0" borderId="0" applyFont="0" applyFill="0" applyBorder="0" applyAlignment="0" applyProtection="0"/>
    <xf numFmtId="0" fontId="60" fillId="46" borderId="56" applyNumberFormat="0" applyFont="0" applyAlignment="0" applyProtection="0"/>
    <xf numFmtId="0" fontId="58" fillId="0" borderId="0" applyFont="0" applyFill="0" applyBorder="0" applyAlignment="0" applyProtection="0">
      <alignment horizontal="right"/>
    </xf>
    <xf numFmtId="0" fontId="82" fillId="0" borderId="0" applyNumberFormat="0" applyFill="0" applyBorder="0" applyAlignment="0" applyProtection="0"/>
    <xf numFmtId="0" fontId="58" fillId="0" borderId="0" applyFont="0" applyFill="0" applyBorder="0" applyAlignment="0" applyProtection="0">
      <alignment horizontal="right"/>
    </xf>
    <xf numFmtId="0" fontId="82" fillId="0" borderId="0" applyNumberFormat="0" applyFill="0" applyBorder="0" applyAlignment="0" applyProtection="0"/>
    <xf numFmtId="0" fontId="58" fillId="0" borderId="0" applyFont="0" applyFill="0" applyBorder="0" applyAlignment="0" applyProtection="0">
      <alignment horizontal="right"/>
    </xf>
    <xf numFmtId="0" fontId="80" fillId="0" borderId="0">
      <alignment vertical="center"/>
    </xf>
    <xf numFmtId="0" fontId="82" fillId="0" borderId="0" applyNumberFormat="0" applyFill="0" applyBorder="0" applyAlignment="0" applyProtection="0"/>
    <xf numFmtId="0" fontId="58" fillId="0" borderId="0" applyFont="0" applyFill="0" applyBorder="0" applyAlignment="0" applyProtection="0">
      <alignment horizontal="right"/>
    </xf>
    <xf numFmtId="0" fontId="80" fillId="0" borderId="0">
      <alignment vertical="center"/>
    </xf>
    <xf numFmtId="0" fontId="82" fillId="0" borderId="0" applyNumberFormat="0" applyFill="0" applyBorder="0" applyAlignment="0" applyProtection="0"/>
    <xf numFmtId="306" fontId="60" fillId="0" borderId="0" applyFont="0" applyFill="0" applyBorder="0" applyAlignment="0" applyProtection="0"/>
    <xf numFmtId="302" fontId="106" fillId="0" borderId="0" applyFont="0" applyFill="0" applyBorder="0" applyAlignment="0" applyProtection="0"/>
    <xf numFmtId="0" fontId="60" fillId="46" borderId="56" applyNumberFormat="0" applyFont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0" fillId="46" borderId="56" applyNumberFormat="0" applyFont="0" applyAlignment="0" applyProtection="0"/>
    <xf numFmtId="164" fontId="60" fillId="0" borderId="0" applyFont="0" applyFill="0" applyBorder="0" applyAlignment="0" applyProtection="0"/>
    <xf numFmtId="166" fontId="94" fillId="0" borderId="0" applyFont="0" applyFill="0" applyBorder="0" applyAlignment="0" applyProtection="0"/>
    <xf numFmtId="202" fontId="60" fillId="0" borderId="0" applyFill="0" applyBorder="0" applyAlignment="0"/>
    <xf numFmtId="307" fontId="60" fillId="0" borderId="0" applyFont="0" applyFill="0" applyBorder="0" applyAlignment="0" applyProtection="0"/>
    <xf numFmtId="0" fontId="52" fillId="0" borderId="48" applyNumberFormat="0" applyFont="0" applyAlignment="0" applyProtection="0"/>
    <xf numFmtId="307" fontId="60" fillId="0" borderId="0" applyFont="0" applyFill="0" applyBorder="0" applyAlignment="0" applyProtection="0"/>
    <xf numFmtId="0" fontId="52" fillId="0" borderId="48" applyNumberFormat="0" applyFont="0" applyAlignment="0" applyProtection="0"/>
    <xf numFmtId="307" fontId="60" fillId="0" borderId="0" applyFont="0" applyFill="0" applyBorder="0" applyAlignment="0" applyProtection="0"/>
    <xf numFmtId="0" fontId="52" fillId="0" borderId="48" applyNumberFormat="0" applyFont="0" applyAlignment="0" applyProtection="0"/>
    <xf numFmtId="307" fontId="60" fillId="0" borderId="0" applyFont="0" applyFill="0" applyBorder="0" applyAlignment="0" applyProtection="0"/>
    <xf numFmtId="305" fontId="203" fillId="0" borderId="0" applyFont="0" applyFill="0" applyBorder="0" applyAlignment="0" applyProtection="0">
      <alignment horizontal="right"/>
    </xf>
    <xf numFmtId="0" fontId="52" fillId="0" borderId="48" applyNumberFormat="0" applyFont="0" applyAlignment="0" applyProtection="0"/>
    <xf numFmtId="307" fontId="60" fillId="0" borderId="0" applyFont="0" applyFill="0" applyBorder="0" applyAlignment="0" applyProtection="0"/>
    <xf numFmtId="0" fontId="52" fillId="0" borderId="48" applyNumberFormat="0" applyFont="0" applyAlignment="0" applyProtection="0"/>
    <xf numFmtId="307" fontId="60" fillId="0" borderId="0" applyFont="0" applyFill="0" applyBorder="0" applyAlignment="0" applyProtection="0"/>
    <xf numFmtId="0" fontId="52" fillId="0" borderId="48" applyNumberFormat="0" applyFont="0" applyAlignment="0" applyProtection="0"/>
    <xf numFmtId="307" fontId="60" fillId="0" borderId="0" applyFont="0" applyFill="0" applyBorder="0" applyAlignment="0" applyProtection="0"/>
    <xf numFmtId="0" fontId="52" fillId="0" borderId="48" applyNumberFormat="0" applyFont="0" applyAlignment="0" applyProtection="0"/>
    <xf numFmtId="307" fontId="60" fillId="0" borderId="0" applyFont="0" applyFill="0" applyBorder="0" applyAlignment="0" applyProtection="0"/>
    <xf numFmtId="292" fontId="60" fillId="0" borderId="0" applyFont="0" applyFill="0" applyBorder="0" applyAlignment="0" applyProtection="0"/>
    <xf numFmtId="244" fontId="60" fillId="0" borderId="0" applyFont="0" applyFill="0" applyBorder="0" applyAlignment="0" applyProtection="0"/>
    <xf numFmtId="244" fontId="60" fillId="0" borderId="0" applyFont="0" applyFill="0" applyBorder="0" applyAlignment="0" applyProtection="0"/>
    <xf numFmtId="244" fontId="60" fillId="0" borderId="0" applyFont="0" applyFill="0" applyBorder="0" applyAlignment="0" applyProtection="0"/>
    <xf numFmtId="244" fontId="60" fillId="0" borderId="0" applyFont="0" applyFill="0" applyBorder="0" applyAlignment="0" applyProtection="0"/>
    <xf numFmtId="0" fontId="352" fillId="0" borderId="0"/>
    <xf numFmtId="244" fontId="60" fillId="0" borderId="0" applyFont="0" applyFill="0" applyBorder="0" applyAlignment="0" applyProtection="0"/>
    <xf numFmtId="244" fontId="60" fillId="0" borderId="0" applyFont="0" applyFill="0" applyBorder="0" applyAlignment="0" applyProtection="0"/>
    <xf numFmtId="244" fontId="60" fillId="0" borderId="0" applyFont="0" applyFill="0" applyBorder="0" applyAlignment="0" applyProtection="0"/>
    <xf numFmtId="0" fontId="29" fillId="46" borderId="56" applyNumberFormat="0" applyFont="0" applyAlignment="0" applyProtection="0"/>
    <xf numFmtId="49" fontId="205" fillId="91" borderId="0">
      <alignment vertical="center"/>
    </xf>
    <xf numFmtId="192" fontId="55" fillId="72" borderId="40" applyNumberFormat="0" applyFont="0" applyBorder="0" applyAlignment="0" applyProtection="0">
      <alignment horizontal="right"/>
    </xf>
    <xf numFmtId="0" fontId="95" fillId="0" borderId="0"/>
    <xf numFmtId="0" fontId="95" fillId="0" borderId="7"/>
    <xf numFmtId="229" fontId="120" fillId="0" borderId="0">
      <protection locked="0"/>
    </xf>
    <xf numFmtId="236" fontId="60" fillId="38" borderId="0" applyFont="0" applyBorder="0"/>
    <xf numFmtId="0" fontId="49" fillId="28" borderId="43" applyNumberFormat="0" applyAlignment="0" applyProtection="0"/>
    <xf numFmtId="0" fontId="230" fillId="0" borderId="0" applyFill="0">
      <alignment horizontal="centerContinuous" vertical="center"/>
    </xf>
    <xf numFmtId="236" fontId="60" fillId="38" borderId="0" applyFont="0" applyBorder="0"/>
    <xf numFmtId="229" fontId="120" fillId="0" borderId="0">
      <protection locked="0"/>
    </xf>
    <xf numFmtId="236" fontId="60" fillId="38" borderId="0" applyFont="0" applyBorder="0"/>
    <xf numFmtId="179" fontId="83" fillId="0" borderId="48" applyNumberFormat="0" applyFill="0" applyBorder="0" applyProtection="0"/>
    <xf numFmtId="0" fontId="178" fillId="36" borderId="0" applyNumberFormat="0" applyBorder="0" applyAlignment="0" applyProtection="0">
      <alignment vertical="center"/>
    </xf>
    <xf numFmtId="0" fontId="60" fillId="46" borderId="56" applyNumberFormat="0" applyFont="0" applyAlignment="0" applyProtection="0"/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259" fontId="58" fillId="0" borderId="0" applyFont="0" applyFill="0" applyBorder="0" applyProtection="0">
      <alignment horizontal="right"/>
    </xf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0" fontId="269" fillId="31" borderId="0"/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179" fontId="83" fillId="0" borderId="48" applyNumberFormat="0" applyFill="0" applyBorder="0" applyProtection="0"/>
    <xf numFmtId="0" fontId="95" fillId="0" borderId="7"/>
    <xf numFmtId="0" fontId="95" fillId="0" borderId="7"/>
    <xf numFmtId="0" fontId="231" fillId="0" borderId="1" applyNumberFormat="0" applyFont="0"/>
    <xf numFmtId="0" fontId="95" fillId="0" borderId="7"/>
    <xf numFmtId="0" fontId="95" fillId="0" borderId="7"/>
    <xf numFmtId="0" fontId="95" fillId="0" borderId="7"/>
    <xf numFmtId="319" fontId="270" fillId="0" borderId="0">
      <alignment vertical="center"/>
    </xf>
    <xf numFmtId="49" fontId="60" fillId="0" borderId="0" applyFill="0" applyBorder="0">
      <alignment horizontal="right" vertical="center"/>
    </xf>
    <xf numFmtId="38" fontId="141" fillId="61" borderId="67">
      <protection locked="0"/>
    </xf>
    <xf numFmtId="0" fontId="65" fillId="0" borderId="48">
      <alignment horizontal="left" vertical="center"/>
    </xf>
    <xf numFmtId="0" fontId="271" fillId="0" borderId="0"/>
    <xf numFmtId="37" fontId="56" fillId="0" borderId="44" applyAlignment="0">
      <protection locked="0"/>
    </xf>
    <xf numFmtId="169" fontId="60" fillId="61" borderId="31" applyNumberFormat="0" applyFont="0" applyBorder="0" applyAlignment="0" applyProtection="0"/>
    <xf numFmtId="37" fontId="56" fillId="0" borderId="44" applyAlignment="0">
      <protection locked="0"/>
    </xf>
    <xf numFmtId="37" fontId="56" fillId="0" borderId="44" applyAlignment="0">
      <protection locked="0"/>
    </xf>
    <xf numFmtId="37" fontId="56" fillId="0" borderId="44" applyAlignment="0">
      <protection locked="0"/>
    </xf>
    <xf numFmtId="37" fontId="56" fillId="0" borderId="44" applyAlignment="0">
      <protection locked="0"/>
    </xf>
    <xf numFmtId="37" fontId="56" fillId="0" borderId="44" applyAlignment="0">
      <protection locked="0"/>
    </xf>
    <xf numFmtId="37" fontId="56" fillId="0" borderId="44" applyAlignment="0">
      <protection locked="0"/>
    </xf>
    <xf numFmtId="37" fontId="56" fillId="0" borderId="44" applyAlignment="0">
      <protection locked="0"/>
    </xf>
    <xf numFmtId="37" fontId="56" fillId="0" borderId="44" applyAlignment="0">
      <protection locked="0"/>
    </xf>
    <xf numFmtId="10" fontId="56" fillId="0" borderId="44" applyAlignment="0">
      <protection locked="0"/>
    </xf>
    <xf numFmtId="0" fontId="60" fillId="0" borderId="0"/>
    <xf numFmtId="10" fontId="56" fillId="0" borderId="44" applyAlignment="0">
      <protection locked="0"/>
    </xf>
    <xf numFmtId="0" fontId="88" fillId="0" borderId="0"/>
    <xf numFmtId="10" fontId="56" fillId="0" borderId="44" applyAlignment="0">
      <protection locked="0"/>
    </xf>
    <xf numFmtId="0" fontId="352" fillId="0" borderId="0"/>
    <xf numFmtId="10" fontId="56" fillId="0" borderId="44" applyAlignment="0">
      <protection locked="0"/>
    </xf>
    <xf numFmtId="0" fontId="352" fillId="0" borderId="0"/>
    <xf numFmtId="10" fontId="56" fillId="0" borderId="44" applyAlignment="0">
      <protection locked="0"/>
    </xf>
    <xf numFmtId="15" fontId="61" fillId="0" borderId="0" applyFill="0" applyBorder="0" applyAlignment="0"/>
    <xf numFmtId="320" fontId="61" fillId="0" borderId="0" applyFont="0" applyFill="0" applyBorder="0" applyAlignment="0" applyProtection="0"/>
    <xf numFmtId="305" fontId="203" fillId="0" borderId="0" applyFont="0" applyFill="0" applyBorder="0" applyAlignment="0" applyProtection="0">
      <alignment horizontal="right"/>
    </xf>
    <xf numFmtId="270" fontId="55" fillId="0" borderId="0" applyFont="0" applyFill="0" applyBorder="0" applyAlignment="0" applyProtection="0"/>
    <xf numFmtId="0" fontId="352" fillId="56" borderId="53" applyNumberFormat="0" applyFont="0" applyAlignment="0" applyProtection="0"/>
    <xf numFmtId="17" fontId="61" fillId="0" borderId="0" applyFill="0" applyBorder="0">
      <alignment horizontal="right"/>
    </xf>
    <xf numFmtId="174" fontId="61" fillId="0" borderId="1"/>
    <xf numFmtId="0" fontId="30" fillId="0" borderId="41" applyNumberFormat="0" applyFill="0" applyAlignment="0" applyProtection="0"/>
    <xf numFmtId="174" fontId="61" fillId="0" borderId="1"/>
    <xf numFmtId="14" fontId="60" fillId="0" borderId="0" applyFont="0" applyFill="0" applyBorder="0" applyAlignment="0" applyProtection="0"/>
    <xf numFmtId="0" fontId="58" fillId="0" borderId="0" applyFont="0" applyFill="0" applyBorder="0" applyAlignment="0" applyProtection="0"/>
    <xf numFmtId="206" fontId="81" fillId="0" borderId="13" applyFont="0" applyFill="0" applyBorder="0" applyAlignment="0" applyProtection="0">
      <alignment horizontal="right"/>
      <protection locked="0"/>
    </xf>
    <xf numFmtId="195" fontId="86" fillId="0" borderId="0" applyFont="0" applyFill="0" applyBorder="0" applyAlignment="0" applyProtection="0"/>
    <xf numFmtId="0" fontId="52" fillId="30" borderId="0" applyNumberFormat="0" applyFont="0" applyBorder="0" applyAlignment="0" applyProtection="0"/>
    <xf numFmtId="0" fontId="50" fillId="0" borderId="0"/>
    <xf numFmtId="0" fontId="50" fillId="0" borderId="0"/>
    <xf numFmtId="223" fontId="52" fillId="0" borderId="0" applyFont="0" applyFill="0" applyBorder="0" applyAlignment="0" applyProtection="0"/>
    <xf numFmtId="0" fontId="50" fillId="0" borderId="0"/>
    <xf numFmtId="0" fontId="50" fillId="0" borderId="0"/>
    <xf numFmtId="0" fontId="60" fillId="46" borderId="56" applyNumberFormat="0" applyFont="0" applyAlignment="0" applyProtection="0"/>
    <xf numFmtId="0" fontId="50" fillId="0" borderId="0"/>
    <xf numFmtId="164" fontId="60" fillId="0" borderId="0" applyFont="0" applyFill="0" applyBorder="0" applyAlignment="0" applyProtection="0"/>
    <xf numFmtId="0" fontId="50" fillId="0" borderId="0"/>
    <xf numFmtId="0" fontId="29" fillId="46" borderId="56" applyNumberFormat="0" applyFont="0" applyAlignment="0" applyProtection="0"/>
    <xf numFmtId="0" fontId="50" fillId="0" borderId="0"/>
    <xf numFmtId="0" fontId="50" fillId="0" borderId="0"/>
    <xf numFmtId="0" fontId="29" fillId="46" borderId="56" applyNumberFormat="0" applyFont="0" applyAlignment="0" applyProtection="0"/>
    <xf numFmtId="0" fontId="75" fillId="0" borderId="0"/>
    <xf numFmtId="0" fontId="81" fillId="0" borderId="59" applyBorder="0">
      <alignment horizontal="center" vertical="center"/>
    </xf>
    <xf numFmtId="311" fontId="108" fillId="0" borderId="0">
      <alignment horizontal="right"/>
    </xf>
    <xf numFmtId="0" fontId="49" fillId="28" borderId="43" applyNumberFormat="0" applyAlignment="0" applyProtection="0"/>
    <xf numFmtId="0" fontId="75" fillId="0" borderId="0"/>
    <xf numFmtId="0" fontId="49" fillId="28" borderId="43" applyNumberFormat="0" applyAlignment="0" applyProtection="0"/>
    <xf numFmtId="268" fontId="141" fillId="0" borderId="0">
      <alignment horizontal="right"/>
    </xf>
    <xf numFmtId="1" fontId="232" fillId="104" borderId="0"/>
    <xf numFmtId="38" fontId="94" fillId="0" borderId="77">
      <alignment vertical="center"/>
    </xf>
    <xf numFmtId="2" fontId="114" fillId="69" borderId="0">
      <alignment horizontal="left"/>
      <protection hidden="1"/>
    </xf>
    <xf numFmtId="305" fontId="203" fillId="0" borderId="0" applyFont="0" applyFill="0" applyBorder="0" applyAlignment="0" applyProtection="0">
      <alignment horizontal="right"/>
    </xf>
    <xf numFmtId="305" fontId="203" fillId="0" borderId="0" applyFont="0" applyFill="0" applyBorder="0" applyAlignment="0" applyProtection="0">
      <alignment horizontal="right"/>
    </xf>
    <xf numFmtId="305" fontId="203" fillId="0" borderId="0" applyFont="0" applyFill="0" applyBorder="0" applyAlignment="0" applyProtection="0">
      <alignment horizontal="right"/>
    </xf>
    <xf numFmtId="0" fontId="231" fillId="0" borderId="1" applyNumberFormat="0" applyFont="0"/>
    <xf numFmtId="305" fontId="203" fillId="0" borderId="0" applyFont="0" applyFill="0" applyBorder="0" applyAlignment="0" applyProtection="0">
      <alignment horizontal="right"/>
    </xf>
    <xf numFmtId="0" fontId="231" fillId="0" borderId="1" applyNumberFormat="0" applyFont="0"/>
    <xf numFmtId="165" fontId="55" fillId="0" borderId="0"/>
    <xf numFmtId="0" fontId="58" fillId="0" borderId="52" applyNumberFormat="0" applyFont="0" applyFill="0" applyAlignment="0" applyProtection="0"/>
    <xf numFmtId="0" fontId="49" fillId="28" borderId="43" applyNumberFormat="0" applyAlignment="0" applyProtection="0"/>
    <xf numFmtId="0" fontId="30" fillId="58" borderId="0" applyNumberFormat="0" applyBorder="0" applyAlignment="0" applyProtection="0"/>
    <xf numFmtId="0" fontId="30" fillId="106" borderId="0" applyNumberFormat="0" applyBorder="0" applyAlignment="0" applyProtection="0"/>
    <xf numFmtId="0" fontId="82" fillId="0" borderId="0" applyNumberFormat="0" applyFill="0" applyBorder="0" applyAlignment="0" applyProtection="0"/>
    <xf numFmtId="0" fontId="53" fillId="95" borderId="0" applyNumberFormat="0" applyBorder="0" applyAlignment="0" applyProtection="0"/>
    <xf numFmtId="0" fontId="53" fillId="53" borderId="0" applyNumberFormat="0" applyBorder="0" applyAlignment="0" applyProtection="0"/>
    <xf numFmtId="0" fontId="53" fillId="85" borderId="0" applyNumberFormat="0" applyBorder="0" applyAlignment="0" applyProtection="0"/>
    <xf numFmtId="1" fontId="233" fillId="105" borderId="0"/>
    <xf numFmtId="0" fontId="60" fillId="0" borderId="0" applyFill="0" applyBorder="0" applyAlignment="0"/>
    <xf numFmtId="2" fontId="60" fillId="0" borderId="69" applyFill="0" applyBorder="0" applyProtection="0">
      <alignment horizontal="center"/>
    </xf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209" fontId="55" fillId="0" borderId="0"/>
    <xf numFmtId="202" fontId="60" fillId="0" borderId="0" applyFill="0" applyBorder="0" applyAlignment="0"/>
    <xf numFmtId="193" fontId="60" fillId="0" borderId="0" applyFill="0" applyBorder="0" applyAlignment="0"/>
    <xf numFmtId="0" fontId="60" fillId="46" borderId="56" applyNumberFormat="0" applyFont="0" applyAlignment="0" applyProtection="0"/>
    <xf numFmtId="193" fontId="60" fillId="0" borderId="0" applyFill="0" applyBorder="0" applyAlignment="0"/>
    <xf numFmtId="0" fontId="60" fillId="46" borderId="56" applyNumberFormat="0" applyFont="0" applyAlignment="0" applyProtection="0"/>
    <xf numFmtId="193" fontId="60" fillId="0" borderId="0" applyFill="0" applyBorder="0" applyAlignment="0"/>
    <xf numFmtId="0" fontId="60" fillId="46" borderId="56" applyNumberFormat="0" applyFont="0" applyAlignment="0" applyProtection="0"/>
    <xf numFmtId="193" fontId="60" fillId="0" borderId="0" applyFill="0" applyBorder="0" applyAlignment="0"/>
    <xf numFmtId="0" fontId="60" fillId="46" borderId="56" applyNumberFormat="0" applyFont="0" applyAlignment="0" applyProtection="0"/>
    <xf numFmtId="193" fontId="60" fillId="0" borderId="0" applyFill="0" applyBorder="0" applyAlignment="0"/>
    <xf numFmtId="0" fontId="60" fillId="46" borderId="56" applyNumberFormat="0" applyFont="0" applyAlignment="0" applyProtection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0" fontId="60" fillId="0" borderId="0" applyFill="0" applyBorder="0" applyAlignment="0"/>
    <xf numFmtId="0" fontId="49" fillId="28" borderId="43" applyNumberFormat="0" applyAlignment="0" applyProtection="0"/>
    <xf numFmtId="202" fontId="60" fillId="0" borderId="0" applyFill="0" applyBorder="0" applyAlignment="0"/>
    <xf numFmtId="0" fontId="60" fillId="46" borderId="56" applyNumberFormat="0" applyFont="0" applyAlignment="0" applyProtection="0"/>
    <xf numFmtId="197" fontId="60" fillId="0" borderId="0" applyFill="0" applyBorder="0" applyAlignment="0"/>
    <xf numFmtId="0" fontId="49" fillId="28" borderId="43" applyNumberFormat="0" applyAlignment="0" applyProtection="0"/>
    <xf numFmtId="178" fontId="60" fillId="0" borderId="0" applyFill="0" applyBorder="0" applyAlignment="0"/>
    <xf numFmtId="178" fontId="60" fillId="0" borderId="0" applyFill="0" applyBorder="0" applyAlignment="0"/>
    <xf numFmtId="178" fontId="60" fillId="0" borderId="0" applyFill="0" applyBorder="0" applyAlignment="0"/>
    <xf numFmtId="0" fontId="88" fillId="0" borderId="0"/>
    <xf numFmtId="178" fontId="60" fillId="0" borderId="0" applyFill="0" applyBorder="0" applyAlignment="0"/>
    <xf numFmtId="0" fontId="65" fillId="0" borderId="48">
      <alignment horizontal="left" vertical="center"/>
    </xf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0" fontId="200" fillId="0" borderId="0" applyNumberFormat="0" applyFill="0" applyBorder="0" applyAlignment="0" applyProtection="0"/>
    <xf numFmtId="0" fontId="207" fillId="0" borderId="0"/>
    <xf numFmtId="0" fontId="60" fillId="0" borderId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192" fontId="55" fillId="72" borderId="40" applyNumberFormat="0" applyFont="0" applyBorder="0" applyAlignment="0" applyProtection="0">
      <alignment horizontal="right"/>
    </xf>
    <xf numFmtId="0" fontId="49" fillId="28" borderId="43" applyNumberFormat="0" applyAlignment="0" applyProtection="0"/>
    <xf numFmtId="192" fontId="55" fillId="72" borderId="40" applyNumberFormat="0" applyFont="0" applyBorder="0" applyAlignment="0" applyProtection="0">
      <alignment horizontal="right"/>
    </xf>
    <xf numFmtId="0" fontId="49" fillId="28" borderId="43" applyNumberFormat="0" applyAlignment="0" applyProtection="0"/>
    <xf numFmtId="192" fontId="55" fillId="72" borderId="40" applyNumberFormat="0" applyFont="0" applyBorder="0" applyAlignment="0" applyProtection="0">
      <alignment horizontal="right"/>
    </xf>
    <xf numFmtId="0" fontId="209" fillId="0" borderId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183" fontId="60" fillId="0" borderId="0" applyNumberFormat="0" applyFont="0" applyFill="0" applyBorder="0" applyAlignment="0" applyProtection="0"/>
    <xf numFmtId="183" fontId="60" fillId="0" borderId="0" applyFont="0" applyFill="0" applyBorder="0" applyAlignment="0" applyProtection="0"/>
    <xf numFmtId="183" fontId="60" fillId="0" borderId="0" applyFont="0" applyFill="0" applyBorder="0" applyAlignment="0" applyProtection="0"/>
    <xf numFmtId="183" fontId="92" fillId="0" borderId="0" applyFont="0" applyFill="0" applyBorder="0" applyAlignment="0" applyProtection="0"/>
    <xf numFmtId="183" fontId="92" fillId="0" borderId="0" applyFont="0" applyFill="0" applyBorder="0" applyAlignment="0" applyProtection="0"/>
    <xf numFmtId="183" fontId="92" fillId="0" borderId="0" applyFont="0" applyFill="0" applyBorder="0" applyAlignment="0" applyProtection="0"/>
    <xf numFmtId="294" fontId="60" fillId="0" borderId="0" applyFont="0" applyFill="0" applyBorder="0" applyAlignment="0" applyProtection="0"/>
    <xf numFmtId="0" fontId="29" fillId="0" borderId="0"/>
    <xf numFmtId="0" fontId="180" fillId="0" borderId="0" applyNumberFormat="0" applyFill="0" applyBorder="0" applyAlignment="0" applyProtection="0"/>
    <xf numFmtId="38" fontId="211" fillId="0" borderId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0" fontId="29" fillId="46" borderId="56" applyNumberFormat="0" applyFont="0" applyAlignment="0" applyProtection="0"/>
    <xf numFmtId="192" fontId="55" fillId="72" borderId="40" applyNumberFormat="0" applyFont="0" applyBorder="0" applyAlignment="0" applyProtection="0">
      <alignment horizontal="right"/>
    </xf>
    <xf numFmtId="0" fontId="29" fillId="46" borderId="56" applyNumberFormat="0" applyFont="0" applyAlignment="0" applyProtection="0"/>
    <xf numFmtId="192" fontId="55" fillId="72" borderId="40" applyNumberFormat="0" applyFont="0" applyBorder="0" applyAlignment="0" applyProtection="0">
      <alignment horizontal="right"/>
    </xf>
    <xf numFmtId="0" fontId="29" fillId="46" borderId="56" applyNumberFormat="0" applyFont="0" applyAlignment="0" applyProtection="0"/>
    <xf numFmtId="192" fontId="55" fillId="72" borderId="40" applyNumberFormat="0" applyFont="0" applyBorder="0" applyAlignment="0" applyProtection="0">
      <alignment horizontal="right"/>
    </xf>
    <xf numFmtId="0" fontId="352" fillId="56" borderId="53" applyNumberFormat="0" applyFont="0" applyAlignment="0" applyProtection="0"/>
    <xf numFmtId="0" fontId="29" fillId="46" borderId="56" applyNumberFormat="0" applyFont="0" applyAlignment="0" applyProtection="0"/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192" fontId="55" fillId="72" borderId="40" applyNumberFormat="0" applyFont="0" applyBorder="0" applyAlignment="0" applyProtection="0">
      <alignment horizontal="right"/>
    </xf>
    <xf numFmtId="0" fontId="191" fillId="0" borderId="0" applyNumberFormat="0" applyFill="0" applyBorder="0" applyAlignment="0" applyProtection="0"/>
    <xf numFmtId="297" fontId="215" fillId="0" borderId="0" applyFill="0" applyBorder="0">
      <alignment horizontal="right"/>
    </xf>
    <xf numFmtId="15" fontId="52" fillId="0" borderId="0" applyFont="0" applyFill="0" applyBorder="0" applyProtection="0">
      <alignment horizontal="center"/>
    </xf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223" fontId="81" fillId="38" borderId="48" applyNumberFormat="0" applyAlignment="0" applyProtection="0"/>
    <xf numFmtId="1" fontId="55" fillId="0" borderId="0" applyNumberFormat="0" applyBorder="0" applyAlignment="0" applyProtection="0"/>
    <xf numFmtId="223" fontId="81" fillId="0" borderId="0" applyNumberFormat="0" applyFill="0" applyBorder="0" applyAlignment="0" applyProtection="0"/>
    <xf numFmtId="223" fontId="216" fillId="0" borderId="0" applyNumberFormat="0" applyFill="0" applyBorder="0" applyAlignment="0" applyProtection="0"/>
    <xf numFmtId="300" fontId="52" fillId="0" borderId="0" applyFont="0" applyFill="0" applyBorder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130" fillId="0" borderId="68" applyNumberFormat="0" applyFill="0" applyAlignment="0" applyProtection="0"/>
    <xf numFmtId="0" fontId="52" fillId="0" borderId="48" applyNumberFormat="0" applyFont="0" applyAlignment="0" applyProtection="0"/>
    <xf numFmtId="0" fontId="130" fillId="0" borderId="68" applyNumberFormat="0" applyFill="0" applyAlignment="0" applyProtection="0"/>
    <xf numFmtId="0" fontId="52" fillId="0" borderId="48" applyNumberFormat="0" applyFont="0" applyAlignment="0" applyProtection="0"/>
    <xf numFmtId="0" fontId="130" fillId="0" borderId="68" applyNumberFormat="0" applyFill="0" applyAlignment="0" applyProtection="0"/>
    <xf numFmtId="0" fontId="52" fillId="0" borderId="48" applyNumberFormat="0" applyFont="0" applyAlignment="0" applyProtection="0"/>
    <xf numFmtId="0" fontId="170" fillId="0" borderId="46" applyNumberFormat="0" applyFill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0" borderId="48" applyNumberFormat="0" applyFont="0" applyAlignment="0" applyProtection="0"/>
    <xf numFmtId="0" fontId="52" fillId="69" borderId="0" applyNumberFormat="0" applyFont="0" applyBorder="0" applyAlignment="0" applyProtection="0"/>
    <xf numFmtId="182" fontId="100" fillId="0" borderId="0" applyFont="0" applyFill="0" applyBorder="0" applyAlignment="0" applyProtection="0"/>
    <xf numFmtId="172" fontId="93" fillId="0" borderId="0">
      <alignment horizontal="right"/>
    </xf>
    <xf numFmtId="202" fontId="60" fillId="0" borderId="0" applyFill="0" applyBorder="0" applyAlignment="0"/>
    <xf numFmtId="172" fontId="93" fillId="0" borderId="0">
      <alignment horizontal="right"/>
    </xf>
    <xf numFmtId="3" fontId="272" fillId="0" borderId="0" applyNumberFormat="0" applyFont="0" applyFill="0" applyBorder="0" applyAlignment="0" applyProtection="0">
      <alignment horizontal="left"/>
    </xf>
    <xf numFmtId="1" fontId="71" fillId="45" borderId="29" applyNumberFormat="0" applyBorder="0" applyAlignment="0">
      <alignment horizontal="centerContinuous" vertical="center"/>
      <protection locked="0"/>
    </xf>
    <xf numFmtId="1" fontId="71" fillId="45" borderId="29" applyNumberFormat="0" applyBorder="0" applyAlignment="0">
      <alignment horizontal="centerContinuous" vertical="center"/>
      <protection locked="0"/>
    </xf>
    <xf numFmtId="1" fontId="71" fillId="45" borderId="29" applyNumberFormat="0" applyBorder="0" applyAlignment="0">
      <alignment horizontal="centerContinuous" vertical="center"/>
      <protection locked="0"/>
    </xf>
    <xf numFmtId="0" fontId="65" fillId="0" borderId="48">
      <alignment horizontal="left" vertical="center"/>
    </xf>
    <xf numFmtId="260" fontId="92" fillId="0" borderId="31"/>
    <xf numFmtId="1" fontId="71" fillId="45" borderId="29" applyNumberFormat="0" applyBorder="0" applyAlignment="0">
      <alignment horizontal="centerContinuous" vertical="center"/>
      <protection locked="0"/>
    </xf>
    <xf numFmtId="15" fontId="94" fillId="0" borderId="0" applyFont="0" applyFill="0" applyBorder="0" applyAlignment="0" applyProtection="0"/>
    <xf numFmtId="1" fontId="71" fillId="45" borderId="29" applyNumberFormat="0" applyBorder="0" applyAlignment="0">
      <alignment horizontal="centerContinuous" vertical="center"/>
      <protection locked="0"/>
    </xf>
    <xf numFmtId="0" fontId="134" fillId="81" borderId="43" applyNumberFormat="0" applyAlignment="0" applyProtection="0">
      <alignment vertical="center"/>
    </xf>
    <xf numFmtId="1" fontId="71" fillId="45" borderId="29" applyNumberFormat="0" applyBorder="0" applyAlignment="0">
      <alignment horizontal="centerContinuous" vertical="center"/>
      <protection locked="0"/>
    </xf>
    <xf numFmtId="0" fontId="134" fillId="81" borderId="43" applyNumberFormat="0" applyAlignment="0" applyProtection="0">
      <alignment vertical="center"/>
    </xf>
    <xf numFmtId="1" fontId="71" fillId="45" borderId="29" applyNumberFormat="0" applyBorder="0" applyAlignment="0">
      <alignment horizontal="centerContinuous" vertical="center"/>
      <protection locked="0"/>
    </xf>
    <xf numFmtId="0" fontId="134" fillId="81" borderId="43" applyNumberFormat="0" applyAlignment="0" applyProtection="0">
      <alignment vertical="center"/>
    </xf>
    <xf numFmtId="1" fontId="71" fillId="45" borderId="29" applyNumberFormat="0" applyBorder="0" applyAlignment="0">
      <alignment horizontal="centerContinuous" vertical="center"/>
      <protection locked="0"/>
    </xf>
    <xf numFmtId="0" fontId="134" fillId="81" borderId="43" applyNumberFormat="0" applyAlignment="0" applyProtection="0">
      <alignment vertical="center"/>
    </xf>
    <xf numFmtId="1" fontId="71" fillId="45" borderId="29" applyNumberFormat="0" applyBorder="0" applyAlignment="0">
      <alignment horizontal="centerContinuous" vertical="center"/>
      <protection locked="0"/>
    </xf>
    <xf numFmtId="0" fontId="49" fillId="28" borderId="43" applyNumberFormat="0" applyAlignment="0" applyProtection="0"/>
    <xf numFmtId="1" fontId="71" fillId="45" borderId="29" applyNumberFormat="0" applyBorder="0" applyAlignment="0">
      <alignment horizontal="centerContinuous" vertical="center"/>
      <protection locked="0"/>
    </xf>
    <xf numFmtId="0" fontId="65" fillId="0" borderId="48">
      <alignment horizontal="left" vertical="center"/>
    </xf>
    <xf numFmtId="260" fontId="92" fillId="0" borderId="31"/>
    <xf numFmtId="179" fontId="203" fillId="0" borderId="0" applyFill="0" applyBorder="0" applyAlignment="0"/>
    <xf numFmtId="1" fontId="71" fillId="45" borderId="29" applyNumberFormat="0" applyBorder="0" applyAlignment="0">
      <alignment horizontal="centerContinuous" vertical="center"/>
      <protection locked="0"/>
    </xf>
    <xf numFmtId="0" fontId="65" fillId="0" borderId="48">
      <alignment horizontal="left" vertical="center"/>
    </xf>
    <xf numFmtId="1" fontId="71" fillId="45" borderId="29" applyNumberFormat="0" applyBorder="0" applyAlignment="0">
      <alignment horizontal="centerContinuous" vertical="center"/>
      <protection locked="0"/>
    </xf>
    <xf numFmtId="0" fontId="65" fillId="0" borderId="48">
      <alignment horizontal="left" vertical="center"/>
    </xf>
    <xf numFmtId="1" fontId="71" fillId="45" borderId="29" applyNumberFormat="0" applyBorder="0" applyAlignment="0">
      <alignment horizontal="centerContinuous" vertical="center"/>
      <protection locked="0"/>
    </xf>
    <xf numFmtId="1" fontId="71" fillId="45" borderId="29" applyNumberFormat="0" applyBorder="0" applyAlignment="0">
      <alignment horizontal="centerContinuous" vertical="center"/>
      <protection locked="0"/>
    </xf>
    <xf numFmtId="258" fontId="60" fillId="0" borderId="0" applyFont="0" applyFill="0" applyBorder="0" applyAlignment="0"/>
    <xf numFmtId="0" fontId="49" fillId="28" borderId="43" applyNumberFormat="0" applyAlignment="0" applyProtection="0"/>
    <xf numFmtId="258" fontId="60" fillId="0" borderId="0" applyFont="0" applyFill="0" applyBorder="0" applyAlignment="0"/>
    <xf numFmtId="0" fontId="49" fillId="28" borderId="43" applyNumberFormat="0" applyAlignment="0" applyProtection="0"/>
    <xf numFmtId="258" fontId="60" fillId="0" borderId="0" applyFont="0" applyFill="0" applyBorder="0" applyAlignment="0"/>
    <xf numFmtId="0" fontId="49" fillId="28" borderId="43" applyNumberFormat="0" applyAlignment="0" applyProtection="0"/>
    <xf numFmtId="258" fontId="60" fillId="0" borderId="0" applyFont="0" applyFill="0" applyBorder="0" applyAlignment="0"/>
    <xf numFmtId="0" fontId="49" fillId="28" borderId="43" applyNumberFormat="0" applyAlignment="0" applyProtection="0"/>
    <xf numFmtId="258" fontId="60" fillId="0" borderId="0" applyFont="0" applyFill="0" applyBorder="0" applyAlignment="0"/>
    <xf numFmtId="0" fontId="49" fillId="28" borderId="43" applyNumberFormat="0" applyAlignment="0" applyProtection="0"/>
    <xf numFmtId="258" fontId="60" fillId="0" borderId="0" applyFont="0" applyFill="0" applyBorder="0" applyAlignment="0"/>
    <xf numFmtId="0" fontId="49" fillId="28" borderId="43" applyNumberFormat="0" applyAlignment="0" applyProtection="0"/>
    <xf numFmtId="258" fontId="60" fillId="0" borderId="0" applyFont="0" applyFill="0" applyBorder="0" applyAlignment="0"/>
    <xf numFmtId="0" fontId="49" fillId="28" borderId="43" applyNumberFormat="0" applyAlignment="0" applyProtection="0"/>
    <xf numFmtId="2" fontId="60" fillId="0" borderId="0" applyFont="0" applyFill="0" applyBorder="0" applyAlignment="0" applyProtection="0"/>
    <xf numFmtId="2" fontId="60" fillId="0" borderId="0" applyFont="0" applyFill="0" applyBorder="0" applyAlignment="0" applyProtection="0"/>
    <xf numFmtId="2" fontId="60" fillId="0" borderId="0" applyFont="0" applyFill="0" applyBorder="0" applyAlignment="0" applyProtection="0"/>
    <xf numFmtId="2" fontId="60" fillId="0" borderId="0" applyFont="0" applyFill="0" applyBorder="0" applyAlignment="0" applyProtection="0"/>
    <xf numFmtId="0" fontId="89" fillId="0" borderId="0"/>
    <xf numFmtId="0" fontId="156" fillId="36" borderId="31">
      <alignment horizontal="center" vertical="center" wrapText="1"/>
    </xf>
    <xf numFmtId="0" fontId="156" fillId="36" borderId="31">
      <alignment horizontal="center" vertical="center" wrapText="1"/>
    </xf>
    <xf numFmtId="0" fontId="156" fillId="36" borderId="31">
      <alignment horizontal="center" vertical="center" wrapText="1"/>
    </xf>
    <xf numFmtId="321" fontId="55" fillId="38" borderId="0" applyFont="0" applyBorder="0" applyAlignment="0" applyProtection="0">
      <alignment horizontal="right"/>
      <protection hidden="1"/>
    </xf>
    <xf numFmtId="0" fontId="60" fillId="0" borderId="0"/>
    <xf numFmtId="0" fontId="156" fillId="36" borderId="31">
      <alignment horizontal="center" vertical="center" wrapText="1"/>
    </xf>
    <xf numFmtId="0" fontId="156" fillId="36" borderId="31">
      <alignment horizontal="center" vertical="center" wrapText="1"/>
    </xf>
    <xf numFmtId="0" fontId="257" fillId="0" borderId="0">
      <alignment horizontal="left"/>
    </xf>
    <xf numFmtId="0" fontId="259" fillId="0" borderId="0">
      <alignment horizontal="left"/>
    </xf>
    <xf numFmtId="0" fontId="75" fillId="0" borderId="0" applyFill="0" applyBorder="0" applyProtection="0">
      <alignment horizontal="left"/>
    </xf>
    <xf numFmtId="0" fontId="50" fillId="0" borderId="0"/>
    <xf numFmtId="0" fontId="254" fillId="0" borderId="0">
      <alignment horizontal="left"/>
    </xf>
    <xf numFmtId="209" fontId="60" fillId="0" borderId="0" applyFont="0" applyFill="0" applyBorder="0" applyAlignment="0"/>
    <xf numFmtId="0" fontId="205" fillId="31" borderId="0">
      <alignment horizontal="right" vertical="center" wrapText="1"/>
    </xf>
    <xf numFmtId="1" fontId="55" fillId="0" borderId="0" applyNumberFormat="0" applyBorder="0" applyAlignment="0" applyProtection="0"/>
    <xf numFmtId="252" fontId="101" fillId="0" borderId="31"/>
    <xf numFmtId="37" fontId="198" fillId="46" borderId="13" applyNumberFormat="0" applyBorder="0">
      <alignment horizontal="center"/>
    </xf>
    <xf numFmtId="37" fontId="198" fillId="46" borderId="13" applyNumberFormat="0" applyBorder="0">
      <alignment horizontal="center"/>
    </xf>
    <xf numFmtId="49" fontId="55" fillId="0" borderId="0" applyFill="0" applyBorder="0"/>
    <xf numFmtId="49" fontId="55" fillId="0" borderId="0" applyFill="0" applyBorder="0"/>
    <xf numFmtId="49" fontId="55" fillId="0" borderId="0" applyFill="0" applyBorder="0"/>
    <xf numFmtId="49" fontId="60" fillId="0" borderId="0" applyFill="0" applyBorder="0">
      <alignment horizontal="right" vertical="center"/>
    </xf>
    <xf numFmtId="49" fontId="60" fillId="0" borderId="0" applyFill="0" applyBorder="0">
      <alignment horizontal="right" vertical="center"/>
    </xf>
    <xf numFmtId="49" fontId="60" fillId="0" borderId="0" applyFill="0" applyBorder="0">
      <alignment horizontal="right" vertical="center"/>
    </xf>
    <xf numFmtId="9" fontId="59" fillId="0" borderId="0" applyFont="0" applyFill="0" applyBorder="0" applyAlignment="0" applyProtection="0"/>
    <xf numFmtId="196" fontId="51" fillId="0" borderId="29" applyBorder="0" applyAlignment="0">
      <protection locked="0"/>
    </xf>
    <xf numFmtId="49" fontId="60" fillId="0" borderId="0" applyFill="0" applyBorder="0">
      <alignment horizontal="right" vertical="center"/>
    </xf>
    <xf numFmtId="0" fontId="63" fillId="38" borderId="45" applyNumberFormat="0" applyAlignment="0" applyProtection="0"/>
    <xf numFmtId="0" fontId="60" fillId="0" borderId="0" applyFont="0" applyFill="0" applyBorder="0" applyAlignment="0" applyProtection="0"/>
    <xf numFmtId="0" fontId="63" fillId="38" borderId="45" applyNumberFormat="0" applyAlignment="0" applyProtection="0"/>
    <xf numFmtId="0" fontId="60" fillId="0" borderId="0" applyFont="0" applyFill="0" applyBorder="0" applyAlignment="0" applyProtection="0"/>
    <xf numFmtId="0" fontId="63" fillId="38" borderId="45" applyNumberFormat="0" applyAlignment="0" applyProtection="0"/>
    <xf numFmtId="0" fontId="60" fillId="0" borderId="0" applyFont="0" applyFill="0" applyBorder="0" applyAlignment="0" applyProtection="0"/>
    <xf numFmtId="0" fontId="63" fillId="38" borderId="45" applyNumberFormat="0" applyAlignment="0" applyProtection="0"/>
    <xf numFmtId="0" fontId="60" fillId="0" borderId="0" applyFont="0" applyFill="0" applyBorder="0" applyAlignment="0" applyProtection="0"/>
    <xf numFmtId="0" fontId="94" fillId="107" borderId="75" applyNumberFormat="0" applyFont="0" applyAlignment="0" applyProtection="0"/>
    <xf numFmtId="0" fontId="262" fillId="0" borderId="70" applyNumberFormat="0" applyFill="0" applyAlignment="0" applyProtection="0">
      <alignment vertical="center"/>
    </xf>
    <xf numFmtId="0" fontId="260" fillId="0" borderId="0" applyProtection="0">
      <alignment horizontal="left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313" fontId="55" fillId="0" borderId="0" applyFont="0" applyFill="0" applyBorder="0" applyAlignment="0" applyProtection="0"/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2" fontId="60" fillId="0" borderId="69" applyFill="0" applyBorder="0" applyProtection="0">
      <alignment horizontal="center"/>
    </xf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55" fillId="0" borderId="0" applyNumberFormat="0" applyFill="0" applyBorder="0" applyProtection="0">
      <alignment wrapText="1"/>
    </xf>
    <xf numFmtId="0" fontId="49" fillId="28" borderId="43" applyNumberFormat="0" applyAlignment="0" applyProtection="0"/>
    <xf numFmtId="0" fontId="55" fillId="0" borderId="0" applyNumberFormat="0" applyFill="0" applyBorder="0" applyProtection="0">
      <alignment wrapText="1"/>
    </xf>
    <xf numFmtId="177" fontId="55" fillId="0" borderId="0" applyFill="0" applyBorder="0" applyProtection="0">
      <alignment horizontal="right" wrapText="1"/>
    </xf>
    <xf numFmtId="0" fontId="55" fillId="0" borderId="0" applyNumberFormat="0" applyFill="0" applyBorder="0" applyProtection="0">
      <alignment wrapText="1"/>
    </xf>
    <xf numFmtId="177" fontId="55" fillId="0" borderId="0" applyFill="0" applyBorder="0" applyProtection="0">
      <alignment horizontal="right" wrapText="1"/>
    </xf>
    <xf numFmtId="0" fontId="55" fillId="0" borderId="0" applyNumberFormat="0" applyFill="0" applyBorder="0" applyProtection="0">
      <alignment wrapText="1"/>
    </xf>
    <xf numFmtId="177" fontId="55" fillId="0" borderId="0" applyFill="0" applyBorder="0" applyProtection="0">
      <alignment horizontal="right" wrapText="1"/>
    </xf>
    <xf numFmtId="0" fontId="92" fillId="0" borderId="0" applyNumberFormat="0" applyFill="0" applyBorder="0" applyProtection="0">
      <alignment wrapText="1"/>
    </xf>
    <xf numFmtId="38" fontId="55" fillId="38" borderId="0" applyNumberFormat="0" applyBorder="0" applyAlignment="0" applyProtection="0"/>
    <xf numFmtId="0" fontId="118" fillId="38" borderId="48">
      <alignment vertical="center"/>
    </xf>
    <xf numFmtId="0" fontId="118" fillId="38" borderId="48">
      <alignment vertical="center"/>
    </xf>
    <xf numFmtId="0" fontId="118" fillId="38" borderId="48">
      <alignment vertical="center"/>
    </xf>
    <xf numFmtId="0" fontId="118" fillId="38" borderId="48">
      <alignment vertical="center"/>
    </xf>
    <xf numFmtId="0" fontId="118" fillId="38" borderId="48">
      <alignment vertical="center"/>
    </xf>
    <xf numFmtId="0" fontId="118" fillId="38" borderId="48">
      <alignment vertical="center"/>
    </xf>
    <xf numFmtId="0" fontId="118" fillId="38" borderId="48">
      <alignment vertical="center"/>
    </xf>
    <xf numFmtId="0" fontId="118" fillId="38" borderId="48">
      <alignment vertical="center"/>
    </xf>
    <xf numFmtId="0" fontId="118" fillId="38" borderId="48">
      <alignment vertical="center"/>
    </xf>
    <xf numFmtId="0" fontId="118" fillId="38" borderId="48">
      <alignment vertical="center"/>
    </xf>
    <xf numFmtId="0" fontId="118" fillId="38" borderId="48">
      <alignment vertical="center"/>
    </xf>
    <xf numFmtId="0" fontId="118" fillId="38" borderId="48">
      <alignment vertical="center"/>
    </xf>
    <xf numFmtId="0" fontId="118" fillId="38" borderId="48">
      <alignment vertical="center"/>
    </xf>
    <xf numFmtId="49" fontId="154" fillId="0" borderId="0">
      <alignment horizontal="right"/>
    </xf>
    <xf numFmtId="49" fontId="154" fillId="0" borderId="0">
      <alignment horizontal="right"/>
    </xf>
    <xf numFmtId="49" fontId="238" fillId="0" borderId="0">
      <alignment horizontal="right"/>
    </xf>
    <xf numFmtId="0" fontId="235" fillId="0" borderId="0"/>
    <xf numFmtId="0" fontId="60" fillId="0" borderId="0"/>
    <xf numFmtId="219" fontId="240" fillId="0" borderId="0">
      <alignment vertical="center"/>
    </xf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0" fontId="65" fillId="0" borderId="27" applyNumberFormat="0" applyAlignment="0" applyProtection="0">
      <alignment horizontal="left" vertical="center"/>
    </xf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0" fontId="60" fillId="46" borderId="56" applyNumberFormat="0" applyFont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0" fontId="49" fillId="28" borderId="43" applyNumberFormat="0" applyAlignment="0" applyProtection="0"/>
    <xf numFmtId="193" fontId="60" fillId="0" borderId="0" applyFill="0" applyBorder="0" applyAlignment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69" fontId="60" fillId="61" borderId="31" applyNumberFormat="0" applyFont="0" applyBorder="0" applyAlignment="0" applyProtection="0"/>
    <xf numFmtId="172" fontId="51" fillId="0" borderId="0" applyNumberFormat="0" applyFill="0" applyBorder="0" applyAlignment="0" applyProtection="0"/>
    <xf numFmtId="177" fontId="61" fillId="0" borderId="0" applyFill="0" applyBorder="0" applyProtection="0">
      <alignment horizontal="right" wrapText="1"/>
    </xf>
    <xf numFmtId="172" fontId="234" fillId="61" borderId="0" applyNumberFormat="0" applyFont="0" applyAlignment="0"/>
    <xf numFmtId="0" fontId="241" fillId="0" borderId="0"/>
    <xf numFmtId="0" fontId="236" fillId="0" borderId="1" applyNumberFormat="0" applyBorder="0"/>
    <xf numFmtId="0" fontId="236" fillId="0" borderId="1" applyNumberFormat="0" applyBorder="0"/>
    <xf numFmtId="0" fontId="236" fillId="0" borderId="1" applyNumberFormat="0" applyBorder="0"/>
    <xf numFmtId="0" fontId="236" fillId="0" borderId="1" applyNumberFormat="0" applyBorder="0"/>
    <xf numFmtId="0" fontId="29" fillId="46" borderId="56" applyNumberFormat="0" applyFont="0" applyAlignment="0" applyProtection="0"/>
    <xf numFmtId="0" fontId="237" fillId="0" borderId="0">
      <alignment horizontal="left"/>
    </xf>
    <xf numFmtId="0" fontId="242" fillId="0" borderId="0">
      <alignment horizontal="left"/>
    </xf>
    <xf numFmtId="0" fontId="65" fillId="0" borderId="27" applyNumberFormat="0" applyAlignment="0" applyProtection="0">
      <alignment horizontal="left" vertical="center"/>
    </xf>
    <xf numFmtId="0" fontId="65" fillId="0" borderId="27" applyNumberFormat="0" applyAlignment="0" applyProtection="0">
      <alignment horizontal="left" vertical="center"/>
    </xf>
    <xf numFmtId="0" fontId="65" fillId="0" borderId="27" applyNumberFormat="0" applyAlignment="0" applyProtection="0">
      <alignment horizontal="left" vertical="center"/>
    </xf>
    <xf numFmtId="0" fontId="65" fillId="0" borderId="27" applyNumberFormat="0" applyAlignment="0" applyProtection="0">
      <alignment horizontal="left" vertical="center"/>
    </xf>
    <xf numFmtId="262" fontId="60" fillId="0" borderId="0" applyFont="0" applyFill="0" applyBorder="0" applyAlignment="0" applyProtection="0"/>
    <xf numFmtId="216" fontId="55" fillId="0" borderId="0" applyFont="0" applyFill="0" applyBorder="0" applyAlignment="0" applyProtection="0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8" fillId="42" borderId="50" applyNumberFormat="0" applyAlignment="0" applyProtection="0"/>
    <xf numFmtId="0" fontId="65" fillId="0" borderId="48">
      <alignment horizontal="left" vertical="center"/>
    </xf>
    <xf numFmtId="0" fontId="68" fillId="42" borderId="50" applyNumberFormat="0" applyAlignment="0" applyProtection="0"/>
    <xf numFmtId="0" fontId="65" fillId="0" borderId="48">
      <alignment horizontal="left" vertical="center"/>
    </xf>
    <xf numFmtId="0" fontId="65" fillId="0" borderId="48">
      <alignment horizontal="left" vertical="center"/>
    </xf>
    <xf numFmtId="260" fontId="92" fillId="0" borderId="31"/>
    <xf numFmtId="0" fontId="65" fillId="0" borderId="48">
      <alignment horizontal="left" vertical="center"/>
    </xf>
    <xf numFmtId="260" fontId="92" fillId="0" borderId="31"/>
    <xf numFmtId="0" fontId="65" fillId="0" borderId="48">
      <alignment horizontal="left" vertical="center"/>
    </xf>
    <xf numFmtId="260" fontId="92" fillId="0" borderId="31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273" fillId="52" borderId="0" applyNumberFormat="0" applyBorder="0" applyAlignment="0" applyProtection="0">
      <alignment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269" fillId="31" borderId="0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109" fillId="0" borderId="7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109" fillId="0" borderId="7"/>
    <xf numFmtId="0" fontId="65" fillId="0" borderId="48">
      <alignment horizontal="left" vertical="center"/>
    </xf>
    <xf numFmtId="0" fontId="109" fillId="0" borderId="7"/>
    <xf numFmtId="0" fontId="65" fillId="0" borderId="48">
      <alignment horizontal="left" vertical="center"/>
    </xf>
    <xf numFmtId="0" fontId="109" fillId="0" borderId="7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9" fillId="44" borderId="0" applyNumberFormat="0" applyProtection="0">
      <alignment horizontal="center" vertical="center"/>
    </xf>
    <xf numFmtId="4" fontId="122" fillId="44" borderId="0" applyProtection="0">
      <alignment horizontal="center" vertical="center"/>
    </xf>
    <xf numFmtId="0" fontId="49" fillId="28" borderId="43" applyNumberFormat="0" applyAlignment="0" applyProtection="0"/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0" fontId="65" fillId="0" borderId="48">
      <alignment horizontal="left" vertical="center"/>
    </xf>
    <xf numFmtId="14" fontId="81" fillId="90" borderId="21">
      <alignment horizontal="center" vertical="center" wrapText="1"/>
    </xf>
    <xf numFmtId="0" fontId="244" fillId="0" borderId="78" applyNumberFormat="0" applyFill="0" applyAlignment="0" applyProtection="0"/>
    <xf numFmtId="0" fontId="147" fillId="0" borderId="71" applyNumberFormat="0" applyFill="0" applyAlignment="0" applyProtection="0"/>
    <xf numFmtId="0" fontId="147" fillId="0" borderId="71" applyNumberFormat="0" applyFill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47" fillId="0" borderId="71" applyNumberFormat="0" applyFill="0" applyAlignment="0" applyProtection="0"/>
    <xf numFmtId="196" fontId="51" fillId="0" borderId="29" applyBorder="0" applyAlignment="0">
      <protection locked="0"/>
    </xf>
    <xf numFmtId="0" fontId="147" fillId="0" borderId="71" applyNumberFormat="0" applyFill="0" applyAlignment="0" applyProtection="0"/>
    <xf numFmtId="0" fontId="147" fillId="0" borderId="71" applyNumberFormat="0" applyFill="0" applyAlignment="0" applyProtection="0"/>
    <xf numFmtId="0" fontId="244" fillId="0" borderId="78" applyNumberFormat="0" applyFill="0" applyAlignment="0" applyProtection="0"/>
    <xf numFmtId="0" fontId="243" fillId="0" borderId="0">
      <alignment horizontal="left"/>
    </xf>
    <xf numFmtId="0" fontId="155" fillId="0" borderId="47">
      <alignment horizontal="left" vertical="top"/>
    </xf>
    <xf numFmtId="0" fontId="247" fillId="0" borderId="80" applyNumberFormat="0" applyFill="0" applyAlignment="0" applyProtection="0"/>
    <xf numFmtId="0" fontId="149" fillId="88" borderId="7">
      <alignment horizontal="left" vertical="center"/>
    </xf>
    <xf numFmtId="0" fontId="137" fillId="0" borderId="70" applyNumberFormat="0" applyFill="0" applyAlignment="0" applyProtection="0"/>
    <xf numFmtId="0" fontId="137" fillId="0" borderId="70" applyNumberFormat="0" applyFill="0" applyAlignment="0" applyProtection="0"/>
    <xf numFmtId="0" fontId="137" fillId="0" borderId="70" applyNumberFormat="0" applyFill="0" applyAlignment="0" applyProtection="0"/>
    <xf numFmtId="0" fontId="29" fillId="46" borderId="56" applyNumberFormat="0" applyFont="0" applyAlignment="0" applyProtection="0"/>
    <xf numFmtId="0" fontId="137" fillId="0" borderId="70" applyNumberFormat="0" applyFill="0" applyAlignment="0" applyProtection="0"/>
    <xf numFmtId="0" fontId="137" fillId="0" borderId="70" applyNumberFormat="0" applyFill="0" applyAlignment="0" applyProtection="0"/>
    <xf numFmtId="0" fontId="137" fillId="0" borderId="70" applyNumberFormat="0" applyFill="0" applyAlignment="0" applyProtection="0"/>
    <xf numFmtId="0" fontId="247" fillId="0" borderId="80" applyNumberFormat="0" applyFill="0" applyAlignment="0" applyProtection="0"/>
    <xf numFmtId="0" fontId="229" fillId="0" borderId="0">
      <alignment horizontal="left"/>
    </xf>
    <xf numFmtId="0" fontId="64" fillId="0" borderId="47">
      <alignment horizontal="left" vertical="top"/>
    </xf>
    <xf numFmtId="0" fontId="49" fillId="28" borderId="43" applyNumberFormat="0" applyAlignment="0" applyProtection="0"/>
    <xf numFmtId="0" fontId="245" fillId="0" borderId="79" applyNumberFormat="0" applyFill="0" applyAlignment="0" applyProtection="0"/>
    <xf numFmtId="0" fontId="82" fillId="0" borderId="54" applyNumberFormat="0" applyFill="0" applyAlignment="0" applyProtection="0"/>
    <xf numFmtId="0" fontId="82" fillId="0" borderId="54" applyNumberFormat="0" applyFill="0" applyAlignment="0" applyProtection="0"/>
    <xf numFmtId="0" fontId="82" fillId="0" borderId="54" applyNumberFormat="0" applyFill="0" applyAlignment="0" applyProtection="0"/>
    <xf numFmtId="0" fontId="149" fillId="88" borderId="7">
      <alignment horizontal="left" vertical="center"/>
    </xf>
    <xf numFmtId="0" fontId="82" fillId="0" borderId="54" applyNumberFormat="0" applyFill="0" applyAlignment="0" applyProtection="0"/>
    <xf numFmtId="0" fontId="82" fillId="0" borderId="54" applyNumberFormat="0" applyFill="0" applyAlignment="0" applyProtection="0"/>
    <xf numFmtId="0" fontId="82" fillId="0" borderId="54" applyNumberFormat="0" applyFill="0" applyAlignment="0" applyProtection="0"/>
    <xf numFmtId="0" fontId="249" fillId="0" borderId="0">
      <alignment horizontal="left"/>
    </xf>
    <xf numFmtId="0" fontId="82" fillId="0" borderId="54" applyNumberFormat="0" applyFill="0" applyAlignment="0" applyProtection="0"/>
    <xf numFmtId="0" fontId="82" fillId="0" borderId="54" applyNumberFormat="0" applyFill="0" applyAlignment="0" applyProtection="0"/>
    <xf numFmtId="177" fontId="61" fillId="0" borderId="0" applyFill="0" applyBorder="0" applyProtection="0">
      <alignment horizontal="right" wrapText="1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9" fillId="0" borderId="0">
      <alignment vertical="center"/>
    </xf>
    <xf numFmtId="0" fontId="82" fillId="0" borderId="0" applyNumberFormat="0" applyFill="0" applyBorder="0" applyAlignment="0" applyProtection="0"/>
    <xf numFmtId="0" fontId="248" fillId="0" borderId="0">
      <alignment vertical="center"/>
    </xf>
    <xf numFmtId="0" fontId="245" fillId="0" borderId="0" applyNumberFormat="0" applyFill="0" applyBorder="0" applyAlignment="0" applyProtection="0"/>
    <xf numFmtId="0" fontId="250" fillId="84" borderId="0">
      <alignment horizontal="left" vertical="center"/>
    </xf>
    <xf numFmtId="0" fontId="70" fillId="0" borderId="51" applyNumberFormat="0" applyFill="0" applyAlignment="0" applyProtection="0">
      <alignment vertical="center"/>
    </xf>
    <xf numFmtId="178" fontId="60" fillId="0" borderId="0" applyFill="0" applyBorder="0" applyAlignment="0"/>
    <xf numFmtId="273" fontId="186" fillId="0" borderId="0">
      <protection locked="0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73" fontId="186" fillId="0" borderId="0">
      <protection locked="0"/>
    </xf>
    <xf numFmtId="0" fontId="149" fillId="88" borderId="7">
      <alignment horizontal="left" vertical="center"/>
    </xf>
    <xf numFmtId="0" fontId="149" fillId="88" borderId="7">
      <alignment horizontal="left" vertical="center"/>
    </xf>
    <xf numFmtId="0" fontId="149" fillId="88" borderId="7">
      <alignment horizontal="left" vertical="center"/>
    </xf>
    <xf numFmtId="0" fontId="149" fillId="88" borderId="7">
      <alignment horizontal="left" vertical="center"/>
    </xf>
    <xf numFmtId="0" fontId="149" fillId="88" borderId="7">
      <alignment horizontal="left" vertical="center"/>
    </xf>
    <xf numFmtId="0" fontId="149" fillId="88" borderId="7">
      <alignment horizontal="left" vertical="center"/>
    </xf>
    <xf numFmtId="0" fontId="149" fillId="88" borderId="7">
      <alignment horizontal="left" vertical="center"/>
    </xf>
    <xf numFmtId="0" fontId="60" fillId="81" borderId="0" applyBorder="0" applyProtection="0"/>
    <xf numFmtId="0" fontId="149" fillId="88" borderId="7">
      <alignment horizontal="left" vertical="center"/>
    </xf>
    <xf numFmtId="0" fontId="149" fillId="88" borderId="7">
      <alignment horizontal="left" vertical="center"/>
    </xf>
    <xf numFmtId="322" fontId="60" fillId="0" borderId="0">
      <alignment horizontal="left"/>
    </xf>
    <xf numFmtId="260" fontId="60" fillId="0" borderId="0" applyFont="0" applyFill="0" applyBorder="0" applyAlignment="0"/>
    <xf numFmtId="0" fontId="231" fillId="0" borderId="1" applyNumberFormat="0" applyFont="0"/>
    <xf numFmtId="15" fontId="60" fillId="81" borderId="0" applyBorder="0"/>
    <xf numFmtId="0" fontId="274" fillId="81" borderId="0" applyBorder="0" applyProtection="0"/>
    <xf numFmtId="0" fontId="29" fillId="46" borderId="56" applyNumberFormat="0" applyFont="0" applyAlignment="0" applyProtection="0"/>
    <xf numFmtId="0" fontId="191" fillId="81" borderId="0" applyBorder="0" applyProtection="0"/>
    <xf numFmtId="0" fontId="29" fillId="46" borderId="56" applyNumberFormat="0" applyFont="0" applyAlignment="0" applyProtection="0"/>
    <xf numFmtId="1" fontId="101" fillId="80" borderId="0" applyBorder="0" applyProtection="0"/>
    <xf numFmtId="0" fontId="178" fillId="53" borderId="0" applyNumberFormat="0" applyBorder="0" applyAlignment="0" applyProtection="0">
      <alignment vertical="center"/>
    </xf>
    <xf numFmtId="0" fontId="60" fillId="46" borderId="56" applyNumberFormat="0" applyFont="0" applyAlignment="0" applyProtection="0"/>
    <xf numFmtId="317" fontId="101" fillId="81" borderId="0" applyBorder="0" applyProtection="0"/>
    <xf numFmtId="10" fontId="101" fillId="81" borderId="0" applyBorder="0" applyProtection="0"/>
    <xf numFmtId="324" fontId="101" fillId="81" borderId="0" applyBorder="0" applyProtection="0"/>
    <xf numFmtId="0" fontId="275" fillId="31" borderId="0"/>
    <xf numFmtId="0" fontId="72" fillId="31" borderId="0"/>
    <xf numFmtId="0" fontId="60" fillId="0" borderId="0"/>
    <xf numFmtId="0" fontId="60" fillId="0" borderId="0" applyFill="0" applyBorder="0">
      <alignment horizontal="right"/>
    </xf>
    <xf numFmtId="0" fontId="352" fillId="0" borderId="0"/>
    <xf numFmtId="1" fontId="60" fillId="0" borderId="83" applyFill="0" applyBorder="0" applyAlignment="0"/>
    <xf numFmtId="317" fontId="60" fillId="0" borderId="83" applyFill="0" applyBorder="0"/>
    <xf numFmtId="317" fontId="60" fillId="0" borderId="83" applyFill="0" applyBorder="0"/>
    <xf numFmtId="10" fontId="60" fillId="0" borderId="83" applyFont="0" applyBorder="0">
      <alignment horizontal="right"/>
    </xf>
    <xf numFmtId="324" fontId="60" fillId="0" borderId="0" applyFont="0" applyFill="0" applyBorder="0" applyProtection="0"/>
    <xf numFmtId="0" fontId="196" fillId="0" borderId="0" applyNumberFormat="0" applyFill="0" applyBorder="0" applyAlignment="0" applyProtection="0">
      <alignment vertical="top"/>
      <protection locked="0"/>
    </xf>
    <xf numFmtId="0" fontId="59" fillId="0" borderId="0" applyFill="0" applyBorder="0"/>
    <xf numFmtId="0" fontId="49" fillId="28" borderId="43" applyNumberFormat="0" applyAlignment="0" applyProtection="0"/>
    <xf numFmtId="10" fontId="55" fillId="46" borderId="31" applyNumberFormat="0" applyBorder="0" applyAlignment="0" applyProtection="0"/>
    <xf numFmtId="0" fontId="68" fillId="42" borderId="50" applyNumberFormat="0" applyAlignment="0" applyProtection="0"/>
    <xf numFmtId="0" fontId="68" fillId="42" borderId="50" applyNumberFormat="0" applyAlignment="0" applyProtection="0"/>
    <xf numFmtId="0" fontId="138" fillId="0" borderId="0"/>
    <xf numFmtId="0" fontId="68" fillId="42" borderId="50" applyNumberFormat="0" applyAlignment="0" applyProtection="0"/>
    <xf numFmtId="0" fontId="68" fillId="42" borderId="50" applyNumberFormat="0" applyAlignment="0" applyProtection="0"/>
    <xf numFmtId="0" fontId="68" fillId="42" borderId="50" applyNumberFormat="0" applyAlignment="0" applyProtection="0"/>
    <xf numFmtId="0" fontId="68" fillId="42" borderId="50" applyNumberFormat="0" applyAlignment="0" applyProtection="0"/>
    <xf numFmtId="0" fontId="68" fillId="42" borderId="50" applyNumberFormat="0" applyAlignment="0" applyProtection="0"/>
    <xf numFmtId="0" fontId="68" fillId="42" borderId="50" applyNumberFormat="0" applyAlignment="0" applyProtection="0"/>
    <xf numFmtId="0" fontId="68" fillId="42" borderId="50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60" fillId="0" borderId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4" fontId="276" fillId="44" borderId="0" applyProtection="0">
      <alignment horizontal="center" vertical="center"/>
    </xf>
    <xf numFmtId="0" fontId="277" fillId="44" borderId="0" applyNumberFormat="0" applyProtection="0">
      <alignment horizontal="center" vertical="center"/>
    </xf>
    <xf numFmtId="0" fontId="49" fillId="28" borderId="43" applyNumberFormat="0" applyAlignment="0" applyProtection="0"/>
    <xf numFmtId="0" fontId="72" fillId="47" borderId="0" applyNumberFormat="0" applyProtection="0">
      <alignment horizontal="center" vertical="center"/>
    </xf>
    <xf numFmtId="4" fontId="278" fillId="44" borderId="0" applyProtection="0">
      <alignment horizontal="center" vertical="center"/>
    </xf>
    <xf numFmtId="0" fontId="49" fillId="28" borderId="43" applyNumberFormat="0" applyAlignment="0" applyProtection="0"/>
    <xf numFmtId="4" fontId="279" fillId="47" borderId="0" applyProtection="0">
      <alignment horizontal="center" vertical="center"/>
    </xf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60" fillId="0" borderId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49" fillId="28" borderId="43" applyNumberFormat="0" applyAlignment="0" applyProtection="0"/>
    <xf numFmtId="0" fontId="68" fillId="42" borderId="50" applyNumberFormat="0" applyAlignment="0" applyProtection="0"/>
    <xf numFmtId="0" fontId="60" fillId="0" borderId="0"/>
    <xf numFmtId="0" fontId="94" fillId="109" borderId="0" applyNumberFormat="0" applyFont="0" applyBorder="0" applyAlignment="0" applyProtection="0"/>
    <xf numFmtId="0" fontId="94" fillId="109" borderId="0" applyNumberFormat="0" applyFont="0" applyBorder="0" applyAlignment="0" applyProtection="0"/>
    <xf numFmtId="166" fontId="55" fillId="46" borderId="0" applyFont="0" applyBorder="0" applyAlignment="0" applyProtection="0">
      <protection locked="0"/>
    </xf>
    <xf numFmtId="15" fontId="173" fillId="81" borderId="0">
      <alignment horizontal="right" vertical="center"/>
      <protection locked="0"/>
    </xf>
    <xf numFmtId="235" fontId="173" fillId="81" borderId="0" applyProtection="0">
      <alignment horizontal="right" vertical="center"/>
      <protection locked="0"/>
    </xf>
    <xf numFmtId="177" fontId="55" fillId="0" borderId="0" applyFill="0" applyBorder="0" applyProtection="0">
      <alignment horizontal="right" wrapText="1"/>
    </xf>
    <xf numFmtId="0" fontId="280" fillId="110" borderId="84" applyNumberFormat="0"/>
    <xf numFmtId="10" fontId="55" fillId="46" borderId="0">
      <protection locked="0"/>
    </xf>
    <xf numFmtId="10" fontId="101" fillId="0" borderId="0">
      <protection locked="0"/>
    </xf>
    <xf numFmtId="0" fontId="86" fillId="28" borderId="60" applyNumberFormat="0" applyAlignment="0"/>
    <xf numFmtId="0" fontId="86" fillId="28" borderId="60" applyNumberFormat="0" applyAlignment="0"/>
    <xf numFmtId="0" fontId="86" fillId="28" borderId="60" applyNumberFormat="0" applyAlignment="0"/>
    <xf numFmtId="0" fontId="130" fillId="0" borderId="68" applyNumberFormat="0" applyFill="0" applyAlignment="0" applyProtection="0"/>
    <xf numFmtId="0" fontId="86" fillId="28" borderId="60" applyNumberFormat="0" applyAlignment="0"/>
    <xf numFmtId="0" fontId="86" fillId="28" borderId="60" applyNumberFormat="0" applyAlignment="0"/>
    <xf numFmtId="0" fontId="86" fillId="28" borderId="60" applyNumberFormat="0" applyAlignment="0"/>
    <xf numFmtId="0" fontId="86" fillId="28" borderId="60" applyNumberFormat="0" applyAlignment="0"/>
    <xf numFmtId="0" fontId="352" fillId="0" borderId="0"/>
    <xf numFmtId="0" fontId="86" fillId="28" borderId="60" applyNumberFormat="0" applyAlignment="0"/>
    <xf numFmtId="0" fontId="352" fillId="0" borderId="0"/>
    <xf numFmtId="0" fontId="86" fillId="28" borderId="60" applyNumberFormat="0" applyAlignment="0"/>
    <xf numFmtId="0" fontId="86" fillId="28" borderId="60" applyNumberFormat="0" applyAlignment="0"/>
    <xf numFmtId="0" fontId="76" fillId="0" borderId="0" applyNumberFormat="0" applyFill="0" applyBorder="0" applyAlignment="0">
      <protection locked="0"/>
    </xf>
    <xf numFmtId="15" fontId="101" fillId="0" borderId="0">
      <protection locked="0"/>
    </xf>
    <xf numFmtId="2" fontId="101" fillId="0" borderId="64">
      <protection locked="0"/>
    </xf>
    <xf numFmtId="2" fontId="101" fillId="0" borderId="64">
      <protection locked="0"/>
    </xf>
    <xf numFmtId="37" fontId="61" fillId="38" borderId="0"/>
    <xf numFmtId="0" fontId="81" fillId="66" borderId="0">
      <protection locked="0"/>
    </xf>
    <xf numFmtId="0" fontId="81" fillId="0" borderId="59" applyBorder="0">
      <alignment horizontal="center" vertical="center"/>
    </xf>
    <xf numFmtId="0" fontId="81" fillId="0" borderId="59" applyBorder="0">
      <alignment horizontal="center" vertical="center"/>
    </xf>
    <xf numFmtId="0" fontId="81" fillId="0" borderId="59" applyBorder="0">
      <alignment horizontal="center" vertical="center"/>
    </xf>
    <xf numFmtId="0" fontId="108" fillId="0" borderId="0"/>
    <xf numFmtId="0" fontId="81" fillId="60" borderId="7">
      <alignment horizontal="left" vertical="center" wrapText="1"/>
    </xf>
    <xf numFmtId="0" fontId="81" fillId="60" borderId="7">
      <alignment horizontal="left" vertical="center" wrapText="1"/>
    </xf>
    <xf numFmtId="0" fontId="81" fillId="60" borderId="7">
      <alignment horizontal="left" vertical="center" wrapText="1"/>
    </xf>
    <xf numFmtId="0" fontId="81" fillId="60" borderId="7">
      <alignment horizontal="left" vertical="center" wrapText="1"/>
    </xf>
    <xf numFmtId="0" fontId="81" fillId="60" borderId="7">
      <alignment horizontal="left" vertical="center" wrapText="1"/>
    </xf>
    <xf numFmtId="0" fontId="81" fillId="60" borderId="7">
      <alignment horizontal="left" vertical="center" wrapText="1"/>
    </xf>
    <xf numFmtId="0" fontId="81" fillId="60" borderId="7">
      <alignment horizontal="left" vertical="center" wrapText="1"/>
    </xf>
    <xf numFmtId="0" fontId="81" fillId="60" borderId="7">
      <alignment horizontal="left" vertical="center" wrapText="1"/>
    </xf>
    <xf numFmtId="0" fontId="81" fillId="60" borderId="7">
      <alignment horizontal="left" vertical="center" wrapText="1"/>
    </xf>
    <xf numFmtId="0" fontId="90" fillId="38" borderId="43" applyNumberFormat="0" applyAlignment="0" applyProtection="0">
      <alignment vertical="center"/>
    </xf>
    <xf numFmtId="0" fontId="81" fillId="60" borderId="7">
      <alignment horizontal="left" vertical="center" wrapText="1"/>
    </xf>
    <xf numFmtId="3" fontId="104" fillId="0" borderId="0" applyFill="0" applyBorder="0" applyAlignment="0" applyProtection="0">
      <alignment horizontal="right"/>
    </xf>
    <xf numFmtId="0" fontId="130" fillId="0" borderId="68" applyNumberFormat="0" applyFill="0" applyAlignment="0" applyProtection="0"/>
    <xf numFmtId="207" fontId="60" fillId="0" borderId="0" applyFont="0" applyFill="0" applyBorder="0" applyAlignment="0" applyProtection="0"/>
    <xf numFmtId="0" fontId="110" fillId="30" borderId="61" applyNumberFormat="0" applyAlignment="0" applyProtection="0"/>
    <xf numFmtId="0" fontId="60" fillId="0" borderId="0" applyFill="0" applyBorder="0" applyAlignment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9" fillId="46" borderId="56" applyNumberFormat="0" applyFont="0" applyAlignment="0" applyProtection="0"/>
    <xf numFmtId="0" fontId="50" fillId="0" borderId="0"/>
    <xf numFmtId="0" fontId="50" fillId="0" borderId="0"/>
    <xf numFmtId="0" fontId="50" fillId="0" borderId="0"/>
    <xf numFmtId="0" fontId="103" fillId="0" borderId="0" applyNumberFormat="0" applyFill="0" applyBorder="0" applyAlignment="0" applyProtection="0">
      <alignment vertical="top"/>
      <protection locked="0"/>
    </xf>
    <xf numFmtId="202" fontId="60" fillId="0" borderId="0" applyFill="0" applyBorder="0" applyAlignment="0"/>
    <xf numFmtId="202" fontId="60" fillId="0" borderId="0" applyFill="0" applyBorder="0" applyAlignment="0"/>
    <xf numFmtId="0" fontId="60" fillId="46" borderId="56" applyNumberFormat="0" applyFont="0" applyAlignment="0" applyProtection="0"/>
    <xf numFmtId="193" fontId="60" fillId="0" borderId="0" applyFill="0" applyBorder="0" applyAlignment="0"/>
    <xf numFmtId="14" fontId="61" fillId="0" borderId="1" applyFont="0" applyFill="0" applyBorder="0" applyAlignment="0" applyProtection="0"/>
    <xf numFmtId="193" fontId="60" fillId="0" borderId="0" applyFill="0" applyBorder="0" applyAlignment="0"/>
    <xf numFmtId="208" fontId="55" fillId="0" borderId="0" applyFill="0" applyBorder="0" applyProtection="0">
      <alignment horizontal="right" wrapText="1"/>
    </xf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0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197" fontId="60" fillId="0" borderId="0" applyFill="0" applyBorder="0" applyAlignment="0"/>
    <xf numFmtId="178" fontId="60" fillId="0" borderId="0" applyFill="0" applyBorder="0" applyAlignment="0"/>
    <xf numFmtId="178" fontId="60" fillId="0" borderId="0" applyFill="0" applyBorder="0" applyAlignment="0"/>
    <xf numFmtId="178" fontId="60" fillId="0" borderId="0" applyFill="0" applyBorder="0" applyAlignment="0"/>
    <xf numFmtId="0" fontId="70" fillId="0" borderId="51" applyNumberFormat="0" applyFill="0" applyAlignment="0" applyProtection="0">
      <alignment vertical="center"/>
    </xf>
    <xf numFmtId="178" fontId="60" fillId="0" borderId="0" applyFill="0" applyBorder="0" applyAlignment="0"/>
    <xf numFmtId="179" fontId="203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0" fontId="130" fillId="0" borderId="68" applyNumberFormat="0" applyFill="0" applyAlignment="0" applyProtection="0"/>
    <xf numFmtId="0" fontId="130" fillId="0" borderId="68" applyNumberFormat="0" applyFill="0" applyAlignment="0" applyProtection="0"/>
    <xf numFmtId="3" fontId="193" fillId="81" borderId="64" applyBorder="0">
      <protection hidden="1"/>
    </xf>
    <xf numFmtId="3" fontId="144" fillId="81" borderId="64" applyBorder="0">
      <alignment horizontal="left"/>
    </xf>
    <xf numFmtId="0" fontId="60" fillId="38" borderId="0"/>
    <xf numFmtId="0" fontId="60" fillId="38" borderId="0"/>
    <xf numFmtId="0" fontId="60" fillId="38" borderId="0"/>
    <xf numFmtId="0" fontId="205" fillId="111" borderId="0">
      <alignment horizontal="right" vertical="center" wrapText="1"/>
    </xf>
    <xf numFmtId="14" fontId="61" fillId="0" borderId="1" applyFont="0" applyFill="0" applyBorder="0" applyAlignment="0" applyProtection="0"/>
    <xf numFmtId="14" fontId="61" fillId="0" borderId="1" applyFont="0" applyFill="0" applyBorder="0" applyAlignment="0" applyProtection="0"/>
    <xf numFmtId="0" fontId="60" fillId="92" borderId="0">
      <alignment horizontal="center" vertical="center"/>
      <protection locked="0"/>
    </xf>
    <xf numFmtId="164" fontId="128" fillId="0" borderId="82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309" fontId="60" fillId="0" borderId="0">
      <alignment horizontal="right"/>
    </xf>
    <xf numFmtId="0" fontId="60" fillId="46" borderId="56" applyNumberFormat="0" applyFont="0" applyAlignment="0" applyProtection="0"/>
    <xf numFmtId="209" fontId="61" fillId="0" borderId="0" applyNumberFormat="0" applyFill="0" applyBorder="0" applyAlignment="0" applyProtection="0"/>
    <xf numFmtId="182" fontId="60" fillId="0" borderId="0" applyFont="0" applyFill="0" applyBorder="0" applyAlignment="0" applyProtection="0"/>
    <xf numFmtId="176" fontId="60" fillId="0" borderId="0" applyFont="0" applyFill="0" applyBorder="0" applyAlignment="0" applyProtection="0"/>
    <xf numFmtId="325" fontId="60" fillId="0" borderId="0" applyFont="0" applyFill="0" applyBorder="0" applyAlignment="0" applyProtection="0">
      <alignment horizontal="left" wrapText="1"/>
    </xf>
    <xf numFmtId="0" fontId="281" fillId="0" borderId="21"/>
    <xf numFmtId="0" fontId="29" fillId="46" borderId="56" applyNumberFormat="0" applyFont="0" applyAlignment="0" applyProtection="0"/>
    <xf numFmtId="326" fontId="179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46" borderId="56" applyNumberFormat="0" applyFont="0" applyAlignment="0" applyProtection="0"/>
    <xf numFmtId="0" fontId="60" fillId="0" borderId="0" applyFont="0" applyFill="0" applyBorder="0" applyAlignment="0" applyProtection="0"/>
    <xf numFmtId="327" fontId="60" fillId="0" borderId="0" applyFont="0" applyFill="0" applyBorder="0" applyAlignment="0" applyProtection="0"/>
    <xf numFmtId="167" fontId="60" fillId="0" borderId="0" applyFont="0" applyFill="0" applyBorder="0" applyAlignment="0" applyProtection="0"/>
    <xf numFmtId="0" fontId="124" fillId="0" borderId="31" applyNumberFormat="0" applyFont="0" applyFill="0" applyBorder="0" applyAlignment="0">
      <alignment horizontal="center" vertical="center"/>
    </xf>
    <xf numFmtId="0" fontId="29" fillId="46" borderId="56" applyNumberFormat="0" applyFont="0" applyAlignment="0" applyProtection="0"/>
    <xf numFmtId="234" fontId="60" fillId="0" borderId="0" applyFont="0" applyFill="0" applyBorder="0" applyAlignment="0" applyProtection="0"/>
    <xf numFmtId="234" fontId="60" fillId="0" borderId="0" applyFont="0" applyFill="0" applyBorder="0" applyAlignment="0" applyProtection="0"/>
    <xf numFmtId="234" fontId="60" fillId="0" borderId="0" applyFont="0" applyFill="0" applyBorder="0" applyAlignment="0" applyProtection="0"/>
    <xf numFmtId="235" fontId="282" fillId="0" borderId="0">
      <alignment horizontal="left" vertical="center"/>
    </xf>
    <xf numFmtId="0" fontId="253" fillId="81" borderId="0" applyNumberFormat="0" applyBorder="0" applyAlignment="0" applyProtection="0"/>
    <xf numFmtId="0" fontId="29" fillId="0" borderId="0"/>
    <xf numFmtId="0" fontId="55" fillId="44" borderId="64" applyBorder="0" applyAlignment="0"/>
    <xf numFmtId="209" fontId="60" fillId="0" borderId="0" applyFont="0" applyFill="0" applyBorder="0" applyAlignment="0"/>
    <xf numFmtId="0" fontId="55" fillId="44" borderId="64" applyBorder="0" applyAlignment="0"/>
    <xf numFmtId="37" fontId="150" fillId="0" borderId="0"/>
    <xf numFmtId="0" fontId="138" fillId="0" borderId="0"/>
    <xf numFmtId="209" fontId="60" fillId="0" borderId="0" applyFont="0" applyFill="0" applyBorder="0" applyAlignment="0"/>
    <xf numFmtId="209" fontId="60" fillId="0" borderId="0" applyFont="0" applyFill="0" applyBorder="0" applyAlignment="0"/>
    <xf numFmtId="209" fontId="60" fillId="0" borderId="0" applyFont="0" applyFill="0" applyBorder="0" applyAlignment="0"/>
    <xf numFmtId="209" fontId="60" fillId="0" borderId="0" applyFont="0" applyFill="0" applyBorder="0" applyAlignment="0"/>
    <xf numFmtId="40" fontId="55" fillId="0" borderId="0" applyFont="0" applyFill="0" applyBorder="0" applyAlignment="0"/>
    <xf numFmtId="315" fontId="55" fillId="0" borderId="0" applyFont="0" applyFill="0" applyBorder="0" applyAlignment="0"/>
    <xf numFmtId="0" fontId="60" fillId="0" borderId="0"/>
    <xf numFmtId="0" fontId="60" fillId="0" borderId="0"/>
    <xf numFmtId="0" fontId="235" fillId="0" borderId="0">
      <protection locked="0"/>
    </xf>
    <xf numFmtId="0" fontId="235" fillId="0" borderId="0">
      <protection locked="0"/>
    </xf>
    <xf numFmtId="0" fontId="60" fillId="0" borderId="0"/>
    <xf numFmtId="0" fontId="352" fillId="0" borderId="0"/>
    <xf numFmtId="0" fontId="235" fillId="0" borderId="0">
      <protection locked="0"/>
    </xf>
    <xf numFmtId="0" fontId="352" fillId="0" borderId="0"/>
    <xf numFmtId="0" fontId="352" fillId="0" borderId="0"/>
    <xf numFmtId="0" fontId="352" fillId="0" borderId="0"/>
    <xf numFmtId="0" fontId="352" fillId="0" borderId="0"/>
    <xf numFmtId="0" fontId="352" fillId="0" borderId="0"/>
    <xf numFmtId="0" fontId="352" fillId="0" borderId="0"/>
    <xf numFmtId="0" fontId="352" fillId="0" borderId="0"/>
    <xf numFmtId="0" fontId="352" fillId="0" borderId="0"/>
    <xf numFmtId="171" fontId="352" fillId="0" borderId="0"/>
    <xf numFmtId="0" fontId="59" fillId="0" borderId="0">
      <protection locked="0"/>
    </xf>
    <xf numFmtId="0" fontId="60" fillId="0" borderId="0"/>
    <xf numFmtId="0" fontId="60" fillId="0" borderId="0">
      <alignment vertical="top"/>
    </xf>
    <xf numFmtId="4" fontId="88" fillId="48" borderId="72" applyNumberFormat="0" applyProtection="0">
      <alignment horizontal="right" vertical="center"/>
    </xf>
    <xf numFmtId="0" fontId="29" fillId="46" borderId="56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52" fillId="0" borderId="0"/>
    <xf numFmtId="0" fontId="352" fillId="0" borderId="0"/>
    <xf numFmtId="0" fontId="352" fillId="0" borderId="0"/>
    <xf numFmtId="0" fontId="352" fillId="0" borderId="0"/>
    <xf numFmtId="0" fontId="352" fillId="0" borderId="0"/>
    <xf numFmtId="0" fontId="352" fillId="0" borderId="0"/>
    <xf numFmtId="0" fontId="352" fillId="0" borderId="0"/>
    <xf numFmtId="0" fontId="352" fillId="0" borderId="0"/>
    <xf numFmtId="0" fontId="352" fillId="0" borderId="0"/>
    <xf numFmtId="329" fontId="95" fillId="0" borderId="0"/>
    <xf numFmtId="0" fontId="352" fillId="0" borderId="0"/>
    <xf numFmtId="0" fontId="283" fillId="0" borderId="0"/>
    <xf numFmtId="329" fontId="95" fillId="0" borderId="0"/>
    <xf numFmtId="0" fontId="88" fillId="0" borderId="0">
      <protection locked="0"/>
    </xf>
    <xf numFmtId="0" fontId="352" fillId="0" borderId="0"/>
    <xf numFmtId="0" fontId="352" fillId="0" borderId="0"/>
    <xf numFmtId="0" fontId="352" fillId="0" borderId="0"/>
    <xf numFmtId="0" fontId="352" fillId="0" borderId="0"/>
    <xf numFmtId="0" fontId="59" fillId="0" borderId="0">
      <protection locked="0"/>
    </xf>
    <xf numFmtId="0" fontId="57" fillId="0" borderId="0"/>
    <xf numFmtId="0" fontId="35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9" fillId="0" borderId="0"/>
    <xf numFmtId="0" fontId="29" fillId="0" borderId="0"/>
    <xf numFmtId="0" fontId="60" fillId="0" borderId="0"/>
    <xf numFmtId="0" fontId="60" fillId="0" borderId="0"/>
    <xf numFmtId="0" fontId="29" fillId="0" borderId="0"/>
    <xf numFmtId="0" fontId="60" fillId="0" borderId="0" applyNumberFormat="0" applyFill="0" applyBorder="0" applyAlignment="0" applyProtection="0"/>
    <xf numFmtId="0" fontId="2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41" fillId="0" borderId="0">
      <alignment vertical="center"/>
    </xf>
    <xf numFmtId="0" fontId="60" fillId="0" borderId="0"/>
    <xf numFmtId="0" fontId="29" fillId="0" borderId="0"/>
    <xf numFmtId="0" fontId="55" fillId="0" borderId="0" applyNumberFormat="0"/>
    <xf numFmtId="0" fontId="55" fillId="0" borderId="0" applyNumberFormat="0"/>
    <xf numFmtId="0" fontId="29" fillId="46" borderId="56" applyNumberFormat="0" applyFont="0" applyAlignment="0" applyProtection="0"/>
    <xf numFmtId="39" fontId="93" fillId="0" borderId="0">
      <protection locked="0"/>
    </xf>
    <xf numFmtId="0" fontId="29" fillId="46" borderId="56" applyNumberFormat="0" applyFont="0" applyAlignment="0" applyProtection="0"/>
    <xf numFmtId="2" fontId="81" fillId="0" borderId="0" applyFont="0" applyFill="0" applyBorder="0">
      <alignment horizontal="center" vertical="top" wrapText="1" shrinkToFit="1"/>
    </xf>
    <xf numFmtId="196" fontId="51" fillId="0" borderId="29" applyBorder="0" applyAlignment="0">
      <protection locked="0"/>
    </xf>
    <xf numFmtId="196" fontId="51" fillId="0" borderId="29" applyBorder="0" applyAlignment="0">
      <protection locked="0"/>
    </xf>
    <xf numFmtId="196" fontId="51" fillId="0" borderId="29" applyBorder="0" applyAlignment="0">
      <protection locked="0"/>
    </xf>
    <xf numFmtId="196" fontId="51" fillId="0" borderId="29" applyBorder="0" applyAlignment="0">
      <protection locked="0"/>
    </xf>
    <xf numFmtId="196" fontId="51" fillId="0" borderId="29" applyBorder="0" applyAlignment="0">
      <protection locked="0"/>
    </xf>
    <xf numFmtId="196" fontId="51" fillId="0" borderId="29" applyBorder="0" applyAlignment="0">
      <protection locked="0"/>
    </xf>
    <xf numFmtId="196" fontId="51" fillId="0" borderId="29" applyBorder="0" applyAlignment="0">
      <protection locked="0"/>
    </xf>
    <xf numFmtId="196" fontId="51" fillId="0" borderId="29" applyBorder="0" applyAlignment="0">
      <protection locked="0"/>
    </xf>
    <xf numFmtId="0" fontId="229" fillId="0" borderId="0"/>
    <xf numFmtId="0" fontId="51" fillId="0" borderId="47" applyNumberFormat="0" applyBorder="0" applyAlignment="0">
      <protection hidden="1"/>
    </xf>
    <xf numFmtId="0" fontId="51" fillId="0" borderId="47" applyNumberFormat="0" applyBorder="0" applyAlignment="0">
      <protection hidden="1"/>
    </xf>
    <xf numFmtId="37" fontId="284" fillId="0" borderId="0" applyNumberFormat="0" applyFont="0" applyFill="0" applyBorder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57" fillId="56" borderId="53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198" fontId="60" fillId="0" borderId="55" applyBorder="0">
      <alignment horizontal="right"/>
    </xf>
    <xf numFmtId="0" fontId="29" fillId="46" borderId="56" applyNumberFormat="0" applyFont="0" applyAlignment="0" applyProtection="0"/>
    <xf numFmtId="198" fontId="60" fillId="0" borderId="55" applyBorder="0">
      <alignment horizontal="right"/>
    </xf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178" fillId="95" borderId="0" applyNumberFormat="0" applyBorder="0" applyAlignment="0" applyProtection="0">
      <alignment vertical="center"/>
    </xf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177" fontId="61" fillId="0" borderId="0" applyFill="0" applyBorder="0" applyProtection="0">
      <alignment horizontal="right" wrapText="1"/>
    </xf>
    <xf numFmtId="0" fontId="29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198" fontId="60" fillId="0" borderId="55" applyBorder="0">
      <alignment horizontal="right"/>
    </xf>
    <xf numFmtId="0" fontId="60" fillId="46" borderId="56" applyNumberFormat="0" applyFont="0" applyAlignment="0" applyProtection="0"/>
    <xf numFmtId="198" fontId="60" fillId="0" borderId="55" applyBorder="0">
      <alignment horizontal="right"/>
    </xf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60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29" fillId="46" borderId="56" applyNumberFormat="0" applyFont="0" applyAlignment="0" applyProtection="0"/>
    <xf numFmtId="0" fontId="141" fillId="0" borderId="0">
      <alignment horizontal="left"/>
    </xf>
    <xf numFmtId="0" fontId="57" fillId="56" borderId="53" applyNumberFormat="0" applyFont="0" applyAlignment="0" applyProtection="0"/>
    <xf numFmtId="235" fontId="285" fillId="0" borderId="0">
      <alignment vertical="center"/>
    </xf>
    <xf numFmtId="208" fontId="55" fillId="0" borderId="0" applyFill="0" applyBorder="0" applyProtection="0">
      <alignment horizontal="right" wrapText="1"/>
    </xf>
    <xf numFmtId="208" fontId="55" fillId="0" borderId="0" applyFill="0" applyBorder="0" applyProtection="0">
      <alignment horizontal="right" wrapText="1"/>
    </xf>
    <xf numFmtId="208" fontId="55" fillId="0" borderId="0" applyFill="0" applyBorder="0" applyProtection="0">
      <alignment horizontal="right" wrapText="1"/>
    </xf>
    <xf numFmtId="208" fontId="61" fillId="0" borderId="0" applyFill="0" applyBorder="0" applyProtection="0">
      <alignment horizontal="right" wrapText="1"/>
    </xf>
    <xf numFmtId="208" fontId="61" fillId="0" borderId="0" applyFill="0" applyBorder="0" applyProtection="0">
      <alignment horizontal="right" wrapText="1"/>
    </xf>
    <xf numFmtId="177" fontId="55" fillId="0" borderId="0" applyFill="0" applyBorder="0" applyProtection="0">
      <alignment horizontal="right" wrapText="1"/>
    </xf>
    <xf numFmtId="177" fontId="61" fillId="0" borderId="0" applyFill="0" applyBorder="0" applyProtection="0">
      <alignment horizontal="right" wrapText="1"/>
    </xf>
    <xf numFmtId="328" fontId="179" fillId="0" borderId="0" applyFill="0" applyBorder="0" applyAlignment="0" applyProtection="0"/>
    <xf numFmtId="208" fontId="55" fillId="0" borderId="0" applyFill="0" applyBorder="0" applyProtection="0">
      <alignment horizontal="right" wrapText="1"/>
    </xf>
    <xf numFmtId="208" fontId="55" fillId="0" borderId="0" applyFill="0" applyBorder="0" applyProtection="0">
      <alignment horizontal="right" wrapText="1"/>
    </xf>
    <xf numFmtId="208" fontId="55" fillId="0" borderId="0" applyFill="0" applyBorder="0" applyProtection="0">
      <alignment horizontal="right" wrapText="1"/>
    </xf>
    <xf numFmtId="208" fontId="61" fillId="0" borderId="0" applyFill="0" applyBorder="0" applyProtection="0">
      <alignment horizontal="right" wrapText="1"/>
    </xf>
    <xf numFmtId="208" fontId="61" fillId="0" borderId="0" applyFill="0" applyBorder="0" applyProtection="0">
      <alignment horizontal="right" wrapText="1"/>
    </xf>
    <xf numFmtId="208" fontId="61" fillId="0" borderId="0" applyFill="0" applyBorder="0" applyProtection="0">
      <alignment horizontal="right" wrapText="1"/>
    </xf>
    <xf numFmtId="208" fontId="61" fillId="0" borderId="0" applyFill="0" applyBorder="0" applyProtection="0">
      <alignment horizontal="right" wrapText="1"/>
    </xf>
    <xf numFmtId="308" fontId="55" fillId="0" borderId="0" applyFill="0" applyBorder="0" applyProtection="0">
      <alignment horizontal="right" wrapText="1"/>
    </xf>
    <xf numFmtId="308" fontId="55" fillId="0" borderId="0" applyFill="0" applyBorder="0" applyProtection="0">
      <alignment horizontal="right" wrapText="1"/>
    </xf>
    <xf numFmtId="308" fontId="55" fillId="0" borderId="0" applyFill="0" applyBorder="0" applyProtection="0">
      <alignment horizontal="right" wrapText="1"/>
    </xf>
    <xf numFmtId="308" fontId="55" fillId="0" borderId="0" applyFill="0" applyBorder="0" applyProtection="0">
      <alignment horizontal="right" wrapText="1"/>
    </xf>
    <xf numFmtId="308" fontId="55" fillId="0" borderId="0" applyFill="0" applyBorder="0" applyProtection="0">
      <alignment horizontal="right" wrapText="1"/>
    </xf>
    <xf numFmtId="308" fontId="55" fillId="0" borderId="0" applyFill="0" applyBorder="0" applyProtection="0">
      <alignment horizontal="right" wrapText="1"/>
    </xf>
    <xf numFmtId="308" fontId="61" fillId="0" borderId="0" applyFill="0" applyBorder="0" applyProtection="0">
      <alignment horizontal="right" wrapText="1"/>
    </xf>
    <xf numFmtId="308" fontId="61" fillId="0" borderId="0" applyFill="0" applyBorder="0" applyProtection="0">
      <alignment horizontal="right" wrapText="1"/>
    </xf>
    <xf numFmtId="308" fontId="61" fillId="0" borderId="0" applyFill="0" applyBorder="0" applyProtection="0">
      <alignment horizontal="right" wrapText="1"/>
    </xf>
    <xf numFmtId="308" fontId="61" fillId="0" borderId="0" applyFill="0" applyBorder="0" applyProtection="0">
      <alignment horizontal="right" wrapText="1"/>
    </xf>
    <xf numFmtId="308" fontId="61" fillId="0" borderId="0" applyFill="0" applyBorder="0" applyProtection="0">
      <alignment horizontal="right" wrapText="1"/>
    </xf>
    <xf numFmtId="308" fontId="61" fillId="0" borderId="0" applyFill="0" applyBorder="0" applyProtection="0">
      <alignment horizontal="right" wrapText="1"/>
    </xf>
    <xf numFmtId="214" fontId="55" fillId="0" borderId="0" applyFont="0" applyFill="0" applyBorder="0" applyAlignment="0" applyProtection="0"/>
    <xf numFmtId="0" fontId="286" fillId="0" borderId="0" applyNumberFormat="0" applyAlignment="0">
      <alignment vertical="top"/>
    </xf>
    <xf numFmtId="38" fontId="287" fillId="0" borderId="0" applyFont="0" applyFill="0" applyBorder="0" applyAlignment="0" applyProtection="0"/>
    <xf numFmtId="40" fontId="288" fillId="0" borderId="0" applyFont="0" applyFill="0" applyBorder="0" applyAlignment="0" applyProtection="0"/>
    <xf numFmtId="38" fontId="288" fillId="0" borderId="0" applyFont="0" applyFill="0" applyBorder="0" applyAlignment="0" applyProtection="0"/>
    <xf numFmtId="0" fontId="249" fillId="0" borderId="0">
      <alignment horizontal="left"/>
    </xf>
    <xf numFmtId="0" fontId="289" fillId="64" borderId="58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123" fillId="0" borderId="21">
      <alignment horizontal="center"/>
    </xf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289" fillId="64" borderId="58" applyNumberFormat="0" applyAlignment="0" applyProtection="0"/>
    <xf numFmtId="40" fontId="290" fillId="44" borderId="0">
      <alignment horizontal="right"/>
    </xf>
    <xf numFmtId="0" fontId="291" fillId="44" borderId="0">
      <alignment horizontal="right"/>
    </xf>
    <xf numFmtId="0" fontId="292" fillId="44" borderId="85"/>
    <xf numFmtId="0" fontId="292" fillId="0" borderId="0" applyBorder="0">
      <alignment horizontal="centerContinuous"/>
    </xf>
    <xf numFmtId="0" fontId="293" fillId="0" borderId="0" applyBorder="0">
      <alignment horizontal="centerContinuous"/>
    </xf>
    <xf numFmtId="37" fontId="56" fillId="0" borderId="44">
      <protection locked="0"/>
    </xf>
    <xf numFmtId="37" fontId="56" fillId="0" borderId="44">
      <protection locked="0"/>
    </xf>
    <xf numFmtId="37" fontId="56" fillId="0" borderId="44">
      <protection locked="0"/>
    </xf>
    <xf numFmtId="37" fontId="56" fillId="0" borderId="44">
      <protection locked="0"/>
    </xf>
    <xf numFmtId="37" fontId="56" fillId="0" borderId="44">
      <protection locked="0"/>
    </xf>
    <xf numFmtId="37" fontId="56" fillId="0" borderId="44">
      <protection locked="0"/>
    </xf>
    <xf numFmtId="37" fontId="56" fillId="0" borderId="44">
      <protection locked="0"/>
    </xf>
    <xf numFmtId="37" fontId="56" fillId="0" borderId="44">
      <protection locked="0"/>
    </xf>
    <xf numFmtId="37" fontId="56" fillId="0" borderId="44">
      <protection locked="0"/>
    </xf>
    <xf numFmtId="37" fontId="56" fillId="0" borderId="44">
      <protection locked="0"/>
    </xf>
    <xf numFmtId="37" fontId="56" fillId="0" borderId="44">
      <protection locked="0"/>
    </xf>
    <xf numFmtId="37" fontId="56" fillId="0" borderId="44">
      <protection locked="0"/>
    </xf>
    <xf numFmtId="37" fontId="56" fillId="0" borderId="44">
      <protection locked="0"/>
    </xf>
    <xf numFmtId="0" fontId="147" fillId="0" borderId="71" applyNumberFormat="0" applyFill="0" applyAlignment="0" applyProtection="0"/>
    <xf numFmtId="0" fontId="137" fillId="0" borderId="70" applyNumberFormat="0" applyFill="0" applyAlignment="0" applyProtection="0"/>
    <xf numFmtId="0" fontId="82" fillId="0" borderId="54" applyNumberFormat="0" applyFill="0" applyAlignment="0" applyProtection="0"/>
    <xf numFmtId="0" fontId="82" fillId="0" borderId="0" applyNumberFormat="0" applyFill="0" applyBorder="0" applyAlignment="0" applyProtection="0"/>
    <xf numFmtId="0" fontId="294" fillId="0" borderId="0" applyNumberFormat="0" applyFill="0" applyBorder="0">
      <alignment horizontal="left"/>
    </xf>
    <xf numFmtId="0" fontId="294" fillId="0" borderId="0" applyNumberFormat="0" applyFill="0" applyBorder="0">
      <alignment horizontal="left"/>
    </xf>
    <xf numFmtId="0" fontId="260" fillId="0" borderId="0" applyFill="0" applyBorder="0" applyProtection="0">
      <alignment horizontal="left"/>
    </xf>
    <xf numFmtId="0" fontId="295" fillId="0" borderId="0" applyFill="0" applyBorder="0" applyProtection="0">
      <alignment horizontal="left"/>
    </xf>
    <xf numFmtId="1" fontId="296" fillId="0" borderId="0" applyProtection="0">
      <alignment horizontal="right" vertical="center"/>
    </xf>
    <xf numFmtId="172" fontId="52" fillId="0" borderId="0"/>
    <xf numFmtId="0" fontId="297" fillId="0" borderId="86" applyNumberFormat="0" applyAlignment="0" applyProtection="0"/>
    <xf numFmtId="0" fontId="59" fillId="61" borderId="0" applyNumberFormat="0" applyFont="0" applyBorder="0" applyAlignment="0" applyProtection="0"/>
    <xf numFmtId="0" fontId="55" fillId="98" borderId="64" applyNumberFormat="0" applyFont="0" applyBorder="0" applyAlignment="0" applyProtection="0">
      <alignment horizontal="center"/>
    </xf>
    <xf numFmtId="0" fontId="55" fillId="98" borderId="64" applyNumberFormat="0" applyFont="0" applyBorder="0" applyAlignment="0" applyProtection="0">
      <alignment horizontal="center"/>
    </xf>
    <xf numFmtId="0" fontId="55" fillId="80" borderId="64" applyNumberFormat="0" applyFont="0" applyBorder="0" applyAlignment="0" applyProtection="0">
      <alignment horizontal="center"/>
    </xf>
    <xf numFmtId="0" fontId="55" fillId="80" borderId="64" applyNumberFormat="0" applyFont="0" applyBorder="0" applyAlignment="0" applyProtection="0">
      <alignment horizontal="center"/>
    </xf>
    <xf numFmtId="0" fontId="59" fillId="0" borderId="87" applyNumberFormat="0" applyAlignment="0" applyProtection="0"/>
    <xf numFmtId="0" fontId="59" fillId="0" borderId="88" applyNumberFormat="0" applyAlignment="0" applyProtection="0"/>
    <xf numFmtId="0" fontId="59" fillId="0" borderId="88" applyNumberFormat="0" applyAlignment="0" applyProtection="0"/>
    <xf numFmtId="0" fontId="59" fillId="0" borderId="88" applyNumberFormat="0" applyAlignment="0" applyProtection="0"/>
    <xf numFmtId="0" fontId="59" fillId="0" borderId="88" applyNumberFormat="0" applyAlignment="0" applyProtection="0"/>
    <xf numFmtId="0" fontId="59" fillId="0" borderId="88" applyNumberFormat="0" applyAlignment="0" applyProtection="0"/>
    <xf numFmtId="0" fontId="59" fillId="0" borderId="88" applyNumberFormat="0" applyAlignment="0" applyProtection="0"/>
    <xf numFmtId="0" fontId="59" fillId="0" borderId="88" applyNumberFormat="0" applyAlignment="0" applyProtection="0"/>
    <xf numFmtId="0" fontId="59" fillId="0" borderId="88" applyNumberFormat="0" applyAlignment="0" applyProtection="0"/>
    <xf numFmtId="0" fontId="59" fillId="0" borderId="88" applyNumberFormat="0" applyAlignment="0" applyProtection="0"/>
    <xf numFmtId="0" fontId="59" fillId="0" borderId="88" applyNumberFormat="0" applyAlignment="0" applyProtection="0"/>
    <xf numFmtId="0" fontId="59" fillId="0" borderId="88" applyNumberFormat="0" applyAlignment="0" applyProtection="0"/>
    <xf numFmtId="0" fontId="297" fillId="0" borderId="89" applyNumberFormat="0" applyAlignment="0" applyProtection="0"/>
    <xf numFmtId="0" fontId="298" fillId="0" borderId="0" applyNumberFormat="0">
      <alignment horizontal="center" vertical="center"/>
    </xf>
    <xf numFmtId="267" fontId="182" fillId="0" borderId="0">
      <alignment horizontal="right"/>
    </xf>
    <xf numFmtId="14" fontId="75" fillId="0" borderId="0">
      <alignment horizontal="center" wrapText="1"/>
      <protection locked="0"/>
    </xf>
    <xf numFmtId="14" fontId="75" fillId="0" borderId="0">
      <alignment horizontal="center" wrapText="1"/>
      <protection locked="0"/>
    </xf>
    <xf numFmtId="0" fontId="89" fillId="0" borderId="0"/>
    <xf numFmtId="330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331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332" fontId="184" fillId="0" borderId="0" applyFont="0" applyFill="0" applyBorder="0" applyAlignment="0" applyProtection="0"/>
    <xf numFmtId="333" fontId="299" fillId="0" borderId="0" applyFill="0" applyBorder="0" applyAlignment="0" applyProtection="0"/>
    <xf numFmtId="334" fontId="299" fillId="0" borderId="31" applyFill="0" applyBorder="0" applyAlignment="0" applyProtection="0">
      <alignment horizontal="right"/>
      <protection locked="0"/>
    </xf>
    <xf numFmtId="10" fontId="60" fillId="0" borderId="0" applyFont="0" applyFill="0" applyBorder="0" applyAlignment="0" applyProtection="0"/>
    <xf numFmtId="10" fontId="60" fillId="0" borderId="0" applyFont="0" applyFill="0" applyBorder="0" applyAlignment="0" applyProtection="0"/>
    <xf numFmtId="10" fontId="60" fillId="0" borderId="0" applyFont="0" applyFill="0" applyBorder="0" applyAlignment="0" applyProtection="0"/>
    <xf numFmtId="10" fontId="60" fillId="0" borderId="0" applyFont="0" applyFill="0" applyBorder="0" applyAlignment="0" applyProtection="0"/>
    <xf numFmtId="10" fontId="60" fillId="0" borderId="0" applyFont="0" applyFill="0" applyBorder="0" applyAlignment="0" applyProtection="0"/>
    <xf numFmtId="10" fontId="60" fillId="0" borderId="0" applyFont="0" applyFill="0" applyBorder="0" applyAlignment="0" applyProtection="0"/>
    <xf numFmtId="10" fontId="60" fillId="0" borderId="0" applyFont="0" applyFill="0" applyBorder="0" applyAlignment="0" applyProtection="0"/>
    <xf numFmtId="10" fontId="60" fillId="0" borderId="0" applyFont="0" applyFill="0" applyBorder="0" applyAlignment="0" applyProtection="0"/>
    <xf numFmtId="10" fontId="60" fillId="0" borderId="0" applyFont="0" applyFill="0" applyBorder="0" applyAlignment="0" applyProtection="0"/>
    <xf numFmtId="335" fontId="299" fillId="0" borderId="0" applyFill="0" applyBorder="0" applyAlignment="0" applyProtection="0"/>
    <xf numFmtId="336" fontId="299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300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ill="0" applyBorder="0" applyAlignment="0" applyProtection="0"/>
    <xf numFmtId="9" fontId="60" fillId="0" borderId="0" applyFont="0" applyFill="0" applyBorder="0" applyAlignment="0" applyProtection="0"/>
    <xf numFmtId="9" fontId="30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302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0" fillId="0" borderId="0" applyFont="0" applyFill="0" applyBorder="0" applyAlignment="0" applyProtection="0"/>
    <xf numFmtId="186" fontId="75" fillId="0" borderId="0" applyFont="0" applyFill="0" applyBorder="0" applyProtection="0">
      <alignment horizontal="right"/>
    </xf>
    <xf numFmtId="0" fontId="106" fillId="46" borderId="56" applyNumberFormat="0" applyFont="0" applyAlignment="0" applyProtection="0">
      <alignment vertical="center"/>
    </xf>
    <xf numFmtId="0" fontId="81" fillId="108" borderId="0" applyBorder="0" applyAlignment="0">
      <protection locked="0"/>
    </xf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10" fontId="94" fillId="0" borderId="0" applyFont="0" applyFill="0" applyBorder="0" applyAlignment="0" applyProtection="0"/>
    <xf numFmtId="10" fontId="94" fillId="0" borderId="0" applyFont="0" applyFill="0" applyBorder="0" applyAlignment="0" applyProtection="0"/>
    <xf numFmtId="9" fontId="93" fillId="0" borderId="0" applyFont="0" applyFill="0" applyBorder="0" applyAlignment="0" applyProtection="0">
      <protection locked="0"/>
    </xf>
    <xf numFmtId="169" fontId="93" fillId="0" borderId="0" applyFont="0" applyFill="0" applyBorder="0" applyAlignment="0" applyProtection="0">
      <protection locked="0"/>
    </xf>
    <xf numFmtId="10" fontId="93" fillId="0" borderId="0" applyFont="0" applyFill="0" applyBorder="0" applyAlignment="0" applyProtection="0">
      <protection locked="0"/>
    </xf>
    <xf numFmtId="9" fontId="94" fillId="0" borderId="13" applyNumberFormat="0" applyBorder="0"/>
    <xf numFmtId="9" fontId="94" fillId="0" borderId="13" applyNumberFormat="0" applyBorder="0"/>
    <xf numFmtId="337" fontId="55" fillId="0" borderId="0" applyFont="0" applyFill="0" applyBorder="0" applyAlignment="0" applyProtection="0"/>
    <xf numFmtId="0" fontId="303" fillId="0" borderId="0"/>
    <xf numFmtId="338" fontId="304" fillId="0" borderId="82" applyFill="0" applyAlignment="0">
      <alignment horizontal="right"/>
    </xf>
    <xf numFmtId="338" fontId="304" fillId="0" borderId="82" applyFill="0" applyAlignment="0">
      <alignment horizontal="right"/>
    </xf>
    <xf numFmtId="338" fontId="304" fillId="0" borderId="82" applyFill="0" applyAlignment="0">
      <alignment horizontal="right"/>
    </xf>
    <xf numFmtId="9" fontId="60" fillId="0" borderId="0" applyFont="0" applyFill="0" applyBorder="0" applyAlignment="0" applyProtection="0"/>
    <xf numFmtId="4" fontId="166" fillId="81" borderId="72" applyNumberFormat="0" applyProtection="0">
      <alignment vertical="center"/>
    </xf>
    <xf numFmtId="9" fontId="352" fillId="0" borderId="0" applyFont="0" applyFill="0" applyBorder="0" applyAlignment="0" applyProtection="0"/>
    <xf numFmtId="9" fontId="35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05" fillId="0" borderId="0" applyFont="0" applyFill="0" applyBorder="0" applyAlignment="0" applyProtection="0"/>
    <xf numFmtId="0" fontId="60" fillId="0" borderId="0" applyFill="0" applyBorder="0" applyAlignment="0"/>
    <xf numFmtId="40" fontId="152" fillId="0" borderId="0" applyFont="0" applyFill="0" applyBorder="0" applyAlignment="0" applyProtection="0"/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179" fontId="203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0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202" fontId="60" fillId="0" borderId="0" applyFill="0" applyBorder="0" applyAlignment="0"/>
    <xf numFmtId="178" fontId="60" fillId="0" borderId="0" applyFill="0" applyBorder="0" applyAlignment="0"/>
    <xf numFmtId="178" fontId="60" fillId="0" borderId="0" applyFill="0" applyBorder="0" applyAlignment="0"/>
    <xf numFmtId="178" fontId="60" fillId="0" borderId="0" applyFill="0" applyBorder="0" applyAlignment="0"/>
    <xf numFmtId="178" fontId="60" fillId="0" borderId="0" applyFill="0" applyBorder="0" applyAlignment="0"/>
    <xf numFmtId="179" fontId="203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193" fontId="60" fillId="0" borderId="0" applyFill="0" applyBorder="0" applyAlignment="0"/>
    <xf numFmtId="0" fontId="306" fillId="0" borderId="0"/>
    <xf numFmtId="37" fontId="56" fillId="0" borderId="0">
      <protection locked="0"/>
    </xf>
    <xf numFmtId="339" fontId="61" fillId="0" borderId="0" applyFill="0" applyBorder="0" applyProtection="0">
      <alignment horizontal="right"/>
    </xf>
    <xf numFmtId="1" fontId="307" fillId="38" borderId="0">
      <alignment horizontal="center"/>
    </xf>
    <xf numFmtId="0" fontId="94" fillId="0" borderId="0" applyNumberFormat="0" applyFont="0" applyFill="0" applyBorder="0" applyAlignment="0" applyProtection="0">
      <alignment horizontal="left"/>
    </xf>
    <xf numFmtId="0" fontId="141" fillId="0" borderId="0">
      <alignment horizontal="left" indent="2"/>
    </xf>
    <xf numFmtId="0" fontId="94" fillId="0" borderId="0" applyNumberFormat="0" applyFont="0" applyFill="0" applyBorder="0" applyAlignment="0" applyProtection="0">
      <alignment horizontal="left"/>
    </xf>
    <xf numFmtId="15" fontId="94" fillId="0" borderId="0" applyFont="0" applyFill="0" applyBorder="0" applyAlignment="0" applyProtection="0"/>
    <xf numFmtId="4" fontId="94" fillId="0" borderId="0" applyFont="0" applyFill="0" applyBorder="0" applyAlignment="0" applyProtection="0"/>
    <xf numFmtId="0" fontId="123" fillId="0" borderId="21">
      <alignment horizontal="center"/>
    </xf>
    <xf numFmtId="0" fontId="123" fillId="0" borderId="21">
      <alignment horizontal="center"/>
    </xf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0" fontId="94" fillId="112" borderId="0" applyNumberFormat="0" applyFont="0" applyBorder="0" applyAlignment="0" applyProtection="0"/>
    <xf numFmtId="0" fontId="94" fillId="112" borderId="0" applyNumberFormat="0" applyFont="0" applyBorder="0" applyAlignment="0" applyProtection="0"/>
    <xf numFmtId="39" fontId="308" fillId="0" borderId="0" applyNumberFormat="0">
      <alignment horizontal="right"/>
    </xf>
    <xf numFmtId="340" fontId="55" fillId="0" borderId="0"/>
    <xf numFmtId="340" fontId="55" fillId="0" borderId="0"/>
    <xf numFmtId="340" fontId="55" fillId="0" borderId="0"/>
    <xf numFmtId="340" fontId="55" fillId="0" borderId="0"/>
    <xf numFmtId="340" fontId="55" fillId="0" borderId="0"/>
    <xf numFmtId="209" fontId="309" fillId="0" borderId="0" applyNumberFormat="0" applyFill="0" applyBorder="0" applyAlignment="0" applyProtection="0">
      <alignment horizontal="left"/>
    </xf>
    <xf numFmtId="37" fontId="60" fillId="0" borderId="0" applyFont="0" applyFill="0" applyBorder="0" applyAlignment="0" applyProtection="0"/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0" fontId="305" fillId="0" borderId="0" applyFont="0" applyFill="0" applyBorder="0" applyAlignment="0" applyProtection="0"/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49" fontId="310" fillId="0" borderId="0" applyNumberFormat="0" applyFont="0" applyBorder="0" applyAlignment="0">
      <alignment vertical="center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198" fontId="60" fillId="0" borderId="55" applyBorder="0">
      <alignment horizontal="right"/>
    </xf>
    <xf numFmtId="0" fontId="95" fillId="0" borderId="0"/>
    <xf numFmtId="0" fontId="95" fillId="0" borderId="0"/>
    <xf numFmtId="1" fontId="232" fillId="104" borderId="0"/>
    <xf numFmtId="0" fontId="311" fillId="0" borderId="0"/>
    <xf numFmtId="233" fontId="94" fillId="31" borderId="74" applyNumberFormat="0" applyFont="0" applyBorder="0" applyAlignment="0" applyProtection="0">
      <alignment horizontal="center"/>
    </xf>
    <xf numFmtId="233" fontId="94" fillId="31" borderId="74" applyNumberFormat="0" applyFont="0" applyBorder="0" applyAlignment="0" applyProtection="0">
      <alignment horizontal="center"/>
    </xf>
    <xf numFmtId="341" fontId="312" fillId="0" borderId="0" applyNumberFormat="0" applyFill="0" applyBorder="0" applyAlignment="0" applyProtection="0">
      <alignment horizontal="left"/>
    </xf>
    <xf numFmtId="38" fontId="313" fillId="0" borderId="0"/>
    <xf numFmtId="342" fontId="55" fillId="0" borderId="0">
      <alignment vertical="center"/>
    </xf>
    <xf numFmtId="0" fontId="114" fillId="0" borderId="0">
      <alignment horizontal="left" vertical="center"/>
    </xf>
    <xf numFmtId="342" fontId="55" fillId="0" borderId="0">
      <alignment vertical="center"/>
    </xf>
    <xf numFmtId="343" fontId="114" fillId="0" borderId="0">
      <alignment horizontal="left" vertical="center"/>
    </xf>
    <xf numFmtId="235" fontId="314" fillId="0" borderId="0">
      <alignment horizontal="left" vertical="center" indent="1"/>
    </xf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259" fillId="0" borderId="90">
      <alignment vertical="center"/>
    </xf>
    <xf numFmtId="0" fontId="259" fillId="0" borderId="90">
      <alignment vertical="center"/>
    </xf>
    <xf numFmtId="0" fontId="53" fillId="51" borderId="0" applyNumberFormat="0" applyBorder="0" applyAlignment="0" applyProtection="0"/>
    <xf numFmtId="0" fontId="259" fillId="0" borderId="90">
      <alignment vertical="center"/>
    </xf>
    <xf numFmtId="0" fontId="53" fillId="31" borderId="0" applyNumberFormat="0" applyBorder="0" applyAlignment="0" applyProtection="0"/>
    <xf numFmtId="0" fontId="259" fillId="0" borderId="90">
      <alignment vertical="center"/>
    </xf>
    <xf numFmtId="0" fontId="53" fillId="36" borderId="0" applyNumberFormat="0" applyBorder="0" applyAlignment="0" applyProtection="0"/>
    <xf numFmtId="0" fontId="259" fillId="0" borderId="90">
      <alignment vertical="center"/>
    </xf>
    <xf numFmtId="0" fontId="259" fillId="0" borderId="90">
      <alignment vertical="center"/>
    </xf>
    <xf numFmtId="0" fontId="259" fillId="0" borderId="90">
      <alignment vertical="center"/>
    </xf>
    <xf numFmtId="0" fontId="259" fillId="0" borderId="90">
      <alignment vertical="center"/>
    </xf>
    <xf numFmtId="0" fontId="259" fillId="0" borderId="90">
      <alignment vertical="center"/>
    </xf>
    <xf numFmtId="0" fontId="259" fillId="0" borderId="90">
      <alignment vertical="center"/>
    </xf>
    <xf numFmtId="0" fontId="259" fillId="0" borderId="90">
      <alignment vertical="center"/>
    </xf>
    <xf numFmtId="0" fontId="259" fillId="0" borderId="90">
      <alignment vertical="center"/>
    </xf>
    <xf numFmtId="4" fontId="166" fillId="81" borderId="72" applyNumberFormat="0" applyProtection="0">
      <alignment vertical="center"/>
    </xf>
    <xf numFmtId="4" fontId="166" fillId="81" borderId="72" applyNumberFormat="0" applyProtection="0">
      <alignment vertical="center"/>
    </xf>
    <xf numFmtId="4" fontId="166" fillId="81" borderId="72" applyNumberFormat="0" applyProtection="0">
      <alignment vertical="center"/>
    </xf>
    <xf numFmtId="4" fontId="166" fillId="81" borderId="72" applyNumberFormat="0" applyProtection="0">
      <alignment vertical="center"/>
    </xf>
    <xf numFmtId="4" fontId="166" fillId="81" borderId="72" applyNumberFormat="0" applyProtection="0">
      <alignment vertical="center"/>
    </xf>
    <xf numFmtId="4" fontId="166" fillId="81" borderId="72" applyNumberFormat="0" applyProtection="0">
      <alignment vertical="center"/>
    </xf>
    <xf numFmtId="4" fontId="166" fillId="81" borderId="72" applyNumberFormat="0" applyProtection="0">
      <alignment vertical="center"/>
    </xf>
    <xf numFmtId="4" fontId="166" fillId="81" borderId="72" applyNumberFormat="0" applyProtection="0">
      <alignment vertical="center"/>
    </xf>
    <xf numFmtId="4" fontId="166" fillId="81" borderId="72" applyNumberFormat="0" applyProtection="0">
      <alignment vertical="center"/>
    </xf>
    <xf numFmtId="4" fontId="166" fillId="81" borderId="72" applyNumberFormat="0" applyProtection="0">
      <alignment vertical="center"/>
    </xf>
    <xf numFmtId="4" fontId="166" fillId="81" borderId="72" applyNumberFormat="0" applyProtection="0">
      <alignment vertical="center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0" fontId="136" fillId="81" borderId="72" applyNumberFormat="0" applyProtection="0">
      <alignment horizontal="left" vertical="top" indent="1"/>
    </xf>
    <xf numFmtId="4" fontId="88" fillId="48" borderId="72" applyNumberFormat="0" applyProtection="0">
      <alignment horizontal="right" vertical="center"/>
    </xf>
    <xf numFmtId="4" fontId="88" fillId="48" borderId="72" applyNumberFormat="0" applyProtection="0">
      <alignment horizontal="right" vertical="center"/>
    </xf>
    <xf numFmtId="4" fontId="88" fillId="48" borderId="72" applyNumberFormat="0" applyProtection="0">
      <alignment horizontal="right" vertical="center"/>
    </xf>
    <xf numFmtId="4" fontId="88" fillId="48" borderId="72" applyNumberFormat="0" applyProtection="0">
      <alignment horizontal="right" vertical="center"/>
    </xf>
    <xf numFmtId="4" fontId="88" fillId="48" borderId="72" applyNumberFormat="0" applyProtection="0">
      <alignment horizontal="right" vertical="center"/>
    </xf>
    <xf numFmtId="4" fontId="88" fillId="48" borderId="72" applyNumberFormat="0" applyProtection="0">
      <alignment horizontal="right" vertical="center"/>
    </xf>
    <xf numFmtId="4" fontId="88" fillId="48" borderId="72" applyNumberFormat="0" applyProtection="0">
      <alignment horizontal="right" vertical="center"/>
    </xf>
    <xf numFmtId="4" fontId="88" fillId="48" borderId="72" applyNumberFormat="0" applyProtection="0">
      <alignment horizontal="right" vertical="center"/>
    </xf>
    <xf numFmtId="4" fontId="88" fillId="48" borderId="72" applyNumberFormat="0" applyProtection="0">
      <alignment horizontal="right" vertical="center"/>
    </xf>
    <xf numFmtId="4" fontId="88" fillId="48" borderId="72" applyNumberFormat="0" applyProtection="0">
      <alignment horizontal="right" vertical="center"/>
    </xf>
    <xf numFmtId="4" fontId="88" fillId="48" borderId="72" applyNumberFormat="0" applyProtection="0">
      <alignment horizontal="right" vertical="center"/>
    </xf>
    <xf numFmtId="235" fontId="315" fillId="0" borderId="91">
      <alignment vertical="center"/>
    </xf>
    <xf numFmtId="235" fontId="315" fillId="0" borderId="91">
      <alignment vertical="center"/>
    </xf>
    <xf numFmtId="235" fontId="315" fillId="0" borderId="91">
      <alignment vertical="center"/>
    </xf>
    <xf numFmtId="235" fontId="315" fillId="0" borderId="91">
      <alignment vertical="center"/>
    </xf>
    <xf numFmtId="293" fontId="60" fillId="0" borderId="0" applyFont="0" applyFill="0" applyBorder="0" applyAlignment="0" applyProtection="0"/>
    <xf numFmtId="344" fontId="60" fillId="0" borderId="0" applyFont="0" applyFill="0" applyBorder="0" applyAlignment="0" applyProtection="0"/>
    <xf numFmtId="0" fontId="316" fillId="0" borderId="0" applyNumberFormat="0" applyFill="0" applyBorder="0" applyAlignment="0" applyProtection="0"/>
    <xf numFmtId="0" fontId="94" fillId="0" borderId="92"/>
    <xf numFmtId="0" fontId="94" fillId="0" borderId="92"/>
    <xf numFmtId="0" fontId="94" fillId="0" borderId="92"/>
    <xf numFmtId="0" fontId="94" fillId="0" borderId="92"/>
    <xf numFmtId="0" fontId="94" fillId="0" borderId="92"/>
    <xf numFmtId="0" fontId="94" fillId="0" borderId="92"/>
    <xf numFmtId="0" fontId="94" fillId="0" borderId="92"/>
    <xf numFmtId="0" fontId="94" fillId="0" borderId="92"/>
    <xf numFmtId="0" fontId="94" fillId="0" borderId="92"/>
    <xf numFmtId="0" fontId="94" fillId="0" borderId="92"/>
    <xf numFmtId="0" fontId="94" fillId="0" borderId="92"/>
    <xf numFmtId="0" fontId="94" fillId="0" borderId="92"/>
    <xf numFmtId="0" fontId="317" fillId="38" borderId="93">
      <alignment horizontal="center"/>
    </xf>
    <xf numFmtId="0" fontId="205" fillId="85" borderId="0">
      <alignment horizontal="right" vertical="center" wrapText="1"/>
    </xf>
    <xf numFmtId="0" fontId="318" fillId="91" borderId="0">
      <alignment horizontal="right" vertical="center"/>
    </xf>
    <xf numFmtId="1" fontId="59" fillId="0" borderId="0" applyBorder="0">
      <alignment horizontal="left" vertical="top" wrapText="1"/>
    </xf>
    <xf numFmtId="0" fontId="305" fillId="0" borderId="0"/>
    <xf numFmtId="0" fontId="81" fillId="0" borderId="94"/>
    <xf numFmtId="0" fontId="81" fillId="0" borderId="94"/>
    <xf numFmtId="0" fontId="81" fillId="0" borderId="94"/>
    <xf numFmtId="0" fontId="81" fillId="0" borderId="94"/>
    <xf numFmtId="0" fontId="81" fillId="0" borderId="94"/>
    <xf numFmtId="0" fontId="81" fillId="0" borderId="94"/>
    <xf numFmtId="0" fontId="81" fillId="0" borderId="94"/>
    <xf numFmtId="0" fontId="81" fillId="0" borderId="94"/>
    <xf numFmtId="0" fontId="81" fillId="0" borderId="94"/>
    <xf numFmtId="0" fontId="81" fillId="0" borderId="94"/>
    <xf numFmtId="0" fontId="81" fillId="0" borderId="94"/>
    <xf numFmtId="0" fontId="81" fillId="0" borderId="94"/>
    <xf numFmtId="0" fontId="81" fillId="0" borderId="94"/>
    <xf numFmtId="0" fontId="60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/>
    <xf numFmtId="0" fontId="319" fillId="44" borderId="0" applyNumberFormat="0" applyProtection="0">
      <alignment horizontal="center" vertical="center"/>
    </xf>
    <xf numFmtId="4" fontId="88" fillId="44" borderId="0" applyProtection="0">
      <alignment horizontal="center" vertical="center"/>
    </xf>
    <xf numFmtId="0" fontId="277" fillId="44" borderId="0" applyNumberFormat="0" applyProtection="0">
      <alignment horizontal="center" vertical="center"/>
    </xf>
    <xf numFmtId="4" fontId="111" fillId="44" borderId="0" applyProtection="0">
      <alignment horizontal="center" vertical="center"/>
    </xf>
    <xf numFmtId="0" fontId="213" fillId="100" borderId="0" applyNumberFormat="0" applyProtection="0">
      <alignment horizontal="center" vertical="center"/>
    </xf>
    <xf numFmtId="4" fontId="67" fillId="47" borderId="0" applyProtection="0">
      <alignment horizontal="center" vertical="center"/>
    </xf>
    <xf numFmtId="4" fontId="86" fillId="100" borderId="0" applyProtection="0">
      <alignment horizontal="center" vertical="center"/>
    </xf>
    <xf numFmtId="0" fontId="320" fillId="44" borderId="0" applyNumberFormat="0" applyProtection="0">
      <alignment horizontal="center" vertical="center"/>
    </xf>
    <xf numFmtId="4" fontId="321" fillId="44" borderId="0" applyProtection="0">
      <alignment horizontal="center" vertical="center"/>
    </xf>
    <xf numFmtId="0" fontId="319" fillId="44" borderId="0" applyNumberFormat="0" applyProtection="0">
      <alignment horizontal="center" vertical="center"/>
    </xf>
    <xf numFmtId="4" fontId="322" fillId="100" borderId="0" applyProtection="0">
      <alignment horizontal="center" vertical="center"/>
    </xf>
    <xf numFmtId="0" fontId="60" fillId="0" borderId="95" applyAlignment="0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188" fontId="60" fillId="0" borderId="0" applyFont="0" applyFill="0" applyBorder="0" applyAlignment="0"/>
    <xf numFmtId="0" fontId="95" fillId="0" borderId="7"/>
    <xf numFmtId="188" fontId="60" fillId="0" borderId="0" applyFont="0" applyFill="0" applyBorder="0" applyAlignment="0"/>
    <xf numFmtId="0" fontId="95" fillId="0" borderId="7"/>
    <xf numFmtId="188" fontId="60" fillId="0" borderId="0" applyFont="0" applyFill="0" applyBorder="0" applyAlignment="0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95" fillId="0" borderId="7"/>
    <xf numFmtId="0" fontId="60" fillId="0" borderId="95" applyAlignment="0"/>
    <xf numFmtId="0" fontId="60" fillId="0" borderId="95" applyAlignment="0"/>
    <xf numFmtId="0" fontId="60" fillId="0" borderId="95" applyAlignment="0"/>
    <xf numFmtId="0" fontId="60" fillId="0" borderId="95" applyAlignment="0"/>
    <xf numFmtId="0" fontId="60" fillId="0" borderId="95" applyAlignment="0"/>
    <xf numFmtId="0" fontId="60" fillId="0" borderId="95" applyAlignment="0"/>
    <xf numFmtId="0" fontId="323" fillId="0" borderId="0" applyNumberFormat="0" applyBorder="0" applyAlignment="0">
      <alignment horizontal="justify" vertical="center" wrapText="1"/>
    </xf>
    <xf numFmtId="0" fontId="324" fillId="89" borderId="0">
      <alignment vertical="center" wrapText="1"/>
    </xf>
    <xf numFmtId="0" fontId="325" fillId="0" borderId="0" applyFill="0" applyBorder="0" applyProtection="0">
      <alignment horizontal="left"/>
    </xf>
    <xf numFmtId="0" fontId="326" fillId="55" borderId="0"/>
    <xf numFmtId="188" fontId="60" fillId="0" borderId="0" applyFont="0" applyFill="0" applyBorder="0" applyAlignment="0"/>
    <xf numFmtId="188" fontId="60" fillId="0" borderId="0" applyFont="0" applyFill="0" applyBorder="0" applyAlignment="0"/>
    <xf numFmtId="188" fontId="60" fillId="0" borderId="0" applyFont="0" applyFill="0" applyBorder="0" applyAlignment="0"/>
    <xf numFmtId="49" fontId="88" fillId="0" borderId="0" applyFill="0" applyBorder="0" applyAlignment="0"/>
    <xf numFmtId="345" fontId="60" fillId="0" borderId="0" applyFill="0" applyBorder="0" applyAlignment="0"/>
    <xf numFmtId="346" fontId="60" fillId="0" borderId="0" applyFill="0" applyBorder="0" applyAlignment="0"/>
    <xf numFmtId="0" fontId="327" fillId="113" borderId="0">
      <alignment horizontal="left"/>
    </xf>
    <xf numFmtId="0" fontId="141" fillId="0" borderId="0">
      <alignment horizontal="left" indent="1"/>
    </xf>
    <xf numFmtId="0" fontId="164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347" fontId="154" fillId="0" borderId="0" applyFill="0" applyBorder="0" applyAlignment="0" applyProtection="0">
      <alignment horizontal="right"/>
    </xf>
    <xf numFmtId="0" fontId="144" fillId="0" borderId="0" applyFill="0" applyBorder="0" applyProtection="0">
      <alignment horizontal="left" vertical="top"/>
    </xf>
    <xf numFmtId="40" fontId="99" fillId="0" borderId="0"/>
    <xf numFmtId="0" fontId="328" fillId="87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5" fillId="38" borderId="45" applyNumberFormat="0" applyAlignment="0" applyProtection="0">
      <alignment vertical="center"/>
    </xf>
    <xf numFmtId="0" fontId="147" fillId="0" borderId="71" applyNumberFormat="0" applyFill="0" applyAlignment="0" applyProtection="0"/>
    <xf numFmtId="0" fontId="137" fillId="0" borderId="70" applyNumberFormat="0" applyFill="0" applyAlignment="0" applyProtection="0"/>
    <xf numFmtId="0" fontId="82" fillId="0" borderId="54" applyNumberFormat="0" applyFill="0" applyAlignment="0" applyProtection="0"/>
    <xf numFmtId="0" fontId="55" fillId="0" borderId="0" applyFont="0" applyFill="0" applyBorder="0">
      <alignment horizontal="left"/>
    </xf>
    <xf numFmtId="0" fontId="329" fillId="0" borderId="62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29" fillId="0" borderId="62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30" fillId="0" borderId="41" applyNumberFormat="0" applyFill="0" applyAlignment="0" applyProtection="0"/>
    <xf numFmtId="0" fontId="109" fillId="0" borderId="96"/>
    <xf numFmtId="0" fontId="237" fillId="0" borderId="96"/>
    <xf numFmtId="0" fontId="109" fillId="0" borderId="7"/>
    <xf numFmtId="0" fontId="109" fillId="0" borderId="7"/>
    <xf numFmtId="0" fontId="109" fillId="0" borderId="7"/>
    <xf numFmtId="0" fontId="109" fillId="0" borderId="7"/>
    <xf numFmtId="0" fontId="109" fillId="0" borderId="7"/>
    <xf numFmtId="0" fontId="109" fillId="0" borderId="7"/>
    <xf numFmtId="0" fontId="109" fillId="0" borderId="7"/>
    <xf numFmtId="0" fontId="109" fillId="0" borderId="7"/>
    <xf numFmtId="0" fontId="237" fillId="0" borderId="7"/>
    <xf numFmtId="0" fontId="237" fillId="0" borderId="7"/>
    <xf numFmtId="0" fontId="237" fillId="0" borderId="7"/>
    <xf numFmtId="0" fontId="237" fillId="0" borderId="7"/>
    <xf numFmtId="0" fontId="237" fillId="0" borderId="7"/>
    <xf numFmtId="0" fontId="237" fillId="0" borderId="7"/>
    <xf numFmtId="0" fontId="237" fillId="0" borderId="7"/>
    <xf numFmtId="0" fontId="237" fillId="0" borderId="7"/>
    <xf numFmtId="0" fontId="237" fillId="0" borderId="7"/>
    <xf numFmtId="0" fontId="237" fillId="0" borderId="7"/>
    <xf numFmtId="0" fontId="237" fillId="0" borderId="7"/>
    <xf numFmtId="0" fontId="237" fillId="0" borderId="7"/>
    <xf numFmtId="0" fontId="237" fillId="0" borderId="7"/>
    <xf numFmtId="0" fontId="237" fillId="0" borderId="7"/>
    <xf numFmtId="220" fontId="60" fillId="0" borderId="0" applyFont="0" applyFill="0" applyBorder="0" applyAlignment="0" applyProtection="0"/>
    <xf numFmtId="179" fontId="272" fillId="0" borderId="0">
      <alignment horizontal="left"/>
      <protection locked="0"/>
    </xf>
    <xf numFmtId="0" fontId="60" fillId="93" borderId="0"/>
    <xf numFmtId="0" fontId="60" fillId="93" borderId="0"/>
    <xf numFmtId="0" fontId="60" fillId="93" borderId="0"/>
    <xf numFmtId="0" fontId="60" fillId="93" borderId="0"/>
    <xf numFmtId="0" fontId="60" fillId="93" borderId="0"/>
    <xf numFmtId="0" fontId="60" fillId="93" borderId="0"/>
    <xf numFmtId="348" fontId="94" fillId="0" borderId="0"/>
    <xf numFmtId="349" fontId="94" fillId="0" borderId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63" fillId="38" borderId="45" applyNumberFormat="0" applyAlignment="0" applyProtection="0"/>
    <xf numFmtId="0" fontId="53" fillId="95" borderId="0" applyNumberFormat="0" applyBorder="0" applyAlignment="0" applyProtection="0"/>
    <xf numFmtId="0" fontId="53" fillId="53" borderId="0" applyNumberFormat="0" applyBorder="0" applyAlignment="0" applyProtection="0"/>
    <xf numFmtId="0" fontId="53" fillId="85" borderId="0" applyNumberFormat="0" applyBorder="0" applyAlignment="0" applyProtection="0"/>
    <xf numFmtId="350" fontId="60" fillId="0" borderId="0" applyFont="0" applyFill="0" applyBorder="0" applyAlignment="0" applyProtection="0"/>
    <xf numFmtId="323" fontId="60" fillId="0" borderId="0" applyFont="0" applyFill="0" applyBorder="0" applyAlignment="0" applyProtection="0"/>
    <xf numFmtId="351" fontId="60" fillId="0" borderId="0" applyFont="0" applyFill="0" applyBorder="0" applyAlignment="0" applyProtection="0"/>
    <xf numFmtId="0" fontId="330" fillId="0" borderId="0"/>
    <xf numFmtId="0" fontId="164" fillId="0" borderId="0" applyNumberFormat="0" applyFill="0" applyBorder="0" applyAlignment="0" applyProtection="0"/>
    <xf numFmtId="352" fontId="60" fillId="0" borderId="0" applyFont="0" applyFill="0" applyBorder="0" applyAlignment="0" applyProtection="0"/>
    <xf numFmtId="0" fontId="33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331" fillId="0" borderId="0" applyNumberFormat="0" applyFill="0" applyBorder="0" applyAlignment="0" applyProtection="0"/>
    <xf numFmtId="0" fontId="81" fillId="0" borderId="97" applyNumberFormat="0" applyAlignment="0"/>
    <xf numFmtId="209" fontId="263" fillId="0" borderId="0" applyNumberFormat="0" applyFill="0" applyBorder="0" applyAlignment="0" applyProtection="0"/>
    <xf numFmtId="40" fontId="61" fillId="0" borderId="0">
      <alignment horizontal="left" wrapText="1"/>
    </xf>
    <xf numFmtId="353" fontId="94" fillId="0" borderId="0"/>
    <xf numFmtId="0" fontId="332" fillId="0" borderId="0" applyNumberFormat="0" applyFill="0" applyBorder="0" applyAlignment="0" applyProtection="0">
      <alignment vertical="top"/>
      <protection locked="0"/>
    </xf>
    <xf numFmtId="3" fontId="104" fillId="0" borderId="0">
      <alignment horizontal="right"/>
    </xf>
    <xf numFmtId="38" fontId="152" fillId="0" borderId="0" applyFont="0" applyFill="0" applyBorder="0" applyAlignment="0" applyProtection="0"/>
    <xf numFmtId="0" fontId="152" fillId="0" borderId="0" applyFont="0" applyFill="0" applyBorder="0" applyAlignment="0" applyProtection="0"/>
    <xf numFmtId="10" fontId="60" fillId="0" borderId="0" applyFont="0" applyFill="0" applyBorder="0" applyAlignment="0" applyProtection="0"/>
    <xf numFmtId="0" fontId="333" fillId="0" borderId="0"/>
    <xf numFmtId="350" fontId="60" fillId="0" borderId="0" applyFont="0" applyFill="0" applyBorder="0" applyAlignment="0" applyProtection="0"/>
    <xf numFmtId="354" fontId="60" fillId="0" borderId="0" applyFont="0" applyFill="0" applyBorder="0" applyAlignment="0" applyProtection="0"/>
    <xf numFmtId="355" fontId="334" fillId="0" borderId="0" applyFont="0" applyFill="0" applyBorder="0" applyAlignment="0" applyProtection="0"/>
    <xf numFmtId="356" fontId="334" fillId="0" borderId="0" applyFont="0" applyFill="0" applyBorder="0" applyAlignment="0" applyProtection="0"/>
    <xf numFmtId="0" fontId="203" fillId="0" borderId="0"/>
    <xf numFmtId="49" fontId="335" fillId="0" borderId="0" applyNumberFormat="0" applyFont="0" applyBorder="0" applyAlignment="0">
      <alignment vertical="center"/>
    </xf>
    <xf numFmtId="176" fontId="106" fillId="0" borderId="0" applyFont="0" applyFill="0" applyBorder="0" applyAlignment="0" applyProtection="0"/>
    <xf numFmtId="176" fontId="106" fillId="0" borderId="0" applyFont="0" applyFill="0" applyBorder="0" applyAlignment="0" applyProtection="0">
      <alignment vertical="center"/>
    </xf>
    <xf numFmtId="176" fontId="106" fillId="0" borderId="0" applyFont="0" applyFill="0" applyBorder="0" applyAlignment="0" applyProtection="0">
      <alignment vertical="center"/>
    </xf>
    <xf numFmtId="176" fontId="106" fillId="0" borderId="0" applyFont="0" applyFill="0" applyBorder="0" applyAlignment="0" applyProtection="0"/>
    <xf numFmtId="199" fontId="106" fillId="0" borderId="0" applyFont="0" applyFill="0" applyBorder="0" applyAlignment="0" applyProtection="0">
      <alignment vertical="center"/>
    </xf>
    <xf numFmtId="176" fontId="106" fillId="0" borderId="0" applyFont="0" applyFill="0" applyBorder="0" applyAlignment="0" applyProtection="0">
      <alignment vertical="center"/>
    </xf>
    <xf numFmtId="0" fontId="183" fillId="61" borderId="0" applyNumberFormat="0" applyBorder="0" applyAlignment="0" applyProtection="0">
      <alignment vertical="center"/>
    </xf>
    <xf numFmtId="0" fontId="183" fillId="61" borderId="0" applyNumberFormat="0" applyBorder="0" applyAlignment="0" applyProtection="0">
      <alignment vertical="center"/>
    </xf>
    <xf numFmtId="0" fontId="183" fillId="61" borderId="0" applyNumberFormat="0" applyBorder="0" applyAlignment="0" applyProtection="0">
      <alignment vertical="center"/>
    </xf>
    <xf numFmtId="0" fontId="183" fillId="61" borderId="0" applyNumberFormat="0" applyBorder="0" applyAlignment="0" applyProtection="0">
      <alignment vertical="center"/>
    </xf>
    <xf numFmtId="0" fontId="183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183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/>
    <xf numFmtId="0" fontId="183" fillId="61" borderId="0" applyNumberFormat="0" applyBorder="0" applyAlignment="0" applyProtection="0">
      <alignment vertical="center"/>
    </xf>
    <xf numFmtId="0" fontId="183" fillId="90" borderId="0" applyNumberFormat="0" applyBorder="0" applyAlignment="0" applyProtection="0">
      <alignment vertical="center"/>
    </xf>
    <xf numFmtId="0" fontId="183" fillId="90" borderId="0" applyNumberFormat="0" applyBorder="0" applyAlignment="0" applyProtection="0">
      <alignment vertical="center"/>
    </xf>
    <xf numFmtId="0" fontId="91" fillId="61" borderId="0" applyNumberFormat="0" applyBorder="0" applyAlignment="0" applyProtection="0"/>
    <xf numFmtId="0" fontId="183" fillId="61" borderId="0" applyNumberFormat="0" applyBorder="0" applyAlignment="0" applyProtection="0">
      <alignment vertical="center"/>
    </xf>
    <xf numFmtId="0" fontId="183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273" fillId="48" borderId="0" applyNumberFormat="0" applyBorder="0" applyAlignment="0" applyProtection="0">
      <alignment vertical="center"/>
    </xf>
    <xf numFmtId="0" fontId="273" fillId="48" borderId="0" applyNumberFormat="0" applyBorder="0" applyAlignment="0" applyProtection="0">
      <alignment vertical="center"/>
    </xf>
    <xf numFmtId="0" fontId="273" fillId="48" borderId="0" applyNumberFormat="0" applyBorder="0" applyAlignment="0" applyProtection="0">
      <alignment vertical="center"/>
    </xf>
    <xf numFmtId="0" fontId="273" fillId="48" borderId="0" applyNumberFormat="0" applyBorder="0" applyAlignment="0" applyProtection="0">
      <alignment vertical="center"/>
    </xf>
    <xf numFmtId="0" fontId="273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273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/>
    <xf numFmtId="0" fontId="273" fillId="48" borderId="0" applyNumberFormat="0" applyBorder="0" applyAlignment="0" applyProtection="0">
      <alignment vertical="center"/>
    </xf>
    <xf numFmtId="0" fontId="273" fillId="52" borderId="0" applyNumberFormat="0" applyBorder="0" applyAlignment="0" applyProtection="0">
      <alignment vertical="center"/>
    </xf>
    <xf numFmtId="0" fontId="74" fillId="48" borderId="0" applyNumberFormat="0" applyBorder="0" applyAlignment="0" applyProtection="0"/>
    <xf numFmtId="0" fontId="273" fillId="48" borderId="0" applyNumberFormat="0" applyBorder="0" applyAlignment="0" applyProtection="0">
      <alignment vertical="center"/>
    </xf>
    <xf numFmtId="0" fontId="273" fillId="48" borderId="0" applyNumberFormat="0" applyBorder="0" applyAlignment="0" applyProtection="0">
      <alignment vertical="center"/>
    </xf>
    <xf numFmtId="0" fontId="273" fillId="48" borderId="0" applyNumberFormat="0" applyBorder="0" applyAlignment="0" applyProtection="0">
      <alignment vertical="center"/>
    </xf>
    <xf numFmtId="0" fontId="74" fillId="48" borderId="0" applyNumberFormat="0" applyBorder="0" applyAlignment="0" applyProtection="0"/>
    <xf numFmtId="0" fontId="74" fillId="48" borderId="0" applyNumberFormat="0" applyBorder="0" applyAlignment="0" applyProtection="0"/>
    <xf numFmtId="0" fontId="59" fillId="0" borderId="0">
      <protection locked="0"/>
    </xf>
    <xf numFmtId="0" fontId="106" fillId="0" borderId="0"/>
    <xf numFmtId="0" fontId="88" fillId="0" borderId="0">
      <protection locked="0"/>
    </xf>
    <xf numFmtId="0" fontId="88" fillId="0" borderId="0">
      <protection locked="0"/>
    </xf>
    <xf numFmtId="0" fontId="88" fillId="0" borderId="0">
      <protection locked="0"/>
    </xf>
    <xf numFmtId="0" fontId="106" fillId="0" borderId="0"/>
    <xf numFmtId="0" fontId="106" fillId="0" borderId="0"/>
    <xf numFmtId="0" fontId="29" fillId="0" borderId="0">
      <alignment vertical="center"/>
    </xf>
    <xf numFmtId="0" fontId="52" fillId="0" borderId="0"/>
    <xf numFmtId="0" fontId="178" fillId="51" borderId="0" applyNumberFormat="0" applyBorder="0" applyAlignment="0" applyProtection="0">
      <alignment vertical="center"/>
    </xf>
    <xf numFmtId="0" fontId="178" fillId="85" borderId="0" applyNumberFormat="0" applyBorder="0" applyAlignment="0" applyProtection="0">
      <alignment vertical="center"/>
    </xf>
    <xf numFmtId="0" fontId="52" fillId="0" borderId="0"/>
    <xf numFmtId="0" fontId="336" fillId="0" borderId="0" applyNumberFormat="0" applyFill="0" applyBorder="0" applyAlignment="0" applyProtection="0">
      <alignment vertical="center"/>
    </xf>
    <xf numFmtId="0" fontId="337" fillId="0" borderId="71" applyNumberFormat="0" applyFill="0" applyAlignment="0" applyProtection="0">
      <alignment vertical="center"/>
    </xf>
    <xf numFmtId="0" fontId="338" fillId="0" borderId="54" applyNumberFormat="0" applyFill="0" applyAlignment="0" applyProtection="0">
      <alignment vertical="center"/>
    </xf>
    <xf numFmtId="0" fontId="338" fillId="0" borderId="0" applyNumberFormat="0" applyFill="0" applyBorder="0" applyAlignment="0" applyProtection="0">
      <alignment vertical="center"/>
    </xf>
    <xf numFmtId="0" fontId="336" fillId="0" borderId="0" applyNumberFormat="0" applyFill="0" applyBorder="0" applyAlignment="0" applyProtection="0">
      <alignment vertical="center"/>
    </xf>
    <xf numFmtId="0" fontId="52" fillId="0" borderId="0"/>
    <xf numFmtId="176" fontId="339" fillId="0" borderId="0" applyFont="0" applyFill="0" applyBorder="0" applyAlignment="0" applyProtection="0"/>
    <xf numFmtId="38" fontId="340" fillId="0" borderId="0" applyFont="0" applyFill="0" applyBorder="0" applyAlignment="0" applyProtection="0"/>
    <xf numFmtId="0" fontId="341" fillId="30" borderId="61" applyNumberFormat="0" applyAlignment="0" applyProtection="0">
      <alignment vertical="center"/>
    </xf>
    <xf numFmtId="0" fontId="340" fillId="0" borderId="0"/>
    <xf numFmtId="0" fontId="70" fillId="0" borderId="41" applyNumberFormat="0" applyFill="0" applyAlignment="0" applyProtection="0">
      <alignment vertical="center"/>
    </xf>
    <xf numFmtId="0" fontId="70" fillId="0" borderId="51" applyNumberFormat="0" applyFill="0" applyAlignment="0" applyProtection="0">
      <alignment vertical="center"/>
    </xf>
    <xf numFmtId="0" fontId="70" fillId="0" borderId="51" applyNumberFormat="0" applyFill="0" applyAlignment="0" applyProtection="0">
      <alignment vertical="center"/>
    </xf>
    <xf numFmtId="0" fontId="70" fillId="0" borderId="51" applyNumberFormat="0" applyFill="0" applyAlignment="0" applyProtection="0">
      <alignment vertical="center"/>
    </xf>
    <xf numFmtId="0" fontId="70" fillId="0" borderId="51" applyNumberFormat="0" applyFill="0" applyAlignment="0" applyProtection="0">
      <alignment vertical="center"/>
    </xf>
    <xf numFmtId="0" fontId="70" fillId="0" borderId="51" applyNumberFormat="0" applyFill="0" applyAlignment="0" applyProtection="0">
      <alignment vertical="center"/>
    </xf>
    <xf numFmtId="0" fontId="70" fillId="0" borderId="51" applyNumberFormat="0" applyFill="0" applyAlignment="0" applyProtection="0">
      <alignment vertical="center"/>
    </xf>
    <xf numFmtId="0" fontId="70" fillId="0" borderId="41" applyNumberFormat="0" applyFill="0" applyAlignment="0" applyProtection="0">
      <alignment vertical="center"/>
    </xf>
    <xf numFmtId="0" fontId="70" fillId="0" borderId="41" applyNumberFormat="0" applyFill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0" fontId="106" fillId="46" borderId="56" applyNumberFormat="0" applyFont="0" applyAlignment="0" applyProtection="0">
      <alignment vertical="center"/>
    </xf>
    <xf numFmtId="9" fontId="106" fillId="0" borderId="0" applyFont="0" applyFill="0" applyBorder="0" applyAlignment="0" applyProtection="0"/>
    <xf numFmtId="9" fontId="88" fillId="0" borderId="0" applyFont="0" applyFill="0" applyBorder="0" applyAlignment="0" applyProtection="0"/>
    <xf numFmtId="3" fontId="104" fillId="0" borderId="0" applyBorder="0" applyProtection="0"/>
    <xf numFmtId="164" fontId="339" fillId="0" borderId="0" applyFont="0" applyFill="0" applyBorder="0" applyAlignment="0" applyProtection="0"/>
    <xf numFmtId="167" fontId="339" fillId="0" borderId="0" applyFont="0" applyFill="0" applyBorder="0" applyAlignment="0" applyProtection="0"/>
    <xf numFmtId="0" fontId="342" fillId="0" borderId="0" applyNumberFormat="0" applyFill="0" applyBorder="0" applyAlignment="0" applyProtection="0">
      <alignment vertical="top"/>
      <protection locked="0"/>
    </xf>
    <xf numFmtId="0" fontId="343" fillId="0" borderId="0" applyNumberFormat="0" applyFill="0" applyBorder="0" applyAlignment="0" applyProtection="0">
      <alignment vertical="center"/>
    </xf>
    <xf numFmtId="3" fontId="104" fillId="0" borderId="0" applyBorder="0" applyProtection="0">
      <alignment horizontal="right"/>
    </xf>
    <xf numFmtId="0" fontId="344" fillId="0" borderId="0" applyNumberFormat="0" applyFill="0" applyBorder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345" fillId="44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90" fillId="38" borderId="43" applyNumberFormat="0" applyAlignment="0" applyProtection="0">
      <alignment vertical="center"/>
    </xf>
    <xf numFmtId="0" fontId="196" fillId="0" borderId="0" applyNumberFormat="0" applyFill="0" applyBorder="0" applyAlignment="0" applyProtection="0">
      <alignment vertical="top"/>
      <protection locked="0"/>
    </xf>
    <xf numFmtId="0" fontId="134" fillId="28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34" fillId="81" borderId="43" applyNumberFormat="0" applyAlignment="0" applyProtection="0">
      <alignment vertical="center"/>
    </xf>
    <xf numFmtId="0" fontId="134" fillId="81" borderId="43" applyNumberFormat="0" applyAlignment="0" applyProtection="0">
      <alignment vertical="center"/>
    </xf>
    <xf numFmtId="0" fontId="134" fillId="81" borderId="43" applyNumberFormat="0" applyAlignment="0" applyProtection="0">
      <alignment vertical="center"/>
    </xf>
    <xf numFmtId="0" fontId="134" fillId="81" borderId="43" applyNumberFormat="0" applyAlignment="0" applyProtection="0">
      <alignment vertical="center"/>
    </xf>
    <xf numFmtId="0" fontId="134" fillId="81" borderId="43" applyNumberFormat="0" applyAlignment="0" applyProtection="0">
      <alignment vertical="center"/>
    </xf>
    <xf numFmtId="0" fontId="134" fillId="81" borderId="43" applyNumberFormat="0" applyAlignment="0" applyProtection="0">
      <alignment vertical="center"/>
    </xf>
    <xf numFmtId="0" fontId="134" fillId="81" borderId="43" applyNumberFormat="0" applyAlignment="0" applyProtection="0">
      <alignment vertical="center"/>
    </xf>
    <xf numFmtId="0" fontId="134" fillId="81" borderId="43" applyNumberFormat="0" applyAlignment="0" applyProtection="0">
      <alignment vertical="center"/>
    </xf>
    <xf numFmtId="0" fontId="134" fillId="81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34" fillId="28" borderId="43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105" fillId="44" borderId="45" applyNumberFormat="0" applyAlignment="0" applyProtection="0">
      <alignment vertical="center"/>
    </xf>
    <xf numFmtId="0" fontId="105" fillId="44" borderId="45" applyNumberFormat="0" applyAlignment="0" applyProtection="0">
      <alignment vertical="center"/>
    </xf>
    <xf numFmtId="0" fontId="105" fillId="44" borderId="45" applyNumberFormat="0" applyAlignment="0" applyProtection="0">
      <alignment vertical="center"/>
    </xf>
    <xf numFmtId="0" fontId="105" fillId="44" borderId="45" applyNumberFormat="0" applyAlignment="0" applyProtection="0">
      <alignment vertical="center"/>
    </xf>
    <xf numFmtId="0" fontId="105" fillId="44" borderId="45" applyNumberFormat="0" applyAlignment="0" applyProtection="0">
      <alignment vertical="center"/>
    </xf>
    <xf numFmtId="0" fontId="105" fillId="44" borderId="45" applyNumberFormat="0" applyAlignment="0" applyProtection="0">
      <alignment vertical="center"/>
    </xf>
    <xf numFmtId="0" fontId="105" fillId="44" borderId="45" applyNumberFormat="0" applyAlignment="0" applyProtection="0">
      <alignment vertical="center"/>
    </xf>
    <xf numFmtId="0" fontId="105" fillId="44" borderId="45" applyNumberFormat="0" applyAlignment="0" applyProtection="0">
      <alignment vertical="center"/>
    </xf>
    <xf numFmtId="0" fontId="105" fillId="44" borderId="45" applyNumberFormat="0" applyAlignment="0" applyProtection="0">
      <alignment vertical="center"/>
    </xf>
    <xf numFmtId="0" fontId="105" fillId="44" borderId="45" applyNumberFormat="0" applyAlignment="0" applyProtection="0">
      <alignment vertical="center"/>
    </xf>
    <xf numFmtId="0" fontId="105" fillId="44" borderId="45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105" fillId="38" borderId="45" applyNumberFormat="0" applyAlignment="0" applyProtection="0">
      <alignment vertical="center"/>
    </xf>
    <xf numFmtId="0" fontId="346" fillId="81" borderId="0" applyNumberFormat="0" applyBorder="0" applyAlignment="0" applyProtection="0">
      <alignment vertical="center"/>
    </xf>
    <xf numFmtId="3" fontId="347" fillId="0" borderId="0" applyBorder="0" applyAlignment="0">
      <alignment horizontal="right"/>
      <protection locked="0"/>
    </xf>
    <xf numFmtId="3" fontId="348" fillId="0" borderId="0" applyBorder="0" applyAlignment="0">
      <alignment horizontal="right"/>
      <protection locked="0"/>
    </xf>
    <xf numFmtId="0" fontId="349" fillId="0" borderId="68" applyNumberFormat="0" applyFill="0" applyAlignment="0" applyProtection="0">
      <alignment vertical="center"/>
    </xf>
    <xf numFmtId="0" fontId="14" fillId="0" borderId="0"/>
    <xf numFmtId="0" fontId="373" fillId="0" borderId="0"/>
    <xf numFmtId="0" fontId="228" fillId="0" borderId="0" applyNumberFormat="0" applyFill="0" applyBorder="0" applyAlignment="0" applyProtection="0"/>
    <xf numFmtId="176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9" fontId="373" fillId="0" borderId="0" applyFont="0" applyFill="0" applyBorder="0" applyAlignment="0" applyProtection="0"/>
    <xf numFmtId="43" fontId="14" fillId="0" borderId="0" applyFont="0" applyFill="0" applyBorder="0" applyAlignment="0" applyProtection="0"/>
    <xf numFmtId="176" fontId="11" fillId="0" borderId="0" applyFont="0" applyFill="0" applyBorder="0" applyAlignment="0" applyProtection="0"/>
    <xf numFmtId="0" fontId="390" fillId="0" borderId="0" applyNumberFormat="0" applyFill="0" applyBorder="0" applyAlignment="0" applyProtection="0"/>
  </cellStyleXfs>
  <cellXfs count="840">
    <xf numFmtId="0" fontId="0" fillId="0" borderId="0" xfId="0"/>
    <xf numFmtId="0" fontId="18" fillId="0" borderId="0" xfId="0" applyFont="1"/>
    <xf numFmtId="358" fontId="0" fillId="0" borderId="0" xfId="0" applyNumberFormat="1"/>
    <xf numFmtId="0" fontId="19" fillId="0" borderId="0" xfId="0" applyFont="1"/>
    <xf numFmtId="0" fontId="21" fillId="0" borderId="0" xfId="0" applyFont="1"/>
    <xf numFmtId="0" fontId="0" fillId="2" borderId="0" xfId="0" applyFill="1"/>
    <xf numFmtId="0" fontId="0" fillId="0" borderId="1" xfId="0" applyBorder="1"/>
    <xf numFmtId="180" fontId="18" fillId="3" borderId="0" xfId="0" applyNumberFormat="1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176" fontId="0" fillId="0" borderId="0" xfId="0" applyNumberFormat="1"/>
    <xf numFmtId="0" fontId="18" fillId="0" borderId="0" xfId="0" applyFont="1" applyAlignment="1">
      <alignment wrapText="1"/>
    </xf>
    <xf numFmtId="176" fontId="22" fillId="0" borderId="0" xfId="4" applyFont="1"/>
    <xf numFmtId="176" fontId="22" fillId="0" borderId="0" xfId="4" applyFont="1" applyFill="1"/>
    <xf numFmtId="176" fontId="0" fillId="0" borderId="0" xfId="4" applyFont="1"/>
    <xf numFmtId="0" fontId="0" fillId="0" borderId="0" xfId="0" applyAlignment="1">
      <alignment wrapText="1"/>
    </xf>
    <xf numFmtId="176" fontId="0" fillId="0" borderId="0" xfId="4" applyFont="1" applyFill="1"/>
    <xf numFmtId="176" fontId="22" fillId="0" borderId="0" xfId="3002" applyFont="1" applyFill="1" applyBorder="1" applyAlignment="1">
      <alignment horizontal="right" vertical="center"/>
    </xf>
    <xf numFmtId="176" fontId="22" fillId="0" borderId="0" xfId="4" applyFont="1" applyFill="1" applyBorder="1"/>
    <xf numFmtId="176" fontId="0" fillId="0" borderId="0" xfId="4" applyFont="1" applyFill="1" applyBorder="1"/>
    <xf numFmtId="176" fontId="22" fillId="0" borderId="0" xfId="3002" applyFont="1" applyFill="1" applyAlignment="1">
      <alignment horizontal="right" vertical="center"/>
    </xf>
    <xf numFmtId="359" fontId="0" fillId="0" borderId="0" xfId="4" applyNumberFormat="1" applyFont="1"/>
    <xf numFmtId="0" fontId="23" fillId="0" borderId="0" xfId="0" applyFont="1"/>
    <xf numFmtId="176" fontId="22" fillId="0" borderId="0" xfId="3002" applyFont="1" applyFill="1" applyBorder="1" applyAlignment="1">
      <alignment horizontal="right"/>
    </xf>
    <xf numFmtId="176" fontId="22" fillId="0" borderId="0" xfId="4" applyFont="1" applyFill="1" applyAlignment="1"/>
    <xf numFmtId="176" fontId="0" fillId="0" borderId="0" xfId="4" applyFont="1" applyFill="1" applyAlignment="1"/>
    <xf numFmtId="0" fontId="0" fillId="4" borderId="0" xfId="0" applyFill="1"/>
    <xf numFmtId="358" fontId="22" fillId="0" borderId="0" xfId="4" applyNumberFormat="1" applyFont="1"/>
    <xf numFmtId="10" fontId="0" fillId="0" borderId="0" xfId="24" applyNumberFormat="1" applyFont="1"/>
    <xf numFmtId="176" fontId="23" fillId="0" borderId="0" xfId="0" applyNumberFormat="1" applyFont="1"/>
    <xf numFmtId="0" fontId="18" fillId="0" borderId="2" xfId="0" applyFont="1" applyBorder="1"/>
    <xf numFmtId="176" fontId="18" fillId="0" borderId="2" xfId="0" applyNumberFormat="1" applyFont="1" applyBorder="1"/>
    <xf numFmtId="176" fontId="23" fillId="0" borderId="0" xfId="4" applyFont="1"/>
    <xf numFmtId="0" fontId="0" fillId="0" borderId="2" xfId="0" applyBorder="1"/>
    <xf numFmtId="358" fontId="0" fillId="0" borderId="0" xfId="4" applyNumberFormat="1" applyFont="1" applyFill="1"/>
    <xf numFmtId="176" fontId="0" fillId="0" borderId="2" xfId="0" applyNumberFormat="1" applyBorder="1"/>
    <xf numFmtId="176" fontId="18" fillId="0" borderId="0" xfId="0" applyNumberFormat="1" applyFont="1"/>
    <xf numFmtId="176" fontId="21" fillId="0" borderId="0" xfId="0" applyNumberFormat="1" applyFont="1"/>
    <xf numFmtId="176" fontId="19" fillId="0" borderId="0" xfId="0" applyNumberFormat="1" applyFont="1"/>
    <xf numFmtId="176" fontId="22" fillId="0" borderId="2" xfId="0" applyNumberFormat="1" applyFont="1" applyBorder="1"/>
    <xf numFmtId="176" fontId="22" fillId="0" borderId="0" xfId="0" applyNumberFormat="1" applyFont="1"/>
    <xf numFmtId="176" fontId="0" fillId="4" borderId="0" xfId="0" applyNumberFormat="1" applyFill="1"/>
    <xf numFmtId="176" fontId="22" fillId="2" borderId="0" xfId="4" applyFont="1" applyFill="1"/>
    <xf numFmtId="176" fontId="0" fillId="2" borderId="0" xfId="0" applyNumberFormat="1" applyFill="1"/>
    <xf numFmtId="176" fontId="22" fillId="0" borderId="0" xfId="1906" applyFont="1" applyFill="1" applyBorder="1" applyAlignment="1">
      <alignment horizontal="right" vertical="center"/>
    </xf>
    <xf numFmtId="176" fontId="23" fillId="0" borderId="0" xfId="4" applyFont="1" applyFill="1"/>
    <xf numFmtId="176" fontId="0" fillId="0" borderId="0" xfId="4" applyFont="1" applyAlignment="1">
      <alignment horizontal="center"/>
    </xf>
    <xf numFmtId="0" fontId="18" fillId="0" borderId="0" xfId="0" applyFont="1" applyAlignment="1">
      <alignment horizontal="center"/>
    </xf>
    <xf numFmtId="0" fontId="23" fillId="0" borderId="0" xfId="1483" applyFont="1" applyFill="1" applyBorder="1" applyAlignment="1">
      <alignment vertical="center"/>
    </xf>
    <xf numFmtId="0" fontId="23" fillId="4" borderId="0" xfId="1483" applyFont="1" applyFill="1" applyBorder="1" applyAlignment="1">
      <alignment vertical="center"/>
    </xf>
    <xf numFmtId="43" fontId="0" fillId="0" borderId="0" xfId="0" applyNumberFormat="1"/>
    <xf numFmtId="0" fontId="23" fillId="0" borderId="1" xfId="1483" applyFont="1" applyFill="1" applyBorder="1" applyAlignment="1">
      <alignment vertical="center"/>
    </xf>
    <xf numFmtId="176" fontId="0" fillId="0" borderId="1" xfId="0" applyNumberFormat="1" applyBorder="1"/>
    <xf numFmtId="0" fontId="24" fillId="0" borderId="0" xfId="1483" applyFont="1" applyFill="1" applyBorder="1" applyAlignment="1">
      <alignment vertical="center"/>
    </xf>
    <xf numFmtId="0" fontId="25" fillId="0" borderId="0" xfId="1483" applyFont="1" applyFill="1" applyBorder="1" applyAlignment="1">
      <alignment vertical="center"/>
    </xf>
    <xf numFmtId="0" fontId="25" fillId="4" borderId="0" xfId="1483" applyFont="1" applyFill="1" applyBorder="1" applyAlignment="1">
      <alignment vertical="center"/>
    </xf>
    <xf numFmtId="166" fontId="0" fillId="0" borderId="0" xfId="0" applyNumberFormat="1"/>
    <xf numFmtId="0" fontId="23" fillId="0" borderId="0" xfId="0" applyFont="1" applyAlignment="1">
      <alignment horizontal="left" vertical="center" readingOrder="1"/>
    </xf>
    <xf numFmtId="298" fontId="0" fillId="0" borderId="0" xfId="0" applyNumberFormat="1"/>
    <xf numFmtId="4" fontId="26" fillId="0" borderId="0" xfId="0" applyNumberFormat="1" applyFont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Alignment="1">
      <alignment horizontal="left" vertical="center" readingOrder="1"/>
    </xf>
    <xf numFmtId="176" fontId="0" fillId="0" borderId="0" xfId="4" applyFont="1" applyBorder="1"/>
    <xf numFmtId="0" fontId="26" fillId="0" borderId="4" xfId="0" applyFont="1" applyBorder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10" fontId="19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360" fontId="0" fillId="0" borderId="0" xfId="0" applyNumberFormat="1"/>
    <xf numFmtId="9" fontId="0" fillId="0" borderId="0" xfId="24" applyFont="1"/>
    <xf numFmtId="176" fontId="0" fillId="0" borderId="0" xfId="4" applyFont="1" applyBorder="1" applyAlignment="1">
      <alignment horizontal="right" vertical="center"/>
    </xf>
    <xf numFmtId="176" fontId="0" fillId="2" borderId="0" xfId="4" applyFont="1" applyFill="1"/>
    <xf numFmtId="176" fontId="18" fillId="0" borderId="0" xfId="4" applyFont="1" applyBorder="1" applyAlignment="1">
      <alignment horizontal="right" vertical="center"/>
    </xf>
    <xf numFmtId="193" fontId="0" fillId="0" borderId="0" xfId="4" applyNumberFormat="1" applyFont="1"/>
    <xf numFmtId="193" fontId="0" fillId="0" borderId="0" xfId="0" applyNumberFormat="1"/>
    <xf numFmtId="0" fontId="28" fillId="0" borderId="5" xfId="0" applyFont="1" applyBorder="1" applyAlignment="1">
      <alignment vertical="center" wrapText="1"/>
    </xf>
    <xf numFmtId="0" fontId="28" fillId="0" borderId="6" xfId="0" applyFont="1" applyBorder="1" applyAlignment="1">
      <alignment vertical="center" wrapText="1"/>
    </xf>
    <xf numFmtId="10" fontId="0" fillId="0" borderId="0" xfId="24" applyNumberFormat="1" applyFont="1" applyFill="1" applyBorder="1"/>
    <xf numFmtId="0" fontId="0" fillId="0" borderId="0" xfId="0" applyAlignment="1">
      <alignment horizontal="right"/>
    </xf>
    <xf numFmtId="10" fontId="0" fillId="0" borderId="0" xfId="0" applyNumberFormat="1"/>
    <xf numFmtId="0" fontId="29" fillId="0" borderId="0" xfId="3358" applyAlignment="1">
      <alignment vertical="top" wrapText="1"/>
    </xf>
    <xf numFmtId="0" fontId="30" fillId="0" borderId="0" xfId="3358" applyFont="1" applyAlignment="1">
      <alignment horizontal="center" vertical="top" wrapText="1"/>
    </xf>
    <xf numFmtId="0" fontId="30" fillId="0" borderId="0" xfId="3358" applyFont="1"/>
    <xf numFmtId="0" fontId="29" fillId="0" borderId="0" xfId="3358"/>
    <xf numFmtId="0" fontId="29" fillId="0" borderId="0" xfId="3358" applyAlignment="1">
      <alignment horizontal="center" vertical="top"/>
    </xf>
    <xf numFmtId="2" fontId="29" fillId="0" borderId="0" xfId="3358" applyNumberFormat="1"/>
    <xf numFmtId="0" fontId="29" fillId="0" borderId="0" xfId="3358" applyAlignment="1">
      <alignment horizontal="left" vertical="top" wrapText="1"/>
    </xf>
    <xf numFmtId="0" fontId="29" fillId="0" borderId="0" xfId="3358" applyAlignment="1">
      <alignment horizontal="center" vertical="top" wrapText="1"/>
    </xf>
    <xf numFmtId="0" fontId="31" fillId="5" borderId="7" xfId="3358" applyFont="1" applyFill="1" applyBorder="1" applyAlignment="1">
      <alignment horizontal="right" vertical="top" wrapText="1"/>
    </xf>
    <xf numFmtId="0" fontId="29" fillId="6" borderId="7" xfId="3358" applyFill="1" applyBorder="1" applyAlignment="1">
      <alignment vertical="top" wrapText="1"/>
    </xf>
    <xf numFmtId="0" fontId="30" fillId="5" borderId="7" xfId="3358" applyFont="1" applyFill="1" applyBorder="1" applyAlignment="1">
      <alignment horizontal="right" vertical="top" wrapText="1"/>
    </xf>
    <xf numFmtId="0" fontId="30" fillId="7" borderId="7" xfId="3358" applyFont="1" applyFill="1" applyBorder="1" applyAlignment="1">
      <alignment horizontal="center" vertical="top" wrapText="1"/>
    </xf>
    <xf numFmtId="2" fontId="31" fillId="7" borderId="7" xfId="3358" applyNumberFormat="1" applyFont="1" applyFill="1" applyBorder="1" applyAlignment="1">
      <alignment horizontal="center" vertical="top" wrapText="1"/>
    </xf>
    <xf numFmtId="0" fontId="30" fillId="8" borderId="7" xfId="3358" applyFont="1" applyFill="1" applyBorder="1" applyAlignment="1">
      <alignment horizontal="center" vertical="top"/>
    </xf>
    <xf numFmtId="0" fontId="30" fillId="8" borderId="8" xfId="3358" applyFont="1" applyFill="1" applyBorder="1" applyAlignment="1">
      <alignment vertical="top" wrapText="1"/>
    </xf>
    <xf numFmtId="2" fontId="30" fillId="8" borderId="9" xfId="3358" applyNumberFormat="1" applyFont="1" applyFill="1" applyBorder="1" applyAlignment="1">
      <alignment vertical="top" wrapText="1"/>
    </xf>
    <xf numFmtId="0" fontId="29" fillId="0" borderId="7" xfId="3358" applyBorder="1" applyAlignment="1">
      <alignment horizontal="center" vertical="top"/>
    </xf>
    <xf numFmtId="0" fontId="32" fillId="9" borderId="7" xfId="3358" applyFont="1" applyFill="1" applyBorder="1"/>
    <xf numFmtId="2" fontId="32" fillId="9" borderId="7" xfId="3358" applyNumberFormat="1" applyFont="1" applyFill="1" applyBorder="1"/>
    <xf numFmtId="0" fontId="29" fillId="0" borderId="7" xfId="3358" applyBorder="1"/>
    <xf numFmtId="2" fontId="32" fillId="10" borderId="7" xfId="3358" applyNumberFormat="1" applyFont="1" applyFill="1" applyBorder="1"/>
    <xf numFmtId="0" fontId="32" fillId="0" borderId="7" xfId="3358" applyFont="1" applyBorder="1"/>
    <xf numFmtId="2" fontId="32" fillId="11" borderId="7" xfId="3358" applyNumberFormat="1" applyFont="1" applyFill="1" applyBorder="1"/>
    <xf numFmtId="2" fontId="29" fillId="10" borderId="7" xfId="3358" applyNumberFormat="1" applyFill="1" applyBorder="1"/>
    <xf numFmtId="0" fontId="30" fillId="12" borderId="7" xfId="3358" applyFont="1" applyFill="1" applyBorder="1"/>
    <xf numFmtId="2" fontId="30" fillId="12" borderId="7" xfId="3358" applyNumberFormat="1" applyFont="1" applyFill="1" applyBorder="1"/>
    <xf numFmtId="0" fontId="29" fillId="12" borderId="7" xfId="3358" applyFill="1" applyBorder="1"/>
    <xf numFmtId="2" fontId="29" fillId="12" borderId="7" xfId="3358" applyNumberFormat="1" applyFill="1" applyBorder="1"/>
    <xf numFmtId="2" fontId="29" fillId="2" borderId="7" xfId="3358" applyNumberFormat="1" applyFill="1" applyBorder="1"/>
    <xf numFmtId="2" fontId="29" fillId="0" borderId="7" xfId="3358" applyNumberFormat="1" applyBorder="1"/>
    <xf numFmtId="0" fontId="30" fillId="8" borderId="8" xfId="3358" applyFont="1" applyFill="1" applyBorder="1" applyAlignment="1">
      <alignment wrapText="1"/>
    </xf>
    <xf numFmtId="2" fontId="30" fillId="8" borderId="9" xfId="3358" applyNumberFormat="1" applyFont="1" applyFill="1" applyBorder="1" applyAlignment="1">
      <alignment wrapText="1"/>
    </xf>
    <xf numFmtId="0" fontId="32" fillId="9" borderId="8" xfId="3358" applyFont="1" applyFill="1" applyBorder="1" applyAlignment="1">
      <alignment horizontal="left" wrapText="1"/>
    </xf>
    <xf numFmtId="49" fontId="29" fillId="10" borderId="7" xfId="3358" applyNumberFormat="1" applyFill="1" applyBorder="1"/>
    <xf numFmtId="2" fontId="30" fillId="8" borderId="10" xfId="3358" applyNumberFormat="1" applyFont="1" applyFill="1" applyBorder="1" applyAlignment="1">
      <alignment wrapText="1"/>
    </xf>
    <xf numFmtId="2" fontId="30" fillId="8" borderId="7" xfId="3358" applyNumberFormat="1" applyFont="1" applyFill="1" applyBorder="1" applyAlignment="1">
      <alignment wrapText="1"/>
    </xf>
    <xf numFmtId="2" fontId="29" fillId="11" borderId="7" xfId="3358" applyNumberFormat="1" applyFill="1" applyBorder="1"/>
    <xf numFmtId="0" fontId="29" fillId="0" borderId="7" xfId="3358" applyBorder="1" applyAlignment="1">
      <alignment wrapText="1"/>
    </xf>
    <xf numFmtId="0" fontId="30" fillId="0" borderId="0" xfId="3358" applyFont="1" applyAlignment="1">
      <alignment horizontal="left" vertical="top" wrapText="1"/>
    </xf>
    <xf numFmtId="0" fontId="30" fillId="0" borderId="0" xfId="3358" applyFont="1" applyAlignment="1">
      <alignment vertical="top" wrapText="1"/>
    </xf>
    <xf numFmtId="0" fontId="33" fillId="0" borderId="0" xfId="3358" applyFont="1" applyAlignment="1">
      <alignment vertical="top" wrapText="1"/>
    </xf>
    <xf numFmtId="2" fontId="29" fillId="0" borderId="0" xfId="3358" applyNumberFormat="1" applyAlignment="1">
      <alignment vertical="top" wrapText="1"/>
    </xf>
    <xf numFmtId="0" fontId="29" fillId="0" borderId="7" xfId="3358" applyBorder="1" applyAlignment="1">
      <alignment horizontal="center" vertical="top" wrapText="1"/>
    </xf>
    <xf numFmtId="0" fontId="32" fillId="9" borderId="7" xfId="3358" applyFont="1" applyFill="1" applyBorder="1" applyAlignment="1">
      <alignment vertical="top" wrapText="1"/>
    </xf>
    <xf numFmtId="2" fontId="32" fillId="9" borderId="7" xfId="3358" applyNumberFormat="1" applyFont="1" applyFill="1" applyBorder="1" applyAlignment="1">
      <alignment vertical="top" wrapText="1"/>
    </xf>
    <xf numFmtId="0" fontId="32" fillId="0" borderId="7" xfId="3358" applyFont="1" applyBorder="1" applyAlignment="1">
      <alignment vertical="top" wrapText="1"/>
    </xf>
    <xf numFmtId="2" fontId="29" fillId="13" borderId="7" xfId="3358" applyNumberFormat="1" applyFill="1" applyBorder="1" applyAlignment="1">
      <alignment vertical="top" wrapText="1"/>
    </xf>
    <xf numFmtId="0" fontId="29" fillId="0" borderId="7" xfId="3358" applyBorder="1" applyAlignment="1">
      <alignment vertical="top" wrapText="1"/>
    </xf>
    <xf numFmtId="2" fontId="29" fillId="10" borderId="7" xfId="3358" applyNumberFormat="1" applyFill="1" applyBorder="1" applyAlignment="1">
      <alignment vertical="top" wrapText="1"/>
    </xf>
    <xf numFmtId="0" fontId="30" fillId="12" borderId="7" xfId="3358" applyFont="1" applyFill="1" applyBorder="1" applyAlignment="1">
      <alignment vertical="top" wrapText="1"/>
    </xf>
    <xf numFmtId="2" fontId="30" fillId="12" borderId="7" xfId="3358" applyNumberFormat="1" applyFont="1" applyFill="1" applyBorder="1" applyAlignment="1">
      <alignment vertical="top" wrapText="1"/>
    </xf>
    <xf numFmtId="2" fontId="29" fillId="11" borderId="7" xfId="3358" applyNumberFormat="1" applyFill="1" applyBorder="1" applyAlignment="1">
      <alignment vertical="top" wrapText="1"/>
    </xf>
    <xf numFmtId="0" fontId="29" fillId="10" borderId="7" xfId="3358" applyFill="1" applyBorder="1" applyAlignment="1">
      <alignment vertical="top" wrapText="1"/>
    </xf>
    <xf numFmtId="0" fontId="29" fillId="14" borderId="7" xfId="3358" applyFill="1" applyBorder="1" applyAlignment="1">
      <alignment vertical="top" wrapText="1"/>
    </xf>
    <xf numFmtId="2" fontId="29" fillId="14" borderId="7" xfId="3358" applyNumberFormat="1" applyFill="1" applyBorder="1" applyAlignment="1">
      <alignment vertical="top" wrapText="1"/>
    </xf>
    <xf numFmtId="0" fontId="30" fillId="0" borderId="7" xfId="3358" applyFont="1" applyBorder="1" applyAlignment="1">
      <alignment vertical="top" wrapText="1"/>
    </xf>
    <xf numFmtId="2" fontId="30" fillId="10" borderId="7" xfId="3358" applyNumberFormat="1" applyFont="1" applyFill="1" applyBorder="1" applyAlignment="1">
      <alignment vertical="top" wrapText="1"/>
    </xf>
    <xf numFmtId="0" fontId="30" fillId="0" borderId="7" xfId="3358" applyFont="1" applyBorder="1" applyAlignment="1">
      <alignment horizontal="center" vertical="top" wrapText="1"/>
    </xf>
    <xf numFmtId="2" fontId="32" fillId="11" borderId="7" xfId="3358" applyNumberFormat="1" applyFont="1" applyFill="1" applyBorder="1" applyAlignment="1">
      <alignment vertical="top" wrapText="1"/>
    </xf>
    <xf numFmtId="0" fontId="32" fillId="0" borderId="8" xfId="3358" applyFont="1" applyBorder="1" applyAlignment="1">
      <alignment horizontal="right" vertical="top" wrapText="1"/>
    </xf>
    <xf numFmtId="2" fontId="32" fillId="10" borderId="7" xfId="3358" applyNumberFormat="1" applyFont="1" applyFill="1" applyBorder="1" applyAlignment="1">
      <alignment horizontal="left" vertical="top" wrapText="1"/>
    </xf>
    <xf numFmtId="0" fontId="32" fillId="0" borderId="11" xfId="3358" applyFont="1" applyBorder="1" applyAlignment="1">
      <alignment vertical="top" wrapText="1"/>
    </xf>
    <xf numFmtId="0" fontId="32" fillId="0" borderId="0" xfId="3358" applyFont="1" applyAlignment="1">
      <alignment vertical="top" wrapText="1"/>
    </xf>
    <xf numFmtId="2" fontId="32" fillId="0" borderId="0" xfId="3358" applyNumberFormat="1" applyFont="1" applyAlignment="1">
      <alignment horizontal="left" vertical="top" wrapText="1"/>
    </xf>
    <xf numFmtId="0" fontId="34" fillId="0" borderId="11" xfId="3358" applyFont="1" applyBorder="1" applyAlignment="1">
      <alignment vertical="top" wrapText="1"/>
    </xf>
    <xf numFmtId="0" fontId="35" fillId="16" borderId="0" xfId="3358" applyFont="1" applyFill="1" applyAlignment="1">
      <alignment horizontal="right" vertical="top" wrapText="1"/>
    </xf>
    <xf numFmtId="2" fontId="35" fillId="16" borderId="7" xfId="3358" applyNumberFormat="1" applyFont="1" applyFill="1" applyBorder="1" applyAlignment="1">
      <alignment horizontal="center" vertical="top" wrapText="1"/>
    </xf>
    <xf numFmtId="49" fontId="29" fillId="10" borderId="7" xfId="3358" applyNumberFormat="1" applyFill="1" applyBorder="1" applyAlignment="1">
      <alignment vertical="top" wrapText="1"/>
    </xf>
    <xf numFmtId="14" fontId="29" fillId="17" borderId="7" xfId="3358" applyNumberFormat="1" applyFill="1" applyBorder="1" applyAlignment="1">
      <alignment vertical="top" wrapText="1"/>
    </xf>
    <xf numFmtId="0" fontId="31" fillId="7" borderId="7" xfId="3358" applyFont="1" applyFill="1" applyBorder="1" applyAlignment="1">
      <alignment horizontal="center" vertical="top" wrapText="1"/>
    </xf>
    <xf numFmtId="0" fontId="32" fillId="18" borderId="7" xfId="3358" applyFont="1" applyFill="1" applyBorder="1" applyAlignment="1">
      <alignment vertical="top" wrapText="1"/>
    </xf>
    <xf numFmtId="2" fontId="30" fillId="18" borderId="7" xfId="3358" applyNumberFormat="1" applyFont="1" applyFill="1" applyBorder="1" applyAlignment="1">
      <alignment horizontal="center" vertical="top" wrapText="1"/>
    </xf>
    <xf numFmtId="0" fontId="30" fillId="19" borderId="7" xfId="3358" applyFont="1" applyFill="1" applyBorder="1" applyAlignment="1">
      <alignment vertical="top" wrapText="1"/>
    </xf>
    <xf numFmtId="2" fontId="29" fillId="12" borderId="7" xfId="3358" applyNumberFormat="1" applyFill="1" applyBorder="1" applyAlignment="1">
      <alignment vertical="top" wrapText="1"/>
    </xf>
    <xf numFmtId="0" fontId="36" fillId="0" borderId="7" xfId="3358" applyFont="1" applyBorder="1" applyAlignment="1">
      <alignment vertical="top" wrapText="1"/>
    </xf>
    <xf numFmtId="176" fontId="29" fillId="10" borderId="7" xfId="3358" applyNumberFormat="1" applyFill="1" applyBorder="1" applyAlignment="1">
      <alignment vertical="top" wrapText="1"/>
    </xf>
    <xf numFmtId="0" fontId="32" fillId="0" borderId="12" xfId="3358" applyFont="1" applyBorder="1" applyAlignment="1">
      <alignment horizontal="right" vertical="top" wrapText="1"/>
    </xf>
    <xf numFmtId="0" fontId="23" fillId="0" borderId="0" xfId="1589" applyFont="1" applyAlignment="1">
      <alignment vertical="center"/>
    </xf>
    <xf numFmtId="0" fontId="37" fillId="0" borderId="0" xfId="1589" applyFont="1" applyAlignment="1">
      <alignment vertical="center"/>
    </xf>
    <xf numFmtId="0" fontId="23" fillId="0" borderId="0" xfId="1589" applyFont="1" applyAlignment="1">
      <alignment vertical="top"/>
    </xf>
    <xf numFmtId="0" fontId="23" fillId="0" borderId="0" xfId="1589" applyFont="1" applyAlignment="1">
      <alignment horizontal="left" vertical="center"/>
    </xf>
    <xf numFmtId="0" fontId="23" fillId="0" borderId="13" xfId="1589" applyFont="1" applyBorder="1" applyAlignment="1">
      <alignment horizontal="center" vertical="center"/>
    </xf>
    <xf numFmtId="0" fontId="23" fillId="0" borderId="13" xfId="1589" applyFont="1" applyBorder="1" applyAlignment="1">
      <alignment vertical="center"/>
    </xf>
    <xf numFmtId="0" fontId="23" fillId="0" borderId="0" xfId="1589" applyFont="1" applyAlignment="1">
      <alignment horizontal="center" vertical="center"/>
    </xf>
    <xf numFmtId="0" fontId="23" fillId="0" borderId="1" xfId="1589" applyFont="1" applyBorder="1" applyAlignment="1">
      <alignment vertical="center"/>
    </xf>
    <xf numFmtId="0" fontId="23" fillId="0" borderId="1" xfId="1477" applyFont="1" applyBorder="1" applyAlignment="1">
      <alignment horizontal="left" vertical="center"/>
    </xf>
    <xf numFmtId="0" fontId="23" fillId="0" borderId="0" xfId="1477" applyFont="1" applyAlignment="1">
      <alignment vertical="center"/>
    </xf>
    <xf numFmtId="0" fontId="23" fillId="0" borderId="14" xfId="1477" applyFont="1" applyBorder="1" applyAlignment="1">
      <alignment vertical="center"/>
    </xf>
    <xf numFmtId="0" fontId="23" fillId="0" borderId="0" xfId="1477" applyFont="1" applyAlignment="1">
      <alignment vertical="top"/>
    </xf>
    <xf numFmtId="205" fontId="23" fillId="0" borderId="0" xfId="1477" applyNumberFormat="1" applyFont="1" applyAlignment="1">
      <alignment horizontal="right" vertical="center"/>
    </xf>
    <xf numFmtId="0" fontId="23" fillId="0" borderId="15" xfId="1589" applyFont="1" applyBorder="1" applyAlignment="1">
      <alignment vertical="center"/>
    </xf>
    <xf numFmtId="205" fontId="23" fillId="0" borderId="13" xfId="1477" applyNumberFormat="1" applyFont="1" applyBorder="1" applyAlignment="1">
      <alignment horizontal="left" vertical="center"/>
    </xf>
    <xf numFmtId="0" fontId="23" fillId="0" borderId="16" xfId="1477" applyFont="1" applyBorder="1" applyAlignment="1">
      <alignment vertical="center"/>
    </xf>
    <xf numFmtId="14" fontId="23" fillId="0" borderId="17" xfId="1589" applyNumberFormat="1" applyFont="1" applyBorder="1" applyAlignment="1">
      <alignment horizontal="center" vertical="center"/>
    </xf>
    <xf numFmtId="0" fontId="23" fillId="0" borderId="14" xfId="1477" applyFont="1" applyBorder="1" applyAlignment="1">
      <alignment vertical="top"/>
    </xf>
    <xf numFmtId="0" fontId="23" fillId="0" borderId="18" xfId="1477" applyFont="1" applyBorder="1" applyAlignment="1">
      <alignment vertical="center"/>
    </xf>
    <xf numFmtId="205" fontId="23" fillId="0" borderId="19" xfId="1477" applyNumberFormat="1" applyFont="1" applyBorder="1" applyAlignment="1">
      <alignment horizontal="fill" vertical="center"/>
    </xf>
    <xf numFmtId="0" fontId="23" fillId="0" borderId="19" xfId="1589" applyFont="1" applyBorder="1" applyAlignment="1">
      <alignment vertical="center"/>
    </xf>
    <xf numFmtId="205" fontId="23" fillId="0" borderId="19" xfId="1477" applyNumberFormat="1" applyFont="1" applyBorder="1" applyAlignment="1">
      <alignment horizontal="center" vertical="center"/>
    </xf>
    <xf numFmtId="0" fontId="23" fillId="0" borderId="19" xfId="1589" applyFont="1" applyBorder="1" applyAlignment="1">
      <alignment horizontal="center" vertical="center"/>
    </xf>
    <xf numFmtId="0" fontId="23" fillId="0" borderId="20" xfId="1477" applyFont="1" applyBorder="1" applyAlignment="1">
      <alignment vertical="center"/>
    </xf>
    <xf numFmtId="0" fontId="23" fillId="0" borderId="20" xfId="1477" applyFont="1" applyBorder="1" applyAlignment="1">
      <alignment vertical="top"/>
    </xf>
    <xf numFmtId="0" fontId="23" fillId="0" borderId="21" xfId="1477" applyFont="1" applyBorder="1" applyAlignment="1">
      <alignment vertical="center"/>
    </xf>
    <xf numFmtId="0" fontId="23" fillId="0" borderId="22" xfId="1477" applyFont="1" applyBorder="1" applyAlignment="1">
      <alignment vertical="center"/>
    </xf>
    <xf numFmtId="205" fontId="23" fillId="0" borderId="4" xfId="1477" applyNumberFormat="1" applyFont="1" applyBorder="1" applyAlignment="1">
      <alignment horizontal="fill" vertical="center"/>
    </xf>
    <xf numFmtId="0" fontId="23" fillId="0" borderId="0" xfId="1477" applyFont="1" applyAlignment="1">
      <alignment horizontal="left" vertical="center"/>
    </xf>
    <xf numFmtId="0" fontId="23" fillId="0" borderId="18" xfId="1477" applyFont="1" applyBorder="1" applyAlignment="1">
      <alignment horizontal="left" vertical="center"/>
    </xf>
    <xf numFmtId="176" fontId="23" fillId="0" borderId="19" xfId="2354" applyFont="1" applyFill="1" applyBorder="1" applyAlignment="1" applyProtection="1">
      <alignment vertical="center"/>
      <protection locked="0"/>
    </xf>
    <xf numFmtId="176" fontId="23" fillId="0" borderId="19" xfId="2354" applyFont="1" applyFill="1" applyBorder="1" applyAlignment="1">
      <alignment vertical="center"/>
    </xf>
    <xf numFmtId="0" fontId="23" fillId="0" borderId="0" xfId="1477" applyFont="1" applyAlignment="1">
      <alignment horizontal="center" vertical="center"/>
    </xf>
    <xf numFmtId="0" fontId="23" fillId="0" borderId="18" xfId="1477" applyFont="1" applyBorder="1" applyAlignment="1">
      <alignment horizontal="center" vertical="center"/>
    </xf>
    <xf numFmtId="176" fontId="23" fillId="0" borderId="19" xfId="2354" applyFont="1" applyFill="1" applyBorder="1" applyAlignment="1" applyProtection="1">
      <alignment vertical="center"/>
    </xf>
    <xf numFmtId="10" fontId="23" fillId="0" borderId="19" xfId="4463" applyNumberFormat="1" applyFont="1" applyFill="1" applyBorder="1" applyAlignment="1" applyProtection="1">
      <alignment vertical="center"/>
    </xf>
    <xf numFmtId="176" fontId="23" fillId="0" borderId="19" xfId="1589" applyNumberFormat="1" applyFont="1" applyBorder="1" applyAlignment="1">
      <alignment vertical="center"/>
    </xf>
    <xf numFmtId="176" fontId="23" fillId="0" borderId="19" xfId="3002" applyFont="1" applyFill="1" applyBorder="1" applyAlignment="1">
      <alignment vertical="center"/>
    </xf>
    <xf numFmtId="176" fontId="23" fillId="0" borderId="19" xfId="3002" applyFont="1" applyFill="1" applyBorder="1" applyAlignment="1" applyProtection="1">
      <alignment vertical="center"/>
    </xf>
    <xf numFmtId="2" fontId="23" fillId="0" borderId="18" xfId="1477" applyNumberFormat="1" applyFont="1" applyBorder="1" applyAlignment="1">
      <alignment horizontal="left" vertical="center"/>
    </xf>
    <xf numFmtId="176" fontId="23" fillId="0" borderId="19" xfId="3002" applyFont="1" applyFill="1" applyBorder="1" applyAlignment="1" applyProtection="1">
      <alignment horizontal="fill" vertical="center"/>
    </xf>
    <xf numFmtId="2" fontId="23" fillId="0" borderId="19" xfId="1477" applyNumberFormat="1" applyFont="1" applyBorder="1" applyAlignment="1">
      <alignment horizontal="fill" vertical="center"/>
    </xf>
    <xf numFmtId="0" fontId="23" fillId="0" borderId="14" xfId="1589" applyFont="1" applyBorder="1" applyAlignment="1">
      <alignment vertical="center"/>
    </xf>
    <xf numFmtId="176" fontId="38" fillId="0" borderId="19" xfId="2354" applyFont="1" applyFill="1" applyBorder="1" applyAlignment="1" applyProtection="1">
      <alignment vertical="center"/>
    </xf>
    <xf numFmtId="205" fontId="39" fillId="0" borderId="19" xfId="1477" applyNumberFormat="1" applyFont="1" applyBorder="1" applyAlignment="1">
      <alignment vertical="center"/>
    </xf>
    <xf numFmtId="205" fontId="23" fillId="0" borderId="19" xfId="1477" applyNumberFormat="1" applyFont="1" applyBorder="1" applyAlignment="1">
      <alignment vertical="center"/>
    </xf>
    <xf numFmtId="269" fontId="23" fillId="0" borderId="19" xfId="1477" applyNumberFormat="1" applyFont="1" applyBorder="1" applyAlignment="1">
      <alignment vertical="center"/>
    </xf>
    <xf numFmtId="2" fontId="23" fillId="0" borderId="19" xfId="1477" applyNumberFormat="1" applyFont="1" applyBorder="1" applyAlignment="1">
      <alignment vertical="center"/>
    </xf>
    <xf numFmtId="205" fontId="23" fillId="0" borderId="19" xfId="1477" applyNumberFormat="1" applyFont="1" applyBorder="1" applyAlignment="1">
      <alignment horizontal="right" vertical="center"/>
    </xf>
    <xf numFmtId="176" fontId="37" fillId="0" borderId="19" xfId="4" applyFont="1" applyFill="1" applyBorder="1" applyAlignment="1" applyProtection="1">
      <alignment horizontal="fill" vertical="center"/>
    </xf>
    <xf numFmtId="176" fontId="23" fillId="0" borderId="19" xfId="4" applyFont="1" applyFill="1" applyBorder="1" applyAlignment="1" applyProtection="1">
      <alignment vertical="center"/>
    </xf>
    <xf numFmtId="9" fontId="23" fillId="0" borderId="19" xfId="1477" applyNumberFormat="1" applyFont="1" applyBorder="1" applyAlignment="1">
      <alignment vertical="center"/>
    </xf>
    <xf numFmtId="10" fontId="23" fillId="0" borderId="19" xfId="1477" applyNumberFormat="1" applyFont="1" applyBorder="1" applyAlignment="1">
      <alignment vertical="center"/>
    </xf>
    <xf numFmtId="0" fontId="23" fillId="0" borderId="21" xfId="1477" applyFont="1" applyBorder="1" applyAlignment="1">
      <alignment vertical="top"/>
    </xf>
    <xf numFmtId="176" fontId="23" fillId="0" borderId="4" xfId="3002" applyFont="1" applyFill="1" applyBorder="1" applyAlignment="1" applyProtection="1">
      <alignment vertical="center"/>
    </xf>
    <xf numFmtId="205" fontId="37" fillId="0" borderId="4" xfId="1477" applyNumberFormat="1" applyFont="1" applyBorder="1" applyAlignment="1">
      <alignment vertical="center"/>
    </xf>
    <xf numFmtId="205" fontId="37" fillId="0" borderId="19" xfId="1477" applyNumberFormat="1" applyFont="1" applyBorder="1" applyAlignment="1">
      <alignment vertical="center"/>
    </xf>
    <xf numFmtId="0" fontId="23" fillId="0" borderId="15" xfId="1589" applyFont="1" applyBorder="1" applyAlignment="1">
      <alignment horizontal="left" vertical="center"/>
    </xf>
    <xf numFmtId="0" fontId="23" fillId="0" borderId="13" xfId="1589" applyFont="1" applyBorder="1" applyAlignment="1">
      <alignment horizontal="center" vertical="top"/>
    </xf>
    <xf numFmtId="2" fontId="37" fillId="0" borderId="13" xfId="1589" applyNumberFormat="1" applyFont="1" applyBorder="1" applyAlignment="1">
      <alignment horizontal="right" vertical="center"/>
    </xf>
    <xf numFmtId="0" fontId="37" fillId="0" borderId="0" xfId="1589" applyFont="1" applyAlignment="1">
      <alignment horizontal="center" vertical="center"/>
    </xf>
    <xf numFmtId="0" fontId="23" fillId="0" borderId="14" xfId="1589" applyFont="1" applyBorder="1" applyAlignment="1">
      <alignment horizontal="left" vertical="center"/>
    </xf>
    <xf numFmtId="0" fontId="23" fillId="0" borderId="0" xfId="1589" applyFont="1" applyAlignment="1">
      <alignment horizontal="left" vertical="top"/>
    </xf>
    <xf numFmtId="2" fontId="37" fillId="0" borderId="0" xfId="1589" applyNumberFormat="1" applyFont="1" applyAlignment="1">
      <alignment horizontal="right" vertical="center"/>
    </xf>
    <xf numFmtId="0" fontId="23" fillId="0" borderId="14" xfId="1477" applyFont="1" applyBorder="1" applyAlignment="1">
      <alignment horizontal="left" vertical="center"/>
    </xf>
    <xf numFmtId="0" fontId="23" fillId="0" borderId="21" xfId="1589" applyFont="1" applyBorder="1" applyAlignment="1">
      <alignment vertical="center"/>
    </xf>
    <xf numFmtId="205" fontId="23" fillId="0" borderId="21" xfId="1477" applyNumberFormat="1" applyFont="1" applyBorder="1" applyAlignment="1">
      <alignment horizontal="right" vertical="center"/>
    </xf>
    <xf numFmtId="0" fontId="23" fillId="0" borderId="15" xfId="1477" applyFont="1" applyBorder="1" applyAlignment="1">
      <alignment horizontal="left" vertical="center"/>
    </xf>
    <xf numFmtId="0" fontId="23" fillId="0" borderId="13" xfId="1477" applyFont="1" applyBorder="1" applyAlignment="1">
      <alignment vertical="top"/>
    </xf>
    <xf numFmtId="0" fontId="23" fillId="0" borderId="13" xfId="1477" applyFont="1" applyBorder="1" applyAlignment="1">
      <alignment vertical="center"/>
    </xf>
    <xf numFmtId="361" fontId="23" fillId="0" borderId="17" xfId="1477" applyNumberFormat="1" applyFont="1" applyBorder="1" applyAlignment="1">
      <alignment horizontal="center" vertical="center"/>
    </xf>
    <xf numFmtId="0" fontId="23" fillId="0" borderId="20" xfId="1477" applyFont="1" applyBorder="1" applyAlignment="1">
      <alignment horizontal="left" vertical="center"/>
    </xf>
    <xf numFmtId="0" fontId="23" fillId="0" borderId="4" xfId="1589" applyFont="1" applyBorder="1" applyAlignment="1">
      <alignment horizontal="center" vertical="center"/>
    </xf>
    <xf numFmtId="176" fontId="23" fillId="0" borderId="19" xfId="3002" applyFont="1" applyFill="1" applyBorder="1" applyAlignment="1" applyProtection="1">
      <alignment horizontal="right" vertical="center"/>
    </xf>
    <xf numFmtId="176" fontId="23" fillId="0" borderId="23" xfId="3002" applyFont="1" applyFill="1" applyBorder="1" applyAlignment="1" applyProtection="1">
      <alignment horizontal="right" vertical="center"/>
    </xf>
    <xf numFmtId="205" fontId="23" fillId="0" borderId="4" xfId="1477" applyNumberFormat="1" applyFont="1" applyBorder="1" applyAlignment="1">
      <alignment vertical="center"/>
    </xf>
    <xf numFmtId="205" fontId="23" fillId="0" borderId="18" xfId="1477" applyNumberFormat="1" applyFont="1" applyBorder="1" applyAlignment="1">
      <alignment horizontal="right" vertical="center"/>
    </xf>
    <xf numFmtId="176" fontId="23" fillId="0" borderId="18" xfId="3002" applyFont="1" applyFill="1" applyBorder="1" applyAlignment="1" applyProtection="1">
      <alignment horizontal="right" vertical="center"/>
    </xf>
    <xf numFmtId="176" fontId="23" fillId="0" borderId="23" xfId="4" applyFont="1" applyFill="1" applyBorder="1" applyAlignment="1" applyProtection="1">
      <alignment horizontal="right" vertical="center"/>
    </xf>
    <xf numFmtId="205" fontId="23" fillId="0" borderId="23" xfId="1477" applyNumberFormat="1" applyFont="1" applyBorder="1" applyAlignment="1">
      <alignment horizontal="right" vertical="center"/>
    </xf>
    <xf numFmtId="2" fontId="23" fillId="0" borderId="19" xfId="1589" applyNumberFormat="1" applyFont="1" applyBorder="1" applyAlignment="1">
      <alignment vertical="center"/>
    </xf>
    <xf numFmtId="205" fontId="23" fillId="0" borderId="19" xfId="2354" applyNumberFormat="1" applyFont="1" applyFill="1" applyBorder="1" applyAlignment="1" applyProtection="1">
      <alignment vertical="center"/>
    </xf>
    <xf numFmtId="298" fontId="23" fillId="0" borderId="19" xfId="1589" applyNumberFormat="1" applyFont="1" applyBorder="1" applyAlignment="1">
      <alignment vertical="center"/>
    </xf>
    <xf numFmtId="0" fontId="23" fillId="0" borderId="14" xfId="1477" applyFont="1" applyBorder="1" applyAlignment="1">
      <alignment horizontal="right" vertical="center"/>
    </xf>
    <xf numFmtId="0" fontId="23" fillId="0" borderId="18" xfId="1477" applyFont="1" applyBorder="1" applyAlignment="1">
      <alignment vertical="center" wrapText="1"/>
    </xf>
    <xf numFmtId="205" fontId="23" fillId="0" borderId="23" xfId="1477" applyNumberFormat="1" applyFont="1" applyBorder="1" applyAlignment="1">
      <alignment vertical="center"/>
    </xf>
    <xf numFmtId="0" fontId="23" fillId="0" borderId="21" xfId="1477" applyFont="1" applyBorder="1" applyAlignment="1">
      <alignment horizontal="left" vertical="center"/>
    </xf>
    <xf numFmtId="0" fontId="37" fillId="0" borderId="22" xfId="1477" applyFont="1" applyBorder="1" applyAlignment="1">
      <alignment horizontal="left" vertical="center"/>
    </xf>
    <xf numFmtId="0" fontId="37" fillId="0" borderId="0" xfId="1477" applyFont="1" applyAlignment="1">
      <alignment vertical="center"/>
    </xf>
    <xf numFmtId="176" fontId="37" fillId="0" borderId="0" xfId="1589" applyNumberFormat="1" applyFont="1" applyAlignment="1">
      <alignment vertical="center"/>
    </xf>
    <xf numFmtId="0" fontId="37" fillId="0" borderId="13" xfId="1589" applyFont="1" applyBorder="1" applyAlignment="1">
      <alignment horizontal="center" vertical="center"/>
    </xf>
    <xf numFmtId="2" fontId="37" fillId="0" borderId="13" xfId="1589" applyNumberFormat="1" applyFont="1" applyBorder="1" applyAlignment="1">
      <alignment vertical="center"/>
    </xf>
    <xf numFmtId="2" fontId="23" fillId="0" borderId="0" xfId="1589" applyNumberFormat="1" applyFont="1" applyAlignment="1">
      <alignment vertical="center"/>
    </xf>
    <xf numFmtId="0" fontId="23" fillId="0" borderId="0" xfId="1589" applyFont="1" applyAlignment="1">
      <alignment horizontal="center" vertical="top"/>
    </xf>
    <xf numFmtId="362" fontId="23" fillId="0" borderId="4" xfId="1477" applyNumberFormat="1" applyFont="1" applyBorder="1" applyAlignment="1">
      <alignment horizontal="right" vertical="center"/>
    </xf>
    <xf numFmtId="2" fontId="23" fillId="0" borderId="19" xfId="1477" applyNumberFormat="1" applyFont="1" applyBorder="1" applyAlignment="1">
      <alignment horizontal="right" vertical="center"/>
    </xf>
    <xf numFmtId="0" fontId="23" fillId="0" borderId="24" xfId="1589" applyFont="1" applyBorder="1" applyAlignment="1">
      <alignment vertical="center"/>
    </xf>
    <xf numFmtId="176" fontId="23" fillId="0" borderId="24" xfId="3002" applyFont="1" applyFill="1" applyBorder="1" applyAlignment="1">
      <alignment vertical="center"/>
    </xf>
    <xf numFmtId="205" fontId="23" fillId="0" borderId="25" xfId="1477" applyNumberFormat="1" applyFont="1" applyBorder="1" applyAlignment="1">
      <alignment vertical="center"/>
    </xf>
    <xf numFmtId="176" fontId="23" fillId="0" borderId="25" xfId="3002" applyFont="1" applyFill="1" applyBorder="1" applyAlignment="1" applyProtection="1">
      <alignment vertical="center"/>
    </xf>
    <xf numFmtId="0" fontId="23" fillId="0" borderId="26" xfId="1477" applyFont="1" applyBorder="1" applyAlignment="1">
      <alignment horizontal="left" vertical="center"/>
    </xf>
    <xf numFmtId="0" fontId="23" fillId="0" borderId="27" xfId="1477" applyFont="1" applyBorder="1" applyAlignment="1">
      <alignment horizontal="left" vertical="top"/>
    </xf>
    <xf numFmtId="0" fontId="23" fillId="0" borderId="27" xfId="1589" applyFont="1" applyBorder="1" applyAlignment="1">
      <alignment vertical="center"/>
    </xf>
    <xf numFmtId="0" fontId="23" fillId="0" borderId="28" xfId="1477" applyFont="1" applyBorder="1" applyAlignment="1">
      <alignment horizontal="left" vertical="center"/>
    </xf>
    <xf numFmtId="176" fontId="37" fillId="0" borderId="3" xfId="2354" applyFont="1" applyFill="1" applyBorder="1" applyAlignment="1" applyProtection="1">
      <alignment vertical="center"/>
    </xf>
    <xf numFmtId="176" fontId="37" fillId="0" borderId="3" xfId="3002" applyFont="1" applyFill="1" applyBorder="1" applyAlignment="1" applyProtection="1">
      <alignment vertical="center"/>
    </xf>
    <xf numFmtId="0" fontId="23" fillId="0" borderId="13" xfId="1477" applyFont="1" applyBorder="1" applyAlignment="1">
      <alignment horizontal="left" vertical="center"/>
    </xf>
    <xf numFmtId="176" fontId="23" fillId="0" borderId="13" xfId="3002" applyFont="1" applyFill="1" applyBorder="1" applyAlignment="1">
      <alignment vertical="center"/>
    </xf>
    <xf numFmtId="14" fontId="23" fillId="0" borderId="15" xfId="1589" applyNumberFormat="1" applyFont="1" applyBorder="1" applyAlignment="1">
      <alignment horizontal="center" vertical="center"/>
    </xf>
    <xf numFmtId="14" fontId="23" fillId="0" borderId="13" xfId="1589" applyNumberFormat="1" applyFont="1" applyBorder="1" applyAlignment="1">
      <alignment horizontal="center" vertical="center"/>
    </xf>
    <xf numFmtId="205" fontId="23" fillId="0" borderId="20" xfId="1477" applyNumberFormat="1" applyFont="1" applyBorder="1" applyAlignment="1">
      <alignment horizontal="center" vertical="center"/>
    </xf>
    <xf numFmtId="176" fontId="23" fillId="0" borderId="4" xfId="3002" applyFont="1" applyFill="1" applyBorder="1" applyAlignment="1" applyProtection="1">
      <alignment horizontal="center" vertical="center"/>
    </xf>
    <xf numFmtId="176" fontId="23" fillId="0" borderId="21" xfId="3002" applyFont="1" applyFill="1" applyBorder="1" applyAlignment="1" applyProtection="1">
      <alignment horizontal="center" vertical="center"/>
    </xf>
    <xf numFmtId="0" fontId="23" fillId="0" borderId="15" xfId="1477" applyFont="1" applyBorder="1" applyAlignment="1">
      <alignment vertical="center"/>
    </xf>
    <xf numFmtId="176" fontId="23" fillId="0" borderId="0" xfId="3002" applyFont="1" applyFill="1" applyBorder="1" applyAlignment="1" applyProtection="1">
      <alignment horizontal="right" vertical="center"/>
    </xf>
    <xf numFmtId="0" fontId="23" fillId="0" borderId="19" xfId="1477" applyFont="1" applyBorder="1" applyAlignment="1">
      <alignment vertical="center"/>
    </xf>
    <xf numFmtId="176" fontId="23" fillId="0" borderId="19" xfId="1477" applyNumberFormat="1" applyFont="1" applyBorder="1" applyAlignment="1">
      <alignment vertical="center"/>
    </xf>
    <xf numFmtId="205" fontId="37" fillId="0" borderId="19" xfId="1477" applyNumberFormat="1" applyFont="1" applyBorder="1" applyAlignment="1">
      <alignment horizontal="right" vertical="center"/>
    </xf>
    <xf numFmtId="176" fontId="37" fillId="0" borderId="19" xfId="3002" applyFont="1" applyFill="1" applyBorder="1" applyAlignment="1" applyProtection="1">
      <alignment horizontal="right" vertical="center"/>
    </xf>
    <xf numFmtId="0" fontId="37" fillId="0" borderId="20" xfId="1477" applyFont="1" applyBorder="1" applyAlignment="1">
      <alignment vertical="center"/>
    </xf>
    <xf numFmtId="0" fontId="37" fillId="0" borderId="21" xfId="1477" applyFont="1" applyBorder="1" applyAlignment="1">
      <alignment vertical="top"/>
    </xf>
    <xf numFmtId="0" fontId="37" fillId="0" borderId="21" xfId="1477" applyFont="1" applyBorder="1" applyAlignment="1">
      <alignment horizontal="left" vertical="center"/>
    </xf>
    <xf numFmtId="362" fontId="37" fillId="0" borderId="4" xfId="1477" applyNumberFormat="1" applyFont="1" applyBorder="1" applyAlignment="1">
      <alignment vertical="center"/>
    </xf>
    <xf numFmtId="205" fontId="40" fillId="0" borderId="19" xfId="1477" applyNumberFormat="1" applyFont="1" applyBorder="1" applyAlignment="1">
      <alignment horizontal="right" vertical="center"/>
    </xf>
    <xf numFmtId="1" fontId="37" fillId="0" borderId="19" xfId="1477" applyNumberFormat="1" applyFont="1" applyBorder="1" applyAlignment="1">
      <alignment vertical="center"/>
    </xf>
    <xf numFmtId="176" fontId="37" fillId="0" borderId="19" xfId="3002" applyFont="1" applyFill="1" applyBorder="1" applyAlignment="1">
      <alignment vertical="center"/>
    </xf>
    <xf numFmtId="9" fontId="23" fillId="0" borderId="19" xfId="4434" applyFont="1" applyFill="1" applyBorder="1" applyAlignment="1">
      <alignment vertical="center"/>
    </xf>
    <xf numFmtId="205" fontId="23" fillId="0" borderId="24" xfId="1477" applyNumberFormat="1" applyFont="1" applyBorder="1" applyAlignment="1">
      <alignment horizontal="right" vertical="center"/>
    </xf>
    <xf numFmtId="10" fontId="23" fillId="0" borderId="19" xfId="4434" applyNumberFormat="1" applyFont="1" applyFill="1" applyBorder="1" applyAlignment="1" applyProtection="1">
      <alignment horizontal="right" vertical="center"/>
    </xf>
    <xf numFmtId="0" fontId="37" fillId="0" borderId="14" xfId="1477" applyFont="1" applyBorder="1" applyAlignment="1">
      <alignment horizontal="left" vertical="center"/>
    </xf>
    <xf numFmtId="0" fontId="37" fillId="0" borderId="0" xfId="1477" applyFont="1" applyAlignment="1">
      <alignment vertical="top"/>
    </xf>
    <xf numFmtId="0" fontId="37" fillId="0" borderId="0" xfId="1477" applyFont="1" applyAlignment="1">
      <alignment horizontal="left" vertical="center"/>
    </xf>
    <xf numFmtId="0" fontId="37" fillId="0" borderId="18" xfId="1477" applyFont="1" applyBorder="1" applyAlignment="1">
      <alignment horizontal="left" vertical="center"/>
    </xf>
    <xf numFmtId="0" fontId="23" fillId="0" borderId="22" xfId="1477" applyFont="1" applyBorder="1" applyAlignment="1">
      <alignment horizontal="left" vertical="center"/>
    </xf>
    <xf numFmtId="0" fontId="23" fillId="0" borderId="4" xfId="1589" applyFont="1" applyBorder="1" applyAlignment="1">
      <alignment vertical="center"/>
    </xf>
    <xf numFmtId="205" fontId="23" fillId="0" borderId="15" xfId="1477" applyNumberFormat="1" applyFont="1" applyBorder="1" applyAlignment="1">
      <alignment horizontal="left" vertical="center"/>
    </xf>
    <xf numFmtId="205" fontId="23" fillId="0" borderId="13" xfId="1477" applyNumberFormat="1" applyFont="1" applyBorder="1" applyAlignment="1">
      <alignment horizontal="left" vertical="top"/>
    </xf>
    <xf numFmtId="205" fontId="23" fillId="0" borderId="13" xfId="1477" applyNumberFormat="1" applyFont="1" applyBorder="1" applyAlignment="1">
      <alignment horizontal="center" vertical="center"/>
    </xf>
    <xf numFmtId="0" fontId="23" fillId="0" borderId="27" xfId="1477" applyFont="1" applyBorder="1" applyAlignment="1">
      <alignment vertical="top"/>
    </xf>
    <xf numFmtId="0" fontId="23" fillId="0" borderId="27" xfId="1477" applyFont="1" applyBorder="1" applyAlignment="1">
      <alignment vertical="center"/>
    </xf>
    <xf numFmtId="362" fontId="23" fillId="0" borderId="3" xfId="1477" applyNumberFormat="1" applyFont="1" applyBorder="1" applyAlignment="1">
      <alignment horizontal="right" vertical="center"/>
    </xf>
    <xf numFmtId="176" fontId="23" fillId="0" borderId="19" xfId="3156" applyNumberFormat="1" applyFont="1" applyFill="1" applyBorder="1" applyAlignment="1" applyProtection="1">
      <alignment horizontal="right" vertical="center"/>
    </xf>
    <xf numFmtId="205" fontId="23" fillId="0" borderId="14" xfId="1477" applyNumberFormat="1" applyFont="1" applyBorder="1" applyAlignment="1">
      <alignment horizontal="left" vertical="center"/>
    </xf>
    <xf numFmtId="205" fontId="23" fillId="0" borderId="0" xfId="1477" applyNumberFormat="1" applyFont="1" applyAlignment="1">
      <alignment horizontal="center" vertical="top"/>
    </xf>
    <xf numFmtId="205" fontId="23" fillId="0" borderId="0" xfId="1477" applyNumberFormat="1" applyFont="1" applyAlignment="1">
      <alignment horizontal="center" vertical="center"/>
    </xf>
    <xf numFmtId="205" fontId="23" fillId="0" borderId="18" xfId="1477" applyNumberFormat="1" applyFont="1" applyBorder="1" applyAlignment="1">
      <alignment horizontal="center" vertical="center"/>
    </xf>
    <xf numFmtId="0" fontId="23" fillId="0" borderId="18" xfId="1589" applyFont="1" applyBorder="1" applyAlignment="1">
      <alignment horizontal="left" vertical="center"/>
    </xf>
    <xf numFmtId="14" fontId="23" fillId="0" borderId="17" xfId="3002" applyNumberFormat="1" applyFont="1" applyFill="1" applyBorder="1" applyAlignment="1" applyProtection="1">
      <alignment horizontal="center" vertical="center"/>
    </xf>
    <xf numFmtId="176" fontId="23" fillId="0" borderId="19" xfId="3002" applyFont="1" applyFill="1" applyBorder="1" applyAlignment="1" applyProtection="1">
      <alignment horizontal="center" vertical="center"/>
    </xf>
    <xf numFmtId="362" fontId="23" fillId="0" borderId="4" xfId="1477" applyNumberFormat="1" applyFont="1" applyBorder="1" applyAlignment="1">
      <alignment horizontal="center" vertical="center"/>
    </xf>
    <xf numFmtId="0" fontId="23" fillId="0" borderId="0" xfId="1477" applyFont="1" applyAlignment="1">
      <alignment horizontal="fill" vertical="center"/>
    </xf>
    <xf numFmtId="0" fontId="23" fillId="0" borderId="18" xfId="1477" applyFont="1" applyBorder="1" applyAlignment="1">
      <alignment horizontal="fill" vertical="center"/>
    </xf>
    <xf numFmtId="0" fontId="41" fillId="0" borderId="0" xfId="1589" applyFont="1" applyAlignment="1">
      <alignment vertical="center"/>
    </xf>
    <xf numFmtId="0" fontId="23" fillId="0" borderId="20" xfId="1589" applyFont="1" applyBorder="1" applyAlignment="1">
      <alignment horizontal="left" vertical="center"/>
    </xf>
    <xf numFmtId="0" fontId="23" fillId="0" borderId="21" xfId="1589" applyFont="1" applyBorder="1" applyAlignment="1">
      <alignment horizontal="left" vertical="top"/>
    </xf>
    <xf numFmtId="0" fontId="23" fillId="0" borderId="21" xfId="1589" applyFont="1" applyBorder="1" applyAlignment="1">
      <alignment horizontal="left" vertical="center"/>
    </xf>
    <xf numFmtId="0" fontId="23" fillId="0" borderId="22" xfId="1589" applyFont="1" applyBorder="1" applyAlignment="1">
      <alignment horizontal="left" vertical="center"/>
    </xf>
    <xf numFmtId="176" fontId="37" fillId="0" borderId="4" xfId="2354" applyFont="1" applyFill="1" applyBorder="1" applyAlignment="1">
      <alignment vertical="center"/>
    </xf>
    <xf numFmtId="0" fontId="23" fillId="0" borderId="13" xfId="1589" applyFont="1" applyBorder="1" applyAlignment="1">
      <alignment horizontal="left" vertical="top"/>
    </xf>
    <xf numFmtId="0" fontId="23" fillId="0" borderId="13" xfId="1589" applyFont="1" applyBorder="1" applyAlignment="1">
      <alignment horizontal="left" vertical="center"/>
    </xf>
    <xf numFmtId="205" fontId="23" fillId="0" borderId="0" xfId="1477" applyNumberFormat="1" applyFont="1" applyAlignment="1">
      <alignment horizontal="left" vertical="top"/>
    </xf>
    <xf numFmtId="2" fontId="23" fillId="0" borderId="4" xfId="1589" applyNumberFormat="1" applyFont="1" applyBorder="1" applyAlignment="1">
      <alignment vertical="center"/>
    </xf>
    <xf numFmtId="176" fontId="23" fillId="0" borderId="4" xfId="3002" applyFont="1" applyFill="1" applyBorder="1" applyAlignment="1">
      <alignment vertical="center"/>
    </xf>
    <xf numFmtId="0" fontId="23" fillId="0" borderId="16" xfId="1477" applyFont="1" applyBorder="1" applyAlignment="1">
      <alignment horizontal="left" vertical="center"/>
    </xf>
    <xf numFmtId="0" fontId="23" fillId="0" borderId="17" xfId="1589" applyFont="1" applyBorder="1" applyAlignment="1">
      <alignment vertical="center"/>
    </xf>
    <xf numFmtId="0" fontId="23" fillId="0" borderId="0" xfId="1477" applyFont="1" applyAlignment="1">
      <alignment horizontal="left" vertical="top"/>
    </xf>
    <xf numFmtId="176" fontId="23" fillId="0" borderId="19" xfId="2354" applyFont="1" applyFill="1" applyBorder="1" applyAlignment="1" applyProtection="1">
      <alignment horizontal="right" vertical="center"/>
    </xf>
    <xf numFmtId="176" fontId="23" fillId="0" borderId="23" xfId="2354" applyFont="1" applyFill="1" applyBorder="1" applyAlignment="1" applyProtection="1">
      <alignment horizontal="right" vertical="center"/>
    </xf>
    <xf numFmtId="361" fontId="23" fillId="0" borderId="19" xfId="1477" applyNumberFormat="1" applyFont="1" applyBorder="1" applyAlignment="1">
      <alignment horizontal="right" vertical="center"/>
    </xf>
    <xf numFmtId="176" fontId="23" fillId="0" borderId="18" xfId="2354" applyFont="1" applyFill="1" applyBorder="1" applyAlignment="1" applyProtection="1">
      <alignment horizontal="right" vertical="center"/>
    </xf>
    <xf numFmtId="298" fontId="37" fillId="0" borderId="19" xfId="2354" applyNumberFormat="1" applyFont="1" applyFill="1" applyBorder="1" applyAlignment="1" applyProtection="1">
      <alignment horizontal="right" vertical="center"/>
    </xf>
    <xf numFmtId="176" fontId="23" fillId="0" borderId="23" xfId="1477" applyNumberFormat="1" applyFont="1" applyBorder="1" applyAlignment="1">
      <alignment horizontal="right" vertical="center"/>
    </xf>
    <xf numFmtId="0" fontId="0" fillId="0" borderId="31" xfId="4110" applyFont="1" applyBorder="1" applyAlignment="1">
      <alignment vertical="center"/>
    </xf>
    <xf numFmtId="14" fontId="18" fillId="0" borderId="31" xfId="4110" applyNumberFormat="1" applyFont="1" applyBorder="1" applyAlignment="1">
      <alignment horizontal="center" vertical="center"/>
    </xf>
    <xf numFmtId="0" fontId="0" fillId="0" borderId="31" xfId="4110" applyFont="1" applyBorder="1" applyAlignment="1">
      <alignment horizontal="center" vertical="center"/>
    </xf>
    <xf numFmtId="2" fontId="0" fillId="0" borderId="31" xfId="4" applyNumberFormat="1" applyFont="1" applyFill="1" applyBorder="1" applyAlignment="1">
      <alignment horizontal="center" vertical="center"/>
    </xf>
    <xf numFmtId="1" fontId="0" fillId="0" borderId="31" xfId="4110" applyNumberFormat="1" applyFont="1" applyBorder="1" applyAlignment="1">
      <alignment horizontal="center" vertical="center"/>
    </xf>
    <xf numFmtId="2" fontId="0" fillId="0" borderId="31" xfId="4110" applyNumberFormat="1" applyFont="1" applyBorder="1" applyAlignment="1">
      <alignment horizontal="center" vertical="center"/>
    </xf>
    <xf numFmtId="0" fontId="0" fillId="0" borderId="0" xfId="4110" applyFont="1" applyAlignment="1">
      <alignment vertical="center" wrapText="1"/>
    </xf>
    <xf numFmtId="0" fontId="0" fillId="0" borderId="0" xfId="4110" applyFont="1" applyAlignment="1">
      <alignment horizontal="center" vertical="center" wrapText="1"/>
    </xf>
    <xf numFmtId="2" fontId="0" fillId="0" borderId="0" xfId="4110" applyNumberFormat="1" applyFont="1" applyAlignment="1">
      <alignment horizontal="center" vertical="center" wrapText="1"/>
    </xf>
    <xf numFmtId="0" fontId="0" fillId="0" borderId="5" xfId="4110" applyFont="1" applyBorder="1" applyAlignment="1">
      <alignment vertical="center" wrapText="1"/>
    </xf>
    <xf numFmtId="0" fontId="0" fillId="0" borderId="35" xfId="4110" applyFont="1" applyBorder="1" applyAlignment="1">
      <alignment horizontal="left" vertical="center" wrapText="1"/>
    </xf>
    <xf numFmtId="0" fontId="0" fillId="0" borderId="6" xfId="4110" applyFont="1" applyBorder="1" applyAlignment="1">
      <alignment vertical="center" wrapText="1"/>
    </xf>
    <xf numFmtId="0" fontId="0" fillId="0" borderId="35" xfId="4110" applyFont="1" applyBorder="1" applyAlignment="1">
      <alignment vertical="center" wrapText="1"/>
    </xf>
    <xf numFmtId="176" fontId="0" fillId="0" borderId="36" xfId="3002" applyFont="1" applyFill="1" applyBorder="1" applyAlignment="1">
      <alignment vertical="center" wrapText="1"/>
    </xf>
    <xf numFmtId="0" fontId="0" fillId="0" borderId="36" xfId="4110" applyFont="1" applyBorder="1" applyAlignment="1">
      <alignment vertical="center" wrapText="1"/>
    </xf>
    <xf numFmtId="9" fontId="0" fillId="0" borderId="36" xfId="4444" applyFont="1" applyFill="1" applyBorder="1" applyAlignment="1">
      <alignment vertical="center" wrapText="1"/>
    </xf>
    <xf numFmtId="0" fontId="0" fillId="0" borderId="37" xfId="4110" applyFont="1" applyBorder="1" applyAlignment="1">
      <alignment vertical="center" wrapText="1"/>
    </xf>
    <xf numFmtId="176" fontId="0" fillId="0" borderId="38" xfId="3002" applyFont="1" applyFill="1" applyBorder="1" applyAlignment="1">
      <alignment vertical="center" wrapText="1"/>
    </xf>
    <xf numFmtId="0" fontId="0" fillId="0" borderId="38" xfId="4110" applyFont="1" applyBorder="1" applyAlignment="1">
      <alignment vertical="center" wrapText="1"/>
    </xf>
    <xf numFmtId="176" fontId="0" fillId="0" borderId="35" xfId="3002" applyFont="1" applyFill="1" applyBorder="1" applyAlignment="1">
      <alignment vertical="center" wrapText="1"/>
    </xf>
    <xf numFmtId="2" fontId="23" fillId="0" borderId="0" xfId="1477" applyNumberFormat="1" applyFont="1" applyAlignment="1">
      <alignment vertical="top"/>
    </xf>
    <xf numFmtId="205" fontId="23" fillId="0" borderId="0" xfId="1477" applyNumberFormat="1" applyFont="1" applyAlignment="1">
      <alignment vertical="center"/>
    </xf>
    <xf numFmtId="2" fontId="23" fillId="0" borderId="0" xfId="1477" applyNumberFormat="1" applyFont="1" applyAlignment="1">
      <alignment vertical="center"/>
    </xf>
    <xf numFmtId="205" fontId="23" fillId="0" borderId="0" xfId="1477" applyNumberFormat="1" applyFont="1" applyAlignment="1">
      <alignment horizontal="fill" vertical="center"/>
    </xf>
    <xf numFmtId="0" fontId="23" fillId="0" borderId="0" xfId="1477" applyFont="1" applyAlignment="1" applyProtection="1">
      <alignment vertical="center"/>
      <protection locked="0"/>
    </xf>
    <xf numFmtId="0" fontId="23" fillId="0" borderId="0" xfId="1477" applyFont="1" applyAlignment="1">
      <alignment horizontal="right" vertical="center"/>
    </xf>
    <xf numFmtId="205" fontId="23" fillId="0" borderId="0" xfId="1477" applyNumberFormat="1" applyFont="1" applyAlignment="1">
      <alignment horizontal="left" vertical="center"/>
    </xf>
    <xf numFmtId="0" fontId="0" fillId="3" borderId="0" xfId="0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176" fontId="22" fillId="0" borderId="0" xfId="4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176" fontId="42" fillId="0" borderId="0" xfId="0" applyNumberFormat="1" applyFont="1" applyAlignment="1">
      <alignment horizontal="left" vertical="center"/>
    </xf>
    <xf numFmtId="176" fontId="42" fillId="0" borderId="0" xfId="4" applyFont="1" applyBorder="1" applyAlignment="1">
      <alignment horizontal="center" vertical="center"/>
    </xf>
    <xf numFmtId="10" fontId="22" fillId="0" borderId="0" xfId="24" applyNumberFormat="1" applyFont="1" applyFill="1" applyBorder="1"/>
    <xf numFmtId="0" fontId="22" fillId="0" borderId="0" xfId="0" applyFont="1"/>
    <xf numFmtId="10" fontId="22" fillId="0" borderId="0" xfId="0" applyNumberFormat="1" applyFont="1"/>
    <xf numFmtId="10" fontId="22" fillId="0" borderId="0" xfId="24" applyNumberFormat="1" applyFont="1" applyBorder="1"/>
    <xf numFmtId="10" fontId="23" fillId="0" borderId="0" xfId="24" applyNumberFormat="1" applyFont="1" applyFill="1" applyBorder="1"/>
    <xf numFmtId="10" fontId="23" fillId="0" borderId="0" xfId="0" applyNumberFormat="1" applyFont="1"/>
    <xf numFmtId="176" fontId="22" fillId="0" borderId="0" xfId="4" applyFont="1" applyBorder="1"/>
    <xf numFmtId="10" fontId="0" fillId="0" borderId="0" xfId="24" applyNumberFormat="1" applyFont="1" applyBorder="1"/>
    <xf numFmtId="0" fontId="0" fillId="0" borderId="0" xfId="24" applyNumberFormat="1" applyFont="1" applyFill="1" applyBorder="1"/>
    <xf numFmtId="176" fontId="23" fillId="0" borderId="0" xfId="4" applyFont="1" applyBorder="1" applyAlignment="1">
      <alignment horizontal="center" vertical="center"/>
    </xf>
    <xf numFmtId="176" fontId="22" fillId="0" borderId="0" xfId="4" applyFont="1" applyFill="1" applyBorder="1" applyAlignment="1">
      <alignment horizontal="center" vertical="center"/>
    </xf>
    <xf numFmtId="176" fontId="43" fillId="0" borderId="0" xfId="4" applyFont="1" applyBorder="1" applyAlignment="1">
      <alignment horizontal="center" vertical="center"/>
    </xf>
    <xf numFmtId="180" fontId="44" fillId="0" borderId="0" xfId="0" applyNumberFormat="1" applyFont="1" applyAlignment="1">
      <alignment horizontal="center"/>
    </xf>
    <xf numFmtId="176" fontId="22" fillId="0" borderId="0" xfId="4" applyFont="1" applyBorder="1" applyAlignment="1">
      <alignment horizontal="center"/>
    </xf>
    <xf numFmtId="176" fontId="22" fillId="0" borderId="0" xfId="0" applyNumberFormat="1" applyFont="1" applyAlignment="1">
      <alignment horizontal="center"/>
    </xf>
    <xf numFmtId="0" fontId="0" fillId="0" borderId="0" xfId="4110" applyFont="1"/>
    <xf numFmtId="10" fontId="0" fillId="0" borderId="0" xfId="4110" applyNumberFormat="1" applyFont="1"/>
    <xf numFmtId="176" fontId="0" fillId="0" borderId="0" xfId="4110" applyNumberFormat="1" applyFont="1"/>
    <xf numFmtId="0" fontId="18" fillId="0" borderId="0" xfId="4110" applyFont="1"/>
    <xf numFmtId="0" fontId="0" fillId="0" borderId="40" xfId="0" applyBorder="1"/>
    <xf numFmtId="180" fontId="25" fillId="0" borderId="0" xfId="4112" applyNumberFormat="1" applyFont="1" applyAlignment="1">
      <alignment horizontal="center" vertical="center"/>
    </xf>
    <xf numFmtId="176" fontId="23" fillId="0" borderId="0" xfId="4" applyFont="1" applyFill="1" applyBorder="1" applyAlignment="1">
      <alignment horizontal="center" vertical="center"/>
    </xf>
    <xf numFmtId="0" fontId="0" fillId="0" borderId="0" xfId="4111" applyFont="1" applyAlignment="1">
      <alignment vertical="center"/>
    </xf>
    <xf numFmtId="0" fontId="18" fillId="0" borderId="0" xfId="4111" applyFont="1" applyAlignment="1">
      <alignment vertical="center"/>
    </xf>
    <xf numFmtId="176" fontId="18" fillId="0" borderId="0" xfId="4" applyFont="1"/>
    <xf numFmtId="0" fontId="18" fillId="0" borderId="0" xfId="411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76" fontId="18" fillId="0" borderId="0" xfId="4" applyFont="1" applyBorder="1"/>
    <xf numFmtId="0" fontId="19" fillId="0" borderId="40" xfId="0" applyFont="1" applyBorder="1"/>
    <xf numFmtId="176" fontId="19" fillId="0" borderId="40" xfId="0" applyNumberFormat="1" applyFont="1" applyBorder="1"/>
    <xf numFmtId="224" fontId="18" fillId="0" borderId="0" xfId="0" applyNumberFormat="1" applyFont="1"/>
    <xf numFmtId="176" fontId="18" fillId="0" borderId="0" xfId="4" applyFont="1" applyFill="1" applyBorder="1"/>
    <xf numFmtId="176" fontId="18" fillId="2" borderId="0" xfId="4" applyFont="1" applyFill="1" applyBorder="1"/>
    <xf numFmtId="0" fontId="18" fillId="3" borderId="0" xfId="0" applyFont="1" applyFill="1"/>
    <xf numFmtId="176" fontId="0" fillId="0" borderId="0" xfId="4" applyFont="1" applyBorder="1" applyAlignment="1">
      <alignment horizontal="center"/>
    </xf>
    <xf numFmtId="180" fontId="18" fillId="0" borderId="0" xfId="0" applyNumberFormat="1" applyFont="1" applyAlignment="1">
      <alignment horizontal="center"/>
    </xf>
    <xf numFmtId="176" fontId="0" fillId="0" borderId="0" xfId="4" applyFont="1" applyBorder="1" applyAlignment="1">
      <alignment horizontal="left"/>
    </xf>
    <xf numFmtId="176" fontId="0" fillId="0" borderId="0" xfId="3002" applyFont="1"/>
    <xf numFmtId="176" fontId="21" fillId="0" borderId="0" xfId="0" applyNumberFormat="1" applyFont="1" applyAlignment="1">
      <alignment horizontal="center"/>
    </xf>
    <xf numFmtId="0" fontId="18" fillId="3" borderId="0" xfId="4110" applyFont="1" applyFill="1" applyAlignment="1">
      <alignment horizontal="center"/>
    </xf>
    <xf numFmtId="10" fontId="18" fillId="0" borderId="0" xfId="24" applyNumberFormat="1" applyFont="1" applyFill="1" applyBorder="1" applyAlignment="1">
      <alignment horizontal="center"/>
    </xf>
    <xf numFmtId="10" fontId="18" fillId="0" borderId="0" xfId="24" applyNumberFormat="1" applyFont="1" applyFill="1" applyAlignment="1">
      <alignment horizontal="center"/>
    </xf>
    <xf numFmtId="10" fontId="45" fillId="0" borderId="0" xfId="0" applyNumberFormat="1" applyFont="1"/>
    <xf numFmtId="176" fontId="18" fillId="0" borderId="0" xfId="0" applyNumberFormat="1" applyFont="1" applyAlignment="1">
      <alignment horizontal="center"/>
    </xf>
    <xf numFmtId="176" fontId="18" fillId="0" borderId="0" xfId="4110" applyNumberFormat="1" applyFont="1"/>
    <xf numFmtId="359" fontId="21" fillId="0" borderId="0" xfId="4" applyNumberFormat="1" applyFont="1" applyAlignment="1">
      <alignment horizontal="center"/>
    </xf>
    <xf numFmtId="224" fontId="0" fillId="0" borderId="0" xfId="0" applyNumberFormat="1"/>
    <xf numFmtId="180" fontId="18" fillId="3" borderId="0" xfId="4110" applyNumberFormat="1" applyFont="1" applyFill="1" applyAlignment="1">
      <alignment horizontal="center"/>
    </xf>
    <xf numFmtId="176" fontId="0" fillId="0" borderId="0" xfId="4" applyFont="1" applyFill="1" applyAlignment="1">
      <alignment horizontal="center"/>
    </xf>
    <xf numFmtId="176" fontId="0" fillId="0" borderId="0" xfId="4110" applyNumberFormat="1" applyFont="1" applyAlignment="1">
      <alignment horizontal="center"/>
    </xf>
    <xf numFmtId="176" fontId="0" fillId="0" borderId="0" xfId="24" applyNumberFormat="1" applyFont="1"/>
    <xf numFmtId="363" fontId="0" fillId="0" borderId="0" xfId="24" applyNumberFormat="1" applyFont="1"/>
    <xf numFmtId="10" fontId="45" fillId="0" borderId="0" xfId="24" applyNumberFormat="1" applyFont="1" applyFill="1" applyBorder="1"/>
    <xf numFmtId="180" fontId="0" fillId="0" borderId="0" xfId="0" applyNumberFormat="1" applyAlignment="1">
      <alignment horizontal="center"/>
    </xf>
    <xf numFmtId="180" fontId="18" fillId="0" borderId="0" xfId="4110" applyNumberFormat="1" applyFont="1" applyAlignment="1">
      <alignment horizontal="center"/>
    </xf>
    <xf numFmtId="176" fontId="0" fillId="0" borderId="0" xfId="3002" applyFont="1" applyBorder="1"/>
    <xf numFmtId="0" fontId="18" fillId="3" borderId="0" xfId="4110" applyFont="1" applyFill="1" applyAlignment="1">
      <alignment horizontal="left"/>
    </xf>
    <xf numFmtId="180" fontId="0" fillId="0" borderId="0" xfId="4110" applyNumberFormat="1" applyFont="1" applyAlignment="1">
      <alignment horizontal="center"/>
    </xf>
    <xf numFmtId="0" fontId="0" fillId="0" borderId="0" xfId="711" applyFont="1"/>
    <xf numFmtId="0" fontId="23" fillId="0" borderId="0" xfId="711" applyFont="1"/>
    <xf numFmtId="176" fontId="23" fillId="20" borderId="0" xfId="4" applyFont="1" applyFill="1"/>
    <xf numFmtId="176" fontId="0" fillId="20" borderId="0" xfId="4" applyFont="1" applyFill="1"/>
    <xf numFmtId="10" fontId="0" fillId="0" borderId="0" xfId="24" applyNumberFormat="1" applyFont="1" applyFill="1"/>
    <xf numFmtId="0" fontId="18" fillId="21" borderId="0" xfId="0" applyFont="1" applyFill="1" applyAlignment="1">
      <alignment horizontal="center"/>
    </xf>
    <xf numFmtId="0" fontId="0" fillId="0" borderId="0" xfId="0" applyProtection="1">
      <protection locked="0"/>
    </xf>
    <xf numFmtId="357" fontId="0" fillId="0" borderId="0" xfId="0" applyNumberFormat="1" applyProtection="1">
      <protection locked="0"/>
    </xf>
    <xf numFmtId="357" fontId="0" fillId="0" borderId="0" xfId="0" applyNumberFormat="1"/>
    <xf numFmtId="180" fontId="25" fillId="0" borderId="0" xfId="4091" applyNumberFormat="1" applyFont="1" applyAlignment="1">
      <alignment horizontal="center"/>
    </xf>
    <xf numFmtId="0" fontId="25" fillId="0" borderId="0" xfId="4091" applyFont="1" applyAlignment="1" applyProtection="1">
      <alignment horizontal="center"/>
      <protection locked="0"/>
    </xf>
    <xf numFmtId="0" fontId="23" fillId="0" borderId="0" xfId="4091" applyFont="1"/>
    <xf numFmtId="0" fontId="24" fillId="0" borderId="0" xfId="4091" applyFont="1"/>
    <xf numFmtId="0" fontId="23" fillId="0" borderId="0" xfId="4091" applyFont="1" applyAlignment="1">
      <alignment horizontal="left"/>
    </xf>
    <xf numFmtId="176" fontId="0" fillId="0" borderId="0" xfId="24" applyNumberFormat="1" applyFont="1" applyFill="1"/>
    <xf numFmtId="0" fontId="46" fillId="0" borderId="0" xfId="4091" applyFont="1"/>
    <xf numFmtId="10" fontId="22" fillId="0" borderId="0" xfId="24" applyNumberFormat="1" applyFont="1" applyFill="1"/>
    <xf numFmtId="0" fontId="25" fillId="0" borderId="0" xfId="4091" applyFont="1" applyAlignment="1">
      <alignment horizontal="center"/>
    </xf>
    <xf numFmtId="176" fontId="23" fillId="0" borderId="0" xfId="4" applyFont="1" applyFill="1" applyBorder="1" applyAlignment="1">
      <alignment horizontal="center"/>
    </xf>
    <xf numFmtId="176" fontId="47" fillId="0" borderId="0" xfId="4" applyFont="1"/>
    <xf numFmtId="176" fontId="23" fillId="0" borderId="0" xfId="2967" applyFont="1"/>
    <xf numFmtId="176" fontId="23" fillId="0" borderId="0" xfId="2967" applyFont="1" applyFill="1"/>
    <xf numFmtId="0" fontId="23" fillId="22" borderId="0" xfId="4091" applyFont="1" applyFill="1"/>
    <xf numFmtId="176" fontId="23" fillId="0" borderId="0" xfId="2967" applyFont="1" applyFill="1" applyBorder="1"/>
    <xf numFmtId="176" fontId="23" fillId="0" borderId="0" xfId="2967" applyFont="1" applyBorder="1"/>
    <xf numFmtId="176" fontId="24" fillId="0" borderId="0" xfId="2967" applyFont="1" applyFill="1" applyBorder="1"/>
    <xf numFmtId="0" fontId="25" fillId="0" borderId="0" xfId="4091" applyFont="1"/>
    <xf numFmtId="10" fontId="25" fillId="0" borderId="0" xfId="4091" applyNumberFormat="1" applyFont="1"/>
    <xf numFmtId="10" fontId="23" fillId="0" borderId="0" xfId="4091" applyNumberFormat="1" applyFont="1"/>
    <xf numFmtId="0" fontId="0" fillId="22" borderId="0" xfId="0" applyFill="1"/>
    <xf numFmtId="0" fontId="0" fillId="0" borderId="0" xfId="0" applyAlignment="1">
      <alignment horizontal="left"/>
    </xf>
    <xf numFmtId="180" fontId="22" fillId="0" borderId="0" xfId="4112" applyNumberFormat="1" applyFont="1" applyAlignment="1">
      <alignment horizontal="center" vertical="center"/>
    </xf>
    <xf numFmtId="0" fontId="22" fillId="0" borderId="0" xfId="0" applyFont="1" applyAlignment="1">
      <alignment horizontal="center"/>
    </xf>
    <xf numFmtId="180" fontId="23" fillId="0" borderId="0" xfId="4112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80" fontId="22" fillId="0" borderId="0" xfId="722" applyNumberFormat="1" applyFont="1" applyAlignment="1">
      <alignment horizontal="center" vertical="center"/>
    </xf>
    <xf numFmtId="10" fontId="22" fillId="0" borderId="0" xfId="24" applyNumberFormat="1" applyFont="1"/>
    <xf numFmtId="9" fontId="22" fillId="0" borderId="0" xfId="0" applyNumberFormat="1" applyFont="1"/>
    <xf numFmtId="0" fontId="0" fillId="0" borderId="0" xfId="4109" applyFont="1" applyAlignment="1">
      <alignment vertical="center"/>
    </xf>
    <xf numFmtId="0" fontId="0" fillId="0" borderId="0" xfId="4107" applyFont="1" applyAlignment="1">
      <alignment vertical="center"/>
    </xf>
    <xf numFmtId="0" fontId="0" fillId="0" borderId="0" xfId="723" applyFont="1"/>
    <xf numFmtId="10" fontId="22" fillId="0" borderId="0" xfId="4" applyNumberFormat="1" applyFont="1" applyFill="1"/>
    <xf numFmtId="0" fontId="19" fillId="0" borderId="0" xfId="723" applyFont="1"/>
    <xf numFmtId="176" fontId="46" fillId="0" borderId="0" xfId="1289" applyNumberFormat="1" applyFont="1"/>
    <xf numFmtId="364" fontId="0" fillId="0" borderId="0" xfId="879" applyNumberFormat="1" applyFont="1" applyFill="1" applyAlignment="1">
      <alignment vertical="center"/>
    </xf>
    <xf numFmtId="0" fontId="0" fillId="23" borderId="0" xfId="0" applyFill="1"/>
    <xf numFmtId="10" fontId="22" fillId="0" borderId="0" xfId="4" applyNumberFormat="1" applyFont="1"/>
    <xf numFmtId="9" fontId="22" fillId="0" borderId="0" xfId="4" applyNumberFormat="1" applyFont="1"/>
    <xf numFmtId="9" fontId="0" fillId="0" borderId="0" xfId="0" applyNumberFormat="1"/>
    <xf numFmtId="14" fontId="0" fillId="0" borderId="0" xfId="0" applyNumberFormat="1"/>
    <xf numFmtId="365" fontId="0" fillId="0" borderId="0" xfId="24" applyNumberFormat="1" applyFont="1"/>
    <xf numFmtId="176" fontId="22" fillId="0" borderId="0" xfId="3012" applyFont="1" applyBorder="1"/>
    <xf numFmtId="0" fontId="0" fillId="0" borderId="0" xfId="1296" applyFont="1"/>
    <xf numFmtId="176" fontId="22" fillId="2" borderId="0" xfId="3012" applyFont="1" applyFill="1" applyBorder="1"/>
    <xf numFmtId="10" fontId="22" fillId="0" borderId="0" xfId="3012" applyNumberFormat="1" applyFont="1" applyFill="1" applyBorder="1"/>
    <xf numFmtId="180" fontId="22" fillId="0" borderId="0" xfId="0" applyNumberFormat="1" applyFont="1" applyAlignment="1">
      <alignment horizontal="center"/>
    </xf>
    <xf numFmtId="0" fontId="18" fillId="0" borderId="0" xfId="1296" applyFont="1" applyAlignment="1">
      <alignment horizontal="center"/>
    </xf>
    <xf numFmtId="180" fontId="22" fillId="0" borderId="0" xfId="4" applyNumberFormat="1" applyFont="1" applyAlignment="1">
      <alignment horizontal="center"/>
    </xf>
    <xf numFmtId="180" fontId="23" fillId="0" borderId="0" xfId="4" applyNumberFormat="1" applyFont="1" applyAlignment="1">
      <alignment horizontal="center"/>
    </xf>
    <xf numFmtId="176" fontId="44" fillId="0" borderId="0" xfId="4" applyFont="1" applyFill="1" applyAlignment="1">
      <alignment horizontal="center"/>
    </xf>
    <xf numFmtId="0" fontId="18" fillId="2" borderId="0" xfId="0" applyFont="1" applyFill="1"/>
    <xf numFmtId="10" fontId="22" fillId="0" borderId="0" xfId="24" applyNumberFormat="1" applyFont="1" applyAlignment="1">
      <alignment horizontal="center"/>
    </xf>
    <xf numFmtId="180" fontId="22" fillId="2" borderId="0" xfId="4" applyNumberFormat="1" applyFont="1" applyFill="1" applyAlignment="1">
      <alignment horizontal="center"/>
    </xf>
    <xf numFmtId="176" fontId="22" fillId="24" borderId="0" xfId="0" applyNumberFormat="1" applyFont="1" applyFill="1"/>
    <xf numFmtId="0" fontId="0" fillId="0" borderId="0" xfId="4122" applyFont="1"/>
    <xf numFmtId="176" fontId="22" fillId="0" borderId="0" xfId="3002" applyFont="1" applyFill="1"/>
    <xf numFmtId="0" fontId="23" fillId="0" borderId="0" xfId="4110" applyFont="1"/>
    <xf numFmtId="0" fontId="22" fillId="0" borderId="0" xfId="4110" applyFont="1"/>
    <xf numFmtId="0" fontId="18" fillId="25" borderId="0" xfId="0" applyFont="1" applyFill="1" applyAlignment="1">
      <alignment horizontal="center" vertical="center"/>
    </xf>
    <xf numFmtId="0" fontId="23" fillId="0" borderId="0" xfId="1290" applyFont="1" applyAlignment="1">
      <alignment vertical="center"/>
    </xf>
    <xf numFmtId="10" fontId="22" fillId="0" borderId="0" xfId="24" applyNumberFormat="1" applyFont="1" applyFill="1" applyBorder="1" applyAlignment="1">
      <alignment horizontal="right" vertical="center"/>
    </xf>
    <xf numFmtId="0" fontId="23" fillId="0" borderId="0" xfId="1294" applyFont="1" applyAlignment="1">
      <alignment vertical="center"/>
    </xf>
    <xf numFmtId="176" fontId="22" fillId="0" borderId="0" xfId="4" applyFont="1" applyFill="1" applyBorder="1" applyAlignment="1">
      <alignment vertical="center"/>
    </xf>
    <xf numFmtId="0" fontId="23" fillId="0" borderId="0" xfId="1303" applyFont="1" applyAlignment="1">
      <alignment vertical="center"/>
    </xf>
    <xf numFmtId="176" fontId="22" fillId="0" borderId="0" xfId="1497" applyFont="1" applyFill="1" applyBorder="1" applyAlignment="1" applyProtection="1">
      <alignment vertical="center"/>
    </xf>
    <xf numFmtId="4" fontId="22" fillId="0" borderId="0" xfId="1497" applyNumberFormat="1" applyFont="1" applyFill="1" applyBorder="1" applyAlignment="1" applyProtection="1">
      <alignment vertical="center"/>
    </xf>
    <xf numFmtId="176" fontId="22" fillId="0" borderId="0" xfId="3028" applyFont="1" applyFill="1" applyBorder="1" applyAlignment="1" applyProtection="1">
      <alignment vertical="center"/>
    </xf>
    <xf numFmtId="278" fontId="0" fillId="0" borderId="0" xfId="0" applyNumberFormat="1"/>
    <xf numFmtId="366" fontId="22" fillId="0" borderId="0" xfId="1497" applyNumberFormat="1" applyFont="1" applyFill="1" applyBorder="1" applyAlignment="1" applyProtection="1">
      <alignment vertical="center"/>
    </xf>
    <xf numFmtId="366" fontId="0" fillId="0" borderId="0" xfId="4" applyNumberFormat="1" applyFont="1"/>
    <xf numFmtId="366" fontId="22" fillId="0" borderId="0" xfId="3028" applyNumberFormat="1" applyFont="1" applyFill="1" applyBorder="1" applyAlignment="1" applyProtection="1">
      <alignment vertical="center"/>
    </xf>
    <xf numFmtId="366" fontId="22" fillId="0" borderId="0" xfId="4" applyNumberFormat="1" applyFont="1"/>
    <xf numFmtId="0" fontId="23" fillId="0" borderId="0" xfId="1477" quotePrefix="1" applyFont="1" applyAlignment="1">
      <alignment horizontal="left" vertic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8" fillId="20" borderId="0" xfId="0" applyFont="1" applyFill="1"/>
    <xf numFmtId="0" fontId="0" fillId="20" borderId="0" xfId="0" applyFill="1"/>
    <xf numFmtId="0" fontId="356" fillId="20" borderId="0" xfId="0" applyFont="1" applyFill="1"/>
    <xf numFmtId="357" fontId="367" fillId="0" borderId="0" xfId="0" applyNumberFormat="1" applyFont="1"/>
    <xf numFmtId="367" fontId="367" fillId="0" borderId="0" xfId="0" applyNumberFormat="1" applyFont="1"/>
    <xf numFmtId="288" fontId="367" fillId="0" borderId="0" xfId="0" applyNumberFormat="1" applyFont="1"/>
    <xf numFmtId="9" fontId="367" fillId="0" borderId="0" xfId="0" applyNumberFormat="1" applyFont="1"/>
    <xf numFmtId="10" fontId="367" fillId="0" borderId="0" xfId="0" applyNumberFormat="1" applyFont="1"/>
    <xf numFmtId="0" fontId="367" fillId="0" borderId="0" xfId="0" applyFont="1"/>
    <xf numFmtId="0" fontId="358" fillId="0" borderId="0" xfId="0" applyFont="1"/>
    <xf numFmtId="10" fontId="366" fillId="0" borderId="0" xfId="0" applyNumberFormat="1" applyFont="1"/>
    <xf numFmtId="9" fontId="0" fillId="0" borderId="0" xfId="24" applyFont="1" applyFill="1" applyBorder="1"/>
    <xf numFmtId="0" fontId="359" fillId="0" borderId="0" xfId="0" applyFont="1"/>
    <xf numFmtId="9" fontId="366" fillId="0" borderId="0" xfId="0" applyNumberFormat="1" applyFont="1"/>
    <xf numFmtId="0" fontId="360" fillId="0" borderId="0" xfId="0" applyFont="1"/>
    <xf numFmtId="0" fontId="361" fillId="0" borderId="0" xfId="0" applyFont="1"/>
    <xf numFmtId="2" fontId="366" fillId="0" borderId="0" xfId="0" applyNumberFormat="1" applyFont="1"/>
    <xf numFmtId="357" fontId="18" fillId="0" borderId="0" xfId="0" applyNumberFormat="1" applyFont="1"/>
    <xf numFmtId="0" fontId="20" fillId="0" borderId="0" xfId="0" applyFont="1" applyAlignment="1">
      <alignment horizontal="right"/>
    </xf>
    <xf numFmtId="0" fontId="20" fillId="0" borderId="0" xfId="0" quotePrefix="1" applyFont="1" applyAlignment="1">
      <alignment horizontal="center"/>
    </xf>
    <xf numFmtId="10" fontId="20" fillId="0" borderId="0" xfId="24" applyNumberFormat="1" applyFont="1" applyFill="1" applyBorder="1"/>
    <xf numFmtId="358" fontId="18" fillId="0" borderId="0" xfId="0" applyNumberFormat="1" applyFont="1"/>
    <xf numFmtId="10" fontId="20" fillId="0" borderId="0" xfId="24" quotePrefix="1" applyNumberFormat="1" applyFont="1" applyFill="1" applyBorder="1" applyAlignment="1">
      <alignment horizontal="center"/>
    </xf>
    <xf numFmtId="0" fontId="356" fillId="0" borderId="0" xfId="0" applyFont="1" applyAlignment="1">
      <alignment horizontal="left"/>
    </xf>
    <xf numFmtId="2" fontId="356" fillId="0" borderId="0" xfId="24" applyNumberFormat="1" applyFont="1" applyFill="1" applyBorder="1"/>
    <xf numFmtId="358" fontId="356" fillId="0" borderId="0" xfId="0" applyNumberFormat="1" applyFont="1"/>
    <xf numFmtId="0" fontId="357" fillId="0" borderId="0" xfId="0" applyFont="1" applyAlignment="1">
      <alignment horizontal="right"/>
    </xf>
    <xf numFmtId="0" fontId="356" fillId="0" borderId="0" xfId="0" applyFont="1"/>
    <xf numFmtId="2" fontId="356" fillId="0" borderId="0" xfId="0" applyNumberFormat="1" applyFont="1"/>
    <xf numFmtId="10" fontId="357" fillId="0" borderId="0" xfId="24" applyNumberFormat="1" applyFont="1" applyFill="1" applyBorder="1"/>
    <xf numFmtId="367" fontId="356" fillId="0" borderId="0" xfId="0" applyNumberFormat="1" applyFont="1"/>
    <xf numFmtId="0" fontId="357" fillId="0" borderId="0" xfId="0" quotePrefix="1" applyFont="1" applyAlignment="1">
      <alignment horizontal="center"/>
    </xf>
    <xf numFmtId="0" fontId="17" fillId="0" borderId="0" xfId="0" applyFont="1"/>
    <xf numFmtId="288" fontId="356" fillId="0" borderId="0" xfId="0" applyNumberFormat="1" applyFont="1"/>
    <xf numFmtId="2" fontId="0" fillId="0" borderId="0" xfId="0" applyNumberFormat="1"/>
    <xf numFmtId="0" fontId="17" fillId="0" borderId="0" xfId="0" applyFont="1" applyAlignment="1">
      <alignment wrapText="1"/>
    </xf>
    <xf numFmtId="0" fontId="362" fillId="0" borderId="0" xfId="0" applyFont="1"/>
    <xf numFmtId="0" fontId="363" fillId="0" borderId="0" xfId="0" applyFont="1" applyAlignment="1">
      <alignment vertical="center" textRotation="90" readingOrder="2"/>
    </xf>
    <xf numFmtId="0" fontId="17" fillId="0" borderId="0" xfId="0" applyFont="1" applyAlignment="1">
      <alignment vertical="center" textRotation="90" readingOrder="2"/>
    </xf>
    <xf numFmtId="212" fontId="0" fillId="0" borderId="0" xfId="0" applyNumberFormat="1"/>
    <xf numFmtId="10" fontId="356" fillId="0" borderId="0" xfId="0" applyNumberFormat="1" applyFont="1"/>
    <xf numFmtId="10" fontId="365" fillId="0" borderId="0" xfId="0" applyNumberFormat="1" applyFont="1"/>
    <xf numFmtId="0" fontId="17" fillId="0" borderId="0" xfId="0" applyFont="1" applyAlignment="1">
      <alignment horizontal="right"/>
    </xf>
    <xf numFmtId="0" fontId="362" fillId="20" borderId="0" xfId="0" applyFont="1" applyFill="1"/>
    <xf numFmtId="0" fontId="364" fillId="0" borderId="0" xfId="0" applyFont="1" applyAlignment="1">
      <alignment horizontal="center" vertical="center"/>
    </xf>
    <xf numFmtId="0" fontId="15" fillId="0" borderId="0" xfId="0" applyFont="1"/>
    <xf numFmtId="176" fontId="15" fillId="0" borderId="0" xfId="0" applyNumberFormat="1" applyFont="1"/>
    <xf numFmtId="0" fontId="0" fillId="0" borderId="0" xfId="723" applyFont="1" applyAlignment="1">
      <alignment vertical="top" wrapText="1"/>
    </xf>
    <xf numFmtId="0" fontId="371" fillId="0" borderId="0" xfId="0" applyFont="1"/>
    <xf numFmtId="0" fontId="14" fillId="0" borderId="0" xfId="0" applyFont="1"/>
    <xf numFmtId="2" fontId="18" fillId="33" borderId="0" xfId="0" applyNumberFormat="1" applyFont="1" applyFill="1"/>
    <xf numFmtId="0" fontId="0" fillId="33" borderId="0" xfId="0" applyFill="1" applyAlignment="1">
      <alignment horizontal="left" vertical="center"/>
    </xf>
    <xf numFmtId="0" fontId="23" fillId="33" borderId="0" xfId="0" applyFont="1" applyFill="1" applyAlignment="1">
      <alignment horizontal="left" vertical="center"/>
    </xf>
    <xf numFmtId="0" fontId="23" fillId="33" borderId="0" xfId="0" applyFont="1" applyFill="1"/>
    <xf numFmtId="0" fontId="14" fillId="0" borderId="0" xfId="711" applyFont="1"/>
    <xf numFmtId="0" fontId="14" fillId="0" borderId="0" xfId="0" applyFont="1" applyAlignment="1">
      <alignment horizontal="left" vertical="center"/>
    </xf>
    <xf numFmtId="14" fontId="41" fillId="114" borderId="0" xfId="0" applyNumberFormat="1" applyFont="1" applyFill="1"/>
    <xf numFmtId="0" fontId="372" fillId="0" borderId="0" xfId="5332" applyFont="1"/>
    <xf numFmtId="0" fontId="14" fillId="0" borderId="0" xfId="5332"/>
    <xf numFmtId="0" fontId="373" fillId="0" borderId="0" xfId="5333"/>
    <xf numFmtId="0" fontId="370" fillId="26" borderId="0" xfId="5333" applyFont="1" applyFill="1" applyAlignment="1">
      <alignment vertical="center"/>
    </xf>
    <xf numFmtId="0" fontId="370" fillId="26" borderId="0" xfId="5333" applyFont="1" applyFill="1" applyAlignment="1">
      <alignment horizontal="center" vertical="center"/>
    </xf>
    <xf numFmtId="0" fontId="374" fillId="114" borderId="0" xfId="5332" applyFont="1" applyFill="1" applyAlignment="1">
      <alignment vertical="center"/>
    </xf>
    <xf numFmtId="0" fontId="372" fillId="114" borderId="0" xfId="5332" applyFont="1" applyFill="1"/>
    <xf numFmtId="0" fontId="376" fillId="0" borderId="0" xfId="5332" applyFont="1"/>
    <xf numFmtId="0" fontId="377" fillId="0" borderId="31" xfId="5332" applyFont="1" applyBorder="1"/>
    <xf numFmtId="180" fontId="377" fillId="0" borderId="31" xfId="5332" applyNumberFormat="1" applyFont="1" applyBorder="1" applyAlignment="1">
      <alignment horizontal="center"/>
    </xf>
    <xf numFmtId="0" fontId="228" fillId="0" borderId="0" xfId="5334" applyAlignment="1">
      <alignment vertical="center"/>
    </xf>
    <xf numFmtId="10" fontId="128" fillId="0" borderId="31" xfId="5332" applyNumberFormat="1" applyFont="1" applyBorder="1" applyAlignment="1">
      <alignment horizontal="center"/>
    </xf>
    <xf numFmtId="176" fontId="376" fillId="0" borderId="0" xfId="5332" applyNumberFormat="1" applyFont="1"/>
    <xf numFmtId="9" fontId="128" fillId="0" borderId="31" xfId="5332" applyNumberFormat="1" applyFont="1" applyBorder="1" applyAlignment="1">
      <alignment horizontal="center"/>
    </xf>
    <xf numFmtId="0" fontId="377" fillId="0" borderId="0" xfId="5332" applyFont="1"/>
    <xf numFmtId="10" fontId="128" fillId="0" borderId="0" xfId="5332" applyNumberFormat="1" applyFont="1" applyAlignment="1">
      <alignment horizontal="center"/>
    </xf>
    <xf numFmtId="0" fontId="128" fillId="115" borderId="31" xfId="5332" applyFont="1" applyFill="1" applyBorder="1" applyAlignment="1">
      <alignment horizontal="center"/>
    </xf>
    <xf numFmtId="176" fontId="377" fillId="0" borderId="31" xfId="5335" applyFont="1" applyBorder="1" applyAlignment="1">
      <alignment horizontal="center" vertical="center"/>
    </xf>
    <xf numFmtId="10" fontId="377" fillId="0" borderId="31" xfId="5336" applyNumberFormat="1" applyFont="1" applyBorder="1" applyAlignment="1">
      <alignment horizontal="center" vertical="center"/>
    </xf>
    <xf numFmtId="10" fontId="377" fillId="0" borderId="31" xfId="5332" applyNumberFormat="1" applyFont="1" applyBorder="1" applyAlignment="1">
      <alignment horizontal="center" vertical="center"/>
    </xf>
    <xf numFmtId="363" fontId="372" fillId="0" borderId="0" xfId="5332" applyNumberFormat="1" applyFont="1"/>
    <xf numFmtId="0" fontId="377" fillId="33" borderId="31" xfId="5332" applyFont="1" applyFill="1" applyBorder="1"/>
    <xf numFmtId="176" fontId="377" fillId="33" borderId="31" xfId="5335" applyFont="1" applyFill="1" applyBorder="1" applyAlignment="1">
      <alignment horizontal="center" vertical="center"/>
    </xf>
    <xf numFmtId="9" fontId="377" fillId="33" borderId="31" xfId="5336" applyFont="1" applyFill="1" applyBorder="1" applyAlignment="1">
      <alignment horizontal="center" vertical="center"/>
    </xf>
    <xf numFmtId="10" fontId="377" fillId="33" borderId="31" xfId="5336" applyNumberFormat="1" applyFont="1" applyFill="1" applyBorder="1" applyAlignment="1">
      <alignment horizontal="center" vertical="center"/>
    </xf>
    <xf numFmtId="0" fontId="377" fillId="33" borderId="31" xfId="5332" applyFont="1" applyFill="1" applyBorder="1" applyAlignment="1">
      <alignment horizontal="center" vertical="center"/>
    </xf>
    <xf numFmtId="0" fontId="375" fillId="114" borderId="31" xfId="5332" applyFont="1" applyFill="1" applyBorder="1"/>
    <xf numFmtId="0" fontId="375" fillId="114" borderId="31" xfId="5332" applyFont="1" applyFill="1" applyBorder="1" applyAlignment="1">
      <alignment horizontal="center" vertical="center"/>
    </xf>
    <xf numFmtId="10" fontId="375" fillId="114" borderId="31" xfId="5336" applyNumberFormat="1" applyFont="1" applyFill="1" applyBorder="1" applyAlignment="1">
      <alignment horizontal="center" vertical="center"/>
    </xf>
    <xf numFmtId="0" fontId="370" fillId="114" borderId="0" xfId="5332" applyFont="1" applyFill="1" applyAlignment="1">
      <alignment vertical="center"/>
    </xf>
    <xf numFmtId="0" fontId="370" fillId="114" borderId="0" xfId="5332" applyFont="1" applyFill="1"/>
    <xf numFmtId="0" fontId="14" fillId="0" borderId="0" xfId="5332" applyAlignment="1">
      <alignment vertical="center"/>
    </xf>
    <xf numFmtId="0" fontId="370" fillId="114" borderId="0" xfId="5333" applyFont="1" applyFill="1" applyAlignment="1">
      <alignment vertical="center"/>
    </xf>
    <xf numFmtId="17" fontId="370" fillId="114" borderId="0" xfId="5333" applyNumberFormat="1" applyFont="1" applyFill="1" applyAlignment="1">
      <alignment horizontal="center" vertical="center"/>
    </xf>
    <xf numFmtId="4" fontId="372" fillId="0" borderId="0" xfId="5332" applyNumberFormat="1" applyFont="1" applyAlignment="1">
      <alignment horizontal="center"/>
    </xf>
    <xf numFmtId="4" fontId="14" fillId="0" borderId="0" xfId="5332" applyNumberFormat="1" applyAlignment="1">
      <alignment horizontal="center" vertical="center"/>
    </xf>
    <xf numFmtId="0" fontId="378" fillId="0" borderId="0" xfId="5332" applyFont="1"/>
    <xf numFmtId="10" fontId="378" fillId="4" borderId="0" xfId="4448" applyNumberFormat="1" applyFont="1" applyFill="1" applyAlignment="1">
      <alignment horizontal="center"/>
    </xf>
    <xf numFmtId="14" fontId="372" fillId="0" borderId="0" xfId="5332" applyNumberFormat="1" applyFont="1" applyAlignment="1">
      <alignment horizontal="center" vertical="center"/>
    </xf>
    <xf numFmtId="0" fontId="379" fillId="114" borderId="0" xfId="5332" applyFont="1" applyFill="1" applyAlignment="1">
      <alignment vertical="center"/>
    </xf>
    <xf numFmtId="2" fontId="379" fillId="114" borderId="0" xfId="5332" applyNumberFormat="1" applyFont="1" applyFill="1" applyAlignment="1">
      <alignment horizontal="center" vertical="center"/>
    </xf>
    <xf numFmtId="2" fontId="379" fillId="114" borderId="0" xfId="5332" applyNumberFormat="1" applyFont="1" applyFill="1" applyAlignment="1">
      <alignment horizontal="left" vertical="center"/>
    </xf>
    <xf numFmtId="0" fontId="380" fillId="114" borderId="0" xfId="5332" applyFont="1" applyFill="1"/>
    <xf numFmtId="0" fontId="381" fillId="0" borderId="0" xfId="5332" applyFont="1" applyAlignment="1">
      <alignment horizontal="center"/>
    </xf>
    <xf numFmtId="0" fontId="204" fillId="0" borderId="0" xfId="5332" applyFont="1"/>
    <xf numFmtId="40" fontId="204" fillId="0" borderId="0" xfId="5332" applyNumberFormat="1" applyFont="1" applyAlignment="1">
      <alignment horizontal="center"/>
    </xf>
    <xf numFmtId="49" fontId="204" fillId="0" borderId="0" xfId="5332" applyNumberFormat="1" applyFont="1" applyAlignment="1">
      <alignment horizontal="center"/>
    </xf>
    <xf numFmtId="40" fontId="381" fillId="0" borderId="98" xfId="5332" applyNumberFormat="1" applyFont="1" applyBorder="1" applyAlignment="1">
      <alignment horizontal="center"/>
    </xf>
    <xf numFmtId="0" fontId="370" fillId="114" borderId="31" xfId="5337" applyFont="1" applyFill="1" applyBorder="1" applyAlignment="1">
      <alignment horizontal="center" vertical="center" wrapText="1"/>
    </xf>
    <xf numFmtId="0" fontId="14" fillId="0" borderId="31" xfId="5337" applyBorder="1"/>
    <xf numFmtId="2" fontId="14" fillId="0" borderId="31" xfId="5337" applyNumberFormat="1" applyBorder="1"/>
    <xf numFmtId="0" fontId="18" fillId="0" borderId="31" xfId="5337" applyFont="1" applyBorder="1"/>
    <xf numFmtId="10" fontId="14" fillId="0" borderId="31" xfId="5337" applyNumberFormat="1" applyBorder="1" applyAlignment="1">
      <alignment horizontal="center" vertical="center"/>
    </xf>
    <xf numFmtId="10" fontId="370" fillId="114" borderId="0" xfId="5338" applyNumberFormat="1" applyFont="1" applyFill="1"/>
    <xf numFmtId="10" fontId="18" fillId="0" borderId="31" xfId="5337" applyNumberFormat="1" applyFont="1" applyBorder="1" applyAlignment="1">
      <alignment horizontal="center" vertical="center"/>
    </xf>
    <xf numFmtId="2" fontId="18" fillId="0" borderId="31" xfId="5337" applyNumberFormat="1" applyFont="1" applyBorder="1"/>
    <xf numFmtId="0" fontId="382" fillId="116" borderId="15" xfId="5337" applyFont="1" applyFill="1" applyBorder="1" applyAlignment="1">
      <alignment vertical="center"/>
    </xf>
    <xf numFmtId="0" fontId="382" fillId="116" borderId="16" xfId="5337" applyFont="1" applyFill="1" applyBorder="1" applyAlignment="1">
      <alignment vertical="center"/>
    </xf>
    <xf numFmtId="0" fontId="382" fillId="116" borderId="102" xfId="5337" applyFont="1" applyFill="1" applyBorder="1" applyAlignment="1">
      <alignment vertical="center"/>
    </xf>
    <xf numFmtId="2" fontId="382" fillId="116" borderId="103" xfId="5337" applyNumberFormat="1" applyFont="1" applyFill="1" applyBorder="1" applyAlignment="1">
      <alignment vertical="center"/>
    </xf>
    <xf numFmtId="10" fontId="384" fillId="117" borderId="103" xfId="5337" applyNumberFormat="1" applyFont="1" applyFill="1" applyBorder="1" applyAlignment="1">
      <alignment horizontal="center" vertical="center"/>
    </xf>
    <xf numFmtId="4" fontId="385" fillId="0" borderId="103" xfId="5337" applyNumberFormat="1" applyFont="1" applyBorder="1" applyAlignment="1">
      <alignment horizontal="center" vertical="center"/>
    </xf>
    <xf numFmtId="4" fontId="384" fillId="0" borderId="103" xfId="5337" applyNumberFormat="1" applyFont="1" applyBorder="1" applyAlignment="1">
      <alignment horizontal="center" vertical="center"/>
    </xf>
    <xf numFmtId="0" fontId="14" fillId="0" borderId="0" xfId="5337"/>
    <xf numFmtId="0" fontId="14" fillId="118" borderId="0" xfId="5337" applyFill="1"/>
    <xf numFmtId="0" fontId="18" fillId="0" borderId="0" xfId="5337" applyFont="1"/>
    <xf numFmtId="15" fontId="25" fillId="118" borderId="31" xfId="5337" applyNumberFormat="1" applyFont="1" applyFill="1" applyBorder="1"/>
    <xf numFmtId="15" fontId="370" fillId="114" borderId="31" xfId="5337" applyNumberFormat="1" applyFont="1" applyFill="1" applyBorder="1"/>
    <xf numFmtId="0" fontId="370" fillId="114" borderId="0" xfId="5337" applyFont="1" applyFill="1"/>
    <xf numFmtId="2" fontId="18" fillId="118" borderId="0" xfId="5337" applyNumberFormat="1" applyFont="1" applyFill="1"/>
    <xf numFmtId="2" fontId="18" fillId="0" borderId="0" xfId="5337" applyNumberFormat="1" applyFont="1"/>
    <xf numFmtId="2" fontId="14" fillId="118" borderId="0" xfId="5337" applyNumberFormat="1" applyFill="1"/>
    <xf numFmtId="2" fontId="14" fillId="0" borderId="0" xfId="5337" applyNumberFormat="1"/>
    <xf numFmtId="2" fontId="14" fillId="118" borderId="105" xfId="5337" applyNumberFormat="1" applyFill="1" applyBorder="1"/>
    <xf numFmtId="2" fontId="14" fillId="0" borderId="105" xfId="5337" applyNumberFormat="1" applyBorder="1"/>
    <xf numFmtId="2" fontId="18" fillId="118" borderId="48" xfId="5335" applyNumberFormat="1" applyFont="1" applyFill="1" applyBorder="1"/>
    <xf numFmtId="2" fontId="18" fillId="33" borderId="48" xfId="5335" applyNumberFormat="1" applyFont="1" applyFill="1" applyBorder="1"/>
    <xf numFmtId="10" fontId="0" fillId="118" borderId="0" xfId="5336" applyNumberFormat="1" applyFont="1" applyFill="1" applyBorder="1"/>
    <xf numFmtId="10" fontId="0" fillId="0" borderId="0" xfId="5336" applyNumberFormat="1" applyFont="1" applyBorder="1"/>
    <xf numFmtId="10" fontId="14" fillId="0" borderId="0" xfId="5337" applyNumberFormat="1"/>
    <xf numFmtId="10" fontId="0" fillId="0" borderId="0" xfId="5336" applyNumberFormat="1" applyFont="1"/>
    <xf numFmtId="10" fontId="0" fillId="118" borderId="105" xfId="5336" applyNumberFormat="1" applyFont="1" applyFill="1" applyBorder="1"/>
    <xf numFmtId="10" fontId="0" fillId="0" borderId="105" xfId="5336" applyNumberFormat="1" applyFont="1" applyBorder="1"/>
    <xf numFmtId="2" fontId="18" fillId="118" borderId="0" xfId="5335" applyNumberFormat="1" applyFont="1" applyFill="1" applyBorder="1"/>
    <xf numFmtId="2" fontId="18" fillId="0" borderId="0" xfId="5335" applyNumberFormat="1" applyFont="1" applyFill="1" applyBorder="1"/>
    <xf numFmtId="4" fontId="18" fillId="118" borderId="0" xfId="5337" applyNumberFormat="1" applyFont="1" applyFill="1"/>
    <xf numFmtId="4" fontId="14" fillId="118" borderId="0" xfId="5337" applyNumberFormat="1" applyFill="1"/>
    <xf numFmtId="10" fontId="0" fillId="0" borderId="0" xfId="5336" applyNumberFormat="1" applyFont="1" applyFill="1"/>
    <xf numFmtId="0" fontId="14" fillId="0" borderId="0" xfId="5337" applyAlignment="1">
      <alignment wrapText="1"/>
    </xf>
    <xf numFmtId="4" fontId="14" fillId="0" borderId="0" xfId="5337" applyNumberFormat="1"/>
    <xf numFmtId="4" fontId="18" fillId="118" borderId="48" xfId="5335" applyNumberFormat="1" applyFont="1" applyFill="1" applyBorder="1"/>
    <xf numFmtId="4" fontId="18" fillId="118" borderId="0" xfId="5335" applyNumberFormat="1" applyFont="1" applyFill="1" applyBorder="1"/>
    <xf numFmtId="9" fontId="0" fillId="118" borderId="105" xfId="5336" applyFont="1" applyFill="1" applyBorder="1"/>
    <xf numFmtId="9" fontId="0" fillId="0" borderId="105" xfId="5336" applyFont="1" applyBorder="1"/>
    <xf numFmtId="0" fontId="19" fillId="0" borderId="0" xfId="5337" applyFont="1"/>
    <xf numFmtId="0" fontId="18" fillId="33" borderId="31" xfId="5337" applyFont="1" applyFill="1" applyBorder="1"/>
    <xf numFmtId="278" fontId="14" fillId="118" borderId="31" xfId="5337" applyNumberFormat="1" applyFill="1" applyBorder="1"/>
    <xf numFmtId="278" fontId="14" fillId="33" borderId="31" xfId="5337" applyNumberFormat="1" applyFill="1" applyBorder="1"/>
    <xf numFmtId="0" fontId="377" fillId="33" borderId="31" xfId="0" applyFont="1" applyFill="1" applyBorder="1" applyAlignment="1">
      <alignment horizontal="left"/>
    </xf>
    <xf numFmtId="49" fontId="128" fillId="33" borderId="31" xfId="4074" applyNumberFormat="1" applyFont="1" applyFill="1" applyBorder="1"/>
    <xf numFmtId="233" fontId="128" fillId="33" borderId="31" xfId="4074" applyNumberFormat="1" applyFont="1" applyFill="1" applyBorder="1"/>
    <xf numFmtId="14" fontId="18" fillId="33" borderId="31" xfId="0" applyNumberFormat="1" applyFont="1" applyFill="1" applyBorder="1" applyAlignment="1">
      <alignment horizontal="center"/>
    </xf>
    <xf numFmtId="0" fontId="18" fillId="33" borderId="31" xfId="0" applyFont="1" applyFill="1" applyBorder="1" applyAlignment="1">
      <alignment horizontal="center"/>
    </xf>
    <xf numFmtId="14" fontId="18" fillId="33" borderId="64" xfId="0" applyNumberFormat="1" applyFont="1" applyFill="1" applyBorder="1" applyAlignment="1">
      <alignment horizontal="center"/>
    </xf>
    <xf numFmtId="49" fontId="93" fillId="0" borderId="31" xfId="4074" applyNumberFormat="1" applyFont="1" applyBorder="1"/>
    <xf numFmtId="0" fontId="93" fillId="0" borderId="31" xfId="4074" applyNumberFormat="1" applyFont="1" applyBorder="1"/>
    <xf numFmtId="233" fontId="93" fillId="0" borderId="31" xfId="4074" applyNumberFormat="1" applyFont="1" applyBorder="1"/>
    <xf numFmtId="10" fontId="376" fillId="0" borderId="31" xfId="4448" applyNumberFormat="1" applyFont="1" applyBorder="1"/>
    <xf numFmtId="0" fontId="376" fillId="33" borderId="31" xfId="0" applyFont="1" applyFill="1" applyBorder="1"/>
    <xf numFmtId="10" fontId="376" fillId="33" borderId="31" xfId="4448" applyNumberFormat="1" applyFont="1" applyFill="1" applyBorder="1" applyAlignment="1"/>
    <xf numFmtId="0" fontId="93" fillId="33" borderId="31" xfId="4074" applyNumberFormat="1" applyFont="1" applyFill="1" applyBorder="1"/>
    <xf numFmtId="233" fontId="93" fillId="33" borderId="31" xfId="4074" applyNumberFormat="1" applyFont="1" applyFill="1" applyBorder="1"/>
    <xf numFmtId="0" fontId="377" fillId="33" borderId="31" xfId="0" applyFont="1" applyFill="1" applyBorder="1"/>
    <xf numFmtId="10" fontId="377" fillId="33" borderId="31" xfId="4448" applyNumberFormat="1" applyFont="1" applyFill="1" applyBorder="1" applyAlignment="1"/>
    <xf numFmtId="0" fontId="376" fillId="0" borderId="31" xfId="0" applyFont="1" applyBorder="1" applyAlignment="1">
      <alignment horizontal="center" vertical="center"/>
    </xf>
    <xf numFmtId="10" fontId="377" fillId="33" borderId="31" xfId="0" applyNumberFormat="1" applyFont="1" applyFill="1" applyBorder="1"/>
    <xf numFmtId="0" fontId="370" fillId="119" borderId="0" xfId="5337" applyFont="1" applyFill="1"/>
    <xf numFmtId="0" fontId="18" fillId="33" borderId="31" xfId="5333" applyFont="1" applyFill="1" applyBorder="1"/>
    <xf numFmtId="0" fontId="386" fillId="0" borderId="0" xfId="5333" applyFont="1"/>
    <xf numFmtId="0" fontId="386" fillId="0" borderId="31" xfId="5333" applyFont="1" applyBorder="1"/>
    <xf numFmtId="43" fontId="386" fillId="0" borderId="31" xfId="5339" applyFont="1" applyBorder="1"/>
    <xf numFmtId="0" fontId="387" fillId="0" borderId="31" xfId="5333" applyFont="1" applyBorder="1" applyAlignment="1">
      <alignment horizontal="center"/>
    </xf>
    <xf numFmtId="2" fontId="18" fillId="4" borderId="31" xfId="5333" applyNumberFormat="1" applyFont="1" applyFill="1" applyBorder="1"/>
    <xf numFmtId="2" fontId="387" fillId="120" borderId="31" xfId="5333" applyNumberFormat="1" applyFont="1" applyFill="1" applyBorder="1"/>
    <xf numFmtId="0" fontId="386" fillId="0" borderId="0" xfId="5333" applyFont="1" applyAlignment="1">
      <alignment horizontal="center"/>
    </xf>
    <xf numFmtId="43" fontId="386" fillId="0" borderId="0" xfId="5339" applyFont="1"/>
    <xf numFmtId="2" fontId="386" fillId="0" borderId="0" xfId="5333" applyNumberFormat="1" applyFont="1"/>
    <xf numFmtId="0" fontId="18" fillId="0" borderId="0" xfId="5333" applyFont="1"/>
    <xf numFmtId="0" fontId="387" fillId="0" borderId="0" xfId="5333" applyFont="1" applyAlignment="1">
      <alignment horizontal="center"/>
    </xf>
    <xf numFmtId="0" fontId="387" fillId="0" borderId="0" xfId="5333" applyFont="1"/>
    <xf numFmtId="4" fontId="387" fillId="0" borderId="0" xfId="5333" applyNumberFormat="1" applyFont="1"/>
    <xf numFmtId="0" fontId="377" fillId="33" borderId="31" xfId="5337" applyFont="1" applyFill="1" applyBorder="1"/>
    <xf numFmtId="0" fontId="376" fillId="0" borderId="0" xfId="5337" applyFont="1" applyAlignment="1">
      <alignment horizontal="center" vertical="center"/>
    </xf>
    <xf numFmtId="0" fontId="93" fillId="0" borderId="31" xfId="5337" applyFont="1" applyBorder="1"/>
    <xf numFmtId="0" fontId="376" fillId="0" borderId="31" xfId="5337" applyFont="1" applyBorder="1" applyAlignment="1">
      <alignment horizontal="center" vertical="center"/>
    </xf>
    <xf numFmtId="0" fontId="128" fillId="33" borderId="31" xfId="5337" applyFont="1" applyFill="1" applyBorder="1"/>
    <xf numFmtId="0" fontId="376" fillId="33" borderId="31" xfId="5337" applyFont="1" applyFill="1" applyBorder="1" applyAlignment="1">
      <alignment horizontal="center" vertical="center"/>
    </xf>
    <xf numFmtId="43" fontId="387" fillId="33" borderId="0" xfId="5339" applyFont="1" applyFill="1"/>
    <xf numFmtId="4" fontId="386" fillId="0" borderId="0" xfId="5333" applyNumberFormat="1" applyFont="1"/>
    <xf numFmtId="0" fontId="376" fillId="0" borderId="31" xfId="5337" applyFont="1" applyBorder="1"/>
    <xf numFmtId="43" fontId="387" fillId="33" borderId="0" xfId="5333" applyNumberFormat="1" applyFont="1" applyFill="1"/>
    <xf numFmtId="0" fontId="376" fillId="0" borderId="0" xfId="5337" applyFont="1"/>
    <xf numFmtId="0" fontId="13" fillId="0" borderId="0" xfId="0" applyFont="1" applyAlignment="1">
      <alignment wrapText="1"/>
    </xf>
    <xf numFmtId="0" fontId="12" fillId="0" borderId="0" xfId="5332" applyFont="1"/>
    <xf numFmtId="0" fontId="385" fillId="121" borderId="104" xfId="0" applyFont="1" applyFill="1" applyBorder="1" applyAlignment="1">
      <alignment vertical="center"/>
    </xf>
    <xf numFmtId="0" fontId="385" fillId="0" borderId="103" xfId="0" applyFont="1" applyBorder="1" applyAlignment="1">
      <alignment horizontal="center" vertical="center"/>
    </xf>
    <xf numFmtId="0" fontId="12" fillId="0" borderId="0" xfId="0" applyFont="1"/>
    <xf numFmtId="2" fontId="0" fillId="0" borderId="0" xfId="4" applyNumberFormat="1" applyFont="1" applyFill="1" applyBorder="1"/>
    <xf numFmtId="0" fontId="42" fillId="0" borderId="0" xfId="0" applyFont="1"/>
    <xf numFmtId="0" fontId="0" fillId="0" borderId="31" xfId="0" applyBorder="1"/>
    <xf numFmtId="0" fontId="370" fillId="114" borderId="0" xfId="0" applyFont="1" applyFill="1"/>
    <xf numFmtId="0" fontId="14" fillId="123" borderId="0" xfId="5332" applyFill="1"/>
    <xf numFmtId="0" fontId="370" fillId="114" borderId="108" xfId="5333" applyFont="1" applyFill="1" applyBorder="1" applyAlignment="1">
      <alignment vertical="center"/>
    </xf>
    <xf numFmtId="17" fontId="370" fillId="114" borderId="108" xfId="5333" applyNumberFormat="1" applyFont="1" applyFill="1" applyBorder="1" applyAlignment="1">
      <alignment horizontal="center" vertical="center"/>
    </xf>
    <xf numFmtId="0" fontId="18" fillId="123" borderId="108" xfId="5333" applyFont="1" applyFill="1" applyBorder="1" applyAlignment="1">
      <alignment vertical="center"/>
    </xf>
    <xf numFmtId="4" fontId="372" fillId="0" borderId="108" xfId="5332" applyNumberFormat="1" applyFont="1" applyBorder="1" applyAlignment="1">
      <alignment horizontal="center"/>
    </xf>
    <xf numFmtId="0" fontId="372" fillId="0" borderId="108" xfId="5332" applyFont="1" applyBorder="1"/>
    <xf numFmtId="0" fontId="378" fillId="0" borderId="108" xfId="5332" applyFont="1" applyBorder="1" applyAlignment="1">
      <alignment vertical="center"/>
    </xf>
    <xf numFmtId="4" fontId="378" fillId="0" borderId="108" xfId="5332" applyNumberFormat="1" applyFont="1" applyBorder="1" applyAlignment="1">
      <alignment horizontal="center"/>
    </xf>
    <xf numFmtId="0" fontId="18" fillId="0" borderId="108" xfId="5332" applyFont="1" applyBorder="1"/>
    <xf numFmtId="4" fontId="18" fillId="0" borderId="108" xfId="5332" applyNumberFormat="1" applyFont="1" applyBorder="1" applyAlignment="1">
      <alignment horizontal="center" vertical="center"/>
    </xf>
    <xf numFmtId="0" fontId="379" fillId="114" borderId="108" xfId="5332" applyFont="1" applyFill="1" applyBorder="1" applyAlignment="1">
      <alignment vertical="center"/>
    </xf>
    <xf numFmtId="0" fontId="43" fillId="0" borderId="108" xfId="0" applyFont="1" applyBorder="1"/>
    <xf numFmtId="0" fontId="43" fillId="0" borderId="108" xfId="0" applyFont="1" applyBorder="1" applyAlignment="1">
      <alignment horizontal="center"/>
    </xf>
    <xf numFmtId="0" fontId="11" fillId="0" borderId="108" xfId="5332" applyFont="1" applyBorder="1" applyAlignment="1">
      <alignment horizontal="center"/>
    </xf>
    <xf numFmtId="2" fontId="14" fillId="0" borderId="108" xfId="5332" applyNumberFormat="1" applyBorder="1" applyAlignment="1">
      <alignment horizontal="center"/>
    </xf>
    <xf numFmtId="0" fontId="11" fillId="0" borderId="0" xfId="5332" applyFont="1"/>
    <xf numFmtId="176" fontId="12" fillId="0" borderId="0" xfId="4" applyFont="1"/>
    <xf numFmtId="9" fontId="372" fillId="0" borderId="0" xfId="5332" applyNumberFormat="1" applyFont="1"/>
    <xf numFmtId="9" fontId="14" fillId="0" borderId="0" xfId="5332" applyNumberFormat="1"/>
    <xf numFmtId="10" fontId="14" fillId="0" borderId="0" xfId="5332" applyNumberFormat="1"/>
    <xf numFmtId="169" fontId="14" fillId="0" borderId="0" xfId="5332" applyNumberFormat="1"/>
    <xf numFmtId="10" fontId="372" fillId="0" borderId="0" xfId="5332" applyNumberFormat="1" applyFont="1"/>
    <xf numFmtId="365" fontId="372" fillId="0" borderId="0" xfId="5332" applyNumberFormat="1" applyFont="1"/>
    <xf numFmtId="363" fontId="14" fillId="0" borderId="0" xfId="5332" applyNumberFormat="1"/>
    <xf numFmtId="0" fontId="14" fillId="0" borderId="108" xfId="5332" applyBorder="1"/>
    <xf numFmtId="0" fontId="378" fillId="0" borderId="108" xfId="5332" applyFont="1" applyBorder="1"/>
    <xf numFmtId="2" fontId="14" fillId="0" borderId="108" xfId="5332" applyNumberFormat="1" applyBorder="1"/>
    <xf numFmtId="368" fontId="388" fillId="114" borderId="106" xfId="0" applyNumberFormat="1" applyFont="1" applyFill="1" applyBorder="1" applyAlignment="1">
      <alignment vertical="center" wrapText="1"/>
    </xf>
    <xf numFmtId="368" fontId="388" fillId="114" borderId="107" xfId="0" applyNumberFormat="1" applyFont="1" applyFill="1" applyBorder="1" applyAlignment="1">
      <alignment vertical="center" wrapText="1"/>
    </xf>
    <xf numFmtId="176" fontId="23" fillId="0" borderId="0" xfId="5340" applyFont="1" applyFill="1" applyAlignment="1">
      <alignment vertical="center"/>
    </xf>
    <xf numFmtId="176" fontId="23" fillId="0" borderId="0" xfId="5340" applyFont="1" applyAlignment="1">
      <alignment vertical="center"/>
    </xf>
    <xf numFmtId="358" fontId="23" fillId="0" borderId="0" xfId="5340" applyNumberFormat="1" applyFont="1" applyAlignment="1">
      <alignment vertical="center"/>
    </xf>
    <xf numFmtId="10" fontId="0" fillId="0" borderId="0" xfId="24" applyNumberFormat="1" applyFont="1" applyAlignment="1">
      <alignment vertical="center"/>
    </xf>
    <xf numFmtId="0" fontId="0" fillId="0" borderId="0" xfId="0" applyAlignment="1">
      <alignment vertical="center"/>
    </xf>
    <xf numFmtId="0" fontId="0" fillId="0" borderId="108" xfId="0" applyBorder="1"/>
    <xf numFmtId="10" fontId="0" fillId="0" borderId="108" xfId="24" applyNumberFormat="1" applyFont="1" applyBorder="1"/>
    <xf numFmtId="0" fontId="18" fillId="122" borderId="108" xfId="0" applyFont="1" applyFill="1" applyBorder="1"/>
    <xf numFmtId="0" fontId="370" fillId="114" borderId="108" xfId="0" applyFont="1" applyFill="1" applyBorder="1"/>
    <xf numFmtId="0" fontId="18" fillId="0" borderId="108" xfId="0" applyFont="1" applyBorder="1" applyAlignment="1">
      <alignment wrapText="1"/>
    </xf>
    <xf numFmtId="176" fontId="0" fillId="0" borderId="108" xfId="4" applyFont="1" applyBorder="1"/>
    <xf numFmtId="0" fontId="18" fillId="0" borderId="108" xfId="0" applyFont="1" applyBorder="1"/>
    <xf numFmtId="0" fontId="42" fillId="122" borderId="108" xfId="0" applyFont="1" applyFill="1" applyBorder="1"/>
    <xf numFmtId="176" fontId="25" fillId="122" borderId="108" xfId="5340" applyFont="1" applyFill="1" applyBorder="1"/>
    <xf numFmtId="0" fontId="23" fillId="0" borderId="108" xfId="0" applyFont="1" applyBorder="1"/>
    <xf numFmtId="4" fontId="0" fillId="0" borderId="108" xfId="0" applyNumberFormat="1" applyBorder="1"/>
    <xf numFmtId="49" fontId="388" fillId="114" borderId="108" xfId="0" applyNumberFormat="1" applyFont="1" applyFill="1" applyBorder="1" applyAlignment="1">
      <alignment horizontal="center" vertical="center" wrapText="1"/>
    </xf>
    <xf numFmtId="0" fontId="10" fillId="0" borderId="0" xfId="0" applyFont="1"/>
    <xf numFmtId="0" fontId="9" fillId="0" borderId="0" xfId="0" applyFont="1"/>
    <xf numFmtId="0" fontId="390" fillId="0" borderId="0" xfId="5341"/>
    <xf numFmtId="0" fontId="18" fillId="124" borderId="108" xfId="0" applyFont="1" applyFill="1" applyBorder="1"/>
    <xf numFmtId="176" fontId="25" fillId="124" borderId="108" xfId="5340" applyFont="1" applyFill="1" applyBorder="1"/>
    <xf numFmtId="0" fontId="8" fillId="0" borderId="0" xfId="0" applyFont="1"/>
    <xf numFmtId="0" fontId="7" fillId="0" borderId="0" xfId="0" applyFont="1"/>
    <xf numFmtId="176" fontId="25" fillId="0" borderId="108" xfId="5340" applyFont="1" applyFill="1" applyBorder="1"/>
    <xf numFmtId="0" fontId="0" fillId="126" borderId="0" xfId="0" applyFill="1"/>
    <xf numFmtId="10" fontId="0" fillId="126" borderId="0" xfId="0" applyNumberFormat="1" applyFill="1"/>
    <xf numFmtId="15" fontId="0" fillId="0" borderId="0" xfId="0" applyNumberFormat="1"/>
    <xf numFmtId="0" fontId="6" fillId="125" borderId="0" xfId="5332" applyFont="1" applyFill="1"/>
    <xf numFmtId="184" fontId="22" fillId="0" borderId="0" xfId="24" applyNumberFormat="1" applyFont="1" applyFill="1"/>
    <xf numFmtId="0" fontId="370" fillId="114" borderId="108" xfId="0" applyFont="1" applyFill="1" applyBorder="1" applyAlignment="1">
      <alignment wrapText="1"/>
    </xf>
    <xf numFmtId="176" fontId="23" fillId="0" borderId="108" xfId="5340" applyFont="1" applyFill="1" applyBorder="1" applyAlignment="1">
      <alignment vertical="center"/>
    </xf>
    <xf numFmtId="0" fontId="5" fillId="0" borderId="108" xfId="0" applyFont="1" applyBorder="1"/>
    <xf numFmtId="0" fontId="4" fillId="0" borderId="0" xfId="5337" applyFont="1"/>
    <xf numFmtId="176" fontId="14" fillId="0" borderId="108" xfId="4" applyFont="1" applyBorder="1"/>
    <xf numFmtId="17" fontId="0" fillId="0" borderId="0" xfId="0" applyNumberFormat="1"/>
    <xf numFmtId="0" fontId="3" fillId="0" borderId="0" xfId="0" applyFont="1"/>
    <xf numFmtId="17" fontId="3" fillId="0" borderId="0" xfId="0" applyNumberFormat="1" applyFont="1"/>
    <xf numFmtId="4" fontId="0" fillId="0" borderId="0" xfId="0" applyNumberFormat="1"/>
    <xf numFmtId="0" fontId="391" fillId="0" borderId="0" xfId="0" applyFont="1" applyAlignment="1">
      <alignment horizontal="justify" vertical="center"/>
    </xf>
    <xf numFmtId="0" fontId="228" fillId="0" borderId="0" xfId="5341" applyFont="1" applyAlignment="1">
      <alignment horizontal="justify" vertical="center"/>
    </xf>
    <xf numFmtId="0" fontId="2" fillId="0" borderId="0" xfId="0" applyFont="1"/>
    <xf numFmtId="0" fontId="390" fillId="0" borderId="0" xfId="5341" applyAlignment="1">
      <alignment horizontal="justify" vertical="center"/>
    </xf>
    <xf numFmtId="0" fontId="1" fillId="0" borderId="0" xfId="0" applyFont="1" applyAlignment="1">
      <alignment horizontal="left"/>
    </xf>
    <xf numFmtId="180" fontId="44" fillId="0" borderId="108" xfId="4112" applyNumberFormat="1" applyFont="1" applyBorder="1" applyAlignment="1">
      <alignment horizontal="center" vertical="center"/>
    </xf>
    <xf numFmtId="180" fontId="25" fillId="0" borderId="108" xfId="4112" applyNumberFormat="1" applyFont="1" applyBorder="1" applyAlignment="1">
      <alignment horizontal="center" vertical="center"/>
    </xf>
    <xf numFmtId="176" fontId="22" fillId="0" borderId="108" xfId="4" applyFont="1" applyFill="1" applyBorder="1" applyAlignment="1">
      <alignment horizontal="center" vertical="center"/>
    </xf>
    <xf numFmtId="176" fontId="23" fillId="0" borderId="108" xfId="4" applyFont="1" applyFill="1" applyBorder="1" applyAlignment="1">
      <alignment horizontal="center" vertical="center"/>
    </xf>
    <xf numFmtId="0" fontId="18" fillId="3" borderId="108" xfId="0" applyFont="1" applyFill="1" applyBorder="1" applyAlignment="1">
      <alignment horizontal="center"/>
    </xf>
    <xf numFmtId="176" fontId="0" fillId="0" borderId="108" xfId="0" applyNumberFormat="1" applyBorder="1"/>
    <xf numFmtId="0" fontId="0" fillId="0" borderId="108" xfId="4111" applyFont="1" applyBorder="1" applyAlignment="1">
      <alignment vertical="center"/>
    </xf>
    <xf numFmtId="0" fontId="18" fillId="0" borderId="108" xfId="4111" applyFont="1" applyBorder="1" applyAlignment="1">
      <alignment vertical="center"/>
    </xf>
    <xf numFmtId="176" fontId="18" fillId="0" borderId="108" xfId="0" applyNumberFormat="1" applyFont="1" applyBorder="1"/>
    <xf numFmtId="0" fontId="18" fillId="0" borderId="108" xfId="4111" applyFont="1" applyBorder="1" applyAlignment="1">
      <alignment horizontal="center" vertical="center"/>
    </xf>
    <xf numFmtId="176" fontId="18" fillId="0" borderId="108" xfId="4" applyFont="1" applyBorder="1"/>
    <xf numFmtId="0" fontId="18" fillId="0" borderId="108" xfId="0" applyFont="1" applyBorder="1" applyAlignment="1">
      <alignment horizontal="center" vertical="center"/>
    </xf>
    <xf numFmtId="0" fontId="19" fillId="0" borderId="108" xfId="0" applyFont="1" applyBorder="1"/>
    <xf numFmtId="176" fontId="19" fillId="0" borderId="108" xfId="0" applyNumberFormat="1" applyFont="1" applyBorder="1"/>
    <xf numFmtId="0" fontId="375" fillId="114" borderId="31" xfId="5332" applyFont="1" applyFill="1" applyBorder="1" applyAlignment="1">
      <alignment horizontal="center"/>
    </xf>
    <xf numFmtId="0" fontId="56" fillId="0" borderId="69" xfId="5332" applyFont="1" applyBorder="1" applyAlignment="1">
      <alignment horizontal="right"/>
    </xf>
    <xf numFmtId="0" fontId="56" fillId="0" borderId="48" xfId="5332" applyFont="1" applyBorder="1" applyAlignment="1">
      <alignment horizontal="right"/>
    </xf>
    <xf numFmtId="0" fontId="56" fillId="0" borderId="55" xfId="5332" applyFont="1" applyBorder="1" applyAlignment="1">
      <alignment horizontal="right"/>
    </xf>
    <xf numFmtId="0" fontId="383" fillId="114" borderId="99" xfId="5337" applyFont="1" applyFill="1" applyBorder="1" applyAlignment="1">
      <alignment horizontal="center" vertical="center"/>
    </xf>
    <xf numFmtId="0" fontId="383" fillId="114" borderId="100" xfId="5337" applyFont="1" applyFill="1" applyBorder="1" applyAlignment="1">
      <alignment horizontal="center" vertical="center"/>
    </xf>
    <xf numFmtId="0" fontId="383" fillId="114" borderId="101" xfId="5337" applyFont="1" applyFill="1" applyBorder="1" applyAlignment="1">
      <alignment horizontal="center" vertical="center"/>
    </xf>
    <xf numFmtId="0" fontId="383" fillId="114" borderId="17" xfId="5337" applyFont="1" applyFill="1" applyBorder="1" applyAlignment="1">
      <alignment horizontal="center" vertical="center" textRotation="90" wrapText="1"/>
    </xf>
    <xf numFmtId="0" fontId="383" fillId="114" borderId="19" xfId="5337" applyFont="1" applyFill="1" applyBorder="1" applyAlignment="1">
      <alignment horizontal="center" vertical="center" textRotation="90" wrapText="1"/>
    </xf>
    <xf numFmtId="0" fontId="383" fillId="114" borderId="104" xfId="5337" applyFont="1" applyFill="1" applyBorder="1" applyAlignment="1">
      <alignment horizontal="center" vertical="center" textRotation="90" wrapText="1"/>
    </xf>
    <xf numFmtId="17" fontId="44" fillId="0" borderId="0" xfId="0" applyNumberFormat="1" applyFont="1" applyAlignment="1">
      <alignment horizontal="center"/>
    </xf>
    <xf numFmtId="0" fontId="44" fillId="0" borderId="0" xfId="0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29" xfId="4110" applyFont="1" applyBorder="1" applyAlignment="1">
      <alignment horizontal="center" vertical="center"/>
    </xf>
    <xf numFmtId="0" fontId="18" fillId="0" borderId="30" xfId="4110" applyFont="1" applyBorder="1" applyAlignment="1">
      <alignment horizontal="center" vertical="center"/>
    </xf>
    <xf numFmtId="0" fontId="18" fillId="0" borderId="32" xfId="4110" applyFont="1" applyBorder="1" applyAlignment="1">
      <alignment horizontal="center" vertical="center"/>
    </xf>
    <xf numFmtId="0" fontId="18" fillId="0" borderId="33" xfId="4110" applyFont="1" applyBorder="1" applyAlignment="1">
      <alignment horizontal="center" vertical="center"/>
    </xf>
    <xf numFmtId="0" fontId="0" fillId="0" borderId="34" xfId="4110" applyFont="1" applyBorder="1" applyAlignment="1">
      <alignment vertical="center" wrapText="1"/>
    </xf>
    <xf numFmtId="0" fontId="0" fillId="0" borderId="39" xfId="4110" applyFont="1" applyBorder="1" applyAlignment="1">
      <alignment vertical="center" wrapText="1"/>
    </xf>
    <xf numFmtId="0" fontId="0" fillId="0" borderId="35" xfId="4110" applyFont="1" applyBorder="1" applyAlignment="1">
      <alignment vertical="center" wrapText="1"/>
    </xf>
    <xf numFmtId="0" fontId="0" fillId="0" borderId="31" xfId="4110" applyFont="1" applyBorder="1" applyAlignment="1">
      <alignment vertical="center"/>
    </xf>
    <xf numFmtId="0" fontId="0" fillId="0" borderId="34" xfId="4110" applyFont="1" applyBorder="1" applyAlignment="1">
      <alignment horizontal="left" vertical="center" wrapText="1"/>
    </xf>
    <xf numFmtId="0" fontId="0" fillId="0" borderId="35" xfId="4110" applyFont="1" applyBorder="1" applyAlignment="1">
      <alignment horizontal="left" vertical="center" wrapText="1"/>
    </xf>
    <xf numFmtId="0" fontId="29" fillId="15" borderId="7" xfId="3358" applyFill="1" applyBorder="1" applyAlignment="1">
      <alignment horizontal="center" vertical="top" wrapText="1"/>
    </xf>
    <xf numFmtId="0" fontId="18" fillId="20" borderId="0" xfId="0" applyFont="1" applyFill="1" applyAlignment="1">
      <alignment horizontal="center" wrapText="1"/>
    </xf>
    <xf numFmtId="0" fontId="18" fillId="0" borderId="0" xfId="0" applyFont="1" applyAlignment="1">
      <alignment wrapText="1"/>
    </xf>
    <xf numFmtId="0" fontId="18" fillId="0" borderId="0" xfId="0" applyFont="1"/>
    <xf numFmtId="0" fontId="18" fillId="20" borderId="0" xfId="0" applyFont="1" applyFill="1" applyAlignment="1">
      <alignment horizontal="center"/>
    </xf>
    <xf numFmtId="0" fontId="356" fillId="20" borderId="0" xfId="0" applyFont="1" applyFill="1"/>
    <xf numFmtId="0" fontId="356" fillId="0" borderId="0" xfId="0" applyFont="1"/>
    <xf numFmtId="0" fontId="356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17" fillId="0" borderId="0" xfId="0" applyFont="1" applyAlignment="1">
      <alignment wrapText="1"/>
    </xf>
    <xf numFmtId="0" fontId="17" fillId="0" borderId="0" xfId="0" applyFont="1"/>
    <xf numFmtId="0" fontId="0" fillId="0" borderId="0" xfId="0"/>
  </cellXfs>
  <cellStyles count="5342">
    <cellStyle name="-" xfId="175" xr:uid="{00000000-0005-0000-0000-000000000000}"/>
    <cellStyle name=" 1" xfId="180" xr:uid="{00000000-0005-0000-0000-000001000000}"/>
    <cellStyle name=" 1 2" xfId="189" xr:uid="{00000000-0005-0000-0000-000002000000}"/>
    <cellStyle name=" 1 2 2" xfId="197" xr:uid="{00000000-0005-0000-0000-000003000000}"/>
    <cellStyle name=" 1 3" xfId="167" xr:uid="{00000000-0005-0000-0000-000004000000}"/>
    <cellStyle name=" 2" xfId="185" xr:uid="{00000000-0005-0000-0000-000005000000}"/>
    <cellStyle name=" 3" xfId="172" xr:uid="{00000000-0005-0000-0000-000006000000}"/>
    <cellStyle name=" 4" xfId="201" xr:uid="{00000000-0005-0000-0000-000007000000}"/>
    <cellStyle name=" Names" xfId="204" xr:uid="{00000000-0005-0000-0000-000008000000}"/>
    <cellStyle name=" Task]_x000d__x000a_TaskName=Scan At_x000d__x000a_TaskID=3_x000d__x000a_WorkstationName=SmarTone_x000d__x000a_LastExecuted=0_x000d__x000a_LastSt" xfId="164" xr:uid="{00000000-0005-0000-0000-000009000000}"/>
    <cellStyle name="_x000a_386grabber=M" xfId="205" xr:uid="{00000000-0005-0000-0000-00000A000000}"/>
    <cellStyle name="_x000a_bidires=100_x000d_" xfId="58" xr:uid="{00000000-0005-0000-0000-00000B000000}"/>
    <cellStyle name="$" xfId="182" xr:uid="{00000000-0005-0000-0000-00000C000000}"/>
    <cellStyle name="$ 1 decimal" xfId="174" xr:uid="{00000000-0005-0000-0000-00000D000000}"/>
    <cellStyle name="%" xfId="13" xr:uid="{00000000-0005-0000-0000-00000E000000}"/>
    <cellStyle name=";;;" xfId="15" xr:uid="{00000000-0005-0000-0000-00000F000000}"/>
    <cellStyle name="?? [0.00]_laroux" xfId="212" xr:uid="{00000000-0005-0000-0000-000010000000}"/>
    <cellStyle name="?? [0]_VERA" xfId="218" xr:uid="{00000000-0005-0000-0000-000011000000}"/>
    <cellStyle name="???? [0.00]_laroux" xfId="221" xr:uid="{00000000-0005-0000-0000-000012000000}"/>
    <cellStyle name="?????_VERA" xfId="226" xr:uid="{00000000-0005-0000-0000-000013000000}"/>
    <cellStyle name="????_???¨¢????" xfId="230" xr:uid="{00000000-0005-0000-0000-000014000000}"/>
    <cellStyle name="??_??" xfId="232" xr:uid="{00000000-0005-0000-0000-000015000000}"/>
    <cellStyle name="?Q\?1@" xfId="233" xr:uid="{00000000-0005-0000-0000-000016000000}"/>
    <cellStyle name="@" xfId="236" xr:uid="{00000000-0005-0000-0000-000017000000}"/>
    <cellStyle name="@_text" xfId="237" xr:uid="{00000000-0005-0000-0000-000018000000}"/>
    <cellStyle name="\" xfId="243" xr:uid="{00000000-0005-0000-0000-000019000000}"/>
    <cellStyle name="\_bluebirdacdil13" xfId="247" xr:uid="{00000000-0005-0000-0000-00001A000000}"/>
    <cellStyle name="\_data" xfId="251" xr:uid="{00000000-0005-0000-0000-00001B000000}"/>
    <cellStyle name="\_ecomps7w" xfId="229" xr:uid="{00000000-0005-0000-0000-00001C000000}"/>
    <cellStyle name="\_equitycomps8" xfId="252" xr:uid="{00000000-0005-0000-0000-00001D000000}"/>
    <cellStyle name="\_equitycomps9" xfId="254" xr:uid="{00000000-0005-0000-0000-00001E000000}"/>
    <cellStyle name="\_houston Isabel" xfId="256" xr:uid="{00000000-0005-0000-0000-00001F000000}"/>
    <cellStyle name="\_hybrid2" xfId="263" xr:uid="{00000000-0005-0000-0000-000020000000}"/>
    <cellStyle name="\_ITXCcomps" xfId="267" xr:uid="{00000000-0005-0000-0000-000021000000}"/>
    <cellStyle name="\_newcomps16" xfId="269" xr:uid="{00000000-0005-0000-0000-000022000000}"/>
    <cellStyle name="\_ravenpitch3" xfId="273" xr:uid="{00000000-0005-0000-0000-000023000000}"/>
    <cellStyle name="\_ravenpitch32" xfId="279" xr:uid="{00000000-0005-0000-0000-000024000000}"/>
    <cellStyle name="_%(SignOnly)" xfId="239" xr:uid="{00000000-0005-0000-0000-000025000000}"/>
    <cellStyle name="_%(SignOnly) 2" xfId="284" xr:uid="{00000000-0005-0000-0000-000026000000}"/>
    <cellStyle name="_%(SignOnly) 3" xfId="287" xr:uid="{00000000-0005-0000-0000-000027000000}"/>
    <cellStyle name="_%(SignOnly)_02_Proj. Cloud - Mgmt Case2" xfId="288" xr:uid="{00000000-0005-0000-0000-000028000000}"/>
    <cellStyle name="_%(SignOnly)_03 VUP operating model 21 Sep v4" xfId="294" xr:uid="{00000000-0005-0000-0000-000029000000}"/>
    <cellStyle name="_%(SignOnly)_Bridge" xfId="296" xr:uid="{00000000-0005-0000-0000-00002A000000}"/>
    <cellStyle name="_%(SignSpaceOnly)" xfId="298" xr:uid="{00000000-0005-0000-0000-00002B000000}"/>
    <cellStyle name="_%(SignSpaceOnly) 2" xfId="299" xr:uid="{00000000-0005-0000-0000-00002C000000}"/>
    <cellStyle name="_%(SignSpaceOnly) 3" xfId="303" xr:uid="{00000000-0005-0000-0000-00002D000000}"/>
    <cellStyle name="_05.06.2010-Revenue Projection for 2010-11" xfId="50" xr:uid="{00000000-0005-0000-0000-00002E000000}"/>
    <cellStyle name="_09-10 Cust wise" xfId="305" xr:uid="{00000000-0005-0000-0000-00002F000000}"/>
    <cellStyle name="_09-10 Cust wise 2" xfId="309" xr:uid="{00000000-0005-0000-0000-000030000000}"/>
    <cellStyle name="_09-10 Customer wise" xfId="311" xr:uid="{00000000-0005-0000-0000-000031000000}"/>
    <cellStyle name="_09-10 Customer wise 2" xfId="316" xr:uid="{00000000-0005-0000-0000-000032000000}"/>
    <cellStyle name="_1008.1 Expense Disallowed u s 40 (ia)" xfId="319" xr:uid="{00000000-0005-0000-0000-000033000000}"/>
    <cellStyle name="_1008.1 Expense Disallowed u s 40 (ia)_2233 Financials" xfId="79" xr:uid="{00000000-0005-0000-0000-000034000000}"/>
    <cellStyle name="_1008.1 Expense Disallowed u s 40 (ia)_2233 Financials " xfId="323" xr:uid="{00000000-0005-0000-0000-000035000000}"/>
    <cellStyle name="_1008.1 Expense Disallowed u s 40 (ia)_2233 Financials _2231.2 Financials (In Mn)" xfId="328" xr:uid="{00000000-0005-0000-0000-000036000000}"/>
    <cellStyle name="_1008.1 Expense Disallowed u s 40 (ia)_2233 Financials _2231.2 Financials (In Mn)_Budget - Sch VI" xfId="332" xr:uid="{00000000-0005-0000-0000-000037000000}"/>
    <cellStyle name="_1008.1 Expense Disallowed u s 40 (ia)_2233 Financials _2231.2 Financials (In Mn)_Plan 2011-12 ITNL" xfId="337" xr:uid="{00000000-0005-0000-0000-000038000000}"/>
    <cellStyle name="_1008.1 Expense Disallowed u s 40 (ia)_2233 Financials _2231.2 Financials (In Mn)_SG&amp;A(R)" xfId="338" xr:uid="{00000000-0005-0000-0000-000039000000}"/>
    <cellStyle name="_1008.1 Expense Disallowed u s 40 (ia)_2233 Financials _2231.2 Financials (In Mn)_SG&amp;A(R)-old" xfId="340" xr:uid="{00000000-0005-0000-0000-00003A000000}"/>
    <cellStyle name="_1008.1 Expense Disallowed u s 40 (ia)_2233 Financials _2231.2 Financials (In Mn)_Soft Close December 10 StandAlone Vaibhav" xfId="244" xr:uid="{00000000-0005-0000-0000-00003B000000}"/>
    <cellStyle name="_1008.1 Expense Disallowed u s 40 (ia)_2233 Financials _2231.2 Financials (In Mn)_Soft Close November 10 StandAlone Vaibhav" xfId="341" xr:uid="{00000000-0005-0000-0000-00003C000000}"/>
    <cellStyle name="_1008.1 Expense Disallowed u s 40 (ia)_2233 Financials _2231.2 Financials (In Mn)_Soft Close October '10 SPV1" xfId="346" xr:uid="{00000000-0005-0000-0000-00003D000000}"/>
    <cellStyle name="_1008.1 Expense Disallowed u s 40 (ia)_2233 Financials _2231.2 Financials (In Mn)_Soft Close October '10 SPV1_Soft Close December 10 StandAlone Vaibhav" xfId="348" xr:uid="{00000000-0005-0000-0000-00003E000000}"/>
    <cellStyle name="_1008.1 Expense Disallowed u s 40 (ia)_2233 Financials _2231.2 Financials (In Mn)_Startegic Plan Consolidated" xfId="355" xr:uid="{00000000-0005-0000-0000-00003F000000}"/>
    <cellStyle name="_1008.1 Expense Disallowed u s 40 (ia)_2233 Financials _2231.2 Financials (In Mn)_Sub debts &amp; STL" xfId="358" xr:uid="{00000000-0005-0000-0000-000040000000}"/>
    <cellStyle name="_1008.1 Expense Disallowed u s 40 (ia)_2233 Financials _Admin Expenses" xfId="361" xr:uid="{00000000-0005-0000-0000-000041000000}"/>
    <cellStyle name="_1008.1 Expense Disallowed u s 40 (ia)_2233 Financials _Plan 2011-12 ITNL" xfId="368" xr:uid="{00000000-0005-0000-0000-000042000000}"/>
    <cellStyle name="_1008.1 Expense Disallowed u s 40 (ia)_2233 Financials _revenue summary budgeted" xfId="371" xr:uid="{00000000-0005-0000-0000-000043000000}"/>
    <cellStyle name="_1008.1 Expense Disallowed u s 40 (ia)_2233 Financials _revenue summary budgeted-r" xfId="374" xr:uid="{00000000-0005-0000-0000-000044000000}"/>
    <cellStyle name="_1008.1 Expense Disallowed u s 40 (ia)_2233 Financials _SG&amp;A(R)-old" xfId="381" xr:uid="{00000000-0005-0000-0000-000045000000}"/>
    <cellStyle name="_1008.1 Expense Disallowed u s 40 (ia)_2233 Financials _Startegic Plan Consolidated" xfId="384" xr:uid="{00000000-0005-0000-0000-000046000000}"/>
    <cellStyle name="_1008.1 Expense Disallowed u s 40 (ia)_2233 Financials _Sub debts &amp; STL" xfId="386" xr:uid="{00000000-0005-0000-0000-000047000000}"/>
    <cellStyle name="_1008.1 Expense Disallowed u s 40 (ia)_2233 Financials _Tax Computation" xfId="391" xr:uid="{00000000-0005-0000-0000-000048000000}"/>
    <cellStyle name="_1008.1 Expense Disallowed u s 40 (ia)_2233 Financials 280109" xfId="394" xr:uid="{00000000-0005-0000-0000-000049000000}"/>
    <cellStyle name="_1008.1 Expense Disallowed u s 40 (ia)_2233 Financials 280109_2231.2 Financials (In Mn)" xfId="397" xr:uid="{00000000-0005-0000-0000-00004A000000}"/>
    <cellStyle name="_1008.1 Expense Disallowed u s 40 (ia)_2233 Financials 280109_2231.2 Financials (In Mn)_Budget - Sch VI" xfId="398" xr:uid="{00000000-0005-0000-0000-00004B000000}"/>
    <cellStyle name="_1008.1 Expense Disallowed u s 40 (ia)_2233 Financials 280109_2231.2 Financials (In Mn)_Plan 2011-12 ITNL" xfId="404" xr:uid="{00000000-0005-0000-0000-00004C000000}"/>
    <cellStyle name="_1008.1 Expense Disallowed u s 40 (ia)_2233 Financials 280109_2231.2 Financials (In Mn)_SG&amp;A(R)" xfId="245" xr:uid="{00000000-0005-0000-0000-00004D000000}"/>
    <cellStyle name="_1008.1 Expense Disallowed u s 40 (ia)_2233 Financials 280109_2231.2 Financials (In Mn)_SG&amp;A(R)-old" xfId="408" xr:uid="{00000000-0005-0000-0000-00004E000000}"/>
    <cellStyle name="_1008.1 Expense Disallowed u s 40 (ia)_2233 Financials 280109_2231.2 Financials (In Mn)_Soft Close December 10 StandAlone Vaibhav" xfId="409" xr:uid="{00000000-0005-0000-0000-00004F000000}"/>
    <cellStyle name="_1008.1 Expense Disallowed u s 40 (ia)_2233 Financials 280109_2231.2 Financials (In Mn)_Soft Close November 10 StandAlone Vaibhav" xfId="417" xr:uid="{00000000-0005-0000-0000-000050000000}"/>
    <cellStyle name="_1008.1 Expense Disallowed u s 40 (ia)_2233 Financials 280109_2231.2 Financials (In Mn)_Soft Close October '10 SPV1" xfId="421" xr:uid="{00000000-0005-0000-0000-000051000000}"/>
    <cellStyle name="_1008.1 Expense Disallowed u s 40 (ia)_2233 Financials 280109_2231.2 Financials (In Mn)_Soft Close October '10 SPV1_Soft Close December 10 StandAlone Vaibhav" xfId="423" xr:uid="{00000000-0005-0000-0000-000052000000}"/>
    <cellStyle name="_1008.1 Expense Disallowed u s 40 (ia)_2233 Financials 280109_2231.2 Financials (In Mn)_Startegic Plan Consolidated" xfId="427" xr:uid="{00000000-0005-0000-0000-000053000000}"/>
    <cellStyle name="_1008.1 Expense Disallowed u s 40 (ia)_2233 Financials 280109_2231.2 Financials (In Mn)_Sub debts &amp; STL" xfId="198" xr:uid="{00000000-0005-0000-0000-000054000000}"/>
    <cellStyle name="_1008.1 Expense Disallowed u s 40 (ia)_2233 Financials 280109_Admin Expenses" xfId="428" xr:uid="{00000000-0005-0000-0000-000055000000}"/>
    <cellStyle name="_1008.1 Expense Disallowed u s 40 (ia)_2233 Financials 280109_Plan 2011-12 ITNL" xfId="430" xr:uid="{00000000-0005-0000-0000-000056000000}"/>
    <cellStyle name="_1008.1 Expense Disallowed u s 40 (ia)_2233 Financials 280109_revenue summary budgeted" xfId="435" xr:uid="{00000000-0005-0000-0000-000057000000}"/>
    <cellStyle name="_1008.1 Expense Disallowed u s 40 (ia)_2233 Financials 280109_revenue summary budgeted-r" xfId="438" xr:uid="{00000000-0005-0000-0000-000058000000}"/>
    <cellStyle name="_1008.1 Expense Disallowed u s 40 (ia)_2233 Financials 280109_SG&amp;A(R)-old" xfId="350" xr:uid="{00000000-0005-0000-0000-000059000000}"/>
    <cellStyle name="_1008.1 Expense Disallowed u s 40 (ia)_2233 Financials 280109_Startegic Plan Consolidated" xfId="442" xr:uid="{00000000-0005-0000-0000-00005A000000}"/>
    <cellStyle name="_1008.1 Expense Disallowed u s 40 (ia)_2233 Financials 280109_Sub debts &amp; STL" xfId="192" xr:uid="{00000000-0005-0000-0000-00005B000000}"/>
    <cellStyle name="_1008.1 Expense Disallowed u s 40 (ia)_2233 Financials 280109_Tax Computation" xfId="446" xr:uid="{00000000-0005-0000-0000-00005C000000}"/>
    <cellStyle name="_1008.1 Expense Disallowed u s 40 (ia)_2233 Financials_2231.2 Financials (In Mn)" xfId="451" xr:uid="{00000000-0005-0000-0000-00005D000000}"/>
    <cellStyle name="_1008.1 Expense Disallowed u s 40 (ia)_2233 Financials_2231.2 Financials (In Mn)_Budget - Sch VI" xfId="249" xr:uid="{00000000-0005-0000-0000-00005E000000}"/>
    <cellStyle name="_1008.1 Expense Disallowed u s 40 (ia)_2233 Financials_2231.2 Financials (In Mn)_Plan 2011-12 ITNL" xfId="453" xr:uid="{00000000-0005-0000-0000-00005F000000}"/>
    <cellStyle name="_1008.1 Expense Disallowed u s 40 (ia)_2233 Financials_2231.2 Financials (In Mn)_SG&amp;A(R)" xfId="156" xr:uid="{00000000-0005-0000-0000-000060000000}"/>
    <cellStyle name="_1008.1 Expense Disallowed u s 40 (ia)_2233 Financials_2231.2 Financials (In Mn)_SG&amp;A(R)-old" xfId="456" xr:uid="{00000000-0005-0000-0000-000061000000}"/>
    <cellStyle name="_1008.1 Expense Disallowed u s 40 (ia)_2233 Financials_2231.2 Financials (In Mn)_Soft Close December 10 StandAlone Vaibhav" xfId="458" xr:uid="{00000000-0005-0000-0000-000062000000}"/>
    <cellStyle name="_1008.1 Expense Disallowed u s 40 (ia)_2233 Financials_2231.2 Financials (In Mn)_Soft Close November 10 StandAlone Vaibhav" xfId="459" xr:uid="{00000000-0005-0000-0000-000063000000}"/>
    <cellStyle name="_1008.1 Expense Disallowed u s 40 (ia)_2233 Financials_2231.2 Financials (In Mn)_Soft Close October '10 SPV1" xfId="321" xr:uid="{00000000-0005-0000-0000-000064000000}"/>
    <cellStyle name="_1008.1 Expense Disallowed u s 40 (ia)_2233 Financials_2231.2 Financials (In Mn)_Soft Close October '10 SPV1_Soft Close December 10 StandAlone Vaibhav" xfId="462" xr:uid="{00000000-0005-0000-0000-000065000000}"/>
    <cellStyle name="_1008.1 Expense Disallowed u s 40 (ia)_2233 Financials_2231.2 Financials (In Mn)_Startegic Plan Consolidated" xfId="465" xr:uid="{00000000-0005-0000-0000-000066000000}"/>
    <cellStyle name="_1008.1 Expense Disallowed u s 40 (ia)_2233 Financials_2231.2 Financials (In Mn)_Sub debts &amp; STL" xfId="473" xr:uid="{00000000-0005-0000-0000-000067000000}"/>
    <cellStyle name="_1008.1 Expense Disallowed u s 40 (ia)_2233 Financials_Admin Expenses" xfId="474" xr:uid="{00000000-0005-0000-0000-000068000000}"/>
    <cellStyle name="_1008.1 Expense Disallowed u s 40 (ia)_2233 Financials_Plan 2011-12 ITNL" xfId="476" xr:uid="{00000000-0005-0000-0000-000069000000}"/>
    <cellStyle name="_1008.1 Expense Disallowed u s 40 (ia)_2233 Financials_revenue summary budgeted" xfId="479" xr:uid="{00000000-0005-0000-0000-00006A000000}"/>
    <cellStyle name="_1008.1 Expense Disallowed u s 40 (ia)_2233 Financials_revenue summary budgeted-r" xfId="482" xr:uid="{00000000-0005-0000-0000-00006B000000}"/>
    <cellStyle name="_1008.1 Expense Disallowed u s 40 (ia)_2233 Financials_SG&amp;A(R)-old" xfId="490" xr:uid="{00000000-0005-0000-0000-00006C000000}"/>
    <cellStyle name="_1008.1 Expense Disallowed u s 40 (ia)_2233 Financials_Startegic Plan Consolidated" xfId="494" xr:uid="{00000000-0005-0000-0000-00006D000000}"/>
    <cellStyle name="_1008.1 Expense Disallowed u s 40 (ia)_2233 Financials_Sub debts &amp; STL" xfId="257" xr:uid="{00000000-0005-0000-0000-00006E000000}"/>
    <cellStyle name="_1008.1 Expense Disallowed u s 40 (ia)_2233 Financials_Tax Computation" xfId="214" xr:uid="{00000000-0005-0000-0000-00006F000000}"/>
    <cellStyle name="_1008.1 Expense Disallowed u s 40 (ia)_7300.2 All Tax Audit Annexures" xfId="463" xr:uid="{00000000-0005-0000-0000-000070000000}"/>
    <cellStyle name="_1008.1 Expense Disallowed u s 40 (ia)_7300.2 All Tax Audit Annexures_Book1" xfId="495" xr:uid="{00000000-0005-0000-0000-000071000000}"/>
    <cellStyle name="_1008.1 Expense Disallowed u s 40 (ia)_Book1" xfId="502" xr:uid="{00000000-0005-0000-0000-000072000000}"/>
    <cellStyle name="_1008.1 Expense Disallowed u s 40 (ia)_Book1_Admin Expenses" xfId="168" xr:uid="{00000000-0005-0000-0000-000073000000}"/>
    <cellStyle name="_1008.1 Expense Disallowed u s 40 (ia)_Book1_Plan 2011-12 ITNL" xfId="372" xr:uid="{00000000-0005-0000-0000-000074000000}"/>
    <cellStyle name="_1008.1 Expense Disallowed u s 40 (ia)_Book1_SG&amp;A(R)-old" xfId="505" xr:uid="{00000000-0005-0000-0000-000075000000}"/>
    <cellStyle name="_1008.1 Expense Disallowed u s 40 (ia)_Book1_Soft Close December 10 StandAlone Vaibhav" xfId="510" xr:uid="{00000000-0005-0000-0000-000076000000}"/>
    <cellStyle name="_1008.1 Expense Disallowed u s 40 (ia)_Book1_Soft Close November 10 StandAlone Vaibhav" xfId="91" xr:uid="{00000000-0005-0000-0000-000077000000}"/>
    <cellStyle name="_1008.1 Expense Disallowed u s 40 (ia)_Book1_Soft Close October '10 SPV1" xfId="514" xr:uid="{00000000-0005-0000-0000-000078000000}"/>
    <cellStyle name="_1008.1 Expense Disallowed u s 40 (ia)_Book1_Soft Close October '10 SPV1_Soft Close December 10 StandAlone Vaibhav" xfId="518" xr:uid="{00000000-0005-0000-0000-000079000000}"/>
    <cellStyle name="_1008.1 Expense Disallowed u s 40 (ia)_Book1_Startegic Plan Consolidated" xfId="521" xr:uid="{00000000-0005-0000-0000-00007A000000}"/>
    <cellStyle name="_1008.1 Expense Disallowed u s 40 (ia)_Book1_Sub debts &amp; STL" xfId="523" xr:uid="{00000000-0005-0000-0000-00007B000000}"/>
    <cellStyle name="_1008.1 Expense Disallowed u s 40 (ia)_Book1_Tax Computation" xfId="85" xr:uid="{00000000-0005-0000-0000-00007C000000}"/>
    <cellStyle name="_1008.1 Expense Disallowed u s 40 (ia)_BSPL" xfId="525" xr:uid="{00000000-0005-0000-0000-00007D000000}"/>
    <cellStyle name="_1008.1 Expense Disallowed u s 40 (ia)_BSPL-3" xfId="131" xr:uid="{00000000-0005-0000-0000-00007E000000}"/>
    <cellStyle name="_1008.1 Expense Disallowed u s 40 (ia)_Debtors" xfId="529" xr:uid="{00000000-0005-0000-0000-00007F000000}"/>
    <cellStyle name="_1008.1 Expense Disallowed u s 40 (ia)_Debtors_Budget - Sch VI" xfId="434" xr:uid="{00000000-0005-0000-0000-000080000000}"/>
    <cellStyle name="_1008.1 Expense Disallowed u s 40 (ia)_Debtors_Plan 2011-12 ITNL" xfId="129" xr:uid="{00000000-0005-0000-0000-000081000000}"/>
    <cellStyle name="_1008.1 Expense Disallowed u s 40 (ia)_Debtors_SG&amp;A(R)" xfId="101" xr:uid="{00000000-0005-0000-0000-000082000000}"/>
    <cellStyle name="_1008.1 Expense Disallowed u s 40 (ia)_Debtors_SG&amp;A(R)-old" xfId="388" xr:uid="{00000000-0005-0000-0000-000083000000}"/>
    <cellStyle name="_1008.1 Expense Disallowed u s 40 (ia)_Debtors_Soft Close December 10 StandAlone Vaibhav" xfId="533" xr:uid="{00000000-0005-0000-0000-000084000000}"/>
    <cellStyle name="_1008.1 Expense Disallowed u s 40 (ia)_Debtors_Soft Close November 10 StandAlone Vaibhav" xfId="536" xr:uid="{00000000-0005-0000-0000-000085000000}"/>
    <cellStyle name="_1008.1 Expense Disallowed u s 40 (ia)_Debtors_Soft Close October '10 SPV1" xfId="538" xr:uid="{00000000-0005-0000-0000-000086000000}"/>
    <cellStyle name="_1008.1 Expense Disallowed u s 40 (ia)_Debtors_Soft Close October '10 SPV1_Soft Close December 10 StandAlone Vaibhav" xfId="119" xr:uid="{00000000-0005-0000-0000-000087000000}"/>
    <cellStyle name="_1008.1 Expense Disallowed u s 40 (ia)_Debtors_Startegic Plan Consolidated" xfId="541" xr:uid="{00000000-0005-0000-0000-000088000000}"/>
    <cellStyle name="_1008.1 Expense Disallowed u s 40 (ia)_Debtors_Sub debts &amp; STL" xfId="543" xr:uid="{00000000-0005-0000-0000-000089000000}"/>
    <cellStyle name="_1008.1 Expense Disallowed u s 40 (ia)_Deferred Tax working1" xfId="400" xr:uid="{00000000-0005-0000-0000-00008A000000}"/>
    <cellStyle name="_1008.1 Expense Disallowed u s 40 (ia)_Deferred Tax working1_Admin Expenses" xfId="545" xr:uid="{00000000-0005-0000-0000-00008B000000}"/>
    <cellStyle name="_1008.1 Expense Disallowed u s 40 (ia)_Deferred Tax working1_Plan 2011-12 ITNL" xfId="552" xr:uid="{00000000-0005-0000-0000-00008C000000}"/>
    <cellStyle name="_1008.1 Expense Disallowed u s 40 (ia)_Deferred Tax working1_SG&amp;A(R)-old" xfId="554" xr:uid="{00000000-0005-0000-0000-00008D000000}"/>
    <cellStyle name="_1008.1 Expense Disallowed u s 40 (ia)_Deferred Tax working1_Soft Close December 10 StandAlone Vaibhav" xfId="235" xr:uid="{00000000-0005-0000-0000-00008E000000}"/>
    <cellStyle name="_1008.1 Expense Disallowed u s 40 (ia)_Deferred Tax working1_Soft Close November 10 StandAlone Vaibhav" xfId="556" xr:uid="{00000000-0005-0000-0000-00008F000000}"/>
    <cellStyle name="_1008.1 Expense Disallowed u s 40 (ia)_Deferred Tax working1_Soft Close October '10 SPV1" xfId="558" xr:uid="{00000000-0005-0000-0000-000090000000}"/>
    <cellStyle name="_1008.1 Expense Disallowed u s 40 (ia)_Deferred Tax working1_Soft Close October '10 SPV1_Soft Close December 10 StandAlone Vaibhav" xfId="559" xr:uid="{00000000-0005-0000-0000-000091000000}"/>
    <cellStyle name="_1008.1 Expense Disallowed u s 40 (ia)_Deferred Tax working1_Startegic Plan Consolidated" xfId="30" xr:uid="{00000000-0005-0000-0000-000092000000}"/>
    <cellStyle name="_1008.1 Expense Disallowed u s 40 (ia)_Deferred Tax working1_Sub debts &amp; STL" xfId="306" xr:uid="{00000000-0005-0000-0000-000093000000}"/>
    <cellStyle name="_1008.1 Expense Disallowed u s 40 (ia)_DTL" xfId="472" xr:uid="{00000000-0005-0000-0000-000094000000}"/>
    <cellStyle name="_1008.1 Expense Disallowed u s 40 (ia)_DTL_2231.2 Financials (In Mn)" xfId="18" xr:uid="{00000000-0005-0000-0000-000095000000}"/>
    <cellStyle name="_1008.1 Expense Disallowed u s 40 (ia)_DTL_2231.2 Financials (In Mn)_Budget - Sch VI" xfId="563" xr:uid="{00000000-0005-0000-0000-000096000000}"/>
    <cellStyle name="_1008.1 Expense Disallowed u s 40 (ia)_DTL_2231.2 Financials (In Mn)_Plan 2011-12 ITNL" xfId="568" xr:uid="{00000000-0005-0000-0000-000097000000}"/>
    <cellStyle name="_1008.1 Expense Disallowed u s 40 (ia)_DTL_2231.2 Financials (In Mn)_SG&amp;A(R)" xfId="569" xr:uid="{00000000-0005-0000-0000-000098000000}"/>
    <cellStyle name="_1008.1 Expense Disallowed u s 40 (ia)_DTL_2231.2 Financials (In Mn)_SG&amp;A(R)-old" xfId="570" xr:uid="{00000000-0005-0000-0000-000099000000}"/>
    <cellStyle name="_1008.1 Expense Disallowed u s 40 (ia)_DTL_2231.2 Financials (In Mn)_Soft Close December 10 StandAlone Vaibhav" xfId="216" xr:uid="{00000000-0005-0000-0000-00009A000000}"/>
    <cellStyle name="_1008.1 Expense Disallowed u s 40 (ia)_DTL_2231.2 Financials (In Mn)_Soft Close November 10 StandAlone Vaibhav" xfId="573" xr:uid="{00000000-0005-0000-0000-00009B000000}"/>
    <cellStyle name="_1008.1 Expense Disallowed u s 40 (ia)_DTL_2231.2 Financials (In Mn)_Soft Close October '10 SPV1" xfId="575" xr:uid="{00000000-0005-0000-0000-00009C000000}"/>
    <cellStyle name="_1008.1 Expense Disallowed u s 40 (ia)_DTL_2231.2 Financials (In Mn)_Soft Close October '10 SPV1_Soft Close December 10 StandAlone Vaibhav" xfId="576" xr:uid="{00000000-0005-0000-0000-00009D000000}"/>
    <cellStyle name="_1008.1 Expense Disallowed u s 40 (ia)_DTL_2231.2 Financials (In Mn)_Startegic Plan Consolidated" xfId="580" xr:uid="{00000000-0005-0000-0000-00009E000000}"/>
    <cellStyle name="_1008.1 Expense Disallowed u s 40 (ia)_DTL_2231.2 Financials (In Mn)_Sub debts &amp; STL" xfId="581" xr:uid="{00000000-0005-0000-0000-00009F000000}"/>
    <cellStyle name="_1008.1 Expense Disallowed u s 40 (ia)_DTL_Admin Expenses" xfId="582" xr:uid="{00000000-0005-0000-0000-0000A0000000}"/>
    <cellStyle name="_1008.1 Expense Disallowed u s 40 (ia)_DTL_Plan 2011-12 ITNL" xfId="188" xr:uid="{00000000-0005-0000-0000-0000A1000000}"/>
    <cellStyle name="_1008.1 Expense Disallowed u s 40 (ia)_DTL_revenue summary budgeted" xfId="591" xr:uid="{00000000-0005-0000-0000-0000A2000000}"/>
    <cellStyle name="_1008.1 Expense Disallowed u s 40 (ia)_DTL_revenue summary budgeted-r" xfId="593" xr:uid="{00000000-0005-0000-0000-0000A3000000}"/>
    <cellStyle name="_1008.1 Expense Disallowed u s 40 (ia)_DTL_SG&amp;A(R)-old" xfId="567" xr:uid="{00000000-0005-0000-0000-0000A4000000}"/>
    <cellStyle name="_1008.1 Expense Disallowed u s 40 (ia)_DTL_Startegic Plan Consolidated" xfId="596" xr:uid="{00000000-0005-0000-0000-0000A5000000}"/>
    <cellStyle name="_1008.1 Expense Disallowed u s 40 (ia)_DTL_Sub debts &amp; STL" xfId="597" xr:uid="{00000000-0005-0000-0000-0000A6000000}"/>
    <cellStyle name="_1008.1 Expense Disallowed u s 40 (ia)_DTL_Tax Computation" xfId="600" xr:uid="{00000000-0005-0000-0000-0000A7000000}"/>
    <cellStyle name="_1008.1 Expense Disallowed u s 40 (ia)_FA" xfId="604" xr:uid="{00000000-0005-0000-0000-0000A8000000}"/>
    <cellStyle name="_1008.1 Expense Disallowed u s 40 (ia)_Investment" xfId="607" xr:uid="{00000000-0005-0000-0000-0000A9000000}"/>
    <cellStyle name="_1008.1 Expense Disallowed u s 40 (ia)_Investment_2231.2 Financials (In Mn)" xfId="609" xr:uid="{00000000-0005-0000-0000-0000AA000000}"/>
    <cellStyle name="_1008.1 Expense Disallowed u s 40 (ia)_Investment_2231.2 Financials (In Mn)_Budget - Sch VI" xfId="613" xr:uid="{00000000-0005-0000-0000-0000AB000000}"/>
    <cellStyle name="_1008.1 Expense Disallowed u s 40 (ia)_Investment_2231.2 Financials (In Mn)_Plan 2011-12 ITNL" xfId="375" xr:uid="{00000000-0005-0000-0000-0000AC000000}"/>
    <cellStyle name="_1008.1 Expense Disallowed u s 40 (ia)_Investment_2231.2 Financials (In Mn)_SG&amp;A(R)" xfId="618" xr:uid="{00000000-0005-0000-0000-0000AD000000}"/>
    <cellStyle name="_1008.1 Expense Disallowed u s 40 (ia)_Investment_2231.2 Financials (In Mn)_SG&amp;A(R)-old" xfId="103" xr:uid="{00000000-0005-0000-0000-0000AE000000}"/>
    <cellStyle name="_1008.1 Expense Disallowed u s 40 (ia)_Investment_2231.2 Financials (In Mn)_Soft Close December 10 StandAlone Vaibhav" xfId="622" xr:uid="{00000000-0005-0000-0000-0000AF000000}"/>
    <cellStyle name="_1008.1 Expense Disallowed u s 40 (ia)_Investment_2231.2 Financials (In Mn)_Soft Close November 10 StandAlone Vaibhav" xfId="624" xr:uid="{00000000-0005-0000-0000-0000B0000000}"/>
    <cellStyle name="_1008.1 Expense Disallowed u s 40 (ia)_Investment_2231.2 Financials (In Mn)_Soft Close October '10 SPV1" xfId="626" xr:uid="{00000000-0005-0000-0000-0000B1000000}"/>
    <cellStyle name="_1008.1 Expense Disallowed u s 40 (ia)_Investment_2231.2 Financials (In Mn)_Soft Close October '10 SPV1_Soft Close December 10 StandAlone Vaibhav" xfId="634" xr:uid="{00000000-0005-0000-0000-0000B2000000}"/>
    <cellStyle name="_1008.1 Expense Disallowed u s 40 (ia)_Investment_2231.2 Financials (In Mn)_Startegic Plan Consolidated" xfId="636" xr:uid="{00000000-0005-0000-0000-0000B3000000}"/>
    <cellStyle name="_1008.1 Expense Disallowed u s 40 (ia)_Investment_2231.2 Financials (In Mn)_Sub debts &amp; STL" xfId="638" xr:uid="{00000000-0005-0000-0000-0000B4000000}"/>
    <cellStyle name="_1008.1 Expense Disallowed u s 40 (ia)_Investment_Admin Expenses" xfId="128" xr:uid="{00000000-0005-0000-0000-0000B5000000}"/>
    <cellStyle name="_1008.1 Expense Disallowed u s 40 (ia)_Investment_Plan 2011-12 ITNL" xfId="639" xr:uid="{00000000-0005-0000-0000-0000B6000000}"/>
    <cellStyle name="_1008.1 Expense Disallowed u s 40 (ia)_Investment_revenue summary budgeted" xfId="645" xr:uid="{00000000-0005-0000-0000-0000B7000000}"/>
    <cellStyle name="_1008.1 Expense Disallowed u s 40 (ia)_Investment_revenue summary budgeted-r" xfId="646" xr:uid="{00000000-0005-0000-0000-0000B8000000}"/>
    <cellStyle name="_1008.1 Expense Disallowed u s 40 (ia)_Investment_SG&amp;A(R)-old" xfId="307" xr:uid="{00000000-0005-0000-0000-0000B9000000}"/>
    <cellStyle name="_1008.1 Expense Disallowed u s 40 (ia)_Investment_Startegic Plan Consolidated" xfId="100" xr:uid="{00000000-0005-0000-0000-0000BA000000}"/>
    <cellStyle name="_1008.1 Expense Disallowed u s 40 (ia)_Investment_Sub debts &amp; STL" xfId="652" xr:uid="{00000000-0005-0000-0000-0000BB000000}"/>
    <cellStyle name="_1008.1 Expense Disallowed u s 40 (ia)_Investment_Tax Computation" xfId="656" xr:uid="{00000000-0005-0000-0000-0000BC000000}"/>
    <cellStyle name="_1008.1 Expense Disallowed u s 40 (ia)_Tax computation" xfId="471" xr:uid="{00000000-0005-0000-0000-0000BD000000}"/>
    <cellStyle name="_1008.1 Expense Disallowed u s 40 (ia)_TAx workings1" xfId="195" xr:uid="{00000000-0005-0000-0000-0000BE000000}"/>
    <cellStyle name="_1008.1 Expense Disallowed u s 40 (ia)_TAx workings1_Admin Expenses" xfId="253" xr:uid="{00000000-0005-0000-0000-0000BF000000}"/>
    <cellStyle name="_1008.1 Expense Disallowed u s 40 (ia)_TAx workings1_Plan 2011-12 ITNL" xfId="661" xr:uid="{00000000-0005-0000-0000-0000C0000000}"/>
    <cellStyle name="_1008.1 Expense Disallowed u s 40 (ia)_TAx workings1_SG&amp;A(R)-old" xfId="666" xr:uid="{00000000-0005-0000-0000-0000C1000000}"/>
    <cellStyle name="_1008.1 Expense Disallowed u s 40 (ia)_TAx workings1_Soft Close December 10 StandAlone Vaibhav" xfId="669" xr:uid="{00000000-0005-0000-0000-0000C2000000}"/>
    <cellStyle name="_1008.1 Expense Disallowed u s 40 (ia)_TAx workings1_Soft Close November 10 StandAlone Vaibhav" xfId="672" xr:uid="{00000000-0005-0000-0000-0000C3000000}"/>
    <cellStyle name="_1008.1 Expense Disallowed u s 40 (ia)_TAx workings1_Soft Close October '10 SPV1" xfId="169" xr:uid="{00000000-0005-0000-0000-0000C4000000}"/>
    <cellStyle name="_1008.1 Expense Disallowed u s 40 (ia)_TAx workings1_Soft Close October '10 SPV1_Soft Close December 10 StandAlone Vaibhav" xfId="675" xr:uid="{00000000-0005-0000-0000-0000C5000000}"/>
    <cellStyle name="_1008.1 Expense Disallowed u s 40 (ia)_TAx workings1_Startegic Plan Consolidated" xfId="677" xr:uid="{00000000-0005-0000-0000-0000C6000000}"/>
    <cellStyle name="_1008.1 Expense Disallowed u s 40 (ia)_TAx workings1_Sub debts &amp; STL" xfId="680" xr:uid="{00000000-0005-0000-0000-0000C7000000}"/>
    <cellStyle name="_2010.02.12-Q4 Working-actual RTC rate" xfId="429" xr:uid="{00000000-0005-0000-0000-0000C8000000}"/>
    <cellStyle name="_2010预算下达（表结构目录）3-17" xfId="681" xr:uid="{00000000-0005-0000-0000-0000C9000000}"/>
    <cellStyle name="_2010预算与历年比较_1209" xfId="165" xr:uid="{00000000-0005-0000-0000-0000CA000000}"/>
    <cellStyle name="_2010预算汇总12-1" xfId="687" xr:uid="{00000000-0005-0000-0000-0000CB000000}"/>
    <cellStyle name="_27 template" xfId="611" xr:uid="{00000000-0005-0000-0000-0000CC000000}"/>
    <cellStyle name="_27 template_2233 Financials" xfId="688" xr:uid="{00000000-0005-0000-0000-0000CD000000}"/>
    <cellStyle name="_27 template_2233 Financials " xfId="690" xr:uid="{00000000-0005-0000-0000-0000CE000000}"/>
    <cellStyle name="_27 template_2233 Financials _2231.2 Financials (In Mn)" xfId="692" xr:uid="{00000000-0005-0000-0000-0000CF000000}"/>
    <cellStyle name="_27 template_2233 Financials _2231.2 Financials (In Mn)_Budget - Sch VI" xfId="620" xr:uid="{00000000-0005-0000-0000-0000D0000000}"/>
    <cellStyle name="_27 template_2233 Financials _2231.2 Financials (In Mn)_Plan 2011-12 ITNL" xfId="683" xr:uid="{00000000-0005-0000-0000-0000D1000000}"/>
    <cellStyle name="_27 template_2233 Financials _2231.2 Financials (In Mn)_SG&amp;A(R)" xfId="550" xr:uid="{00000000-0005-0000-0000-0000D2000000}"/>
    <cellStyle name="_27 template_2233 Financials _2231.2 Financials (In Mn)_SG&amp;A(R)-old" xfId="693" xr:uid="{00000000-0005-0000-0000-0000D3000000}"/>
    <cellStyle name="_27 template_2233 Financials _2231.2 Financials (In Mn)_Soft Close December 10 StandAlone Vaibhav" xfId="695" xr:uid="{00000000-0005-0000-0000-0000D4000000}"/>
    <cellStyle name="_27 template_2233 Financials _2231.2 Financials (In Mn)_Soft Close November 10 StandAlone Vaibhav" xfId="359" xr:uid="{00000000-0005-0000-0000-0000D5000000}"/>
    <cellStyle name="_27 template_2233 Financials _2231.2 Financials (In Mn)_Soft Close October '10 SPV1" xfId="631" xr:uid="{00000000-0005-0000-0000-0000D6000000}"/>
    <cellStyle name="_27 template_2233 Financials _2231.2 Financials (In Mn)_Soft Close October '10 SPV1_Soft Close December 10 StandAlone Vaibhav" xfId="560" xr:uid="{00000000-0005-0000-0000-0000D7000000}"/>
    <cellStyle name="_27 template_2233 Financials _2231.2 Financials (In Mn)_Startegic Plan Consolidated" xfId="120" xr:uid="{00000000-0005-0000-0000-0000D8000000}"/>
    <cellStyle name="_27 template_2233 Financials _2231.2 Financials (In Mn)_Sub debts &amp; STL" xfId="531" xr:uid="{00000000-0005-0000-0000-0000D9000000}"/>
    <cellStyle name="_27 template_2233 Financials _Admin Expenses" xfId="290" xr:uid="{00000000-0005-0000-0000-0000DA000000}"/>
    <cellStyle name="_27 template_2233 Financials _Plan 2011-12 ITNL" xfId="697" xr:uid="{00000000-0005-0000-0000-0000DB000000}"/>
    <cellStyle name="_27 template_2233 Financials _revenue summary budgeted" xfId="313" xr:uid="{00000000-0005-0000-0000-0000DC000000}"/>
    <cellStyle name="_27 template_2233 Financials _revenue summary budgeted-r" xfId="617" xr:uid="{00000000-0005-0000-0000-0000DD000000}"/>
    <cellStyle name="_27 template_2233 Financials _SG&amp;A(R)-old" xfId="682" xr:uid="{00000000-0005-0000-0000-0000DE000000}"/>
    <cellStyle name="_27 template_2233 Financials _Startegic Plan Consolidated" xfId="133" xr:uid="{00000000-0005-0000-0000-0000DF000000}"/>
    <cellStyle name="_27 template_2233 Financials _Sub debts &amp; STL" xfId="516" xr:uid="{00000000-0005-0000-0000-0000E0000000}"/>
    <cellStyle name="_27 template_2233 Financials _Tax Computation" xfId="282" xr:uid="{00000000-0005-0000-0000-0000E1000000}"/>
    <cellStyle name="_27 template_2233 Financials 280109" xfId="700" xr:uid="{00000000-0005-0000-0000-0000E2000000}"/>
    <cellStyle name="_27 template_2233 Financials 280109_2231.2 Financials (In Mn)" xfId="704" xr:uid="{00000000-0005-0000-0000-0000E3000000}"/>
    <cellStyle name="_27 template_2233 Financials 280109_2231.2 Financials (In Mn)_Budget - Sch VI" xfId="709" xr:uid="{00000000-0005-0000-0000-0000E4000000}"/>
    <cellStyle name="_27 template_2233 Financials 280109_2231.2 Financials (In Mn)_Plan 2011-12 ITNL" xfId="715" xr:uid="{00000000-0005-0000-0000-0000E5000000}"/>
    <cellStyle name="_27 template_2233 Financials 280109_2231.2 Financials (In Mn)_SG&amp;A(R)" xfId="535" xr:uid="{00000000-0005-0000-0000-0000E6000000}"/>
    <cellStyle name="_27 template_2233 Financials 280109_2231.2 Financials (In Mn)_SG&amp;A(R)-old" xfId="717" xr:uid="{00000000-0005-0000-0000-0000E7000000}"/>
    <cellStyle name="_27 template_2233 Financials 280109_2231.2 Financials (In Mn)_Soft Close December 10 StandAlone Vaibhav" xfId="718" xr:uid="{00000000-0005-0000-0000-0000E8000000}"/>
    <cellStyle name="_27 template_2233 Financials 280109_2231.2 Financials (In Mn)_Soft Close November 10 StandAlone Vaibhav" xfId="655" xr:uid="{00000000-0005-0000-0000-0000E9000000}"/>
    <cellStyle name="_27 template_2233 Financials 280109_2231.2 Financials (In Mn)_Soft Close October '10 SPV1" xfId="721" xr:uid="{00000000-0005-0000-0000-0000EA000000}"/>
    <cellStyle name="_27 template_2233 Financials 280109_2231.2 Financials (In Mn)_Soft Close October '10 SPV1_Soft Close December 10 StandAlone Vaibhav" xfId="724" xr:uid="{00000000-0005-0000-0000-0000EB000000}"/>
    <cellStyle name="_27 template_2233 Financials 280109_2231.2 Financials (In Mn)_Startegic Plan Consolidated" xfId="728" xr:uid="{00000000-0005-0000-0000-0000EC000000}"/>
    <cellStyle name="_27 template_2233 Financials 280109_2231.2 Financials (In Mn)_Sub debts &amp; STL" xfId="730" xr:uid="{00000000-0005-0000-0000-0000ED000000}"/>
    <cellStyle name="_27 template_2233 Financials 280109_Admin Expenses" xfId="553" xr:uid="{00000000-0005-0000-0000-0000EE000000}"/>
    <cellStyle name="_27 template_2233 Financials 280109_Plan 2011-12 ITNL" xfId="158" xr:uid="{00000000-0005-0000-0000-0000EF000000}"/>
    <cellStyle name="_27 template_2233 Financials 280109_revenue summary budgeted" xfId="610" xr:uid="{00000000-0005-0000-0000-0000F0000000}"/>
    <cellStyle name="_27 template_2233 Financials 280109_revenue summary budgeted-r" xfId="732" xr:uid="{00000000-0005-0000-0000-0000F1000000}"/>
    <cellStyle name="_27 template_2233 Financials 280109_SG&amp;A(R)-old" xfId="714" xr:uid="{00000000-0005-0000-0000-0000F2000000}"/>
    <cellStyle name="_27 template_2233 Financials 280109_Startegic Plan Consolidated" xfId="736" xr:uid="{00000000-0005-0000-0000-0000F3000000}"/>
    <cellStyle name="_27 template_2233 Financials 280109_Sub debts &amp; STL" xfId="737" xr:uid="{00000000-0005-0000-0000-0000F4000000}"/>
    <cellStyle name="_27 template_2233 Financials 280109_Tax Computation" xfId="741" xr:uid="{00000000-0005-0000-0000-0000F5000000}"/>
    <cellStyle name="_27 template_2233 Financials_2231.2 Financials (In Mn)" xfId="265" xr:uid="{00000000-0005-0000-0000-0000F6000000}"/>
    <cellStyle name="_27 template_2233 Financials_2231.2 Financials (In Mn)_Budget - Sch VI" xfId="615" xr:uid="{00000000-0005-0000-0000-0000F7000000}"/>
    <cellStyle name="_27 template_2233 Financials_2231.2 Financials (In Mn)_Plan 2011-12 ITNL" xfId="743" xr:uid="{00000000-0005-0000-0000-0000F8000000}"/>
    <cellStyle name="_27 template_2233 Financials_2231.2 Financials (In Mn)_SG&amp;A(R)" xfId="26" xr:uid="{00000000-0005-0000-0000-0000F9000000}"/>
    <cellStyle name="_27 template_2233 Financials_2231.2 Financials (In Mn)_SG&amp;A(R)-old" xfId="694" xr:uid="{00000000-0005-0000-0000-0000FA000000}"/>
    <cellStyle name="_27 template_2233 Financials_2231.2 Financials (In Mn)_Soft Close December 10 StandAlone Vaibhav" xfId="347" xr:uid="{00000000-0005-0000-0000-0000FB000000}"/>
    <cellStyle name="_27 template_2233 Financials_2231.2 Financials (In Mn)_Soft Close November 10 StandAlone Vaibhav" xfId="402" xr:uid="{00000000-0005-0000-0000-0000FC000000}"/>
    <cellStyle name="_27 template_2233 Financials_2231.2 Financials (In Mn)_Soft Close October '10 SPV1" xfId="292" xr:uid="{00000000-0005-0000-0000-0000FD000000}"/>
    <cellStyle name="_27 template_2233 Financials_2231.2 Financials (In Mn)_Soft Close October '10 SPV1_Soft Close December 10 StandAlone Vaibhav" xfId="746" xr:uid="{00000000-0005-0000-0000-0000FE000000}"/>
    <cellStyle name="_27 template_2233 Financials_2231.2 Financials (In Mn)_Startegic Plan Consolidated" xfId="749" xr:uid="{00000000-0005-0000-0000-0000FF000000}"/>
    <cellStyle name="_27 template_2233 Financials_2231.2 Financials (In Mn)_Sub debts &amp; STL" xfId="751" xr:uid="{00000000-0005-0000-0000-000000010000}"/>
    <cellStyle name="_27 template_2233 Financials_Admin Expenses" xfId="738" xr:uid="{00000000-0005-0000-0000-000001010000}"/>
    <cellStyle name="_27 template_2233 Financials_Plan 2011-12 ITNL" xfId="753" xr:uid="{00000000-0005-0000-0000-000002010000}"/>
    <cellStyle name="_27 template_2233 Financials_revenue summary budgeted" xfId="748" xr:uid="{00000000-0005-0000-0000-000003010000}"/>
    <cellStyle name="_27 template_2233 Financials_revenue summary budgeted-r" xfId="55" xr:uid="{00000000-0005-0000-0000-000004010000}"/>
    <cellStyle name="_27 template_2233 Financials_SG&amp;A(R)-old" xfId="742" xr:uid="{00000000-0005-0000-0000-000005010000}"/>
    <cellStyle name="_27 template_2233 Financials_Startegic Plan Consolidated" xfId="756" xr:uid="{00000000-0005-0000-0000-000006010000}"/>
    <cellStyle name="_27 template_2233 Financials_Sub debts &amp; STL" xfId="757" xr:uid="{00000000-0005-0000-0000-000007010000}"/>
    <cellStyle name="_27 template_2233 Financials_Tax Computation" xfId="504" xr:uid="{00000000-0005-0000-0000-000008010000}"/>
    <cellStyle name="_27 template_7300.2 All Tax Audit Annexures" xfId="555" xr:uid="{00000000-0005-0000-0000-000009010000}"/>
    <cellStyle name="_27 template_7300.2 All Tax Audit Annexures_Book1" xfId="760" xr:uid="{00000000-0005-0000-0000-00000A010000}"/>
    <cellStyle name="_27 template_Book1" xfId="764" xr:uid="{00000000-0005-0000-0000-00000B010000}"/>
    <cellStyle name="_27 template_Book1_Admin Expenses" xfId="382" xr:uid="{00000000-0005-0000-0000-00000C010000}"/>
    <cellStyle name="_27 template_Book1_Plan 2011-12 ITNL" xfId="767" xr:uid="{00000000-0005-0000-0000-00000D010000}"/>
    <cellStyle name="_27 template_Book1_SG&amp;A(R)-old" xfId="770" xr:uid="{00000000-0005-0000-0000-00000E010000}"/>
    <cellStyle name="_27 template_Book1_Soft Close December 10 StandAlone Vaibhav" xfId="771" xr:uid="{00000000-0005-0000-0000-00000F010000}"/>
    <cellStyle name="_27 template_Book1_Soft Close November 10 StandAlone Vaibhav" xfId="11" xr:uid="{00000000-0005-0000-0000-000010010000}"/>
    <cellStyle name="_27 template_Book1_Soft Close October '10 SPV1" xfId="727" xr:uid="{00000000-0005-0000-0000-000011010000}"/>
    <cellStyle name="_27 template_Book1_Soft Close October '10 SPV1_Soft Close December 10 StandAlone Vaibhav" xfId="774" xr:uid="{00000000-0005-0000-0000-000012010000}"/>
    <cellStyle name="_27 template_Book1_Startegic Plan Consolidated" xfId="776" xr:uid="{00000000-0005-0000-0000-000013010000}"/>
    <cellStyle name="_27 template_Book1_Sub debts &amp; STL" xfId="779" xr:uid="{00000000-0005-0000-0000-000014010000}"/>
    <cellStyle name="_27 template_Book1_Tax Computation" xfId="780" xr:uid="{00000000-0005-0000-0000-000015010000}"/>
    <cellStyle name="_27 template_BSPL" xfId="578" xr:uid="{00000000-0005-0000-0000-000016010000}"/>
    <cellStyle name="_27 template_BSPL-3" xfId="314" xr:uid="{00000000-0005-0000-0000-000017010000}"/>
    <cellStyle name="_27 template_Debtors" xfId="159" xr:uid="{00000000-0005-0000-0000-000018010000}"/>
    <cellStyle name="_27 template_Debtors_Budget - Sch VI" xfId="782" xr:uid="{00000000-0005-0000-0000-000019010000}"/>
    <cellStyle name="_27 template_Debtors_Plan 2011-12 ITNL" xfId="343" xr:uid="{00000000-0005-0000-0000-00001A010000}"/>
    <cellStyle name="_27 template_Debtors_SG&amp;A(R)" xfId="784" xr:uid="{00000000-0005-0000-0000-00001B010000}"/>
    <cellStyle name="_27 template_Debtors_SG&amp;A(R)-old" xfId="177" xr:uid="{00000000-0005-0000-0000-00001C010000}"/>
    <cellStyle name="_27 template_Debtors_Soft Close December 10 StandAlone Vaibhav" xfId="787" xr:uid="{00000000-0005-0000-0000-00001D010000}"/>
    <cellStyle name="_27 template_Debtors_Soft Close November 10 StandAlone Vaibhav" xfId="791" xr:uid="{00000000-0005-0000-0000-00001E010000}"/>
    <cellStyle name="_27 template_Debtors_Soft Close October '10 SPV1" xfId="262" xr:uid="{00000000-0005-0000-0000-00001F010000}"/>
    <cellStyle name="_27 template_Debtors_Soft Close October '10 SPV1_Soft Close December 10 StandAlone Vaibhav" xfId="734" xr:uid="{00000000-0005-0000-0000-000020010000}"/>
    <cellStyle name="_27 template_Debtors_Startegic Plan Consolidated" xfId="792" xr:uid="{00000000-0005-0000-0000-000021010000}"/>
    <cellStyle name="_27 template_Debtors_Sub debts &amp; STL" xfId="794" xr:uid="{00000000-0005-0000-0000-000022010000}"/>
    <cellStyle name="_27 template_Deferred Tax working1" xfId="799" xr:uid="{00000000-0005-0000-0000-000023010000}"/>
    <cellStyle name="_27 template_Deferred Tax working1_Admin Expenses" xfId="436" xr:uid="{00000000-0005-0000-0000-000024010000}"/>
    <cellStyle name="_27 template_Deferred Tax working1_Plan 2011-12 ITNL" xfId="493" xr:uid="{00000000-0005-0000-0000-000025010000}"/>
    <cellStyle name="_27 template_Deferred Tax working1_SG&amp;A(R)-old" xfId="28" xr:uid="{00000000-0005-0000-0000-000026010000}"/>
    <cellStyle name="_27 template_Deferred Tax working1_Soft Close December 10 StandAlone Vaibhav" xfId="801" xr:uid="{00000000-0005-0000-0000-000027010000}"/>
    <cellStyle name="_27 template_Deferred Tax working1_Soft Close November 10 StandAlone Vaibhav" xfId="804" xr:uid="{00000000-0005-0000-0000-000028010000}"/>
    <cellStyle name="_27 template_Deferred Tax working1_Soft Close October '10 SPV1" xfId="775" xr:uid="{00000000-0005-0000-0000-000029010000}"/>
    <cellStyle name="_27 template_Deferred Tax working1_Soft Close October '10 SPV1_Soft Close December 10 StandAlone Vaibhav" xfId="640" xr:uid="{00000000-0005-0000-0000-00002A010000}"/>
    <cellStyle name="_27 template_Deferred Tax working1_Startegic Plan Consolidated" xfId="590" xr:uid="{00000000-0005-0000-0000-00002B010000}"/>
    <cellStyle name="_27 template_Deferred Tax working1_Sub debts &amp; STL" xfId="808" xr:uid="{00000000-0005-0000-0000-00002C010000}"/>
    <cellStyle name="_27 template_DTL" xfId="706" xr:uid="{00000000-0005-0000-0000-00002D010000}"/>
    <cellStyle name="_27 template_DTL_2231.2 Financials (In Mn)" xfId="810" xr:uid="{00000000-0005-0000-0000-00002E010000}"/>
    <cellStyle name="_27 template_DTL_2231.2 Financials (In Mn)_Budget - Sch VI" xfId="143" xr:uid="{00000000-0005-0000-0000-00002F010000}"/>
    <cellStyle name="_27 template_DTL_2231.2 Financials (In Mn)_Plan 2011-12 ITNL" xfId="275" xr:uid="{00000000-0005-0000-0000-000030010000}"/>
    <cellStyle name="_27 template_DTL_2231.2 Financials (In Mn)_SG&amp;A(R)" xfId="813" xr:uid="{00000000-0005-0000-0000-000031010000}"/>
    <cellStyle name="_27 template_DTL_2231.2 Financials (In Mn)_SG&amp;A(R)-old" xfId="414" xr:uid="{00000000-0005-0000-0000-000032010000}"/>
    <cellStyle name="_27 template_DTL_2231.2 Financials (In Mn)_Soft Close December 10 StandAlone Vaibhav" xfId="444" xr:uid="{00000000-0005-0000-0000-000033010000}"/>
    <cellStyle name="_27 template_DTL_2231.2 Financials (In Mn)_Soft Close November 10 StandAlone Vaibhav" xfId="797" xr:uid="{00000000-0005-0000-0000-000034010000}"/>
    <cellStyle name="_27 template_DTL_2231.2 Financials (In Mn)_Soft Close October '10 SPV1" xfId="487" xr:uid="{00000000-0005-0000-0000-000035010000}"/>
    <cellStyle name="_27 template_DTL_2231.2 Financials (In Mn)_Soft Close October '10 SPV1_Soft Close December 10 StandAlone Vaibhav" xfId="468" xr:uid="{00000000-0005-0000-0000-000036010000}"/>
    <cellStyle name="_27 template_DTL_2231.2 Financials (In Mn)_Startegic Plan Consolidated" xfId="815" xr:uid="{00000000-0005-0000-0000-000037010000}"/>
    <cellStyle name="_27 template_DTL_2231.2 Financials (In Mn)_Sub debts &amp; STL" xfId="331" xr:uid="{00000000-0005-0000-0000-000038010000}"/>
    <cellStyle name="_27 template_DTL_Admin Expenses" xfId="816" xr:uid="{00000000-0005-0000-0000-000039010000}"/>
    <cellStyle name="_27 template_DTL_Plan 2011-12 ITNL" xfId="817" xr:uid="{00000000-0005-0000-0000-00003A010000}"/>
    <cellStyle name="_27 template_DTL_revenue summary budgeted" xfId="160" xr:uid="{00000000-0005-0000-0000-00003B010000}"/>
    <cellStyle name="_27 template_DTL_revenue summary budgeted-r" xfId="820" xr:uid="{00000000-0005-0000-0000-00003C010000}"/>
    <cellStyle name="_27 template_DTL_SG&amp;A(R)-old" xfId="393" xr:uid="{00000000-0005-0000-0000-00003D010000}"/>
    <cellStyle name="_27 template_DTL_Startegic Plan Consolidated" xfId="821" xr:uid="{00000000-0005-0000-0000-00003E010000}"/>
    <cellStyle name="_27 template_DTL_Sub debts &amp; STL" xfId="220" xr:uid="{00000000-0005-0000-0000-00003F010000}"/>
    <cellStyle name="_27 template_DTL_Tax Computation" xfId="822" xr:uid="{00000000-0005-0000-0000-000040010000}"/>
    <cellStyle name="_27 template_FA" xfId="52" xr:uid="{00000000-0005-0000-0000-000041010000}"/>
    <cellStyle name="_27 template_Investment" xfId="574" xr:uid="{00000000-0005-0000-0000-000042010000}"/>
    <cellStyle name="_27 template_Investment_2231.2 Financials (In Mn)" xfId="824" xr:uid="{00000000-0005-0000-0000-000043010000}"/>
    <cellStyle name="_27 template_Investment_2231.2 Financials (In Mn)_Budget - Sch VI" xfId="826" xr:uid="{00000000-0005-0000-0000-000044010000}"/>
    <cellStyle name="_27 template_Investment_2231.2 Financials (In Mn)_Plan 2011-12 ITNL" xfId="827" xr:uid="{00000000-0005-0000-0000-000045010000}"/>
    <cellStyle name="_27 template_Investment_2231.2 Financials (In Mn)_SG&amp;A(R)" xfId="829" xr:uid="{00000000-0005-0000-0000-000046010000}"/>
    <cellStyle name="_27 template_Investment_2231.2 Financials (In Mn)_SG&amp;A(R)-old" xfId="830" xr:uid="{00000000-0005-0000-0000-000047010000}"/>
    <cellStyle name="_27 template_Investment_2231.2 Financials (In Mn)_Soft Close December 10 StandAlone Vaibhav" xfId="833" xr:uid="{00000000-0005-0000-0000-000048010000}"/>
    <cellStyle name="_27 template_Investment_2231.2 Financials (In Mn)_Soft Close November 10 StandAlone Vaibhav" xfId="835" xr:uid="{00000000-0005-0000-0000-000049010000}"/>
    <cellStyle name="_27 template_Investment_2231.2 Financials (In Mn)_Soft Close October '10 SPV1" xfId="837" xr:uid="{00000000-0005-0000-0000-00004A010000}"/>
    <cellStyle name="_27 template_Investment_2231.2 Financials (In Mn)_Soft Close October '10 SPV1_Soft Close December 10 StandAlone Vaibhav" xfId="648" xr:uid="{00000000-0005-0000-0000-00004B010000}"/>
    <cellStyle name="_27 template_Investment_2231.2 Financials (In Mn)_Startegic Plan Consolidated" xfId="838" xr:uid="{00000000-0005-0000-0000-00004C010000}"/>
    <cellStyle name="_27 template_Investment_2231.2 Financials (In Mn)_Sub debts &amp; STL" xfId="406" xr:uid="{00000000-0005-0000-0000-00004D010000}"/>
    <cellStyle name="_27 template_Investment_Admin Expenses" xfId="460" xr:uid="{00000000-0005-0000-0000-00004E010000}"/>
    <cellStyle name="_27 template_Investment_Plan 2011-12 ITNL" xfId="10" xr:uid="{00000000-0005-0000-0000-00004F010000}"/>
    <cellStyle name="_27 template_Investment_revenue summary budgeted" xfId="841" xr:uid="{00000000-0005-0000-0000-000050010000}"/>
    <cellStyle name="_27 template_Investment_revenue summary budgeted-r" xfId="814" xr:uid="{00000000-0005-0000-0000-000051010000}"/>
    <cellStyle name="_27 template_Investment_SG&amp;A(R)-old" xfId="844" xr:uid="{00000000-0005-0000-0000-000052010000}"/>
    <cellStyle name="_27 template_Investment_Startegic Plan Consolidated" xfId="828" xr:uid="{00000000-0005-0000-0000-000053010000}"/>
    <cellStyle name="_27 template_Investment_Sub debts &amp; STL" xfId="663" xr:uid="{00000000-0005-0000-0000-000054010000}"/>
    <cellStyle name="_27 template_Investment_Tax Computation" xfId="705" xr:uid="{00000000-0005-0000-0000-000055010000}"/>
    <cellStyle name="_27 template_Tax computation" xfId="806" xr:uid="{00000000-0005-0000-0000-000056010000}"/>
    <cellStyle name="_27 template_TAx workings1" xfId="522" xr:uid="{00000000-0005-0000-0000-000057010000}"/>
    <cellStyle name="_27 template_TAx workings1_Admin Expenses" xfId="163" xr:uid="{00000000-0005-0000-0000-000058010000}"/>
    <cellStyle name="_27 template_TAx workings1_Plan 2011-12 ITNL" xfId="853" xr:uid="{00000000-0005-0000-0000-000059010000}"/>
    <cellStyle name="_27 template_TAx workings1_SG&amp;A(R)-old" xfId="369" xr:uid="{00000000-0005-0000-0000-00005A010000}"/>
    <cellStyle name="_27 template_TAx workings1_Soft Close December 10 StandAlone Vaibhav" xfId="747" xr:uid="{00000000-0005-0000-0000-00005B010000}"/>
    <cellStyle name="_27 template_TAx workings1_Soft Close November 10 StandAlone Vaibhav" xfId="89" xr:uid="{00000000-0005-0000-0000-00005C010000}"/>
    <cellStyle name="_27 template_TAx workings1_Soft Close October '10 SPV1" xfId="478" xr:uid="{00000000-0005-0000-0000-00005D010000}"/>
    <cellStyle name="_27 template_TAx workings1_Soft Close October '10 SPV1_Soft Close December 10 StandAlone Vaibhav" xfId="144" xr:uid="{00000000-0005-0000-0000-00005E010000}"/>
    <cellStyle name="_27 template_TAx workings1_Startegic Plan Consolidated" xfId="854" xr:uid="{00000000-0005-0000-0000-00005F010000}"/>
    <cellStyle name="_27 template_TAx workings1_Sub debts &amp; STL" xfId="571" xr:uid="{00000000-0005-0000-0000-000060010000}"/>
    <cellStyle name="_3 Pager for Sept 07 Conso 2" xfId="744" xr:uid="{00000000-0005-0000-0000-000061010000}"/>
    <cellStyle name="_Ahd" xfId="588" xr:uid="{00000000-0005-0000-0000-000062010000}"/>
    <cellStyle name="_Amravati_v2" xfId="207" xr:uid="{00000000-0005-0000-0000-000063010000}"/>
    <cellStyle name="_Analysis" xfId="773" xr:uid="{00000000-0005-0000-0000-000064010000}"/>
    <cellStyle name="_Analysis 2" xfId="500" xr:uid="{00000000-0005-0000-0000-000065010000}"/>
    <cellStyle name="_Assumptions" xfId="378" xr:uid="{00000000-0005-0000-0000-000066010000}"/>
    <cellStyle name="_aux detail 13 9 07" xfId="64" xr:uid="{00000000-0005-0000-0000-000067010000}"/>
    <cellStyle name="_Bhaiyathan_v2" xfId="77" xr:uid="{00000000-0005-0000-0000-000068010000}"/>
    <cellStyle name="_BI Model 070809 1134 (3)" xfId="859" xr:uid="{00000000-0005-0000-0000-000069010000}"/>
    <cellStyle name="_Calculation of actual and deemed energy supplied to TPL-D upto Mar 10" xfId="861" xr:uid="{00000000-0005-0000-0000-00006A010000}"/>
    <cellStyle name="_Calculation of actual and deemed energy supplied to TPL-D upto Mar 10 2" xfId="104" xr:uid="{00000000-0005-0000-0000-00006B010000}"/>
    <cellStyle name="_capacity charge recovery_2010-11" xfId="866" xr:uid="{00000000-0005-0000-0000-00006C010000}"/>
    <cellStyle name="_CCM Indian players_v1" xfId="868" xr:uid="{00000000-0005-0000-0000-00006D010000}"/>
    <cellStyle name="_Checked_Final_2010.01.25 January Energy Account-5.35" xfId="874" xr:uid="{00000000-0005-0000-0000-00006E010000}"/>
    <cellStyle name="_Column1" xfId="357" xr:uid="{00000000-0005-0000-0000-00006F010000}"/>
    <cellStyle name="_Column1_PI Industries- Aug 22" xfId="877" xr:uid="{00000000-0005-0000-0000-000070010000}"/>
    <cellStyle name="_Column2" xfId="461" xr:uid="{00000000-0005-0000-0000-000071010000}"/>
    <cellStyle name="_Column3" xfId="603" xr:uid="{00000000-0005-0000-0000-000072010000}"/>
    <cellStyle name="_Column4" xfId="786" xr:uid="{00000000-0005-0000-0000-000073010000}"/>
    <cellStyle name="_Column5" xfId="513" xr:uid="{00000000-0005-0000-0000-000074010000}"/>
    <cellStyle name="_Column6" xfId="878" xr:uid="{00000000-0005-0000-0000-000075010000}"/>
    <cellStyle name="_Column7" xfId="812" xr:uid="{00000000-0005-0000-0000-000076010000}"/>
    <cellStyle name="_Comma" xfId="879" xr:uid="{00000000-0005-0000-0000-000077010000}"/>
    <cellStyle name="_Comma 2" xfId="881" xr:uid="{00000000-0005-0000-0000-000078010000}"/>
    <cellStyle name="_Comma 3" xfId="883" xr:uid="{00000000-0005-0000-0000-000079010000}"/>
    <cellStyle name="_Comma 3 2" xfId="887" xr:uid="{00000000-0005-0000-0000-00007A010000}"/>
    <cellStyle name="_Comma 4" xfId="712" xr:uid="{00000000-0005-0000-0000-00007B010000}"/>
    <cellStyle name="_Corp model 20080402 (2007 actual first-cut) 2008-04-11a" xfId="628" xr:uid="{00000000-0005-0000-0000-00007C010000}"/>
    <cellStyle name="_Currency" xfId="34" xr:uid="{00000000-0005-0000-0000-00007D010000}"/>
    <cellStyle name="_Currency 2" xfId="415" xr:uid="{00000000-0005-0000-0000-00007E010000}"/>
    <cellStyle name="_Currency 3" xfId="888" xr:uid="{00000000-0005-0000-0000-00007F010000}"/>
    <cellStyle name="_Currency 3 2" xfId="150" xr:uid="{00000000-0005-0000-0000-000080010000}"/>
    <cellStyle name="_Currency 4" xfId="880" xr:uid="{00000000-0005-0000-0000-000081010000}"/>
    <cellStyle name="_CurrencySpace" xfId="594" xr:uid="{00000000-0005-0000-0000-000082010000}"/>
    <cellStyle name="_CurrencySpace 2" xfId="660" xr:uid="{00000000-0005-0000-0000-000083010000}"/>
    <cellStyle name="_CurrencySpace 3" xfId="537" xr:uid="{00000000-0005-0000-0000-000084010000}"/>
    <cellStyle name="_Customer wise-09-10" xfId="889" xr:uid="{00000000-0005-0000-0000-000085010000}"/>
    <cellStyle name="_Customer wise-09-10 2" xfId="890" xr:uid="{00000000-0005-0000-0000-000086010000}"/>
    <cellStyle name="_Data" xfId="540" xr:uid="{00000000-0005-0000-0000-000087010000}"/>
    <cellStyle name="_Data_PI Industries- Aug 22" xfId="334" xr:uid="{00000000-0005-0000-0000-000088010000}"/>
    <cellStyle name="_Depreciation 2010-11" xfId="811" xr:uid="{00000000-0005-0000-0000-000089010000}"/>
    <cellStyle name="_EA Mar-10 ABT-SLDC" xfId="892" xr:uid="{00000000-0005-0000-0000-00008A010000}"/>
    <cellStyle name="_Estimated Profit &amp; Loss_2009-10_December 09_Final_1" xfId="40" xr:uid="{00000000-0005-0000-0000-00008B010000}"/>
    <cellStyle name="_Estimated Profit &amp; Loss_2009-10_December 09_Final_1 2" xfId="895" xr:uid="{00000000-0005-0000-0000-00008C010000}"/>
    <cellStyle name="_Estimated Profit &amp; Loss_2009-10-September 09_Final" xfId="508" xr:uid="{00000000-0005-0000-0000-00008D010000}"/>
    <cellStyle name="_Estimated Profit &amp; Loss_2009-10-September 09_Final 2" xfId="43" xr:uid="{00000000-0005-0000-0000-00008E010000}"/>
    <cellStyle name="_ET_STYLE_NoName_00_" xfId="897" xr:uid="{00000000-0005-0000-0000-00008F010000}"/>
    <cellStyle name="_ET_STYLE_NoName_00__养护王小雅传" xfId="115" xr:uid="{00000000-0005-0000-0000-000090010000}"/>
    <cellStyle name="_Euro" xfId="769" xr:uid="{00000000-0005-0000-0000-000091010000}"/>
    <cellStyle name="_Euro 2" xfId="63" xr:uid="{00000000-0005-0000-0000-000092010000}"/>
    <cellStyle name="_Euro 3" xfId="670" xr:uid="{00000000-0005-0000-0000-000093010000}"/>
    <cellStyle name="_Expense Projection" xfId="898" xr:uid="{00000000-0005-0000-0000-000094010000}"/>
    <cellStyle name="_Expense Projection 2" xfId="872" xr:uid="{00000000-0005-0000-0000-000095010000}"/>
    <cellStyle name="_febmon" xfId="138" xr:uid="{00000000-0005-0000-0000-000096010000}"/>
    <cellStyle name="_febmon_1" xfId="595" xr:uid="{00000000-0005-0000-0000-000097010000}"/>
    <cellStyle name="_febmon_2" xfId="899" xr:uid="{00000000-0005-0000-0000-000098010000}"/>
    <cellStyle name="_febmon_3" xfId="901" xr:uid="{00000000-0005-0000-0000-000099010000}"/>
    <cellStyle name="_febmon_4" xfId="425" xr:uid="{00000000-0005-0000-0000-00009A010000}"/>
    <cellStyle name="_febmon_5" xfId="849" xr:uid="{00000000-0005-0000-0000-00009B010000}"/>
    <cellStyle name="_febmon_6" xfId="903" xr:uid="{00000000-0005-0000-0000-00009C010000}"/>
    <cellStyle name="_Fin_Model_IDFCv1" xfId="905" xr:uid="{00000000-0005-0000-0000-00009D010000}"/>
    <cellStyle name="_Final Madurai Tuticorin Fin Model" xfId="762" xr:uid="{00000000-0005-0000-0000-00009E010000}"/>
    <cellStyle name="_final summary-23-1-07" xfId="906" xr:uid="{00000000-0005-0000-0000-00009F010000}"/>
    <cellStyle name="_Financial Model Final 1Aug2008_AKJ" xfId="908" xr:uid="{00000000-0005-0000-0000-0000A0010000}"/>
    <cellStyle name="_Financial Statement(SUGEN) as on 31.10.09" xfId="909" xr:uid="{00000000-0005-0000-0000-0000A1010000}"/>
    <cellStyle name="_Financial Statement(SUGEN) as on 31.10.09 2" xfId="7" xr:uid="{00000000-0005-0000-0000-0000A2010000}"/>
    <cellStyle name="_Fuel Cost _Nov09 to March 10" xfId="910" xr:uid="{00000000-0005-0000-0000-0000A3010000}"/>
    <cellStyle name="_Fuel Cost _Nov09 to March 10_05.06.2010-Revenue Projection for 2010-11" xfId="506" xr:uid="{00000000-0005-0000-0000-0000A4010000}"/>
    <cellStyle name="_Fuel Cost _Nov09 to March 10_Prov for TPL-D" xfId="122" xr:uid="{00000000-0005-0000-0000-0000A5010000}"/>
    <cellStyle name="_Gear Assumptions book (KL) 020408" xfId="643" xr:uid="{00000000-0005-0000-0000-0000A6010000}"/>
    <cellStyle name="_GNP 30 Apr" xfId="911" xr:uid="{00000000-0005-0000-0000-0000A7010000}"/>
    <cellStyle name="_Hazaribagh_v2" xfId="81" xr:uid="{00000000-0005-0000-0000-0000A8010000}"/>
    <cellStyle name="_Header" xfId="659" xr:uid="{00000000-0005-0000-0000-0000A9010000}"/>
    <cellStyle name="_Heading" xfId="913" xr:uid="{00000000-0005-0000-0000-0000AA010000}"/>
    <cellStyle name="_Highlight" xfId="772" xr:uid="{00000000-0005-0000-0000-0000AB010000}"/>
    <cellStyle name="_Highlight 2" xfId="498" xr:uid="{00000000-0005-0000-0000-0000AC010000}"/>
    <cellStyle name="_Highlight 3" xfId="768" xr:uid="{00000000-0005-0000-0000-0000AD010000}"/>
    <cellStyle name="_HR-Budget for 2009-10   &amp; 2010-11  summary for RH" xfId="657" xr:uid="{00000000-0005-0000-0000-0000AE010000}"/>
    <cellStyle name="_IM Huide" xfId="88" xr:uid="{00000000-0005-0000-0000-0000AF010000}"/>
    <cellStyle name="_IM Huide_Corp model 20080402 (2007 actual first-cut) 2008-04-11a" xfId="915" xr:uid="{00000000-0005-0000-0000-0000B0010000}"/>
    <cellStyle name="_Ipstar DrKW consol-v58-21Feb05" xfId="317" xr:uid="{00000000-0005-0000-0000-0000B1010000}"/>
    <cellStyle name="_Ipstar DrKW consol-v58-21Feb05_Corp model 20080402 (2007 actual first-cut) 2008-04-11a" xfId="448" xr:uid="{00000000-0005-0000-0000-0000B2010000}"/>
    <cellStyle name="_Ipstar DrKW consol-v58-21Feb05_IM Huide" xfId="302" xr:uid="{00000000-0005-0000-0000-0000B3010000}"/>
    <cellStyle name="_Ipstar DrKW consol-v58-21Feb05_IM Huide_Corp model 20080402 (2007 actual first-cut) 2008-04-11a" xfId="916" xr:uid="{00000000-0005-0000-0000-0000B4010000}"/>
    <cellStyle name="_Ipstar DrKW consol-v58-21Feb05_Major parameters" xfId="665" xr:uid="{00000000-0005-0000-0000-0000B5010000}"/>
    <cellStyle name="_Ipstar DrKW consol-v58-21Feb05_Major parameters_Corp model 20080402 (2007 actual first-cut) 2008-04-11a" xfId="918" xr:uid="{00000000-0005-0000-0000-0000B6010000}"/>
    <cellStyle name="_Ipstar DrKW consol-v58-21Feb05_Major parameters_huide_all_coporate_ver_1" xfId="919" xr:uid="{00000000-0005-0000-0000-0000B7010000}"/>
    <cellStyle name="_Ipstar DrKW consol-v58-21Feb05_Major parameters_huide_all_coporate_ver_1_Corp model 20080402 (2007 actual first-cut) 2008-04-11a" xfId="297" xr:uid="{00000000-0005-0000-0000-0000B8010000}"/>
    <cellStyle name="_Ipstar DrKW consol-v58-21Feb05_Major parameters_IM Huide (R)_phase_2" xfId="365" xr:uid="{00000000-0005-0000-0000-0000B9010000}"/>
    <cellStyle name="_Ipstar DrKW consol-v58-21Feb05_Major parameters_IM Huide (R)_phase_2_corporatemd" xfId="921" xr:uid="{00000000-0005-0000-0000-0000BA010000}"/>
    <cellStyle name="_Ipstar DrKW consol-v58-21Feb05_Major parameters_IM Huide (R)_phase_3" xfId="922" xr:uid="{00000000-0005-0000-0000-0000BB010000}"/>
    <cellStyle name="_Ipstar DrKW consol-v58-21Feb05_Major parameters_IM Huide (R)_phase_4" xfId="925" xr:uid="{00000000-0005-0000-0000-0000BC010000}"/>
    <cellStyle name="_Ipstar DrKW consol-v58-21Feb05_Major parameters_IM Huide (R)_phase_5" xfId="23" xr:uid="{00000000-0005-0000-0000-0000BD010000}"/>
    <cellStyle name="_Ipstar DrKW consol-v58-21Feb05_Major parameters_Sensitivities" xfId="565" xr:uid="{00000000-0005-0000-0000-0000BE010000}"/>
    <cellStyle name="_Ipstar DrKW consol-v58-21Feb05_Major parameters_Sensitivities_Corp model 20080402 (2007 actual first-cut) 2008-04-11a" xfId="789" xr:uid="{00000000-0005-0000-0000-0000BF010000}"/>
    <cellStyle name="_Ipstar DrKW consol-v58-21Feb05_Major parameters_Sensitivities_IM Huide" xfId="726" xr:uid="{00000000-0005-0000-0000-0000C0010000}"/>
    <cellStyle name="_Ipstar DrKW consol-v58-21Feb05_Major parameters_Sensitivities_IM Huide_Corp model 20080402 (2007 actual first-cut) 2008-04-11a" xfId="927" xr:uid="{00000000-0005-0000-0000-0000C1010000}"/>
    <cellStyle name="_Ipstar DrKW consol-v58-21Feb05_Major parameters_Sheet1" xfId="151" xr:uid="{00000000-0005-0000-0000-0000C2010000}"/>
    <cellStyle name="_Ipstar DrKW consol-v58-21Feb05_Major parameters_Sheet1_Corp model 20080402 (2007 actual first-cut) 2008-04-11a" xfId="840" xr:uid="{00000000-0005-0000-0000-0000C3010000}"/>
    <cellStyle name="_Ipstar DrKW consol-v58-21Feb05_Major parameters_Sheet1_IM Huide" xfId="420" xr:uid="{00000000-0005-0000-0000-0000C4010000}"/>
    <cellStyle name="_Ipstar DrKW consol-v58-21Feb05_Major parameters_Sheet1_IM Huide_Corp model 20080402 (2007 actual first-cut) 2008-04-11a" xfId="929" xr:uid="{00000000-0005-0000-0000-0000C5010000}"/>
    <cellStyle name="_Ipstar DrKW consol-v58-21Feb05_Sheet1" xfId="21" xr:uid="{00000000-0005-0000-0000-0000C6010000}"/>
    <cellStyle name="_Ipstar DrKW consol-v58-21Feb05_Sheet1_Corp model 20080402 (2007 actual first-cut) 2008-04-11a" xfId="84" xr:uid="{00000000-0005-0000-0000-0000C7010000}"/>
    <cellStyle name="_Ipstar DrKW consol-v58-21Feb05_Sheet1_huide_all_coporate_ver_1" xfId="497" xr:uid="{00000000-0005-0000-0000-0000C8010000}"/>
    <cellStyle name="_Ipstar DrKW consol-v58-21Feb05_Sheet1_huide_all_coporate_ver_1_Corp model 20080402 (2007 actual first-cut) 2008-04-11a" xfId="930" xr:uid="{00000000-0005-0000-0000-0000C9010000}"/>
    <cellStyle name="_Ipstar DrKW consol-v58-21Feb05_Sheet1_IM Huide (R)_phase_2" xfId="327" xr:uid="{00000000-0005-0000-0000-0000CA010000}"/>
    <cellStyle name="_Ipstar DrKW consol-v58-21Feb05_Sheet1_IM Huide (R)_phase_2_corporatemd" xfId="931" xr:uid="{00000000-0005-0000-0000-0000CB010000}"/>
    <cellStyle name="_Ipstar DrKW consol-v58-21Feb05_Sheet1_IM Huide (R)_phase_3" xfId="933" xr:uid="{00000000-0005-0000-0000-0000CC010000}"/>
    <cellStyle name="_Ipstar DrKW consol-v58-21Feb05_Sheet1_IM Huide (R)_phase_4" xfId="936" xr:uid="{00000000-0005-0000-0000-0000CD010000}"/>
    <cellStyle name="_Ipstar DrKW consol-v58-21Feb05_Sheet1_IM Huide (R)_phase_5" xfId="484" xr:uid="{00000000-0005-0000-0000-0000CE010000}"/>
    <cellStyle name="_Ipstar DrKW consol-v58-21Feb05_Sheet1_Sensitivities" xfId="939" xr:uid="{00000000-0005-0000-0000-0000CF010000}"/>
    <cellStyle name="_Ipstar DrKW consol-v58-21Feb05_Sheet1_Sensitivities_Corp model 20080402 (2007 actual first-cut) 2008-04-11a" xfId="469" xr:uid="{00000000-0005-0000-0000-0000D0010000}"/>
    <cellStyle name="_Ipstar DrKW consol-v58-21Feb05_Sheet1_Sensitivities_IM Huide" xfId="941" xr:uid="{00000000-0005-0000-0000-0000D1010000}"/>
    <cellStyle name="_Ipstar DrKW consol-v58-21Feb05_Sheet1_Sensitivities_IM Huide_Corp model 20080402 (2007 actual first-cut) 2008-04-11a" xfId="943" xr:uid="{00000000-0005-0000-0000-0000D2010000}"/>
    <cellStyle name="_Ipstar DrKW consol-v58-21Feb05_Sheet1_Sheet1" xfId="945" xr:uid="{00000000-0005-0000-0000-0000D3010000}"/>
    <cellStyle name="_Ipstar DrKW consol-v58-21Feb05_Sheet1_Sheet1_Corp model 20080402 (2007 actual first-cut) 2008-04-11a" xfId="946" xr:uid="{00000000-0005-0000-0000-0000D4010000}"/>
    <cellStyle name="_Ipstar DrKW consol-v58-21Feb05_Sheet1_Sheet1_IM Huide" xfId="947" xr:uid="{00000000-0005-0000-0000-0000D5010000}"/>
    <cellStyle name="_Ipstar DrKW consol-v58-21Feb05_Sheet1_Sheet1_IM Huide_Corp model 20080402 (2007 actual first-cut) 2008-04-11a" xfId="948" xr:uid="{00000000-0005-0000-0000-0000D6010000}"/>
    <cellStyle name="_Ipstar DrKW consol-v58-21Feb05_Shouyang V1.26 (Maria)" xfId="954" xr:uid="{00000000-0005-0000-0000-0000D7010000}"/>
    <cellStyle name="_Ipstar DrKW consol-v58-21Feb05_Shouyang V1.26 (Maria)_Corp model 20080402 (2007 actual first-cut) 2008-04-11a" xfId="955" xr:uid="{00000000-0005-0000-0000-0000D8010000}"/>
    <cellStyle name="_Ipstar DrKW consol-v58-21Feb05_Shouyang V1.26 (Maria)_huide_all_coporate_ver_1" xfId="957" xr:uid="{00000000-0005-0000-0000-0000D9010000}"/>
    <cellStyle name="_Ipstar DrKW consol-v58-21Feb05_Shouyang V1.26 (Maria)_IM Huide (R)_phase_2" xfId="959" xr:uid="{00000000-0005-0000-0000-0000DA010000}"/>
    <cellStyle name="_Ipstar DrKW consol-v58-21Feb05_Shouyang V1.26 (Maria)_IM Huide (R)_phase_2_corporatemd" xfId="963" xr:uid="{00000000-0005-0000-0000-0000DB010000}"/>
    <cellStyle name="_Ipstar DrKW consol-v58-21Feb05_Shouyang V1.26 (Maria)_IM Huide (R)_phase_3" xfId="966" xr:uid="{00000000-0005-0000-0000-0000DC010000}"/>
    <cellStyle name="_Ipstar DrKW consol-v58-21Feb05_Shouyang V1.26 (Maria)_IM Huide (R)_phase_4" xfId="969" xr:uid="{00000000-0005-0000-0000-0000DD010000}"/>
    <cellStyle name="_Ipstar DrKW consol-v58-21Feb05_Shouyang V1.26 (Maria)_IM Huide (R)_phase_5" xfId="973" xr:uid="{00000000-0005-0000-0000-0000DE010000}"/>
    <cellStyle name="_JULYMON" xfId="977" xr:uid="{00000000-0005-0000-0000-0000DF010000}"/>
    <cellStyle name="_JULYMON_1" xfId="978" xr:uid="{00000000-0005-0000-0000-0000E0010000}"/>
    <cellStyle name="_JULYMON_2" xfId="979" xr:uid="{00000000-0005-0000-0000-0000E1010000}"/>
    <cellStyle name="_JULYMON_3" xfId="980" xr:uid="{00000000-0005-0000-0000-0000E2010000}"/>
    <cellStyle name="_JULYMON_4" xfId="981" xr:uid="{00000000-0005-0000-0000-0000E3010000}"/>
    <cellStyle name="_JULYMON_5" xfId="983" xr:uid="{00000000-0005-0000-0000-0000E4010000}"/>
    <cellStyle name="_JULYMON_6" xfId="985" xr:uid="{00000000-0005-0000-0000-0000E5010000}"/>
    <cellStyle name="_JUSCO Financial Model - 24-10-07 Pref Divv1" xfId="989" xr:uid="{00000000-0005-0000-0000-0000E6010000}"/>
    <cellStyle name="_JUSCO Financial Model - 24-10-07 Pref Divver3" xfId="991" xr:uid="{00000000-0005-0000-0000-0000E7010000}"/>
    <cellStyle name="_Major parameters" xfId="993" xr:uid="{00000000-0005-0000-0000-0000E8010000}"/>
    <cellStyle name="_Major parameters_Corp model 20080402 (2007 actual first-cut) 2008-04-11a" xfId="994" xr:uid="{00000000-0005-0000-0000-0000E9010000}"/>
    <cellStyle name="_Major parameters_huide_all_coporate_ver_1" xfId="997" xr:uid="{00000000-0005-0000-0000-0000EA010000}"/>
    <cellStyle name="_Major parameters_huide_all_coporate_ver_1_Corp model 20080402 (2007 actual first-cut) 2008-04-11a" xfId="999" xr:uid="{00000000-0005-0000-0000-0000EB010000}"/>
    <cellStyle name="_Major parameters_IM Huide (R)_phase_2" xfId="1001" xr:uid="{00000000-0005-0000-0000-0000EC010000}"/>
    <cellStyle name="_Major parameters_IM Huide (R)_phase_2_corporatemd" xfId="1002" xr:uid="{00000000-0005-0000-0000-0000ED010000}"/>
    <cellStyle name="_Major parameters_IM Huide (R)_phase_3" xfId="1004" xr:uid="{00000000-0005-0000-0000-0000EE010000}"/>
    <cellStyle name="_Major parameters_IM Huide (R)_phase_4" xfId="1005" xr:uid="{00000000-0005-0000-0000-0000EF010000}"/>
    <cellStyle name="_Major parameters_IM Huide (R)_phase_5" xfId="1006" xr:uid="{00000000-0005-0000-0000-0000F0010000}"/>
    <cellStyle name="_Major parameters_Sensitivities" xfId="1007" xr:uid="{00000000-0005-0000-0000-0000F1010000}"/>
    <cellStyle name="_Major parameters_Sensitivities_Corp model 20080402 (2007 actual first-cut) 2008-04-11a" xfId="1011" xr:uid="{00000000-0005-0000-0000-0000F2010000}"/>
    <cellStyle name="_Major parameters_Sensitivities_IM Huide" xfId="452" xr:uid="{00000000-0005-0000-0000-0000F3010000}"/>
    <cellStyle name="_Major parameters_Sensitivities_IM Huide_Corp model 20080402 (2007 actual first-cut) 2008-04-11a" xfId="380" xr:uid="{00000000-0005-0000-0000-0000F4010000}"/>
    <cellStyle name="_Major parameters_Sheet1" xfId="1013" xr:uid="{00000000-0005-0000-0000-0000F5010000}"/>
    <cellStyle name="_Major parameters_Sheet1_Corp model 20080402 (2007 actual first-cut) 2008-04-11a" xfId="1017" xr:uid="{00000000-0005-0000-0000-0000F6010000}"/>
    <cellStyle name="_Major parameters_Sheet1_IM Huide" xfId="1018" xr:uid="{00000000-0005-0000-0000-0000F7010000}"/>
    <cellStyle name="_Major parameters_Sheet1_IM Huide_Corp model 20080402 (2007 actual first-cut) 2008-04-11a" xfId="1019" xr:uid="{00000000-0005-0000-0000-0000F8010000}"/>
    <cellStyle name="_MASTER Global 50-50 Index" xfId="1020" xr:uid="{00000000-0005-0000-0000-0000F9010000}"/>
    <cellStyle name="_MASTER Global Developed US$" xfId="1023" xr:uid="{00000000-0005-0000-0000-0000FA010000}"/>
    <cellStyle name="_Monnet Financial Model Valuation workings 14.0" xfId="1025" xr:uid="{00000000-0005-0000-0000-0000FB010000}"/>
    <cellStyle name="_MPC model - new projects (formatted)v5" xfId="1026" xr:uid="{00000000-0005-0000-0000-0000FC010000}"/>
    <cellStyle name="_MPC model - new projects (formatted)v6" xfId="1029" xr:uid="{00000000-0005-0000-0000-0000FD010000}"/>
    <cellStyle name="_MPC model - new projects (unformatted)" xfId="99" xr:uid="{00000000-0005-0000-0000-0000FE010000}"/>
    <cellStyle name="_MPC model - new projects 23Apr08" xfId="1033" xr:uid="{00000000-0005-0000-0000-0000FF010000}"/>
    <cellStyle name="_Multiple" xfId="1034" xr:uid="{00000000-0005-0000-0000-000000020000}"/>
    <cellStyle name="_Multiple 2" xfId="1035" xr:uid="{00000000-0005-0000-0000-000001020000}"/>
    <cellStyle name="_Multiple 3" xfId="1038" xr:uid="{00000000-0005-0000-0000-000002020000}"/>
    <cellStyle name="_Multiple 3 2" xfId="592" xr:uid="{00000000-0005-0000-0000-000003020000}"/>
    <cellStyle name="_Multiple 4" xfId="1040" xr:uid="{00000000-0005-0000-0000-000004020000}"/>
    <cellStyle name="_MultipleSpace" xfId="1042" xr:uid="{00000000-0005-0000-0000-000005020000}"/>
    <cellStyle name="_MultipleSpace 2" xfId="1044" xr:uid="{00000000-0005-0000-0000-000006020000}"/>
    <cellStyle name="_MultipleSpace 3" xfId="1046" xr:uid="{00000000-0005-0000-0000-000007020000}"/>
    <cellStyle name="_MZW Model v22-15Mar05 (sent to PwC)" xfId="1048" xr:uid="{00000000-0005-0000-0000-000008020000}"/>
    <cellStyle name="_MZW Model v22-15Mar05 (sent to PwC)_Corp model 20080402 (2007 actual first-cut) 2008-04-11a" xfId="1051" xr:uid="{00000000-0005-0000-0000-000009020000}"/>
    <cellStyle name="_MZW Model v22-15Mar05 (sent to PwC)_IM Huide" xfId="433" xr:uid="{00000000-0005-0000-0000-00000A020000}"/>
    <cellStyle name="_MZW Model v22-15Mar05 (sent to PwC)_IM Huide_Corp model 20080402 (2007 actual first-cut) 2008-04-11a" xfId="1054" xr:uid="{00000000-0005-0000-0000-00000B020000}"/>
    <cellStyle name="_MZW Model v22-15Mar05 (sent to PwC)_Major parameters" xfId="1055" xr:uid="{00000000-0005-0000-0000-00000C020000}"/>
    <cellStyle name="_MZW Model v22-15Mar05 (sent to PwC)_Major parameters_Corp model 20080402 (2007 actual first-cut) 2008-04-11a" xfId="1057" xr:uid="{00000000-0005-0000-0000-00000D020000}"/>
    <cellStyle name="_MZW Model v22-15Mar05 (sent to PwC)_Major parameters_huide_all_coporate_ver_1" xfId="1059" xr:uid="{00000000-0005-0000-0000-00000E020000}"/>
    <cellStyle name="_MZW Model v22-15Mar05 (sent to PwC)_Major parameters_huide_all_coporate_ver_1_Corp model 20080402 (2007 actual first-cut) 2008-04-11a" xfId="1061" xr:uid="{00000000-0005-0000-0000-00000F020000}"/>
    <cellStyle name="_MZW Model v22-15Mar05 (sent to PwC)_Major parameters_IM Huide (R)_phase_2" xfId="1064" xr:uid="{00000000-0005-0000-0000-000010020000}"/>
    <cellStyle name="_MZW Model v22-15Mar05 (sent to PwC)_Major parameters_IM Huide (R)_phase_2_corporatemd" xfId="1066" xr:uid="{00000000-0005-0000-0000-000011020000}"/>
    <cellStyle name="_MZW Model v22-15Mar05 (sent to PwC)_Major parameters_IM Huide (R)_phase_3" xfId="1067" xr:uid="{00000000-0005-0000-0000-000012020000}"/>
    <cellStyle name="_MZW Model v22-15Mar05 (sent to PwC)_Major parameters_IM Huide (R)_phase_4" xfId="1068" xr:uid="{00000000-0005-0000-0000-000013020000}"/>
    <cellStyle name="_MZW Model v22-15Mar05 (sent to PwC)_Major parameters_IM Huide (R)_phase_5" xfId="1070" xr:uid="{00000000-0005-0000-0000-000014020000}"/>
    <cellStyle name="_MZW Model v22-15Mar05 (sent to PwC)_Major parameters_Sensitivities" xfId="1071" xr:uid="{00000000-0005-0000-0000-000015020000}"/>
    <cellStyle name="_MZW Model v22-15Mar05 (sent to PwC)_Major parameters_Sensitivities_Corp model 20080402 (2007 actual first-cut) 2008-04-11a" xfId="1072" xr:uid="{00000000-0005-0000-0000-000016020000}"/>
    <cellStyle name="_MZW Model v22-15Mar05 (sent to PwC)_Major parameters_Sensitivities_IM Huide" xfId="1073" xr:uid="{00000000-0005-0000-0000-000017020000}"/>
    <cellStyle name="_MZW Model v22-15Mar05 (sent to PwC)_Major parameters_Sensitivities_IM Huide_Corp model 20080402 (2007 actual first-cut) 2008-04-11a" xfId="1079" xr:uid="{00000000-0005-0000-0000-000018020000}"/>
    <cellStyle name="_MZW Model v22-15Mar05 (sent to PwC)_Major parameters_Sheet1" xfId="1080" xr:uid="{00000000-0005-0000-0000-000019020000}"/>
    <cellStyle name="_MZW Model v22-15Mar05 (sent to PwC)_Major parameters_Sheet1_Corp model 20080402 (2007 actual first-cut) 2008-04-11a" xfId="1081" xr:uid="{00000000-0005-0000-0000-00001A020000}"/>
    <cellStyle name="_MZW Model v22-15Mar05 (sent to PwC)_Major parameters_Sheet1_IM Huide" xfId="1082" xr:uid="{00000000-0005-0000-0000-00001B020000}"/>
    <cellStyle name="_MZW Model v22-15Mar05 (sent to PwC)_Major parameters_Sheet1_IM Huide_Corp model 20080402 (2007 actual first-cut) 2008-04-11a" xfId="524" xr:uid="{00000000-0005-0000-0000-00001C020000}"/>
    <cellStyle name="_MZW Model v22-15Mar05 (sent to PwC)_Sheet1" xfId="1085" xr:uid="{00000000-0005-0000-0000-00001D020000}"/>
    <cellStyle name="_MZW Model v22-15Mar05 (sent to PwC)_Sheet1_Corp model 20080402 (2007 actual first-cut) 2008-04-11a" xfId="1087" xr:uid="{00000000-0005-0000-0000-00001E020000}"/>
    <cellStyle name="_MZW Model v22-15Mar05 (sent to PwC)_Sheet1_huide_all_coporate_ver_1" xfId="1089" xr:uid="{00000000-0005-0000-0000-00001F020000}"/>
    <cellStyle name="_MZW Model v22-15Mar05 (sent to PwC)_Sheet1_huide_all_coporate_ver_1_Corp model 20080402 (2007 actual first-cut) 2008-04-11a" xfId="1090" xr:uid="{00000000-0005-0000-0000-000020020000}"/>
    <cellStyle name="_MZW Model v22-15Mar05 (sent to PwC)_Sheet1_IM Huide (R)_phase_2" xfId="1093" xr:uid="{00000000-0005-0000-0000-000021020000}"/>
    <cellStyle name="_MZW Model v22-15Mar05 (sent to PwC)_Sheet1_IM Huide (R)_phase_2_corporatemd" xfId="1095" xr:uid="{00000000-0005-0000-0000-000022020000}"/>
    <cellStyle name="_MZW Model v22-15Mar05 (sent to PwC)_Sheet1_IM Huide (R)_phase_3" xfId="1096" xr:uid="{00000000-0005-0000-0000-000023020000}"/>
    <cellStyle name="_MZW Model v22-15Mar05 (sent to PwC)_Sheet1_IM Huide (R)_phase_4" xfId="1098" xr:uid="{00000000-0005-0000-0000-000024020000}"/>
    <cellStyle name="_MZW Model v22-15Mar05 (sent to PwC)_Sheet1_IM Huide (R)_phase_5" xfId="1100" xr:uid="{00000000-0005-0000-0000-000025020000}"/>
    <cellStyle name="_MZW Model v22-15Mar05 (sent to PwC)_Sheet1_Sensitivities" xfId="1102" xr:uid="{00000000-0005-0000-0000-000026020000}"/>
    <cellStyle name="_MZW Model v22-15Mar05 (sent to PwC)_Sheet1_Sensitivities_Corp model 20080402 (2007 actual first-cut) 2008-04-11a" xfId="1103" xr:uid="{00000000-0005-0000-0000-000027020000}"/>
    <cellStyle name="_MZW Model v22-15Mar05 (sent to PwC)_Sheet1_Sensitivities_IM Huide" xfId="1104" xr:uid="{00000000-0005-0000-0000-000028020000}"/>
    <cellStyle name="_MZW Model v22-15Mar05 (sent to PwC)_Sheet1_Sensitivities_IM Huide_Corp model 20080402 (2007 actual first-cut) 2008-04-11a" xfId="577" xr:uid="{00000000-0005-0000-0000-000029020000}"/>
    <cellStyle name="_MZW Model v22-15Mar05 (sent to PwC)_Sheet1_Sheet1" xfId="1107" xr:uid="{00000000-0005-0000-0000-00002A020000}"/>
    <cellStyle name="_MZW Model v22-15Mar05 (sent to PwC)_Sheet1_Sheet1_Corp model 20080402 (2007 actual first-cut) 2008-04-11a" xfId="1108" xr:uid="{00000000-0005-0000-0000-00002B020000}"/>
    <cellStyle name="_MZW Model v22-15Mar05 (sent to PwC)_Sheet1_Sheet1_IM Huide" xfId="49" xr:uid="{00000000-0005-0000-0000-00002C020000}"/>
    <cellStyle name="_MZW Model v22-15Mar05 (sent to PwC)_Sheet1_Sheet1_IM Huide_Corp model 20080402 (2007 actual first-cut) 2008-04-11a" xfId="1109" xr:uid="{00000000-0005-0000-0000-00002D020000}"/>
    <cellStyle name="_MZW Model v22-15Mar05 (sent to PwC)_Shouyang V1.26 (Maria)" xfId="179" xr:uid="{00000000-0005-0000-0000-00002E020000}"/>
    <cellStyle name="_MZW Model v22-15Mar05 (sent to PwC)_Shouyang V1.26 (Maria)_Corp model 20080402 (2007 actual first-cut) 2008-04-11a" xfId="1111" xr:uid="{00000000-0005-0000-0000-00002F020000}"/>
    <cellStyle name="_MZW Model v22-15Mar05 (sent to PwC)_Shouyang V1.26 (Maria)_huide_all_coporate_ver_1" xfId="1113" xr:uid="{00000000-0005-0000-0000-000030020000}"/>
    <cellStyle name="_MZW Model v22-15Mar05 (sent to PwC)_Shouyang V1.26 (Maria)_IM Huide (R)_phase_2" xfId="1115" xr:uid="{00000000-0005-0000-0000-000031020000}"/>
    <cellStyle name="_MZW Model v22-15Mar05 (sent to PwC)_Shouyang V1.26 (Maria)_IM Huide (R)_phase_2_corporatemd" xfId="1117" xr:uid="{00000000-0005-0000-0000-000032020000}"/>
    <cellStyle name="_MZW Model v22-15Mar05 (sent to PwC)_Shouyang V1.26 (Maria)_IM Huide (R)_phase_3" xfId="1121" xr:uid="{00000000-0005-0000-0000-000033020000}"/>
    <cellStyle name="_MZW Model v22-15Mar05 (sent to PwC)_Shouyang V1.26 (Maria)_IM Huide (R)_phase_4" xfId="1123" xr:uid="{00000000-0005-0000-0000-000034020000}"/>
    <cellStyle name="_MZW Model v22-15Mar05 (sent to PwC)_Shouyang V1.26 (Maria)_IM Huide (R)_phase_5" xfId="1125" xr:uid="{00000000-0005-0000-0000-000035020000}"/>
    <cellStyle name="_Nasik_v2" xfId="1127" xr:uid="{00000000-0005-0000-0000-000036020000}"/>
    <cellStyle name="_NewEarth Standalone" xfId="1129" xr:uid="{00000000-0005-0000-0000-000037020000}"/>
    <cellStyle name="_PAF-PLF" xfId="1131" xr:uid="{00000000-0005-0000-0000-000038020000}"/>
    <cellStyle name="_PAF-PLF 2" xfId="1133" xr:uid="{00000000-0005-0000-0000-000039020000}"/>
    <cellStyle name="_PBT till Mar 10" xfId="1134" xr:uid="{00000000-0005-0000-0000-00003A020000}"/>
    <cellStyle name="_PBT till March 10" xfId="1137" xr:uid="{00000000-0005-0000-0000-00003B020000}"/>
    <cellStyle name="_PBT till March 10 2" xfId="1138" xr:uid="{00000000-0005-0000-0000-00003C020000}"/>
    <cellStyle name="_Percent" xfId="1141" xr:uid="{00000000-0005-0000-0000-00003D020000}"/>
    <cellStyle name="_PercentSpace" xfId="1143" xr:uid="{00000000-0005-0000-0000-00003E020000}"/>
    <cellStyle name="_Proj Dec to Mar" xfId="1145" xr:uid="{00000000-0005-0000-0000-00003F020000}"/>
    <cellStyle name="_Proj Dec to Mar 2" xfId="1147" xr:uid="{00000000-0005-0000-0000-000040020000}"/>
    <cellStyle name="_Proj Nov to Mar" xfId="1150" xr:uid="{00000000-0005-0000-0000-000041020000}"/>
    <cellStyle name="_Proj Nov to Mar 2" xfId="1151" xr:uid="{00000000-0005-0000-0000-000042020000}"/>
    <cellStyle name="_Project Auto - KL Model draft" xfId="59" xr:uid="{00000000-0005-0000-0000-000043020000}"/>
    <cellStyle name="_Project Cochin_8 sep 2005 (with Subdebt) FINAL FINAL" xfId="1152" xr:uid="{00000000-0005-0000-0000-000044020000}"/>
    <cellStyle name="_Project Turbo Model 220408" xfId="1154" xr:uid="{00000000-0005-0000-0000-000045020000}"/>
    <cellStyle name="_Project Turbo new projects FS 25042008 (2)" xfId="1155" xr:uid="{00000000-0005-0000-0000-000046020000}"/>
    <cellStyle name="_Proposal 2009 09 06-DAILY-Surplus Calculation" xfId="1156" xr:uid="{00000000-0005-0000-0000-000047020000}"/>
    <cellStyle name="_Proposal 2009 09 06-DAILY-Surplus Calculation_2010.05.19-April Energy Account-for Billing-Freq-R1-Reconciliation with SLDC" xfId="1158" xr:uid="{00000000-0005-0000-0000-000048020000}"/>
    <cellStyle name="_Prov for TPL-D" xfId="37" xr:uid="{00000000-0005-0000-0000-000049020000}"/>
    <cellStyle name="_Recovery of FC and Incentive" xfId="1159" xr:uid="{00000000-0005-0000-0000-00004A020000}"/>
    <cellStyle name="_Recovery of FC and Incentive 2" xfId="1161" xr:uid="{00000000-0005-0000-0000-00004B020000}"/>
    <cellStyle name="_Row1" xfId="605" xr:uid="{00000000-0005-0000-0000-00004C020000}"/>
    <cellStyle name="_Row1 10" xfId="1116" xr:uid="{00000000-0005-0000-0000-00004D020000}"/>
    <cellStyle name="_Row1 11" xfId="1122" xr:uid="{00000000-0005-0000-0000-00004E020000}"/>
    <cellStyle name="_Row1 12" xfId="1124" xr:uid="{00000000-0005-0000-0000-00004F020000}"/>
    <cellStyle name="_Row1 13" xfId="1126" xr:uid="{00000000-0005-0000-0000-000050020000}"/>
    <cellStyle name="_Row1 2" xfId="1163" xr:uid="{00000000-0005-0000-0000-000051020000}"/>
    <cellStyle name="_Row1 3" xfId="1167" xr:uid="{00000000-0005-0000-0000-000052020000}"/>
    <cellStyle name="_Row1 4" xfId="1171" xr:uid="{00000000-0005-0000-0000-000053020000}"/>
    <cellStyle name="_Row1 5" xfId="1175" xr:uid="{00000000-0005-0000-0000-000054020000}"/>
    <cellStyle name="_Row1 6" xfId="1179" xr:uid="{00000000-0005-0000-0000-000055020000}"/>
    <cellStyle name="_Row1 7" xfId="1183" xr:uid="{00000000-0005-0000-0000-000056020000}"/>
    <cellStyle name="_Row1 8" xfId="1185" xr:uid="{00000000-0005-0000-0000-000057020000}"/>
    <cellStyle name="_Row1 9" xfId="1188" xr:uid="{00000000-0005-0000-0000-000058020000}"/>
    <cellStyle name="_Row1_211109_ 1840" xfId="1192" xr:uid="{00000000-0005-0000-0000-000059020000}"/>
    <cellStyle name="_Row1_211109_ 1840 10" xfId="1197" xr:uid="{00000000-0005-0000-0000-00005A020000}"/>
    <cellStyle name="_Row1_211109_ 1840 11" xfId="1199" xr:uid="{00000000-0005-0000-0000-00005B020000}"/>
    <cellStyle name="_Row1_211109_ 1840 12" xfId="1202" xr:uid="{00000000-0005-0000-0000-00005C020000}"/>
    <cellStyle name="_Row1_211109_ 1840 13" xfId="1203" xr:uid="{00000000-0005-0000-0000-00005D020000}"/>
    <cellStyle name="_Row1_211109_ 1840 2" xfId="1205" xr:uid="{00000000-0005-0000-0000-00005E020000}"/>
    <cellStyle name="_Row1_211109_ 1840 3" xfId="1207" xr:uid="{00000000-0005-0000-0000-00005F020000}"/>
    <cellStyle name="_Row1_211109_ 1840 4" xfId="1208" xr:uid="{00000000-0005-0000-0000-000060020000}"/>
    <cellStyle name="_Row1_211109_ 1840 5" xfId="608" xr:uid="{00000000-0005-0000-0000-000061020000}"/>
    <cellStyle name="_Row1_211109_ 1840 6" xfId="1209" xr:uid="{00000000-0005-0000-0000-000062020000}"/>
    <cellStyle name="_Row1_211109_ 1840 7" xfId="1210" xr:uid="{00000000-0005-0000-0000-000063020000}"/>
    <cellStyle name="_Row1_211109_ 1840 8" xfId="1211" xr:uid="{00000000-0005-0000-0000-000064020000}"/>
    <cellStyle name="_Row1_211109_ 1840 9" xfId="1212" xr:uid="{00000000-0005-0000-0000-000065020000}"/>
    <cellStyle name="_Row1_All IR Tables-USD" xfId="1213" xr:uid="{00000000-0005-0000-0000-000066020000}"/>
    <cellStyle name="_Row1_All IR Tables-USD 10" xfId="1215" xr:uid="{00000000-0005-0000-0000-000067020000}"/>
    <cellStyle name="_Row1_All IR Tables-USD 11" xfId="1217" xr:uid="{00000000-0005-0000-0000-000068020000}"/>
    <cellStyle name="_Row1_All IR Tables-USD 12" xfId="1220" xr:uid="{00000000-0005-0000-0000-000069020000}"/>
    <cellStyle name="_Row1_All IR Tables-USD 13" xfId="1221" xr:uid="{00000000-0005-0000-0000-00006A020000}"/>
    <cellStyle name="_Row1_All IR Tables-USD 2" xfId="1222" xr:uid="{00000000-0005-0000-0000-00006B020000}"/>
    <cellStyle name="_Row1_All IR Tables-USD 3" xfId="1228" xr:uid="{00000000-0005-0000-0000-00006C020000}"/>
    <cellStyle name="_Row1_All IR Tables-USD 4" xfId="1234" xr:uid="{00000000-0005-0000-0000-00006D020000}"/>
    <cellStyle name="_Row1_All IR Tables-USD 5" xfId="1238" xr:uid="{00000000-0005-0000-0000-00006E020000}"/>
    <cellStyle name="_Row1_All IR Tables-USD 6" xfId="1243" xr:uid="{00000000-0005-0000-0000-00006F020000}"/>
    <cellStyle name="_Row1_All IR Tables-USD 7" xfId="1245" xr:uid="{00000000-0005-0000-0000-000070020000}"/>
    <cellStyle name="_Row1_All IR Tables-USD 8" xfId="1247" xr:uid="{00000000-0005-0000-0000-000071020000}"/>
    <cellStyle name="_Row1_All IR Tables-USD 9" xfId="242" xr:uid="{00000000-0005-0000-0000-000072020000}"/>
    <cellStyle name="_Row1_Castle 010510 1121" xfId="845" xr:uid="{00000000-0005-0000-0000-000073020000}"/>
    <cellStyle name="_Row1_Castle 010510 1121 10" xfId="1249" xr:uid="{00000000-0005-0000-0000-000074020000}"/>
    <cellStyle name="_Row1_Castle 010510 1121 11" xfId="1251" xr:uid="{00000000-0005-0000-0000-000075020000}"/>
    <cellStyle name="_Row1_Castle 010510 1121 12" xfId="1253" xr:uid="{00000000-0005-0000-0000-000076020000}"/>
    <cellStyle name="_Row1_Castle 010510 1121 13" xfId="1254" xr:uid="{00000000-0005-0000-0000-000077020000}"/>
    <cellStyle name="_Row1_Castle 010510 1121 2" xfId="1083" xr:uid="{00000000-0005-0000-0000-000078020000}"/>
    <cellStyle name="_Row1_Castle 010510 1121 3" xfId="1255" xr:uid="{00000000-0005-0000-0000-000079020000}"/>
    <cellStyle name="_Row1_Castle 010510 1121 4" xfId="1256" xr:uid="{00000000-0005-0000-0000-00007A020000}"/>
    <cellStyle name="_Row1_Castle 010510 1121 5" xfId="1257" xr:uid="{00000000-0005-0000-0000-00007B020000}"/>
    <cellStyle name="_Row1_Castle 010510 1121 6" xfId="1258" xr:uid="{00000000-0005-0000-0000-00007C020000}"/>
    <cellStyle name="_Row1_Castle 010510 1121 7" xfId="1259" xr:uid="{00000000-0005-0000-0000-00007D020000}"/>
    <cellStyle name="_Row1_Castle 010510 1121 8" xfId="1260" xr:uid="{00000000-0005-0000-0000-00007E020000}"/>
    <cellStyle name="_Row1_Castle 010510 1121 9" xfId="1261" xr:uid="{00000000-0005-0000-0000-00007F020000}"/>
    <cellStyle name="_Row1_Copy of ti comps 250510" xfId="1262" xr:uid="{00000000-0005-0000-0000-000080020000}"/>
    <cellStyle name="_Row1_Copy of ti comps 250510 10" xfId="1264" xr:uid="{00000000-0005-0000-0000-000081020000}"/>
    <cellStyle name="_Row1_Copy of ti comps 250510 11" xfId="1265" xr:uid="{00000000-0005-0000-0000-000082020000}"/>
    <cellStyle name="_Row1_Copy of ti comps 250510 12" xfId="1267" xr:uid="{00000000-0005-0000-0000-000083020000}"/>
    <cellStyle name="_Row1_Copy of ti comps 250510 13" xfId="206" xr:uid="{00000000-0005-0000-0000-000084020000}"/>
    <cellStyle name="_Row1_Copy of ti comps 250510 2" xfId="1268" xr:uid="{00000000-0005-0000-0000-000085020000}"/>
    <cellStyle name="_Row1_Copy of ti comps 250510 3" xfId="1269" xr:uid="{00000000-0005-0000-0000-000086020000}"/>
    <cellStyle name="_Row1_Copy of ti comps 250510 4" xfId="1271" xr:uid="{00000000-0005-0000-0000-000087020000}"/>
    <cellStyle name="_Row1_Copy of ti comps 250510 5" xfId="1273" xr:uid="{00000000-0005-0000-0000-000088020000}"/>
    <cellStyle name="_Row1_Copy of ti comps 250510 6" xfId="831" xr:uid="{00000000-0005-0000-0000-000089020000}"/>
    <cellStyle name="_Row1_Copy of ti comps 250510 7" xfId="1276" xr:uid="{00000000-0005-0000-0000-00008A020000}"/>
    <cellStyle name="_Row1_Copy of ti comps 250510 8" xfId="1279" xr:uid="{00000000-0005-0000-0000-00008B020000}"/>
    <cellStyle name="_Row1_Copy of ti comps 250510 9" xfId="1281" xr:uid="{00000000-0005-0000-0000-00008C020000}"/>
    <cellStyle name="_Row1_Data file 2111 1836" xfId="1283" xr:uid="{00000000-0005-0000-0000-00008D020000}"/>
    <cellStyle name="_Row1_Data file 2111 1836 10" xfId="1284" xr:uid="{00000000-0005-0000-0000-00008E020000}"/>
    <cellStyle name="_Row1_Data file 2111 1836 11" xfId="1285" xr:uid="{00000000-0005-0000-0000-00008F020000}"/>
    <cellStyle name="_Row1_Data file 2111 1836 12" xfId="1286" xr:uid="{00000000-0005-0000-0000-000090020000}"/>
    <cellStyle name="_Row1_Data file 2111 1836 13" xfId="1287" xr:uid="{00000000-0005-0000-0000-000091020000}"/>
    <cellStyle name="_Row1_Data file 2111 1836 2" xfId="1288" xr:uid="{00000000-0005-0000-0000-000092020000}"/>
    <cellStyle name="_Row1_Data file 2111 1836 3" xfId="1292" xr:uid="{00000000-0005-0000-0000-000093020000}"/>
    <cellStyle name="_Row1_Data file 2111 1836 4" xfId="1295" xr:uid="{00000000-0005-0000-0000-000094020000}"/>
    <cellStyle name="_Row1_Data file 2111 1836 5" xfId="1298" xr:uid="{00000000-0005-0000-0000-000095020000}"/>
    <cellStyle name="_Row1_Data file 2111 1836 6" xfId="1301" xr:uid="{00000000-0005-0000-0000-000096020000}"/>
    <cellStyle name="_Row1_Data file 2111 1836 7" xfId="1304" xr:uid="{00000000-0005-0000-0000-000097020000}"/>
    <cellStyle name="_Row1_Data file 2111 1836 8" xfId="1307" xr:uid="{00000000-0005-0000-0000-000098020000}"/>
    <cellStyle name="_Row1_Data file 2111 1836 9" xfId="71" xr:uid="{00000000-0005-0000-0000-000099020000}"/>
    <cellStyle name="_Row1_dati di sms" xfId="1310" xr:uid="{00000000-0005-0000-0000-00009A020000}"/>
    <cellStyle name="_Row1_dati di sms_PI Industries- Aug 22" xfId="1312" xr:uid="{00000000-0005-0000-0000-00009B020000}"/>
    <cellStyle name="_Row1_football field" xfId="1315" xr:uid="{00000000-0005-0000-0000-00009C020000}"/>
    <cellStyle name="_Row1_football field 10" xfId="1318" xr:uid="{00000000-0005-0000-0000-00009D020000}"/>
    <cellStyle name="_Row1_football field 11" xfId="1320" xr:uid="{00000000-0005-0000-0000-00009E020000}"/>
    <cellStyle name="_Row1_football field 12" xfId="1322" xr:uid="{00000000-0005-0000-0000-00009F020000}"/>
    <cellStyle name="_Row1_football field 13" xfId="875" xr:uid="{00000000-0005-0000-0000-0000A0020000}"/>
    <cellStyle name="_Row1_football field 2" xfId="1324" xr:uid="{00000000-0005-0000-0000-0000A1020000}"/>
    <cellStyle name="_Row1_football field 3" xfId="1328" xr:uid="{00000000-0005-0000-0000-0000A2020000}"/>
    <cellStyle name="_Row1_football field 4" xfId="526" xr:uid="{00000000-0005-0000-0000-0000A3020000}"/>
    <cellStyle name="_Row1_football field 5" xfId="1331" xr:uid="{00000000-0005-0000-0000-0000A4020000}"/>
    <cellStyle name="_Row1_football field 6" xfId="1334" xr:uid="{00000000-0005-0000-0000-0000A5020000}"/>
    <cellStyle name="_Row1_football field 7" xfId="1336" xr:uid="{00000000-0005-0000-0000-0000A6020000}"/>
    <cellStyle name="_Row1_football field 8" xfId="1338" xr:uid="{00000000-0005-0000-0000-0000A7020000}"/>
    <cellStyle name="_Row1_football field 9" xfId="1340" xr:uid="{00000000-0005-0000-0000-0000A8020000}"/>
    <cellStyle name="_Row1_football field_Castle 010510 1121" xfId="1342" xr:uid="{00000000-0005-0000-0000-0000A9020000}"/>
    <cellStyle name="_Row1_football field_Castle 010510 1121 10" xfId="1343" xr:uid="{00000000-0005-0000-0000-0000AA020000}"/>
    <cellStyle name="_Row1_football field_Castle 010510 1121 11" xfId="1344" xr:uid="{00000000-0005-0000-0000-0000AB020000}"/>
    <cellStyle name="_Row1_football field_Castle 010510 1121 12" xfId="1345" xr:uid="{00000000-0005-0000-0000-0000AC020000}"/>
    <cellStyle name="_Row1_football field_Castle 010510 1121 13" xfId="1347" xr:uid="{00000000-0005-0000-0000-0000AD020000}"/>
    <cellStyle name="_Row1_football field_Castle 010510 1121 2" xfId="1348" xr:uid="{00000000-0005-0000-0000-0000AE020000}"/>
    <cellStyle name="_Row1_football field_Castle 010510 1121 3" xfId="1350" xr:uid="{00000000-0005-0000-0000-0000AF020000}"/>
    <cellStyle name="_Row1_football field_Castle 010510 1121 4" xfId="1352" xr:uid="{00000000-0005-0000-0000-0000B0020000}"/>
    <cellStyle name="_Row1_football field_Castle 010510 1121 5" xfId="1356" xr:uid="{00000000-0005-0000-0000-0000B1020000}"/>
    <cellStyle name="_Row1_football field_Castle 010510 1121 6" xfId="1357" xr:uid="{00000000-0005-0000-0000-0000B2020000}"/>
    <cellStyle name="_Row1_football field_Castle 010510 1121 7" xfId="1358" xr:uid="{00000000-0005-0000-0000-0000B3020000}"/>
    <cellStyle name="_Row1_football field_Castle 010510 1121 8" xfId="1359" xr:uid="{00000000-0005-0000-0000-0000B4020000}"/>
    <cellStyle name="_Row1_football field_Castle 010510 1121 9" xfId="1162" xr:uid="{00000000-0005-0000-0000-0000B5020000}"/>
    <cellStyle name="_Row1_football field_Copy of ti comps 250510" xfId="637" xr:uid="{00000000-0005-0000-0000-0000B6020000}"/>
    <cellStyle name="_Row1_football field_Copy of ti comps 250510 10" xfId="1360" xr:uid="{00000000-0005-0000-0000-0000B7020000}"/>
    <cellStyle name="_Row1_football field_Copy of ti comps 250510 11" xfId="1361" xr:uid="{00000000-0005-0000-0000-0000B8020000}"/>
    <cellStyle name="_Row1_football field_Copy of ti comps 250510 12" xfId="1363" xr:uid="{00000000-0005-0000-0000-0000B9020000}"/>
    <cellStyle name="_Row1_football field_Copy of ti comps 250510 13" xfId="1364" xr:uid="{00000000-0005-0000-0000-0000BA020000}"/>
    <cellStyle name="_Row1_football field_Copy of ti comps 250510 2" xfId="1365" xr:uid="{00000000-0005-0000-0000-0000BB020000}"/>
    <cellStyle name="_Row1_football field_Copy of ti comps 250510 3" xfId="407" xr:uid="{00000000-0005-0000-0000-0000BC020000}"/>
    <cellStyle name="_Row1_football field_Copy of ti comps 250510 4" xfId="250" xr:uid="{00000000-0005-0000-0000-0000BD020000}"/>
    <cellStyle name="_Row1_football field_Copy of ti comps 250510 5" xfId="1366" xr:uid="{00000000-0005-0000-0000-0000BE020000}"/>
    <cellStyle name="_Row1_football field_Copy of ti comps 250510 6" xfId="1367" xr:uid="{00000000-0005-0000-0000-0000BF020000}"/>
    <cellStyle name="_Row1_football field_Copy of ti comps 250510 7" xfId="1368" xr:uid="{00000000-0005-0000-0000-0000C0020000}"/>
    <cellStyle name="_Row1_football field_Copy of ti comps 250510 8" xfId="1369" xr:uid="{00000000-0005-0000-0000-0000C1020000}"/>
    <cellStyle name="_Row1_football field_Copy of ti comps 250510 9" xfId="405" xr:uid="{00000000-0005-0000-0000-0000C2020000}"/>
    <cellStyle name="_Row1_football field_SCPE - SGJ 011209 1129 - for IC Call" xfId="1370" xr:uid="{00000000-0005-0000-0000-0000C3020000}"/>
    <cellStyle name="_Row1_football field_SCPE - SGJ 011209 1129 - for IC Call 10" xfId="1376" xr:uid="{00000000-0005-0000-0000-0000C4020000}"/>
    <cellStyle name="_Row1_football field_SCPE - SGJ 011209 1129 - for IC Call 11" xfId="1377" xr:uid="{00000000-0005-0000-0000-0000C5020000}"/>
    <cellStyle name="_Row1_football field_SCPE - SGJ 011209 1129 - for IC Call 12" xfId="1378" xr:uid="{00000000-0005-0000-0000-0000C6020000}"/>
    <cellStyle name="_Row1_football field_SCPE - SGJ 011209 1129 - for IC Call 13" xfId="1379" xr:uid="{00000000-0005-0000-0000-0000C7020000}"/>
    <cellStyle name="_Row1_football field_SCPE - SGJ 011209 1129 - for IC Call 2" xfId="1380" xr:uid="{00000000-0005-0000-0000-0000C8020000}"/>
    <cellStyle name="_Row1_football field_SCPE - SGJ 011209 1129 - for IC Call 3" xfId="781" xr:uid="{00000000-0005-0000-0000-0000C9020000}"/>
    <cellStyle name="_Row1_football field_SCPE - SGJ 011209 1129 - for IC Call 4" xfId="1382" xr:uid="{00000000-0005-0000-0000-0000CA020000}"/>
    <cellStyle name="_Row1_football field_SCPE - SGJ 011209 1129 - for IC Call 5" xfId="1384" xr:uid="{00000000-0005-0000-0000-0000CB020000}"/>
    <cellStyle name="_Row1_football field_SCPE - SGJ 011209 1129 - for IC Call 6" xfId="1386" xr:uid="{00000000-0005-0000-0000-0000CC020000}"/>
    <cellStyle name="_Row1_football field_SCPE - SGJ 011209 1129 - for IC Call 7" xfId="1387" xr:uid="{00000000-0005-0000-0000-0000CD020000}"/>
    <cellStyle name="_Row1_football field_SCPE - SGJ 011209 1129 - for IC Call 8" xfId="623" xr:uid="{00000000-0005-0000-0000-0000CE020000}"/>
    <cellStyle name="_Row1_football field_SCPE - SGJ 011209 1129 - for IC Call 9" xfId="1389" xr:uid="{00000000-0005-0000-0000-0000CF020000}"/>
    <cellStyle name="_Row1_SCPE - SGJ 011209 1129 - for IC Call" xfId="758" xr:uid="{00000000-0005-0000-0000-0000D0020000}"/>
    <cellStyle name="_Row1_SCPE - SGJ 011209 1129 - for IC Call 10" xfId="1008" xr:uid="{00000000-0005-0000-0000-0000D1020000}"/>
    <cellStyle name="_Row1_SCPE - SGJ 011209 1129 - for IC Call 11" xfId="1390" xr:uid="{00000000-0005-0000-0000-0000D2020000}"/>
    <cellStyle name="_Row1_SCPE - SGJ 011209 1129 - for IC Call 12" xfId="1393" xr:uid="{00000000-0005-0000-0000-0000D3020000}"/>
    <cellStyle name="_Row1_SCPE - SGJ 011209 1129 - for IC Call 13" xfId="1396" xr:uid="{00000000-0005-0000-0000-0000D4020000}"/>
    <cellStyle name="_Row1_SCPE - SGJ 011209 1129 - for IC Call 2" xfId="1397" xr:uid="{00000000-0005-0000-0000-0000D5020000}"/>
    <cellStyle name="_Row1_SCPE - SGJ 011209 1129 - for IC Call 3" xfId="1399" xr:uid="{00000000-0005-0000-0000-0000D6020000}"/>
    <cellStyle name="_Row1_SCPE - SGJ 011209 1129 - for IC Call 4" xfId="1400" xr:uid="{00000000-0005-0000-0000-0000D7020000}"/>
    <cellStyle name="_Row1_SCPE - SGJ 011209 1129 - for IC Call 5" xfId="1401" xr:uid="{00000000-0005-0000-0000-0000D8020000}"/>
    <cellStyle name="_Row1_SCPE - SGJ 011209 1129 - for IC Call 6" xfId="1402" xr:uid="{00000000-0005-0000-0000-0000D9020000}"/>
    <cellStyle name="_Row1_SCPE - SGJ 011209 1129 - for IC Call 7" xfId="1403" xr:uid="{00000000-0005-0000-0000-0000DA020000}"/>
    <cellStyle name="_Row1_SCPE - SGJ 011209 1129 - for IC Call 8" xfId="1404" xr:uid="{00000000-0005-0000-0000-0000DB020000}"/>
    <cellStyle name="_Row1_SCPE - SGJ 011209 1129 - for IC Call 9" xfId="360" xr:uid="{00000000-0005-0000-0000-0000DC020000}"/>
    <cellStyle name="_Row2" xfId="1405" xr:uid="{00000000-0005-0000-0000-0000DD020000}"/>
    <cellStyle name="_Row3" xfId="1406" xr:uid="{00000000-0005-0000-0000-0000DE020000}"/>
    <cellStyle name="_Row4" xfId="1408" xr:uid="{00000000-0005-0000-0000-0000DF020000}"/>
    <cellStyle name="_Row5" xfId="1410" xr:uid="{00000000-0005-0000-0000-0000E0020000}"/>
    <cellStyle name="_Row6" xfId="517" xr:uid="{00000000-0005-0000-0000-0000E1020000}"/>
    <cellStyle name="_Row7" xfId="1412" xr:uid="{00000000-0005-0000-0000-0000E2020000}"/>
    <cellStyle name="_sayaji_proj1" xfId="1413" xr:uid="{00000000-0005-0000-0000-0000E3020000}"/>
    <cellStyle name="_sayaji_project" xfId="1415" xr:uid="{00000000-0005-0000-0000-0000E4020000}"/>
    <cellStyle name="_sept07 rohan" xfId="1416" xr:uid="{00000000-0005-0000-0000-0000E5020000}"/>
    <cellStyle name="_Shangrila Model Draft 31Nov07(w Coal)" xfId="1417" xr:uid="{00000000-0005-0000-0000-0000E6020000}"/>
    <cellStyle name="_Shangrila Phase II model" xfId="1418" xr:uid="{00000000-0005-0000-0000-0000E7020000}"/>
    <cellStyle name="_Shangrila Phase II Model (NewCo) 20Feb08v2" xfId="1419" xr:uid="{00000000-0005-0000-0000-0000E8020000}"/>
    <cellStyle name="_Shangrila Phase II Model (NewCo)22Feb08v7" xfId="1420" xr:uid="{00000000-0005-0000-0000-0000E9020000}"/>
    <cellStyle name="_Shangrila Phase II Model (NewCo)23Feb08v2" xfId="109" xr:uid="{00000000-0005-0000-0000-0000EA020000}"/>
    <cellStyle name="_Shangrila Phase II Model (NewCo)23Feb08v3" xfId="125" xr:uid="{00000000-0005-0000-0000-0000EB020000}"/>
    <cellStyle name="_Shangrila Phase II Model (NewCo)23Feb08v4" xfId="67" xr:uid="{00000000-0005-0000-0000-0000EC020000}"/>
    <cellStyle name="_Shangrila Phase II Model 10Feb08" xfId="1422" xr:uid="{00000000-0005-0000-0000-0000ED020000}"/>
    <cellStyle name="_Shangrila Phase II Model 11Feb08" xfId="1423" xr:uid="{00000000-0005-0000-0000-0000EE020000}"/>
    <cellStyle name="_Shangrila Phase II model 15Jan08 Draft" xfId="1424" xr:uid="{00000000-0005-0000-0000-0000EF020000}"/>
    <cellStyle name="_Shangrila Phase II Model 16Feb08v2" xfId="1427" xr:uid="{00000000-0005-0000-0000-0000F0020000}"/>
    <cellStyle name="_Shangrila Phase II Model 18Feb08" xfId="1062" xr:uid="{00000000-0005-0000-0000-0000F1020000}"/>
    <cellStyle name="_Shangrila Phase II Model 18Feb08v4" xfId="1429" xr:uid="{00000000-0005-0000-0000-0000F2020000}"/>
    <cellStyle name="_Shangrila Phase II Model 18Feb08v5" xfId="1431" xr:uid="{00000000-0005-0000-0000-0000F3020000}"/>
    <cellStyle name="_Shangrila Phase II model 23Jan08 Draft" xfId="255" xr:uid="{00000000-0005-0000-0000-0000F4020000}"/>
    <cellStyle name="_Shangrila Phase II model 29Jan08 Draft" xfId="1433" xr:uid="{00000000-0005-0000-0000-0000F5020000}"/>
    <cellStyle name="_Shangrila Phase II model 30Jan08 Draft" xfId="1434" xr:uid="{00000000-0005-0000-0000-0000F6020000}"/>
    <cellStyle name="_Shangrila Phase II model 31Jan08 Draft" xfId="1435" xr:uid="{00000000-0005-0000-0000-0000F7020000}"/>
    <cellStyle name="_Shangrila Phase II model Bank Case (FINAL)" xfId="1436" xr:uid="{00000000-0005-0000-0000-0000F8020000}"/>
    <cellStyle name="_Shangrila Phase II model Bank Case (FINAL)v2" xfId="807" xr:uid="{00000000-0005-0000-0000-0000F9020000}"/>
    <cellStyle name="_Shangrila Phase II model Bank Case 20Feb08" xfId="1437" xr:uid="{00000000-0005-0000-0000-0000FA020000}"/>
    <cellStyle name="_Shangrila Phase II model Bank Case 21Feb08" xfId="1439" xr:uid="{00000000-0005-0000-0000-0000FB020000}"/>
    <cellStyle name="_Shangrila Phase II model Bank Case 21Feb08 (Given to MLAs)" xfId="1440" xr:uid="{00000000-0005-0000-0000-0000FC020000}"/>
    <cellStyle name="_Shangrila Phase II model Bank Case 22Feb08" xfId="1442" xr:uid="{00000000-0005-0000-0000-0000FD020000}"/>
    <cellStyle name="_Shangrila Phase II model Bank Case YBbogus" xfId="385" xr:uid="{00000000-0005-0000-0000-0000FE020000}"/>
    <cellStyle name="_Sheet1" xfId="1443" xr:uid="{00000000-0005-0000-0000-0000FF020000}"/>
    <cellStyle name="_Sheet1_Corp model 20080402 (2007 actual first-cut) 2008-04-11a" xfId="1445" xr:uid="{00000000-0005-0000-0000-000000030000}"/>
    <cellStyle name="_Sheet1_huide_all_coporate_ver_1" xfId="1447" xr:uid="{00000000-0005-0000-0000-000001030000}"/>
    <cellStyle name="_Sheet1_huide_all_coporate_ver_1_Corp model 20080402 (2007 actual first-cut) 2008-04-11a" xfId="1450" xr:uid="{00000000-0005-0000-0000-000002030000}"/>
    <cellStyle name="_Sheet1_IM Huide (R)_phase_2" xfId="1453" xr:uid="{00000000-0005-0000-0000-000003030000}"/>
    <cellStyle name="_Sheet1_IM Huide (R)_phase_2_corporatemd" xfId="1454" xr:uid="{00000000-0005-0000-0000-000004030000}"/>
    <cellStyle name="_Sheet1_IM Huide (R)_phase_3" xfId="783" xr:uid="{00000000-0005-0000-0000-000005030000}"/>
    <cellStyle name="_Sheet1_IM Huide (R)_phase_4" xfId="54" xr:uid="{00000000-0005-0000-0000-000006030000}"/>
    <cellStyle name="_Sheet1_IM Huide (R)_phase_5" xfId="1456" xr:uid="{00000000-0005-0000-0000-000007030000}"/>
    <cellStyle name="_Sheet1_Sensitivities" xfId="1458" xr:uid="{00000000-0005-0000-0000-000008030000}"/>
    <cellStyle name="_Sheet1_Sensitivities_Corp model 20080402 (2007 actual first-cut) 2008-04-11a" xfId="1459" xr:uid="{00000000-0005-0000-0000-000009030000}"/>
    <cellStyle name="_Sheet1_Sensitivities_IM Huide" xfId="1461" xr:uid="{00000000-0005-0000-0000-00000A030000}"/>
    <cellStyle name="_Sheet1_Sensitivities_IM Huide_Corp model 20080402 (2007 actual first-cut) 2008-04-11a" xfId="1462" xr:uid="{00000000-0005-0000-0000-00000B030000}"/>
    <cellStyle name="_Sheet1_Sheet1" xfId="315" xr:uid="{00000000-0005-0000-0000-00000C030000}"/>
    <cellStyle name="_Sheet1_Sheet1_Corp model 20080402 (2007 actual first-cut) 2008-04-11a" xfId="445" xr:uid="{00000000-0005-0000-0000-00000D030000}"/>
    <cellStyle name="_Sheet1_Sheet1_IM Huide" xfId="1464" xr:uid="{00000000-0005-0000-0000-00000E030000}"/>
    <cellStyle name="_Sheet1_Sheet1_IM Huide_Corp model 20080402 (2007 actual first-cut) 2008-04-11a" xfId="1466" xr:uid="{00000000-0005-0000-0000-00000F030000}"/>
    <cellStyle name="_Shouyang V1.26 (Maria)" xfId="499" xr:uid="{00000000-0005-0000-0000-000010030000}"/>
    <cellStyle name="_Shouyang V1.26 (Maria)_Corp model 20080402 (2007 actual first-cut) 2008-04-11a" xfId="1469" xr:uid="{00000000-0005-0000-0000-000011030000}"/>
    <cellStyle name="_Shouyang V1.26 (Maria)_huide_all_coporate_ver_1" xfId="1263" xr:uid="{00000000-0005-0000-0000-000012030000}"/>
    <cellStyle name="_Shouyang V1.26 (Maria)_IM Huide (R)_phase_2" xfId="1146" xr:uid="{00000000-0005-0000-0000-000013030000}"/>
    <cellStyle name="_Shouyang V1.26 (Maria)_IM Huide (R)_phase_2_corporatemd" xfId="1472" xr:uid="{00000000-0005-0000-0000-000014030000}"/>
    <cellStyle name="_Shouyang V1.26 (Maria)_IM Huide (R)_phase_3" xfId="1475" xr:uid="{00000000-0005-0000-0000-000015030000}"/>
    <cellStyle name="_Shouyang V1.26 (Maria)_IM Huide (R)_phase_4" xfId="1476" xr:uid="{00000000-0005-0000-0000-000016030000}"/>
    <cellStyle name="_Shouyang V1.26 (Maria)_IM Huide (R)_phase_5" xfId="1478" xr:uid="{00000000-0005-0000-0000-000017030000}"/>
    <cellStyle name="_SubHeading" xfId="1481" xr:uid="{00000000-0005-0000-0000-000018030000}"/>
    <cellStyle name="_Table" xfId="1483" xr:uid="{00000000-0005-0000-0000-000019030000}"/>
    <cellStyle name="_TableHead" xfId="1484" xr:uid="{00000000-0005-0000-0000-00001A030000}"/>
    <cellStyle name="_TableRowHead" xfId="503" xr:uid="{00000000-0005-0000-0000-00001B030000}"/>
    <cellStyle name="_TableSuperHead" xfId="1485" xr:uid="{00000000-0005-0000-0000-00001C030000}"/>
    <cellStyle name="_TableSuperHead_18_DCF Standard Model with Calc page" xfId="1486" xr:uid="{00000000-0005-0000-0000-00001D030000}"/>
    <cellStyle name="_TPGS Standalone" xfId="1487" xr:uid="{00000000-0005-0000-0000-00001E030000}"/>
    <cellStyle name="_UBS I&amp;U Index_Bloomberg Codes" xfId="261" xr:uid="{00000000-0005-0000-0000-00001F030000}"/>
    <cellStyle name="_Worksheet in 35641" xfId="940" xr:uid="{00000000-0005-0000-0000-000020030000}"/>
    <cellStyle name="_Worksheet in 35641.6 Depreciation Reco" xfId="893" xr:uid="{00000000-0005-0000-0000-000021030000}"/>
    <cellStyle name="_Worksheet in 35641.6 Depreciation Reco_2231.2 Financials (In Mn)" xfId="1200" xr:uid="{00000000-0005-0000-0000-000022030000}"/>
    <cellStyle name="_Worksheet in 35641.6 Depreciation Reco_2231.2 Financials (In Mn)_Budget - Sch VI" xfId="1488" xr:uid="{00000000-0005-0000-0000-000023030000}"/>
    <cellStyle name="_Worksheet in 35641.6 Depreciation Reco_2231.2 Financials (In Mn)_Plan 2011-12 ITNL" xfId="1492" xr:uid="{00000000-0005-0000-0000-000024030000}"/>
    <cellStyle name="_Worksheet in 35641.6 Depreciation Reco_2231.2 Financials (In Mn)_SG&amp;A(R)" xfId="754" xr:uid="{00000000-0005-0000-0000-000025030000}"/>
    <cellStyle name="_Worksheet in 35641.6 Depreciation Reco_2231.2 Financials (In Mn)_SG&amp;A(R)-old" xfId="1495" xr:uid="{00000000-0005-0000-0000-000026030000}"/>
    <cellStyle name="_Worksheet in 35641.6 Depreciation Reco_2231.2 Financials (In Mn)_Soft Close December 10 StandAlone Vaibhav" xfId="426" xr:uid="{00000000-0005-0000-0000-000027030000}"/>
    <cellStyle name="_Worksheet in 35641.6 Depreciation Reco_2231.2 Financials (In Mn)_Soft Close November 10 StandAlone Vaibhav" xfId="1498" xr:uid="{00000000-0005-0000-0000-000028030000}"/>
    <cellStyle name="_Worksheet in 35641.6 Depreciation Reco_2231.2 Financials (In Mn)_Soft Close October '10 SPV1" xfId="1499" xr:uid="{00000000-0005-0000-0000-000029030000}"/>
    <cellStyle name="_Worksheet in 35641.6 Depreciation Reco_2231.2 Financials (In Mn)_Soft Close October '10 SPV1_Soft Close December 10 StandAlone Vaibhav" xfId="326" xr:uid="{00000000-0005-0000-0000-00002A030000}"/>
    <cellStyle name="_Worksheet in 35641.6 Depreciation Reco_2231.2 Financials (In Mn)_Startegic Plan Consolidated" xfId="818" xr:uid="{00000000-0005-0000-0000-00002B030000}"/>
    <cellStyle name="_Worksheet in 35641.6 Depreciation Reco_2231.2 Financials (In Mn)_Sub debts &amp; STL" xfId="1500" xr:uid="{00000000-0005-0000-0000-00002C030000}"/>
    <cellStyle name="_Worksheet in 35641.6 Depreciation Reco_2233 Financials" xfId="1501" xr:uid="{00000000-0005-0000-0000-00002D030000}"/>
    <cellStyle name="_Worksheet in 35641.6 Depreciation Reco_2233 Financials_Admin Expenses" xfId="1502" xr:uid="{00000000-0005-0000-0000-00002E030000}"/>
    <cellStyle name="_Worksheet in 35641.6 Depreciation Reco_2233 Financials_Plan 2011-12 ITNL" xfId="1206" xr:uid="{00000000-0005-0000-0000-00002F030000}"/>
    <cellStyle name="_Worksheet in 35641.6 Depreciation Reco_2233 Financials_SG&amp;A(R)-old" xfId="1504" xr:uid="{00000000-0005-0000-0000-000030030000}"/>
    <cellStyle name="_Worksheet in 35641.6 Depreciation Reco_2233 Financials_Soft Close December 10 StandAlone Vaibhav" xfId="1506" xr:uid="{00000000-0005-0000-0000-000031030000}"/>
    <cellStyle name="_Worksheet in 35641.6 Depreciation Reco_2233 Financials_Soft Close November 10 StandAlone Vaibhav" xfId="1507" xr:uid="{00000000-0005-0000-0000-000032030000}"/>
    <cellStyle name="_Worksheet in 35641.6 Depreciation Reco_2233 Financials_Soft Close October '10 SPV1" xfId="286" xr:uid="{00000000-0005-0000-0000-000033030000}"/>
    <cellStyle name="_Worksheet in 35641.6 Depreciation Reco_2233 Financials_Soft Close October '10 SPV1_Soft Close December 10 StandAlone Vaibhav" xfId="1509" xr:uid="{00000000-0005-0000-0000-000034030000}"/>
    <cellStyle name="_Worksheet in 35641.6 Depreciation Reco_2233 Financials_Startegic Plan Consolidated" xfId="46" xr:uid="{00000000-0005-0000-0000-000035030000}"/>
    <cellStyle name="_Worksheet in 35641.6 Depreciation Reco_2233 Financials_Sub debts &amp; STL" xfId="1513" xr:uid="{00000000-0005-0000-0000-000036030000}"/>
    <cellStyle name="_Worksheet in 35641.6 Depreciation Reco_2233 Financials_Tax Computation" xfId="1514" xr:uid="{00000000-0005-0000-0000-000037030000}"/>
    <cellStyle name="_Worksheet in 35641.6 Depreciation Reco_7300.2 All Tax Audit Annexures" xfId="1516" xr:uid="{00000000-0005-0000-0000-000038030000}"/>
    <cellStyle name="_Worksheet in 35641.6 Depreciation Reco_7300.2 All Tax Audit Annexures_Book1" xfId="1091" xr:uid="{00000000-0005-0000-0000-000039030000}"/>
    <cellStyle name="_Worksheet in 35641.6 Depreciation Reco_Admin Expenses" xfId="995" xr:uid="{00000000-0005-0000-0000-00003A030000}"/>
    <cellStyle name="_Worksheet in 35641.6 Depreciation Reco_Console Top Sheets (Mum-Jaipur)-Sept-09" xfId="1517" xr:uid="{00000000-0005-0000-0000-00003B030000}"/>
    <cellStyle name="_Worksheet in 35641.6 Depreciation Reco_Console Top Sheets (Mum-Jaipur)-Sept-09_Book1" xfId="228" xr:uid="{00000000-0005-0000-0000-00003C030000}"/>
    <cellStyle name="_Worksheet in 35641.6 Depreciation Reco_FA - Register-(Sept-09)" xfId="1518" xr:uid="{00000000-0005-0000-0000-00003D030000}"/>
    <cellStyle name="_Worksheet in 35641.6 Depreciation Reco_FA - Register-(Sept-09)_Book1" xfId="1519" xr:uid="{00000000-0005-0000-0000-00003E030000}"/>
    <cellStyle name="_Worksheet in 35641.6 Depreciation Reco_Plan 2011-12 ITNL" xfId="1520" xr:uid="{00000000-0005-0000-0000-00003F030000}"/>
    <cellStyle name="_Worksheet in 35641.6 Depreciation Reco_revenue summary budgeted" xfId="1521" xr:uid="{00000000-0005-0000-0000-000040030000}"/>
    <cellStyle name="_Worksheet in 35641.6 Depreciation Reco_revenue summary budgeted-r" xfId="763" xr:uid="{00000000-0005-0000-0000-000041030000}"/>
    <cellStyle name="_Worksheet in 35641.6 Depreciation Reco_SG&amp;A(R)-old" xfId="1522" xr:uid="{00000000-0005-0000-0000-000042030000}"/>
    <cellStyle name="_Worksheet in 35641.6 Depreciation Reco_Startegic Plan Consolidated" xfId="491" xr:uid="{00000000-0005-0000-0000-000043030000}"/>
    <cellStyle name="_Worksheet in 35641.6 Depreciation Reco_Sub debts &amp; STL" xfId="1527" xr:uid="{00000000-0005-0000-0000-000044030000}"/>
    <cellStyle name="_Worksheet in 35641.6 Depreciation Reco_Tax Computation" xfId="1528" xr:uid="{00000000-0005-0000-0000-000045030000}"/>
    <cellStyle name="_Worksheet in 35641_2231.2 Financials (In Mn)" xfId="1530" xr:uid="{00000000-0005-0000-0000-000046030000}"/>
    <cellStyle name="_Worksheet in 35641_2231.2 Financials (In Mn)_Budget - Sch VI" xfId="1531" xr:uid="{00000000-0005-0000-0000-000047030000}"/>
    <cellStyle name="_Worksheet in 35641_2231.2 Financials (In Mn)_Plan 2011-12 ITNL" xfId="1533" xr:uid="{00000000-0005-0000-0000-000048030000}"/>
    <cellStyle name="_Worksheet in 35641_2231.2 Financials (In Mn)_SG&amp;A(R)" xfId="1535" xr:uid="{00000000-0005-0000-0000-000049030000}"/>
    <cellStyle name="_Worksheet in 35641_2231.2 Financials (In Mn)_SG&amp;A(R)-old" xfId="1180" xr:uid="{00000000-0005-0000-0000-00004A030000}"/>
    <cellStyle name="_Worksheet in 35641_2231.2 Financials (In Mn)_Soft Close December 10 StandAlone Vaibhav" xfId="1536" xr:uid="{00000000-0005-0000-0000-00004B030000}"/>
    <cellStyle name="_Worksheet in 35641_2231.2 Financials (In Mn)_Soft Close November 10 StandAlone Vaibhav" xfId="1538" xr:uid="{00000000-0005-0000-0000-00004C030000}"/>
    <cellStyle name="_Worksheet in 35641_2231.2 Financials (In Mn)_Soft Close October '10 SPV1" xfId="1541" xr:uid="{00000000-0005-0000-0000-00004D030000}"/>
    <cellStyle name="_Worksheet in 35641_2231.2 Financials (In Mn)_Soft Close October '10 SPV1_Soft Close December 10 StandAlone Vaibhav" xfId="1542" xr:uid="{00000000-0005-0000-0000-00004E030000}"/>
    <cellStyle name="_Worksheet in 35641_2231.2 Financials (In Mn)_Startegic Plan Consolidated" xfId="1544" xr:uid="{00000000-0005-0000-0000-00004F030000}"/>
    <cellStyle name="_Worksheet in 35641_2231.2 Financials (In Mn)_Sub debts &amp; STL" xfId="1545" xr:uid="{00000000-0005-0000-0000-000050030000}"/>
    <cellStyle name="_Worksheet in 35641_2233 Financials" xfId="364" xr:uid="{00000000-0005-0000-0000-000051030000}"/>
    <cellStyle name="_Worksheet in 35641_2233 Financials_Admin Expenses" xfId="1546" xr:uid="{00000000-0005-0000-0000-000052030000}"/>
    <cellStyle name="_Worksheet in 35641_2233 Financials_Plan 2011-12 ITNL" xfId="1550" xr:uid="{00000000-0005-0000-0000-000053030000}"/>
    <cellStyle name="_Worksheet in 35641_2233 Financials_SG&amp;A(R)-old" xfId="1551" xr:uid="{00000000-0005-0000-0000-000054030000}"/>
    <cellStyle name="_Worksheet in 35641_2233 Financials_Soft Close December 10 StandAlone Vaibhav" xfId="1555" xr:uid="{00000000-0005-0000-0000-000055030000}"/>
    <cellStyle name="_Worksheet in 35641_2233 Financials_Soft Close November 10 StandAlone Vaibhav" xfId="1556" xr:uid="{00000000-0005-0000-0000-000056030000}"/>
    <cellStyle name="_Worksheet in 35641_2233 Financials_Soft Close October '10 SPV1" xfId="1557" xr:uid="{00000000-0005-0000-0000-000057030000}"/>
    <cellStyle name="_Worksheet in 35641_2233 Financials_Soft Close October '10 SPV1_Soft Close December 10 StandAlone Vaibhav" xfId="1559" xr:uid="{00000000-0005-0000-0000-000058030000}"/>
    <cellStyle name="_Worksheet in 35641_2233 Financials_Startegic Plan Consolidated" xfId="1560" xr:uid="{00000000-0005-0000-0000-000059030000}"/>
    <cellStyle name="_Worksheet in 35641_2233 Financials_Sub debts &amp; STL" xfId="48" xr:uid="{00000000-0005-0000-0000-00005A030000}"/>
    <cellStyle name="_Worksheet in 35641_2233 Financials_Tax Computation" xfId="1562" xr:uid="{00000000-0005-0000-0000-00005B030000}"/>
    <cellStyle name="_Worksheet in 35641_7300.2 All Tax Audit Annexures" xfId="1052" xr:uid="{00000000-0005-0000-0000-00005C030000}"/>
    <cellStyle name="_Worksheet in 35641_7300.2 All Tax Audit Annexures_Book1" xfId="1563" xr:uid="{00000000-0005-0000-0000-00005D030000}"/>
    <cellStyle name="_Worksheet in 35641_Admin Expenses" xfId="1565" xr:uid="{00000000-0005-0000-0000-00005E030000}"/>
    <cellStyle name="_Worksheet in 35641_Console Top Sheets (Mum-Jaipur)-Sept-09" xfId="1567" xr:uid="{00000000-0005-0000-0000-00005F030000}"/>
    <cellStyle name="_Worksheet in 35641_Console Top Sheets (Mum-Jaipur)-Sept-09_Book1" xfId="1568" xr:uid="{00000000-0005-0000-0000-000060030000}"/>
    <cellStyle name="_Worksheet in 35641_FA - Register-(Sept-09)" xfId="439" xr:uid="{00000000-0005-0000-0000-000061030000}"/>
    <cellStyle name="_Worksheet in 35641_FA - Register-(Sept-09)_Book1" xfId="1569" xr:uid="{00000000-0005-0000-0000-000062030000}"/>
    <cellStyle name="_Worksheet in 35641_Plan 2011-12 ITNL" xfId="1570" xr:uid="{00000000-0005-0000-0000-000063030000}"/>
    <cellStyle name="_Worksheet in 35641_revenue summary budgeted" xfId="1571" xr:uid="{00000000-0005-0000-0000-000064030000}"/>
    <cellStyle name="_Worksheet in 35641_revenue summary budgeted-r" xfId="1092" xr:uid="{00000000-0005-0000-0000-000065030000}"/>
    <cellStyle name="_Worksheet in 35641_SG&amp;A(R)-old" xfId="836" xr:uid="{00000000-0005-0000-0000-000066030000}"/>
    <cellStyle name="_Worksheet in 35641_Startegic Plan Consolidated" xfId="1573" xr:uid="{00000000-0005-0000-0000-000067030000}"/>
    <cellStyle name="_Worksheet in 35641_Sub debts &amp; STL" xfId="1574" xr:uid="{00000000-0005-0000-0000-000068030000}"/>
    <cellStyle name="_Worksheet in 35641_Tax Computation" xfId="1575" xr:uid="{00000000-0005-0000-0000-000069030000}"/>
    <cellStyle name="_东渝车辆日常使用费计算依据1" xfId="1576" xr:uid="{00000000-0005-0000-0000-00006A030000}"/>
    <cellStyle name="_人员、办公经费" xfId="1579" xr:uid="{00000000-0005-0000-0000-00006B030000}"/>
    <cellStyle name="_唐红预算软件（集团本部唐）315" xfId="1580" xr:uid="{00000000-0005-0000-0000-00006C030000}"/>
    <cellStyle name="_建设分公司2010建设项目预算表资金计划第二稿(12.09)" xfId="1584" xr:uid="{00000000-0005-0000-0000-00006D030000}"/>
    <cellStyle name="_管理费用表格设计（建设 ）" xfId="1587" xr:uid="{00000000-0005-0000-0000-00006E030000}"/>
    <cellStyle name="_管理费用表格设计（营运）" xfId="1588" xr:uid="{00000000-0005-0000-0000-00006F030000}"/>
    <cellStyle name="_管理费用表格设计（集团本部）" xfId="1148" xr:uid="{00000000-0005-0000-0000-000070030000}"/>
    <cellStyle name="_路网中心预算报表工作底稿" xfId="1590" xr:uid="{00000000-0005-0000-0000-000071030000}"/>
    <cellStyle name="_重庆高速公路集团有限公司2010年预算报表" xfId="1053" xr:uid="{00000000-0005-0000-0000-000072030000}"/>
    <cellStyle name="_长期借款、财务费用、应付债券、实12.10" xfId="1594" xr:uid="{00000000-0005-0000-0000-000073030000}"/>
    <cellStyle name="_集团现有人员情况（预算）" xfId="1595" xr:uid="{00000000-0005-0000-0000-000074030000}"/>
    <cellStyle name="_集团预算及人员汇总表" xfId="1596" xr:uid="{00000000-0005-0000-0000-000075030000}"/>
    <cellStyle name="_预算软件（营运公司）" xfId="1597" xr:uid="{00000000-0005-0000-0000-000076030000}"/>
    <cellStyle name="{Comma [0]}" xfId="1598" xr:uid="{00000000-0005-0000-0000-000077030000}"/>
    <cellStyle name="{Comma}" xfId="1599" xr:uid="{00000000-0005-0000-0000-000078030000}"/>
    <cellStyle name="{Date}" xfId="1600" xr:uid="{00000000-0005-0000-0000-000079030000}"/>
    <cellStyle name="{Month}" xfId="38" xr:uid="{00000000-0005-0000-0000-00007A030000}"/>
    <cellStyle name="{Percent}" xfId="1601" xr:uid="{00000000-0005-0000-0000-00007B030000}"/>
    <cellStyle name="{Thousand [0]}" xfId="1602" xr:uid="{00000000-0005-0000-0000-00007C030000}"/>
    <cellStyle name="{Thousand}" xfId="1604" xr:uid="{00000000-0005-0000-0000-00007D030000}"/>
    <cellStyle name="{Z'0000(1 dec)}" xfId="1606" xr:uid="{00000000-0005-0000-0000-00007E030000}"/>
    <cellStyle name="{Z'0000(4 dec)}" xfId="1608" xr:uid="{00000000-0005-0000-0000-00007F030000}"/>
    <cellStyle name="¡§C???¡§¡§?`" xfId="1610" xr:uid="{00000000-0005-0000-0000-000080030000}"/>
    <cellStyle name="¨C?¡¯¨¨?`" xfId="1611" xr:uid="{00000000-0005-0000-0000-000081030000}"/>
    <cellStyle name="’Ê‰Ý [0.00]_GE 3 MINIMUM" xfId="1493" xr:uid="{00000000-0005-0000-0000-000082030000}"/>
    <cellStyle name="’Ê‰Ý_GE 3 MINIMUM" xfId="1613" xr:uid="{00000000-0005-0000-0000-000083030000}"/>
    <cellStyle name="–¢’è‹`" xfId="1617" xr:uid="{00000000-0005-0000-0000-000084030000}"/>
    <cellStyle name="£ BP" xfId="1618" xr:uid="{00000000-0005-0000-0000-000085030000}"/>
    <cellStyle name="£ BP 2" xfId="1621" xr:uid="{00000000-0005-0000-0000-000086030000}"/>
    <cellStyle name="£ BP 3" xfId="1623" xr:uid="{00000000-0005-0000-0000-000087030000}"/>
    <cellStyle name="£ BP 4" xfId="396" xr:uid="{00000000-0005-0000-0000-000088030000}"/>
    <cellStyle name="£ BP 5" xfId="1625" xr:uid="{00000000-0005-0000-0000-000089030000}"/>
    <cellStyle name="£ BP 6" xfId="1628" xr:uid="{00000000-0005-0000-0000-00008A030000}"/>
    <cellStyle name="¥ JY" xfId="1325" xr:uid="{00000000-0005-0000-0000-00008B030000}"/>
    <cellStyle name="¥ JY 2" xfId="1630" xr:uid="{00000000-0005-0000-0000-00008C030000}"/>
    <cellStyle name="¥ JY 3" xfId="1632" xr:uid="{00000000-0005-0000-0000-00008D030000}"/>
    <cellStyle name="¥ JY 4" xfId="1634" xr:uid="{00000000-0005-0000-0000-00008E030000}"/>
    <cellStyle name="¥ JY 5" xfId="1636" xr:uid="{00000000-0005-0000-0000-00008F030000}"/>
    <cellStyle name="¥ JY 6" xfId="1638" xr:uid="{00000000-0005-0000-0000-000090030000}"/>
    <cellStyle name="=C:\WINNT\SYSTEM32\COMMAND.COM" xfId="1640" xr:uid="{00000000-0005-0000-0000-000091030000}"/>
    <cellStyle name="=C:\WINNT35\SYSTEM32\COMMAND.COM" xfId="1642" xr:uid="{00000000-0005-0000-0000-000092030000}"/>
    <cellStyle name="=C:\WINNT35\SYSTEM32\COMMAND.COM 2" xfId="1646" xr:uid="{00000000-0005-0000-0000-000093030000}"/>
    <cellStyle name="=C:\WINNT35\SYSTEM32\COMMAND.COM 2 2" xfId="1651" xr:uid="{00000000-0005-0000-0000-000094030000}"/>
    <cellStyle name="=C:\WINNT35\SYSTEM32\COMMAND.COM 3" xfId="1652" xr:uid="{00000000-0005-0000-0000-000095030000}"/>
    <cellStyle name="=C:\WINNT35\SYSTEM32\COMMAND.COM 4" xfId="1656" xr:uid="{00000000-0005-0000-0000-000096030000}"/>
    <cellStyle name="=C:\WINNT35\SYSTEM32\COMMAND.COM?COMPUTERNAME=JOHANO?HOMEDRIVE=C:?H" xfId="1659" xr:uid="{00000000-0005-0000-0000-000097030000}"/>
    <cellStyle name="=C:\WINNT35\SYSTEM32\COMMAND.COM?COMPUTERNAME=JOHANO?HOMEDRIVE=C:?H 1" xfId="1662" xr:uid="{00000000-0005-0000-0000-000098030000}"/>
    <cellStyle name="=C:\WINNT35\SYSTEM32\COMMAND.COM?COMPUTERNAME=JOHANO?HOMEDRIVE=C:?H 2" xfId="1664" xr:uid="{00000000-0005-0000-0000-000099030000}"/>
    <cellStyle name="=C:\WINNT35\SYSTEM32\COMMAND.COM?COMPUTERNAME=JOHANO?HOMEDRIVE=C:?H_27TH JULY EDU" xfId="1666" xr:uid="{00000000-0005-0000-0000-00009A030000}"/>
    <cellStyle name="=C:\WINNT35\SYSTEM32\COMMAND.COM_27TH JULY EDU" xfId="1667" xr:uid="{00000000-0005-0000-0000-00009B030000}"/>
    <cellStyle name="§Q\?1@" xfId="1668" xr:uid="{00000000-0005-0000-0000-00009C030000}"/>
    <cellStyle name="µÚ¿¡ ¿À´Â ÇÏÀÌÆÛ¸µÅ©" xfId="1669" xr:uid="{00000000-0005-0000-0000-00009D030000}"/>
    <cellStyle name="•W€_Comparables" xfId="1671" xr:uid="{00000000-0005-0000-0000-00009E030000}"/>
    <cellStyle name="•W_GE 3 MINIMUM" xfId="917" xr:uid="{00000000-0005-0000-0000-00009F030000}"/>
    <cellStyle name="" xfId="1673" xr:uid="{00000000-0005-0000-0000-0000A0030000}"/>
    <cellStyle name="\¦ÏÝÌnCp[N" xfId="1674" xr:uid="{00000000-0005-0000-0000-0000A1030000}"/>
    <cellStyle name="nCp[N" xfId="1675" xr:uid="{00000000-0005-0000-0000-0000A2030000}"/>
    <cellStyle name="W_2001.3" xfId="1676" xr:uid="{00000000-0005-0000-0000-0000A3030000}"/>
    <cellStyle name="0" xfId="1679" xr:uid="{00000000-0005-0000-0000-0000A4030000}"/>
    <cellStyle name="0 2" xfId="1680" xr:uid="{00000000-0005-0000-0000-0000A5030000}"/>
    <cellStyle name="0%" xfId="1681" xr:uid="{00000000-0005-0000-0000-0000A6030000}"/>
    <cellStyle name="0% 2" xfId="1683" xr:uid="{00000000-0005-0000-0000-0000A7030000}"/>
    <cellStyle name="0% 3" xfId="1684" xr:uid="{00000000-0005-0000-0000-0000A8030000}"/>
    <cellStyle name="0% 4" xfId="1685" xr:uid="{00000000-0005-0000-0000-0000A9030000}"/>
    <cellStyle name="0% 5" xfId="1687" xr:uid="{00000000-0005-0000-0000-0000AA030000}"/>
    <cellStyle name="0% 6" xfId="1688" xr:uid="{00000000-0005-0000-0000-0000AB030000}"/>
    <cellStyle name="0% 7" xfId="1689" xr:uid="{00000000-0005-0000-0000-0000AC030000}"/>
    <cellStyle name="0% 8" xfId="1690" xr:uid="{00000000-0005-0000-0000-0000AD030000}"/>
    <cellStyle name="0%_PI-international comps" xfId="1691" xr:uid="{00000000-0005-0000-0000-0000AE030000}"/>
    <cellStyle name="0,0_x000d__x000a_NA_x000d__x000a_" xfId="1692" xr:uid="{00000000-0005-0000-0000-0000AF030000}"/>
    <cellStyle name="0,0_x000d__x000a_NA_x000d__x000a_ 2" xfId="1693" xr:uid="{00000000-0005-0000-0000-0000B0030000}"/>
    <cellStyle name="0,0_x000d__x000a_NA_x000d__x000a_ 3" xfId="511" xr:uid="{00000000-0005-0000-0000-0000B1030000}"/>
    <cellStyle name="0.0" xfId="1695" xr:uid="{00000000-0005-0000-0000-0000B2030000}"/>
    <cellStyle name="0.0 2" xfId="432" xr:uid="{00000000-0005-0000-0000-0000B3030000}"/>
    <cellStyle name="0.0%" xfId="1697" xr:uid="{00000000-0005-0000-0000-0000B4030000}"/>
    <cellStyle name="0.0% 2" xfId="1700" xr:uid="{00000000-0005-0000-0000-0000B5030000}"/>
    <cellStyle name="0.0_Diageo FRS 17 and Capacity" xfId="1702" xr:uid="{00000000-0005-0000-0000-0000B6030000}"/>
    <cellStyle name="0.00" xfId="1704" xr:uid="{00000000-0005-0000-0000-0000B7030000}"/>
    <cellStyle name="0.00 2" xfId="1705" xr:uid="{00000000-0005-0000-0000-0000B8030000}"/>
    <cellStyle name="0.00%" xfId="1707" xr:uid="{00000000-0005-0000-0000-0000B9030000}"/>
    <cellStyle name="0.00% 2" xfId="1709" xr:uid="{00000000-0005-0000-0000-0000BA030000}"/>
    <cellStyle name="03_Table Notes" xfId="1710" xr:uid="{00000000-0005-0000-0000-0000BB030000}"/>
    <cellStyle name="04_Table text" xfId="1144" xr:uid="{00000000-0005-0000-0000-0000BC030000}"/>
    <cellStyle name="0IsBlank" xfId="1411" xr:uid="{00000000-0005-0000-0000-0000BD030000}"/>
    <cellStyle name="1,comma" xfId="1010" xr:uid="{00000000-0005-0000-0000-0000BE030000}"/>
    <cellStyle name="1,comma 2" xfId="1711" xr:uid="{00000000-0005-0000-0000-0000BF030000}"/>
    <cellStyle name="1,comma 3" xfId="1712" xr:uid="{00000000-0005-0000-0000-0000C0030000}"/>
    <cellStyle name="1,comma 4" xfId="1713" xr:uid="{00000000-0005-0000-0000-0000C1030000}"/>
    <cellStyle name="1,comma 5" xfId="1714" xr:uid="{00000000-0005-0000-0000-0000C2030000}"/>
    <cellStyle name="1,comma 6" xfId="1715" xr:uid="{00000000-0005-0000-0000-0000C3030000}"/>
    <cellStyle name="1,comma 7" xfId="333" xr:uid="{00000000-0005-0000-0000-0000C4030000}"/>
    <cellStyle name="1,comma 8" xfId="1716" xr:uid="{00000000-0005-0000-0000-0000C5030000}"/>
    <cellStyle name="1,comma_PI-international comps" xfId="1717" xr:uid="{00000000-0005-0000-0000-0000C6030000}"/>
    <cellStyle name="10Q" xfId="1719" xr:uid="{00000000-0005-0000-0000-0000C7030000}"/>
    <cellStyle name="10Q 2" xfId="1720" xr:uid="{00000000-0005-0000-0000-0000C8030000}"/>
    <cellStyle name="10Q 2 2" xfId="1725" xr:uid="{00000000-0005-0000-0000-0000C9030000}"/>
    <cellStyle name="10Q 3" xfId="1311" xr:uid="{00000000-0005-0000-0000-0000CA030000}"/>
    <cellStyle name="10Q 4" xfId="1727" xr:uid="{00000000-0005-0000-0000-0000CB030000}"/>
    <cellStyle name="¹éºÐÀ²_±âÅ¸" xfId="542" xr:uid="{00000000-0005-0000-0000-0000CC030000}"/>
    <cellStyle name="20% - Accent1 10" xfId="1729" xr:uid="{00000000-0005-0000-0000-0000CD030000}"/>
    <cellStyle name="20% - Accent1 2" xfId="1731" xr:uid="{00000000-0005-0000-0000-0000CE030000}"/>
    <cellStyle name="20% - Accent1 2 2" xfId="1734" xr:uid="{00000000-0005-0000-0000-0000CF030000}"/>
    <cellStyle name="20% - Accent1 2_PDF" xfId="1737" xr:uid="{00000000-0005-0000-0000-0000D0030000}"/>
    <cellStyle name="20% - Accent1 3" xfId="1740" xr:uid="{00000000-0005-0000-0000-0000D1030000}"/>
    <cellStyle name="20% - Accent1 4" xfId="1741" xr:uid="{00000000-0005-0000-0000-0000D2030000}"/>
    <cellStyle name="20% - Accent1 5" xfId="1743" xr:uid="{00000000-0005-0000-0000-0000D3030000}"/>
    <cellStyle name="20% - Accent1 6" xfId="1744" xr:uid="{00000000-0005-0000-0000-0000D4030000}"/>
    <cellStyle name="20% - Accent1 7" xfId="1745" xr:uid="{00000000-0005-0000-0000-0000D5030000}"/>
    <cellStyle name="20% - Accent1 8" xfId="1746" xr:uid="{00000000-0005-0000-0000-0000D6030000}"/>
    <cellStyle name="20% - Accent1 9" xfId="1747" xr:uid="{00000000-0005-0000-0000-0000D7030000}"/>
    <cellStyle name="20% - Accent2 10" xfId="1748" xr:uid="{00000000-0005-0000-0000-0000D8030000}"/>
    <cellStyle name="20% - Accent2 2" xfId="1750" xr:uid="{00000000-0005-0000-0000-0000D9030000}"/>
    <cellStyle name="20% - Accent2 2 2" xfId="1479" xr:uid="{00000000-0005-0000-0000-0000DA030000}"/>
    <cellStyle name="20% - Accent2 2_PDF" xfId="1751" xr:uid="{00000000-0005-0000-0000-0000DB030000}"/>
    <cellStyle name="20% - Accent2 3" xfId="1753" xr:uid="{00000000-0005-0000-0000-0000DC030000}"/>
    <cellStyle name="20% - Accent2 4" xfId="1754" xr:uid="{00000000-0005-0000-0000-0000DD030000}"/>
    <cellStyle name="20% - Accent2 5" xfId="942" xr:uid="{00000000-0005-0000-0000-0000DE030000}"/>
    <cellStyle name="20% - Accent2 6" xfId="1755" xr:uid="{00000000-0005-0000-0000-0000DF030000}"/>
    <cellStyle name="20% - Accent2 7" xfId="1663" xr:uid="{00000000-0005-0000-0000-0000E0030000}"/>
    <cellStyle name="20% - Accent2 8" xfId="1665" xr:uid="{00000000-0005-0000-0000-0000E1030000}"/>
    <cellStyle name="20% - Accent2 9" xfId="1757" xr:uid="{00000000-0005-0000-0000-0000E2030000}"/>
    <cellStyle name="20% - Accent3 10" xfId="1758" xr:uid="{00000000-0005-0000-0000-0000E3030000}"/>
    <cellStyle name="20% - Accent3 2" xfId="1760" xr:uid="{00000000-0005-0000-0000-0000E4030000}"/>
    <cellStyle name="20% - Accent3 2 2" xfId="1763" xr:uid="{00000000-0005-0000-0000-0000E5030000}"/>
    <cellStyle name="20% - Accent3 2_PDF" xfId="1766" xr:uid="{00000000-0005-0000-0000-0000E6030000}"/>
    <cellStyle name="20% - Accent3 3" xfId="1767" xr:uid="{00000000-0005-0000-0000-0000E7030000}"/>
    <cellStyle name="20% - Accent3 4" xfId="1769" xr:uid="{00000000-0005-0000-0000-0000E8030000}"/>
    <cellStyle name="20% - Accent3 5" xfId="1771" xr:uid="{00000000-0005-0000-0000-0000E9030000}"/>
    <cellStyle name="20% - Accent3 6" xfId="1774" xr:uid="{00000000-0005-0000-0000-0000EA030000}"/>
    <cellStyle name="20% - Accent3 7" xfId="1778" xr:uid="{00000000-0005-0000-0000-0000EB030000}"/>
    <cellStyle name="20% - Accent3 8" xfId="1781" xr:uid="{00000000-0005-0000-0000-0000EC030000}"/>
    <cellStyle name="20% - Accent3 9" xfId="1784" xr:uid="{00000000-0005-0000-0000-0000ED030000}"/>
    <cellStyle name="20% - Accent4 10" xfId="1786" xr:uid="{00000000-0005-0000-0000-0000EE030000}"/>
    <cellStyle name="20% - Accent4 2" xfId="1787" xr:uid="{00000000-0005-0000-0000-0000EF030000}"/>
    <cellStyle name="20% - Accent4 2 2" xfId="1788" xr:uid="{00000000-0005-0000-0000-0000F0030000}"/>
    <cellStyle name="20% - Accent4 2_PDF" xfId="1790" xr:uid="{00000000-0005-0000-0000-0000F1030000}"/>
    <cellStyle name="20% - Accent4 3" xfId="1793" xr:uid="{00000000-0005-0000-0000-0000F2030000}"/>
    <cellStyle name="20% - Accent4 4" xfId="301" xr:uid="{00000000-0005-0000-0000-0000F3030000}"/>
    <cellStyle name="20% - Accent4 5" xfId="1794" xr:uid="{00000000-0005-0000-0000-0000F4030000}"/>
    <cellStyle name="20% - Accent4 6" xfId="1798" xr:uid="{00000000-0005-0000-0000-0000F5030000}"/>
    <cellStyle name="20% - Accent4 7" xfId="1800" xr:uid="{00000000-0005-0000-0000-0000F6030000}"/>
    <cellStyle name="20% - Accent4 8" xfId="1802" xr:uid="{00000000-0005-0000-0000-0000F7030000}"/>
    <cellStyle name="20% - Accent4 9" xfId="1607" xr:uid="{00000000-0005-0000-0000-0000F8030000}"/>
    <cellStyle name="20% - Accent5 10" xfId="1803" xr:uid="{00000000-0005-0000-0000-0000F9030000}"/>
    <cellStyle name="20% - Accent5 2" xfId="1804" xr:uid="{00000000-0005-0000-0000-0000FA030000}"/>
    <cellStyle name="20% - Accent5 2 2" xfId="1806" xr:uid="{00000000-0005-0000-0000-0000FB030000}"/>
    <cellStyle name="20% - Accent5 2_PDF" xfId="1808" xr:uid="{00000000-0005-0000-0000-0000FC030000}"/>
    <cellStyle name="20% - Accent5 3" xfId="1809" xr:uid="{00000000-0005-0000-0000-0000FD030000}"/>
    <cellStyle name="20% - Accent5 4" xfId="1810" xr:uid="{00000000-0005-0000-0000-0000FE030000}"/>
    <cellStyle name="20% - Accent5 5" xfId="1128" xr:uid="{00000000-0005-0000-0000-0000FF030000}"/>
    <cellStyle name="20% - Accent5 6" xfId="1811" xr:uid="{00000000-0005-0000-0000-000000040000}"/>
    <cellStyle name="20% - Accent5 7" xfId="1812" xr:uid="{00000000-0005-0000-0000-000001040000}"/>
    <cellStyle name="20% - Accent5 8" xfId="1813" xr:uid="{00000000-0005-0000-0000-000002040000}"/>
    <cellStyle name="20% - Accent5 9" xfId="1430" xr:uid="{00000000-0005-0000-0000-000003040000}"/>
    <cellStyle name="20% - Accent6 10" xfId="1814" xr:uid="{00000000-0005-0000-0000-000004040000}"/>
    <cellStyle name="20% - Accent6 2" xfId="1815" xr:uid="{00000000-0005-0000-0000-000005040000}"/>
    <cellStyle name="20% - Accent6 2 2" xfId="1817" xr:uid="{00000000-0005-0000-0000-000006040000}"/>
    <cellStyle name="20% - Accent6 2_PDF" xfId="1818" xr:uid="{00000000-0005-0000-0000-000007040000}"/>
    <cellStyle name="20% - Accent6 3" xfId="1821" xr:uid="{00000000-0005-0000-0000-000008040000}"/>
    <cellStyle name="20% - Accent6 4" xfId="1823" xr:uid="{00000000-0005-0000-0000-000009040000}"/>
    <cellStyle name="20% - Accent6 5" xfId="1824" xr:uid="{00000000-0005-0000-0000-00000A040000}"/>
    <cellStyle name="20% - Accent6 6" xfId="1825" xr:uid="{00000000-0005-0000-0000-00000B040000}"/>
    <cellStyle name="20% - Accent6 7" xfId="1561" xr:uid="{00000000-0005-0000-0000-00000C040000}"/>
    <cellStyle name="20% - Accent6 8" xfId="1826" xr:uid="{00000000-0005-0000-0000-00000D040000}"/>
    <cellStyle name="20% - Accent6 9" xfId="1827" xr:uid="{00000000-0005-0000-0000-00000E040000}"/>
    <cellStyle name="20% - Énfasis1" xfId="823" xr:uid="{00000000-0005-0000-0000-00000F040000}"/>
    <cellStyle name="20% - Énfasis2" xfId="1828" xr:uid="{00000000-0005-0000-0000-000010040000}"/>
    <cellStyle name="20% - Énfasis3" xfId="1829" xr:uid="{00000000-0005-0000-0000-000011040000}"/>
    <cellStyle name="20% - Énfasis4" xfId="1482" xr:uid="{00000000-0005-0000-0000-000012040000}"/>
    <cellStyle name="20% - Énfasis5" xfId="1831" xr:uid="{00000000-0005-0000-0000-000013040000}"/>
    <cellStyle name="20% - Énfasis6" xfId="1832" xr:uid="{00000000-0005-0000-0000-000014040000}"/>
    <cellStyle name="20% - uthevingsfarge 1" xfId="1835" xr:uid="{00000000-0005-0000-0000-000015040000}"/>
    <cellStyle name="20% - uthevingsfarge 2" xfId="1024" xr:uid="{00000000-0005-0000-0000-000016040000}"/>
    <cellStyle name="20% - uthevingsfarge 3" xfId="1837" xr:uid="{00000000-0005-0000-0000-000017040000}"/>
    <cellStyle name="20% - uthevingsfarge 4" xfId="1838" xr:uid="{00000000-0005-0000-0000-000018040000}"/>
    <cellStyle name="20% - uthevingsfarge 5" xfId="1839" xr:uid="{00000000-0005-0000-0000-000019040000}"/>
    <cellStyle name="20% - uthevingsfarge 6" xfId="312" xr:uid="{00000000-0005-0000-0000-00001A040000}"/>
    <cellStyle name="20% - 强调文字颜色 1" xfId="1840" xr:uid="{00000000-0005-0000-0000-00001B040000}"/>
    <cellStyle name="20% - 强调文字颜色 2" xfId="1842" xr:uid="{00000000-0005-0000-0000-00001C040000}"/>
    <cellStyle name="20% - 强调文字颜色 3" xfId="1844" xr:uid="{00000000-0005-0000-0000-00001D040000}"/>
    <cellStyle name="20% - 强调文字颜色 4" xfId="1846" xr:uid="{00000000-0005-0000-0000-00001E040000}"/>
    <cellStyle name="20% - 强调文字颜色 5" xfId="1848" xr:uid="{00000000-0005-0000-0000-00001F040000}"/>
    <cellStyle name="20% - 强调文字颜色 6" xfId="1850" xr:uid="{00000000-0005-0000-0000-000020040000}"/>
    <cellStyle name="³£¹æ_²©»áÆÀ¹À" xfId="1851" xr:uid="{00000000-0005-0000-0000-000021040000}"/>
    <cellStyle name="40% - Accent1 10" xfId="1853" xr:uid="{00000000-0005-0000-0000-000022040000}"/>
    <cellStyle name="40% - Accent1 2" xfId="1855" xr:uid="{00000000-0005-0000-0000-000023040000}"/>
    <cellStyle name="40% - Accent1 2 2" xfId="1857" xr:uid="{00000000-0005-0000-0000-000024040000}"/>
    <cellStyle name="40% - Accent1 2_PDF" xfId="1860" xr:uid="{00000000-0005-0000-0000-000025040000}"/>
    <cellStyle name="40% - Accent1 3" xfId="1592" xr:uid="{00000000-0005-0000-0000-000026040000}"/>
    <cellStyle name="40% - Accent1 4" xfId="1862" xr:uid="{00000000-0005-0000-0000-000027040000}"/>
    <cellStyle name="40% - Accent1 5" xfId="1865" xr:uid="{00000000-0005-0000-0000-000028040000}"/>
    <cellStyle name="40% - Accent1 6" xfId="1867" xr:uid="{00000000-0005-0000-0000-000029040000}"/>
    <cellStyle name="40% - Accent1 7" xfId="1869" xr:uid="{00000000-0005-0000-0000-00002A040000}"/>
    <cellStyle name="40% - Accent1 8" xfId="1870" xr:uid="{00000000-0005-0000-0000-00002B040000}"/>
    <cellStyle name="40% - Accent1 9" xfId="1871" xr:uid="{00000000-0005-0000-0000-00002C040000}"/>
    <cellStyle name="40% - Accent2 10" xfId="1868" xr:uid="{00000000-0005-0000-0000-00002D040000}"/>
    <cellStyle name="40% - Accent2 2" xfId="1872" xr:uid="{00000000-0005-0000-0000-00002E040000}"/>
    <cellStyle name="40% - Accent2 2 2" xfId="1677" xr:uid="{00000000-0005-0000-0000-00002F040000}"/>
    <cellStyle name="40% - Accent2 2_PDF" xfId="1873" xr:uid="{00000000-0005-0000-0000-000030040000}"/>
    <cellStyle name="40% - Accent2 3" xfId="1874" xr:uid="{00000000-0005-0000-0000-000031040000}"/>
    <cellStyle name="40% - Accent2 4" xfId="1875" xr:uid="{00000000-0005-0000-0000-000032040000}"/>
    <cellStyle name="40% - Accent2 5" xfId="1876" xr:uid="{00000000-0005-0000-0000-000033040000}"/>
    <cellStyle name="40% - Accent2 6" xfId="896" xr:uid="{00000000-0005-0000-0000-000034040000}"/>
    <cellStyle name="40% - Accent2 7" xfId="1877" xr:uid="{00000000-0005-0000-0000-000035040000}"/>
    <cellStyle name="40% - Accent2 8" xfId="1878" xr:uid="{00000000-0005-0000-0000-000036040000}"/>
    <cellStyle name="40% - Accent2 9" xfId="1879" xr:uid="{00000000-0005-0000-0000-000037040000}"/>
    <cellStyle name="40% - Accent3 10" xfId="1239" xr:uid="{00000000-0005-0000-0000-000038040000}"/>
    <cellStyle name="40% - Accent3 2" xfId="1880" xr:uid="{00000000-0005-0000-0000-000039040000}"/>
    <cellStyle name="40% - Accent3 2 2" xfId="1882" xr:uid="{00000000-0005-0000-0000-00003A040000}"/>
    <cellStyle name="40% - Accent3 2_PDF" xfId="1884" xr:uid="{00000000-0005-0000-0000-00003B040000}"/>
    <cellStyle name="40% - Accent3 3" xfId="1885" xr:uid="{00000000-0005-0000-0000-00003C040000}"/>
    <cellStyle name="40% - Accent3 4" xfId="1886" xr:uid="{00000000-0005-0000-0000-00003D040000}"/>
    <cellStyle name="40% - Accent3 5" xfId="1887" xr:uid="{00000000-0005-0000-0000-00003E040000}"/>
    <cellStyle name="40% - Accent3 6" xfId="1889" xr:uid="{00000000-0005-0000-0000-00003F040000}"/>
    <cellStyle name="40% - Accent3 7" xfId="1890" xr:uid="{00000000-0005-0000-0000-000040040000}"/>
    <cellStyle name="40% - Accent3 8" xfId="676" xr:uid="{00000000-0005-0000-0000-000041040000}"/>
    <cellStyle name="40% - Accent3 9" xfId="1892" xr:uid="{00000000-0005-0000-0000-000042040000}"/>
    <cellStyle name="40% - Accent4 10" xfId="1893" xr:uid="{00000000-0005-0000-0000-000043040000}"/>
    <cellStyle name="40% - Accent4 2" xfId="1894" xr:uid="{00000000-0005-0000-0000-000044040000}"/>
    <cellStyle name="40% - Accent4 2 2" xfId="1895" xr:uid="{00000000-0005-0000-0000-000045040000}"/>
    <cellStyle name="40% - Accent4 2_PDF" xfId="1543" xr:uid="{00000000-0005-0000-0000-000046040000}"/>
    <cellStyle name="40% - Accent4 3" xfId="1897" xr:uid="{00000000-0005-0000-0000-000047040000}"/>
    <cellStyle name="40% - Accent4 4" xfId="181" xr:uid="{00000000-0005-0000-0000-000048040000}"/>
    <cellStyle name="40% - Accent4 5" xfId="14" xr:uid="{00000000-0005-0000-0000-000049040000}"/>
    <cellStyle name="40% - Accent4 6" xfId="1898" xr:uid="{00000000-0005-0000-0000-00004A040000}"/>
    <cellStyle name="40% - Accent4 7" xfId="1157" xr:uid="{00000000-0005-0000-0000-00004B040000}"/>
    <cellStyle name="40% - Accent4 8" xfId="1899" xr:uid="{00000000-0005-0000-0000-00004C040000}"/>
    <cellStyle name="40% - Accent4 9" xfId="1132" xr:uid="{00000000-0005-0000-0000-00004D040000}"/>
    <cellStyle name="40% - Accent5 10" xfId="1901" xr:uid="{00000000-0005-0000-0000-00004E040000}"/>
    <cellStyle name="40% - Accent5 2" xfId="1902" xr:uid="{00000000-0005-0000-0000-00004F040000}"/>
    <cellStyle name="40% - Accent5 2 2" xfId="1903" xr:uid="{00000000-0005-0000-0000-000050040000}"/>
    <cellStyle name="40% - Accent5 2_PDF" xfId="1904" xr:uid="{00000000-0005-0000-0000-000051040000}"/>
    <cellStyle name="40% - Accent5 3" xfId="1907" xr:uid="{00000000-0005-0000-0000-000052040000}"/>
    <cellStyle name="40% - Accent5 4" xfId="1112" xr:uid="{00000000-0005-0000-0000-000053040000}"/>
    <cellStyle name="40% - Accent5 5" xfId="1908" xr:uid="{00000000-0005-0000-0000-000054040000}"/>
    <cellStyle name="40% - Accent5 6" xfId="809" xr:uid="{00000000-0005-0000-0000-000055040000}"/>
    <cellStyle name="40% - Accent5 7" xfId="234" xr:uid="{00000000-0005-0000-0000-000056040000}"/>
    <cellStyle name="40% - Accent5 8" xfId="1910" xr:uid="{00000000-0005-0000-0000-000057040000}"/>
    <cellStyle name="40% - Accent5 9" xfId="1911" xr:uid="{00000000-0005-0000-0000-000058040000}"/>
    <cellStyle name="40% - Accent6 10" xfId="1463" xr:uid="{00000000-0005-0000-0000-000059040000}"/>
    <cellStyle name="40% - Accent6 2" xfId="950" xr:uid="{00000000-0005-0000-0000-00005A040000}"/>
    <cellStyle name="40% - Accent6 2 2" xfId="1069" xr:uid="{00000000-0005-0000-0000-00005B040000}"/>
    <cellStyle name="40% - Accent6 2_PDF" xfId="1353" xr:uid="{00000000-0005-0000-0000-00005C040000}"/>
    <cellStyle name="40% - Accent6 3" xfId="1224" xr:uid="{00000000-0005-0000-0000-00005D040000}"/>
    <cellStyle name="40% - Accent6 4" xfId="1230" xr:uid="{00000000-0005-0000-0000-00005E040000}"/>
    <cellStyle name="40% - Accent6 5" xfId="1236" xr:uid="{00000000-0005-0000-0000-00005F040000}"/>
    <cellStyle name="40% - Accent6 6" xfId="1240" xr:uid="{00000000-0005-0000-0000-000060040000}"/>
    <cellStyle name="40% - Accent6 7" xfId="1244" xr:uid="{00000000-0005-0000-0000-000061040000}"/>
    <cellStyle name="40% - Accent6 8" xfId="1246" xr:uid="{00000000-0005-0000-0000-000062040000}"/>
    <cellStyle name="40% - Accent6 9" xfId="1248" xr:uid="{00000000-0005-0000-0000-000063040000}"/>
    <cellStyle name="40% - Énfasis1" xfId="1912" xr:uid="{00000000-0005-0000-0000-000064040000}"/>
    <cellStyle name="40% - Énfasis2" xfId="1913" xr:uid="{00000000-0005-0000-0000-000065040000}"/>
    <cellStyle name="40% - Énfasis3" xfId="1914" xr:uid="{00000000-0005-0000-0000-000066040000}"/>
    <cellStyle name="40% - Énfasis4" xfId="1915" xr:uid="{00000000-0005-0000-0000-000067040000}"/>
    <cellStyle name="40% - Énfasis5" xfId="443" xr:uid="{00000000-0005-0000-0000-000068040000}"/>
    <cellStyle name="40% - Énfasis6" xfId="1916" xr:uid="{00000000-0005-0000-0000-000069040000}"/>
    <cellStyle name="40% - uthevingsfarge 1" xfId="1917" xr:uid="{00000000-0005-0000-0000-00006A040000}"/>
    <cellStyle name="40% - uthevingsfarge 2" xfId="1919" xr:uid="{00000000-0005-0000-0000-00006B040000}"/>
    <cellStyle name="40% - uthevingsfarge 3" xfId="1921" xr:uid="{00000000-0005-0000-0000-00006C040000}"/>
    <cellStyle name="40% - uthevingsfarge 4" xfId="1923" xr:uid="{00000000-0005-0000-0000-00006D040000}"/>
    <cellStyle name="40% - uthevingsfarge 5" xfId="450" xr:uid="{00000000-0005-0000-0000-00006E040000}"/>
    <cellStyle name="40% - uthevingsfarge 6" xfId="1925" xr:uid="{00000000-0005-0000-0000-00006F040000}"/>
    <cellStyle name="40% - 强调文字颜色 1" xfId="1927" xr:uid="{00000000-0005-0000-0000-000070040000}"/>
    <cellStyle name="40% - 强调文字颜色 2" xfId="1929" xr:uid="{00000000-0005-0000-0000-000071040000}"/>
    <cellStyle name="40% - 强调文字颜色 3" xfId="1931" xr:uid="{00000000-0005-0000-0000-000072040000}"/>
    <cellStyle name="40% - 强调文字颜色 4" xfId="1933" xr:uid="{00000000-0005-0000-0000-000073040000}"/>
    <cellStyle name="40% - 强调文字颜色 5" xfId="1250" xr:uid="{00000000-0005-0000-0000-000074040000}"/>
    <cellStyle name="40% - 强调文字颜色 6" xfId="1252" xr:uid="{00000000-0005-0000-0000-000075040000}"/>
    <cellStyle name="60% - Accent1 2" xfId="1934" xr:uid="{00000000-0005-0000-0000-000076040000}"/>
    <cellStyle name="60% - Accent1 2 2" xfId="1795" xr:uid="{00000000-0005-0000-0000-000077040000}"/>
    <cellStyle name="60% - Accent1 3" xfId="1937" xr:uid="{00000000-0005-0000-0000-000078040000}"/>
    <cellStyle name="60% - Accent1 4" xfId="1939" xr:uid="{00000000-0005-0000-0000-000079040000}"/>
    <cellStyle name="60% - Accent1 5" xfId="1942" xr:uid="{00000000-0005-0000-0000-00007A040000}"/>
    <cellStyle name="60% - Accent1 6" xfId="1944" xr:uid="{00000000-0005-0000-0000-00007B040000}"/>
    <cellStyle name="60% - Accent1 7" xfId="1945" xr:uid="{00000000-0005-0000-0000-00007C040000}"/>
    <cellStyle name="60% - Accent1 8" xfId="1946" xr:uid="{00000000-0005-0000-0000-00007D040000}"/>
    <cellStyle name="60% - Accent1 9" xfId="1947" xr:uid="{00000000-0005-0000-0000-00007E040000}"/>
    <cellStyle name="60% - Accent2 2" xfId="1948" xr:uid="{00000000-0005-0000-0000-00007F040000}"/>
    <cellStyle name="60% - Accent2 2 2" xfId="1949" xr:uid="{00000000-0005-0000-0000-000080040000}"/>
    <cellStyle name="60% - Accent2 3" xfId="1950" xr:uid="{00000000-0005-0000-0000-000081040000}"/>
    <cellStyle name="60% - Accent2 4" xfId="1951" xr:uid="{00000000-0005-0000-0000-000082040000}"/>
    <cellStyle name="60% - Accent2 5" xfId="1953" xr:uid="{00000000-0005-0000-0000-000083040000}"/>
    <cellStyle name="60% - Accent2 6" xfId="1954" xr:uid="{00000000-0005-0000-0000-000084040000}"/>
    <cellStyle name="60% - Accent2 7" xfId="765" xr:uid="{00000000-0005-0000-0000-000085040000}"/>
    <cellStyle name="60% - Accent2 8" xfId="1955" xr:uid="{00000000-0005-0000-0000-000086040000}"/>
    <cellStyle name="60% - Accent2 9" xfId="1956" xr:uid="{00000000-0005-0000-0000-000087040000}"/>
    <cellStyle name="60% - Accent3 2" xfId="1958" xr:uid="{00000000-0005-0000-0000-000088040000}"/>
    <cellStyle name="60% - Accent3 2 2" xfId="1959" xr:uid="{00000000-0005-0000-0000-000089040000}"/>
    <cellStyle name="60% - Accent3 3" xfId="1960" xr:uid="{00000000-0005-0000-0000-00008A040000}"/>
    <cellStyle name="60% - Accent3 4" xfId="988" xr:uid="{00000000-0005-0000-0000-00008B040000}"/>
    <cellStyle name="60% - Accent3 5" xfId="1961" xr:uid="{00000000-0005-0000-0000-00008C040000}"/>
    <cellStyle name="60% - Accent3 6" xfId="1414" xr:uid="{00000000-0005-0000-0000-00008D040000}"/>
    <cellStyle name="60% - Accent3 7" xfId="509" xr:uid="{00000000-0005-0000-0000-00008E040000}"/>
    <cellStyle name="60% - Accent3 8" xfId="1962" xr:uid="{00000000-0005-0000-0000-00008F040000}"/>
    <cellStyle name="60% - Accent3 9" xfId="1738" xr:uid="{00000000-0005-0000-0000-000090040000}"/>
    <cellStyle name="60% - Accent4 2" xfId="1964" xr:uid="{00000000-0005-0000-0000-000091040000}"/>
    <cellStyle name="60% - Accent4 2 2" xfId="1967" xr:uid="{00000000-0005-0000-0000-000092040000}"/>
    <cellStyle name="60% - Accent4 3" xfId="1969" xr:uid="{00000000-0005-0000-0000-000093040000}"/>
    <cellStyle name="60% - Accent4 4" xfId="1972" xr:uid="{00000000-0005-0000-0000-000094040000}"/>
    <cellStyle name="60% - Accent4 5" xfId="1974" xr:uid="{00000000-0005-0000-0000-000095040000}"/>
    <cellStyle name="60% - Accent4 6" xfId="1977" xr:uid="{00000000-0005-0000-0000-000096040000}"/>
    <cellStyle name="60% - Accent4 7" xfId="1980" xr:uid="{00000000-0005-0000-0000-000097040000}"/>
    <cellStyle name="60% - Accent4 8" xfId="1984" xr:uid="{00000000-0005-0000-0000-000098040000}"/>
    <cellStyle name="60% - Accent4 9" xfId="1987" xr:uid="{00000000-0005-0000-0000-000099040000}"/>
    <cellStyle name="60% - Accent5 2" xfId="1991" xr:uid="{00000000-0005-0000-0000-00009A040000}"/>
    <cellStyle name="60% - Accent5 2 2" xfId="1992" xr:uid="{00000000-0005-0000-0000-00009B040000}"/>
    <cellStyle name="60% - Accent5 3" xfId="1994" xr:uid="{00000000-0005-0000-0000-00009C040000}"/>
    <cellStyle name="60% - Accent5 4" xfId="1995" xr:uid="{00000000-0005-0000-0000-00009D040000}"/>
    <cellStyle name="60% - Accent5 5" xfId="1996" xr:uid="{00000000-0005-0000-0000-00009E040000}"/>
    <cellStyle name="60% - Accent5 6" xfId="785" xr:uid="{00000000-0005-0000-0000-00009F040000}"/>
    <cellStyle name="60% - Accent5 7" xfId="1998" xr:uid="{00000000-0005-0000-0000-0000A0040000}"/>
    <cellStyle name="60% - Accent5 8" xfId="82" xr:uid="{00000000-0005-0000-0000-0000A1040000}"/>
    <cellStyle name="60% - Accent5 9" xfId="740" xr:uid="{00000000-0005-0000-0000-0000A2040000}"/>
    <cellStyle name="60% - Accent6 2" xfId="1999" xr:uid="{00000000-0005-0000-0000-0000A3040000}"/>
    <cellStyle name="60% - Accent6 2 2" xfId="2001" xr:uid="{00000000-0005-0000-0000-0000A4040000}"/>
    <cellStyle name="60% - Accent6 3" xfId="2002" xr:uid="{00000000-0005-0000-0000-0000A5040000}"/>
    <cellStyle name="60% - Accent6 4" xfId="2003" xr:uid="{00000000-0005-0000-0000-0000A6040000}"/>
    <cellStyle name="60% - Accent6 5" xfId="2004" xr:uid="{00000000-0005-0000-0000-0000A7040000}"/>
    <cellStyle name="60% - Accent6 6" xfId="2005" xr:uid="{00000000-0005-0000-0000-0000A8040000}"/>
    <cellStyle name="60% - Accent6 7" xfId="2006" xr:uid="{00000000-0005-0000-0000-0000A9040000}"/>
    <cellStyle name="60% - Accent6 8" xfId="2007" xr:uid="{00000000-0005-0000-0000-0000AA040000}"/>
    <cellStyle name="60% - Accent6 9" xfId="2008" xr:uid="{00000000-0005-0000-0000-0000AB040000}"/>
    <cellStyle name="60% - Énfasis1" xfId="2009" xr:uid="{00000000-0005-0000-0000-0000AC040000}"/>
    <cellStyle name="60% - Énfasis2" xfId="2010" xr:uid="{00000000-0005-0000-0000-0000AD040000}"/>
    <cellStyle name="60% - Énfasis3" xfId="121" xr:uid="{00000000-0005-0000-0000-0000AE040000}"/>
    <cellStyle name="60% - Énfasis4" xfId="2011" xr:uid="{00000000-0005-0000-0000-0000AF040000}"/>
    <cellStyle name="60% - Énfasis5" xfId="2012" xr:uid="{00000000-0005-0000-0000-0000B0040000}"/>
    <cellStyle name="60% - Énfasis6" xfId="2014" xr:uid="{00000000-0005-0000-0000-0000B1040000}"/>
    <cellStyle name="60% - uthevingsfarge 1" xfId="2016" xr:uid="{00000000-0005-0000-0000-0000B2040000}"/>
    <cellStyle name="60% - uthevingsfarge 2" xfId="118" xr:uid="{00000000-0005-0000-0000-0000B3040000}"/>
    <cellStyle name="60% - uthevingsfarge 3" xfId="2019" xr:uid="{00000000-0005-0000-0000-0000B4040000}"/>
    <cellStyle name="60% - uthevingsfarge 4" xfId="2022" xr:uid="{00000000-0005-0000-0000-0000B5040000}"/>
    <cellStyle name="60% - uthevingsfarge 5" xfId="2025" xr:uid="{00000000-0005-0000-0000-0000B6040000}"/>
    <cellStyle name="60% - uthevingsfarge 6" xfId="2027" xr:uid="{00000000-0005-0000-0000-0000B7040000}"/>
    <cellStyle name="60% - 强调文字颜色 1" xfId="2029" xr:uid="{00000000-0005-0000-0000-0000B8040000}"/>
    <cellStyle name="60% - 强调文字颜色 2" xfId="2031" xr:uid="{00000000-0005-0000-0000-0000B9040000}"/>
    <cellStyle name="60% - 强调文字颜色 3" xfId="2033" xr:uid="{00000000-0005-0000-0000-0000BA040000}"/>
    <cellStyle name="60% - 强调文字颜色 4" xfId="2035" xr:uid="{00000000-0005-0000-0000-0000BB040000}"/>
    <cellStyle name="60% - 强调文字颜色 5" xfId="2036" xr:uid="{00000000-0005-0000-0000-0000BC040000}"/>
    <cellStyle name="60% - 强调文字颜色 6" xfId="2037" xr:uid="{00000000-0005-0000-0000-0000BD040000}"/>
    <cellStyle name="75" xfId="614" xr:uid="{00000000-0005-0000-0000-0000BE040000}"/>
    <cellStyle name="752131" xfId="75" xr:uid="{00000000-0005-0000-0000-0000BF040000}"/>
    <cellStyle name="A Table" xfId="2038" xr:uid="{00000000-0005-0000-0000-0000C0040000}"/>
    <cellStyle name="A_Block Space" xfId="1776" xr:uid="{00000000-0005-0000-0000-0000C1040000}"/>
    <cellStyle name="A_BlueLine" xfId="2039" xr:uid="{00000000-0005-0000-0000-0000C2040000}"/>
    <cellStyle name="A_Do not Change" xfId="2040" xr:uid="{00000000-0005-0000-0000-0000C3040000}"/>
    <cellStyle name="A_Estimate" xfId="2041" xr:uid="{00000000-0005-0000-0000-0000C4040000}"/>
    <cellStyle name="A_Estimate 2" xfId="447" xr:uid="{00000000-0005-0000-0000-0000C5040000}"/>
    <cellStyle name="A_Memo" xfId="2042" xr:uid="{00000000-0005-0000-0000-0000C6040000}"/>
    <cellStyle name="A_Normal" xfId="2043" xr:uid="{00000000-0005-0000-0000-0000C7040000}"/>
    <cellStyle name="A_Normal 2" xfId="2044" xr:uid="{00000000-0005-0000-0000-0000C8040000}"/>
    <cellStyle name="A_Normal 3" xfId="2047" xr:uid="{00000000-0005-0000-0000-0000C9040000}"/>
    <cellStyle name="A_Normal 4" xfId="2049" xr:uid="{00000000-0005-0000-0000-0000CA040000}"/>
    <cellStyle name="A_Normal 5" xfId="2051" xr:uid="{00000000-0005-0000-0000-0000CB040000}"/>
    <cellStyle name="A_Normal 6" xfId="2053" xr:uid="{00000000-0005-0000-0000-0000CC040000}"/>
    <cellStyle name="A_Normal Forecast" xfId="1965" xr:uid="{00000000-0005-0000-0000-0000CD040000}"/>
    <cellStyle name="A_Normal Historical" xfId="2055" xr:uid="{00000000-0005-0000-0000-0000CE040000}"/>
    <cellStyle name="A_Rate_Data" xfId="2057" xr:uid="{00000000-0005-0000-0000-0000CF040000}"/>
    <cellStyle name="A_Rate_Data Historical" xfId="2058" xr:uid="{00000000-0005-0000-0000-0000D0040000}"/>
    <cellStyle name="A_Rate_Title" xfId="437" xr:uid="{00000000-0005-0000-0000-0000D1040000}"/>
    <cellStyle name="A_Simple Title" xfId="1216" xr:uid="{00000000-0005-0000-0000-0000D2040000}"/>
    <cellStyle name="A_Simple Title 10" xfId="2060" xr:uid="{00000000-0005-0000-0000-0000D3040000}"/>
    <cellStyle name="A_Simple Title 11" xfId="2062" xr:uid="{00000000-0005-0000-0000-0000D4040000}"/>
    <cellStyle name="A_Simple Title 12" xfId="2064" xr:uid="{00000000-0005-0000-0000-0000D5040000}"/>
    <cellStyle name="A_Simple Title 13" xfId="716" xr:uid="{00000000-0005-0000-0000-0000D6040000}"/>
    <cellStyle name="A_Simple Title 2" xfId="2065" xr:uid="{00000000-0005-0000-0000-0000D7040000}"/>
    <cellStyle name="A_Simple Title 3" xfId="2066" xr:uid="{00000000-0005-0000-0000-0000D8040000}"/>
    <cellStyle name="A_Simple Title 4" xfId="729" xr:uid="{00000000-0005-0000-0000-0000D9040000}"/>
    <cellStyle name="A_Simple Title 5" xfId="958" xr:uid="{00000000-0005-0000-0000-0000DA040000}"/>
    <cellStyle name="A_Simple Title 6" xfId="2067" xr:uid="{00000000-0005-0000-0000-0000DB040000}"/>
    <cellStyle name="A_Simple Title 7" xfId="2068" xr:uid="{00000000-0005-0000-0000-0000DC040000}"/>
    <cellStyle name="A_Simple Title 8" xfId="2069" xr:uid="{00000000-0005-0000-0000-0000DD040000}"/>
    <cellStyle name="A_Simple Title 9" xfId="1" xr:uid="{00000000-0005-0000-0000-0000DE040000}"/>
    <cellStyle name="A_Sum" xfId="2070" xr:uid="{00000000-0005-0000-0000-0000DF040000}"/>
    <cellStyle name="A_SUM_Row Major" xfId="2071" xr:uid="{00000000-0005-0000-0000-0000E0040000}"/>
    <cellStyle name="A_SUM_Row Major 10" xfId="1648" xr:uid="{00000000-0005-0000-0000-0000E1040000}"/>
    <cellStyle name="A_SUM_Row Major 11" xfId="1653" xr:uid="{00000000-0005-0000-0000-0000E2040000}"/>
    <cellStyle name="A_SUM_Row Major 12" xfId="1657" xr:uid="{00000000-0005-0000-0000-0000E3040000}"/>
    <cellStyle name="A_SUM_Row Major 13" xfId="2072" xr:uid="{00000000-0005-0000-0000-0000E4040000}"/>
    <cellStyle name="A_SUM_Row Major 2" xfId="325" xr:uid="{00000000-0005-0000-0000-0000E5040000}"/>
    <cellStyle name="A_SUM_Row Major 3" xfId="934" xr:uid="{00000000-0005-0000-0000-0000E6040000}"/>
    <cellStyle name="A_SUM_Row Major 4" xfId="937" xr:uid="{00000000-0005-0000-0000-0000E7040000}"/>
    <cellStyle name="A_SUM_Row Major 5" xfId="485" xr:uid="{00000000-0005-0000-0000-0000E8040000}"/>
    <cellStyle name="A_SUM_Row Major 6" xfId="1622" xr:uid="{00000000-0005-0000-0000-0000E9040000}"/>
    <cellStyle name="A_SUM_Row Major 7" xfId="1624" xr:uid="{00000000-0005-0000-0000-0000EA040000}"/>
    <cellStyle name="A_SUM_Row Major 8" xfId="395" xr:uid="{00000000-0005-0000-0000-0000EB040000}"/>
    <cellStyle name="A_SUM_Row Major 9" xfId="1626" xr:uid="{00000000-0005-0000-0000-0000EC040000}"/>
    <cellStyle name="A_SUM_Row Minor" xfId="2074" xr:uid="{00000000-0005-0000-0000-0000ED040000}"/>
    <cellStyle name="A_SUM_Row Minor 10" xfId="2075" xr:uid="{00000000-0005-0000-0000-0000EE040000}"/>
    <cellStyle name="A_SUM_Row Minor 11" xfId="2076" xr:uid="{00000000-0005-0000-0000-0000EF040000}"/>
    <cellStyle name="A_SUM_Row Minor 12" xfId="2077" xr:uid="{00000000-0005-0000-0000-0000F0040000}"/>
    <cellStyle name="A_SUM_Row Minor 13" xfId="2079" xr:uid="{00000000-0005-0000-0000-0000F1040000}"/>
    <cellStyle name="A_SUM_Row Minor 2" xfId="1371" xr:uid="{00000000-0005-0000-0000-0000F2040000}"/>
    <cellStyle name="A_SUM_Row Minor 3" xfId="2080" xr:uid="{00000000-0005-0000-0000-0000F3040000}"/>
    <cellStyle name="A_SUM_Row Minor 4" xfId="862" xr:uid="{00000000-0005-0000-0000-0000F4040000}"/>
    <cellStyle name="A_SUM_Row Minor 5" xfId="1074" xr:uid="{00000000-0005-0000-0000-0000F5040000}"/>
    <cellStyle name="A_SUM_Row Minor 6" xfId="2084" xr:uid="{00000000-0005-0000-0000-0000F6040000}"/>
    <cellStyle name="A_SUM_Row Minor 7" xfId="2088" xr:uid="{00000000-0005-0000-0000-0000F7040000}"/>
    <cellStyle name="A_SUM_Row Minor 8" xfId="2092" xr:uid="{00000000-0005-0000-0000-0000F8040000}"/>
    <cellStyle name="A_SUM_Row Minor 9" xfId="2101" xr:uid="{00000000-0005-0000-0000-0000F9040000}"/>
    <cellStyle name="A_Title" xfId="850" xr:uid="{00000000-0005-0000-0000-0000FA040000}"/>
    <cellStyle name="A_YearHeadings" xfId="2103" xr:uid="{00000000-0005-0000-0000-0000FB040000}"/>
    <cellStyle name="Accent1 - 20%" xfId="74" xr:uid="{00000000-0005-0000-0000-0000FC040000}"/>
    <cellStyle name="Accent1 - 20% 2" xfId="1732" xr:uid="{00000000-0005-0000-0000-0000FD040000}"/>
    <cellStyle name="Accent1 - 20%_PDF" xfId="2104" xr:uid="{00000000-0005-0000-0000-0000FE040000}"/>
    <cellStyle name="Accent1 - 40%" xfId="2107" xr:uid="{00000000-0005-0000-0000-0000FF040000}"/>
    <cellStyle name="Accent1 - 40% 2" xfId="2108" xr:uid="{00000000-0005-0000-0000-000000050000}"/>
    <cellStyle name="Accent1 - 40%_PDF" xfId="2111" xr:uid="{00000000-0005-0000-0000-000001050000}"/>
    <cellStyle name="Accent1 - 60%" xfId="2113" xr:uid="{00000000-0005-0000-0000-000002050000}"/>
    <cellStyle name="Accent1 10" xfId="2114" xr:uid="{00000000-0005-0000-0000-000003050000}"/>
    <cellStyle name="Accent1 11" xfId="2117" xr:uid="{00000000-0005-0000-0000-000004050000}"/>
    <cellStyle name="Accent1 12" xfId="551" xr:uid="{00000000-0005-0000-0000-000005050000}"/>
    <cellStyle name="Accent1 13" xfId="2118" xr:uid="{00000000-0005-0000-0000-000006050000}"/>
    <cellStyle name="Accent1 14" xfId="2120" xr:uid="{00000000-0005-0000-0000-000007050000}"/>
    <cellStyle name="Accent1 15" xfId="2121" xr:uid="{00000000-0005-0000-0000-000008050000}"/>
    <cellStyle name="Accent1 16" xfId="2124" xr:uid="{00000000-0005-0000-0000-000009050000}"/>
    <cellStyle name="Accent1 17" xfId="108" xr:uid="{00000000-0005-0000-0000-00000A050000}"/>
    <cellStyle name="Accent1 18" xfId="124" xr:uid="{00000000-0005-0000-0000-00000B050000}"/>
    <cellStyle name="Accent1 19" xfId="66" xr:uid="{00000000-0005-0000-0000-00000C050000}"/>
    <cellStyle name="Accent1 2" xfId="1539" xr:uid="{00000000-0005-0000-0000-00000D050000}"/>
    <cellStyle name="Accent1 2 2" xfId="2126" xr:uid="{00000000-0005-0000-0000-00000E050000}"/>
    <cellStyle name="Accent1 20" xfId="2122" xr:uid="{00000000-0005-0000-0000-00000F050000}"/>
    <cellStyle name="Accent1 21" xfId="2125" xr:uid="{00000000-0005-0000-0000-000010050000}"/>
    <cellStyle name="Accent1 22" xfId="107" xr:uid="{00000000-0005-0000-0000-000011050000}"/>
    <cellStyle name="Accent1 23" xfId="123" xr:uid="{00000000-0005-0000-0000-000012050000}"/>
    <cellStyle name="Accent1 24" xfId="65" xr:uid="{00000000-0005-0000-0000-000013050000}"/>
    <cellStyle name="Accent1 25" xfId="36" xr:uid="{00000000-0005-0000-0000-000014050000}"/>
    <cellStyle name="Accent1 26" xfId="146" xr:uid="{00000000-0005-0000-0000-000015050000}"/>
    <cellStyle name="Accent1 27" xfId="162" xr:uid="{00000000-0005-0000-0000-000016050000}"/>
    <cellStyle name="Accent1 28" xfId="2127" xr:uid="{00000000-0005-0000-0000-000017050000}"/>
    <cellStyle name="Accent1 29" xfId="2129" xr:uid="{00000000-0005-0000-0000-000018050000}"/>
    <cellStyle name="Accent1 3" xfId="2131" xr:uid="{00000000-0005-0000-0000-000019050000}"/>
    <cellStyle name="Accent1 30" xfId="35" xr:uid="{00000000-0005-0000-0000-00001A050000}"/>
    <cellStyle name="Accent1 31" xfId="145" xr:uid="{00000000-0005-0000-0000-00001B050000}"/>
    <cellStyle name="Accent1 32" xfId="161" xr:uid="{00000000-0005-0000-0000-00001C050000}"/>
    <cellStyle name="Accent1 33" xfId="2128" xr:uid="{00000000-0005-0000-0000-00001D050000}"/>
    <cellStyle name="Accent1 34" xfId="2130" xr:uid="{00000000-0005-0000-0000-00001E050000}"/>
    <cellStyle name="Accent1 35" xfId="2133" xr:uid="{00000000-0005-0000-0000-00001F050000}"/>
    <cellStyle name="Accent1 36" xfId="2135" xr:uid="{00000000-0005-0000-0000-000020050000}"/>
    <cellStyle name="Accent1 37" xfId="2137" xr:uid="{00000000-0005-0000-0000-000021050000}"/>
    <cellStyle name="Accent1 38" xfId="2139" xr:uid="{00000000-0005-0000-0000-000022050000}"/>
    <cellStyle name="Accent1 39" xfId="2141" xr:uid="{00000000-0005-0000-0000-000023050000}"/>
    <cellStyle name="Accent1 4" xfId="641" xr:uid="{00000000-0005-0000-0000-000024050000}"/>
    <cellStyle name="Accent1 40" xfId="2134" xr:uid="{00000000-0005-0000-0000-000025050000}"/>
    <cellStyle name="Accent1 41" xfId="2136" xr:uid="{00000000-0005-0000-0000-000026050000}"/>
    <cellStyle name="Accent1 42" xfId="2138" xr:uid="{00000000-0005-0000-0000-000027050000}"/>
    <cellStyle name="Accent1 43" xfId="2140" xr:uid="{00000000-0005-0000-0000-000028050000}"/>
    <cellStyle name="Accent1 44" xfId="2142" xr:uid="{00000000-0005-0000-0000-000029050000}"/>
    <cellStyle name="Accent1 45" xfId="238" xr:uid="{00000000-0005-0000-0000-00002A050000}"/>
    <cellStyle name="Accent1 46" xfId="246" xr:uid="{00000000-0005-0000-0000-00002B050000}"/>
    <cellStyle name="Accent1 47" xfId="2143" xr:uid="{00000000-0005-0000-0000-00002C050000}"/>
    <cellStyle name="Accent1 5" xfId="367" xr:uid="{00000000-0005-0000-0000-00002D050000}"/>
    <cellStyle name="Accent1 6" xfId="2144" xr:uid="{00000000-0005-0000-0000-00002E050000}"/>
    <cellStyle name="Accent1 7" xfId="2146" xr:uid="{00000000-0005-0000-0000-00002F050000}"/>
    <cellStyle name="Accent1 8" xfId="2148" xr:uid="{00000000-0005-0000-0000-000030050000}"/>
    <cellStyle name="Accent1 9" xfId="2149" xr:uid="{00000000-0005-0000-0000-000031050000}"/>
    <cellStyle name="Accent2 - 20%" xfId="2150" xr:uid="{00000000-0005-0000-0000-000032050000}"/>
    <cellStyle name="Accent2 - 20% 2" xfId="2152" xr:uid="{00000000-0005-0000-0000-000033050000}"/>
    <cellStyle name="Accent2 - 20%_PDF" xfId="2154" xr:uid="{00000000-0005-0000-0000-000034050000}"/>
    <cellStyle name="Accent2 - 40%" xfId="33" xr:uid="{00000000-0005-0000-0000-000035050000}"/>
    <cellStyle name="Accent2 - 40% 2" xfId="413" xr:uid="{00000000-0005-0000-0000-000036050000}"/>
    <cellStyle name="Accent2 - 40%_PDF" xfId="2155" xr:uid="{00000000-0005-0000-0000-000037050000}"/>
    <cellStyle name="Accent2 - 60%" xfId="281" xr:uid="{00000000-0005-0000-0000-000038050000}"/>
    <cellStyle name="Accent2 10" xfId="1016" xr:uid="{00000000-0005-0000-0000-000039050000}"/>
    <cellStyle name="Accent2 11" xfId="651" xr:uid="{00000000-0005-0000-0000-00003A050000}"/>
    <cellStyle name="Accent2 12" xfId="2159" xr:uid="{00000000-0005-0000-0000-00003B050000}"/>
    <cellStyle name="Accent2 13" xfId="2162" xr:uid="{00000000-0005-0000-0000-00003C050000}"/>
    <cellStyle name="Accent2 14" xfId="1549" xr:uid="{00000000-0005-0000-0000-00003D050000}"/>
    <cellStyle name="Accent2 15" xfId="2165" xr:uid="{00000000-0005-0000-0000-00003E050000}"/>
    <cellStyle name="Accent2 16" xfId="2169" xr:uid="{00000000-0005-0000-0000-00003F050000}"/>
    <cellStyle name="Accent2 17" xfId="2173" xr:uid="{00000000-0005-0000-0000-000040050000}"/>
    <cellStyle name="Accent2 18" xfId="2177" xr:uid="{00000000-0005-0000-0000-000041050000}"/>
    <cellStyle name="Accent2 19" xfId="2181" xr:uid="{00000000-0005-0000-0000-000042050000}"/>
    <cellStyle name="Accent2 2" xfId="2183" xr:uid="{00000000-0005-0000-0000-000043050000}"/>
    <cellStyle name="Accent2 2 2" xfId="2184" xr:uid="{00000000-0005-0000-0000-000044050000}"/>
    <cellStyle name="Accent2 20" xfId="2166" xr:uid="{00000000-0005-0000-0000-000045050000}"/>
    <cellStyle name="Accent2 21" xfId="2170" xr:uid="{00000000-0005-0000-0000-000046050000}"/>
    <cellStyle name="Accent2 22" xfId="2174" xr:uid="{00000000-0005-0000-0000-000047050000}"/>
    <cellStyle name="Accent2 23" xfId="2178" xr:uid="{00000000-0005-0000-0000-000048050000}"/>
    <cellStyle name="Accent2 24" xfId="2182" xr:uid="{00000000-0005-0000-0000-000049050000}"/>
    <cellStyle name="Accent2 25" xfId="2187" xr:uid="{00000000-0005-0000-0000-00004A050000}"/>
    <cellStyle name="Accent2 26" xfId="2191" xr:uid="{00000000-0005-0000-0000-00004B050000}"/>
    <cellStyle name="Accent2 27" xfId="2195" xr:uid="{00000000-0005-0000-0000-00004C050000}"/>
    <cellStyle name="Accent2 28" xfId="352" xr:uid="{00000000-0005-0000-0000-00004D050000}"/>
    <cellStyle name="Accent2 29" xfId="2199" xr:uid="{00000000-0005-0000-0000-00004E050000}"/>
    <cellStyle name="Accent2 3" xfId="2202" xr:uid="{00000000-0005-0000-0000-00004F050000}"/>
    <cellStyle name="Accent2 30" xfId="2188" xr:uid="{00000000-0005-0000-0000-000050050000}"/>
    <cellStyle name="Accent2 31" xfId="2192" xr:uid="{00000000-0005-0000-0000-000051050000}"/>
    <cellStyle name="Accent2 32" xfId="2196" xr:uid="{00000000-0005-0000-0000-000052050000}"/>
    <cellStyle name="Accent2 33" xfId="351" xr:uid="{00000000-0005-0000-0000-000053050000}"/>
    <cellStyle name="Accent2 34" xfId="2200" xr:uid="{00000000-0005-0000-0000-000054050000}"/>
    <cellStyle name="Accent2 35" xfId="2204" xr:uid="{00000000-0005-0000-0000-000055050000}"/>
    <cellStyle name="Accent2 36" xfId="2208" xr:uid="{00000000-0005-0000-0000-000056050000}"/>
    <cellStyle name="Accent2 37" xfId="2212" xr:uid="{00000000-0005-0000-0000-000057050000}"/>
    <cellStyle name="Accent2 38" xfId="2216" xr:uid="{00000000-0005-0000-0000-000058050000}"/>
    <cellStyle name="Accent2 39" xfId="2219" xr:uid="{00000000-0005-0000-0000-000059050000}"/>
    <cellStyle name="Accent2 4" xfId="2222" xr:uid="{00000000-0005-0000-0000-00005A050000}"/>
    <cellStyle name="Accent2 40" xfId="2205" xr:uid="{00000000-0005-0000-0000-00005B050000}"/>
    <cellStyle name="Accent2 41" xfId="2209" xr:uid="{00000000-0005-0000-0000-00005C050000}"/>
    <cellStyle name="Accent2 42" xfId="2213" xr:uid="{00000000-0005-0000-0000-00005D050000}"/>
    <cellStyle name="Accent2 43" xfId="2217" xr:uid="{00000000-0005-0000-0000-00005E050000}"/>
    <cellStyle name="Accent2 44" xfId="2220" xr:uid="{00000000-0005-0000-0000-00005F050000}"/>
    <cellStyle name="Accent2 45" xfId="2223" xr:uid="{00000000-0005-0000-0000-000060050000}"/>
    <cellStyle name="Accent2 46" xfId="2224" xr:uid="{00000000-0005-0000-0000-000061050000}"/>
    <cellStyle name="Accent2 47" xfId="2226" xr:uid="{00000000-0005-0000-0000-000062050000}"/>
    <cellStyle name="Accent2 5" xfId="2227" xr:uid="{00000000-0005-0000-0000-000063050000}"/>
    <cellStyle name="Accent2 6" xfId="2228" xr:uid="{00000000-0005-0000-0000-000064050000}"/>
    <cellStyle name="Accent2 7" xfId="2229" xr:uid="{00000000-0005-0000-0000-000065050000}"/>
    <cellStyle name="Accent2 8" xfId="2231" xr:uid="{00000000-0005-0000-0000-000066050000}"/>
    <cellStyle name="Accent2 9" xfId="519" xr:uid="{00000000-0005-0000-0000-000067050000}"/>
    <cellStyle name="Accent3 - 20%" xfId="2233" xr:uid="{00000000-0005-0000-0000-000068050000}"/>
    <cellStyle name="Accent3 - 20% 2" xfId="2234" xr:uid="{00000000-0005-0000-0000-000069050000}"/>
    <cellStyle name="Accent3 - 20%_PDF" xfId="2235" xr:uid="{00000000-0005-0000-0000-00006A050000}"/>
    <cellStyle name="Accent3 - 40%" xfId="2236" xr:uid="{00000000-0005-0000-0000-00006B050000}"/>
    <cellStyle name="Accent3 - 40% 2" xfId="2240" xr:uid="{00000000-0005-0000-0000-00006C050000}"/>
    <cellStyle name="Accent3 - 40%_PDF" xfId="1941" xr:uid="{00000000-0005-0000-0000-00006D050000}"/>
    <cellStyle name="Accent3 - 60%" xfId="2242" xr:uid="{00000000-0005-0000-0000-00006E050000}"/>
    <cellStyle name="Accent3 10" xfId="2243" xr:uid="{00000000-0005-0000-0000-00006F050000}"/>
    <cellStyle name="Accent3 11" xfId="2244" xr:uid="{00000000-0005-0000-0000-000070050000}"/>
    <cellStyle name="Accent3 12" xfId="920" xr:uid="{00000000-0005-0000-0000-000071050000}"/>
    <cellStyle name="Accent3 13" xfId="2245" xr:uid="{00000000-0005-0000-0000-000072050000}"/>
    <cellStyle name="Accent3 14" xfId="2246" xr:uid="{00000000-0005-0000-0000-000073050000}"/>
    <cellStyle name="Accent3 15" xfId="2248" xr:uid="{00000000-0005-0000-0000-000074050000}"/>
    <cellStyle name="Accent3 16" xfId="777" xr:uid="{00000000-0005-0000-0000-000075050000}"/>
    <cellStyle name="Accent3 17" xfId="2251" xr:uid="{00000000-0005-0000-0000-000076050000}"/>
    <cellStyle name="Accent3 18" xfId="2253" xr:uid="{00000000-0005-0000-0000-000077050000}"/>
    <cellStyle name="Accent3 19" xfId="419" xr:uid="{00000000-0005-0000-0000-000078050000}"/>
    <cellStyle name="Accent3 2" xfId="2257" xr:uid="{00000000-0005-0000-0000-000079050000}"/>
    <cellStyle name="Accent3 2 2" xfId="2259" xr:uid="{00000000-0005-0000-0000-00007A050000}"/>
    <cellStyle name="Accent3 20" xfId="2249" xr:uid="{00000000-0005-0000-0000-00007B050000}"/>
    <cellStyle name="Accent3 21" xfId="778" xr:uid="{00000000-0005-0000-0000-00007C050000}"/>
    <cellStyle name="Accent3 22" xfId="2252" xr:uid="{00000000-0005-0000-0000-00007D050000}"/>
    <cellStyle name="Accent3 23" xfId="2254" xr:uid="{00000000-0005-0000-0000-00007E050000}"/>
    <cellStyle name="Accent3 24" xfId="418" xr:uid="{00000000-0005-0000-0000-00007F050000}"/>
    <cellStyle name="Accent3 25" xfId="2261" xr:uid="{00000000-0005-0000-0000-000080050000}"/>
    <cellStyle name="Accent3 26" xfId="2264" xr:uid="{00000000-0005-0000-0000-000081050000}"/>
    <cellStyle name="Accent3 27" xfId="855" xr:uid="{00000000-0005-0000-0000-000082050000}"/>
    <cellStyle name="Accent3 28" xfId="2237" xr:uid="{00000000-0005-0000-0000-000083050000}"/>
    <cellStyle name="Accent3 29" xfId="2267" xr:uid="{00000000-0005-0000-0000-000084050000}"/>
    <cellStyle name="Accent3 3" xfId="2270" xr:uid="{00000000-0005-0000-0000-000085050000}"/>
    <cellStyle name="Accent3 30" xfId="2262" xr:uid="{00000000-0005-0000-0000-000086050000}"/>
    <cellStyle name="Accent3 31" xfId="2265" xr:uid="{00000000-0005-0000-0000-000087050000}"/>
    <cellStyle name="Accent3 32" xfId="856" xr:uid="{00000000-0005-0000-0000-000088050000}"/>
    <cellStyle name="Accent3 33" xfId="2238" xr:uid="{00000000-0005-0000-0000-000089050000}"/>
    <cellStyle name="Accent3 34" xfId="2268" xr:uid="{00000000-0005-0000-0000-00008A050000}"/>
    <cellStyle name="Accent3 35" xfId="2271" xr:uid="{00000000-0005-0000-0000-00008B050000}"/>
    <cellStyle name="Accent3 36" xfId="2275" xr:uid="{00000000-0005-0000-0000-00008C050000}"/>
    <cellStyle name="Accent3 37" xfId="2277" xr:uid="{00000000-0005-0000-0000-00008D050000}"/>
    <cellStyle name="Accent3 38" xfId="2279" xr:uid="{00000000-0005-0000-0000-00008E050000}"/>
    <cellStyle name="Accent3 39" xfId="598" xr:uid="{00000000-0005-0000-0000-00008F050000}"/>
    <cellStyle name="Accent3 4" xfId="3" xr:uid="{00000000-0005-0000-0000-000090050000}"/>
    <cellStyle name="Accent3 40" xfId="2272" xr:uid="{00000000-0005-0000-0000-000091050000}"/>
    <cellStyle name="Accent3 41" xfId="2276" xr:uid="{00000000-0005-0000-0000-000092050000}"/>
    <cellStyle name="Accent3 42" xfId="2278" xr:uid="{00000000-0005-0000-0000-000093050000}"/>
    <cellStyle name="Accent3 43" xfId="2280" xr:uid="{00000000-0005-0000-0000-000094050000}"/>
    <cellStyle name="Accent3 44" xfId="599" xr:uid="{00000000-0005-0000-0000-000095050000}"/>
    <cellStyle name="Accent3 45" xfId="2281" xr:uid="{00000000-0005-0000-0000-000096050000}"/>
    <cellStyle name="Accent3 46" xfId="322" xr:uid="{00000000-0005-0000-0000-000097050000}"/>
    <cellStyle name="Accent3 47" xfId="2282" xr:uid="{00000000-0005-0000-0000-000098050000}"/>
    <cellStyle name="Accent3 5" xfId="2283" xr:uid="{00000000-0005-0000-0000-000099050000}"/>
    <cellStyle name="Accent3 6" xfId="1819" xr:uid="{00000000-0005-0000-0000-00009A050000}"/>
    <cellStyle name="Accent3 7" xfId="2284" xr:uid="{00000000-0005-0000-0000-00009B050000}"/>
    <cellStyle name="Accent3 8" xfId="1619" xr:uid="{00000000-0005-0000-0000-00009C050000}"/>
    <cellStyle name="Accent3 9" xfId="2286" xr:uid="{00000000-0005-0000-0000-00009D050000}"/>
    <cellStyle name="Accent4 - 20%" xfId="2288" xr:uid="{00000000-0005-0000-0000-00009E050000}"/>
    <cellStyle name="Accent4 - 20% 2" xfId="2289" xr:uid="{00000000-0005-0000-0000-00009F050000}"/>
    <cellStyle name="Accent4 - 20%_PDF" xfId="2291" xr:uid="{00000000-0005-0000-0000-0000A0050000}"/>
    <cellStyle name="Accent4 - 40%" xfId="2294" xr:uid="{00000000-0005-0000-0000-0000A1050000}"/>
    <cellStyle name="Accent4 - 40% 2" xfId="2296" xr:uid="{00000000-0005-0000-0000-0000A2050000}"/>
    <cellStyle name="Accent4 - 40%_PDF" xfId="2297" xr:uid="{00000000-0005-0000-0000-0000A3050000}"/>
    <cellStyle name="Accent4 - 60%" xfId="795" xr:uid="{00000000-0005-0000-0000-0000A4050000}"/>
    <cellStyle name="Accent4 10" xfId="2298" xr:uid="{00000000-0005-0000-0000-0000A5050000}"/>
    <cellStyle name="Accent4 11" xfId="507" xr:uid="{00000000-0005-0000-0000-0000A6050000}"/>
    <cellStyle name="Accent4 12" xfId="2300" xr:uid="{00000000-0005-0000-0000-0000A7050000}"/>
    <cellStyle name="Accent4 13" xfId="719" xr:uid="{00000000-0005-0000-0000-0000A8050000}"/>
    <cellStyle name="Accent4 14" xfId="534" xr:uid="{00000000-0005-0000-0000-0000A9050000}"/>
    <cellStyle name="Accent4 15" xfId="2301" xr:uid="{00000000-0005-0000-0000-0000AA050000}"/>
    <cellStyle name="Accent4 16" xfId="2303" xr:uid="{00000000-0005-0000-0000-0000AB050000}"/>
    <cellStyle name="Accent4 17" xfId="2305" xr:uid="{00000000-0005-0000-0000-0000AC050000}"/>
    <cellStyle name="Accent4 18" xfId="2307" xr:uid="{00000000-0005-0000-0000-0000AD050000}"/>
    <cellStyle name="Accent4 19" xfId="2309" xr:uid="{00000000-0005-0000-0000-0000AE050000}"/>
    <cellStyle name="Accent4 2" xfId="2311" xr:uid="{00000000-0005-0000-0000-0000AF050000}"/>
    <cellStyle name="Accent4 2 2" xfId="2030" xr:uid="{00000000-0005-0000-0000-0000B0050000}"/>
    <cellStyle name="Accent4 20" xfId="2302" xr:uid="{00000000-0005-0000-0000-0000B1050000}"/>
    <cellStyle name="Accent4 21" xfId="2304" xr:uid="{00000000-0005-0000-0000-0000B2050000}"/>
    <cellStyle name="Accent4 22" xfId="2306" xr:uid="{00000000-0005-0000-0000-0000B3050000}"/>
    <cellStyle name="Accent4 23" xfId="2308" xr:uid="{00000000-0005-0000-0000-0000B4050000}"/>
    <cellStyle name="Accent4 24" xfId="2310" xr:uid="{00000000-0005-0000-0000-0000B5050000}"/>
    <cellStyle name="Accent4 25" xfId="2312" xr:uid="{00000000-0005-0000-0000-0000B6050000}"/>
    <cellStyle name="Accent4 26" xfId="2314" xr:uid="{00000000-0005-0000-0000-0000B7050000}"/>
    <cellStyle name="Accent4 27" xfId="960" xr:uid="{00000000-0005-0000-0000-0000B8050000}"/>
    <cellStyle name="Accent4 28" xfId="967" xr:uid="{00000000-0005-0000-0000-0000B9050000}"/>
    <cellStyle name="Accent4 29" xfId="970" xr:uid="{00000000-0005-0000-0000-0000BA050000}"/>
    <cellStyle name="Accent4 3" xfId="2316" xr:uid="{00000000-0005-0000-0000-0000BB050000}"/>
    <cellStyle name="Accent4 30" xfId="2313" xr:uid="{00000000-0005-0000-0000-0000BC050000}"/>
    <cellStyle name="Accent4 31" xfId="2315" xr:uid="{00000000-0005-0000-0000-0000BD050000}"/>
    <cellStyle name="Accent4 32" xfId="961" xr:uid="{00000000-0005-0000-0000-0000BE050000}"/>
    <cellStyle name="Accent4 33" xfId="968" xr:uid="{00000000-0005-0000-0000-0000BF050000}"/>
    <cellStyle name="Accent4 34" xfId="971" xr:uid="{00000000-0005-0000-0000-0000C0050000}"/>
    <cellStyle name="Accent4 35" xfId="974" xr:uid="{00000000-0005-0000-0000-0000C1050000}"/>
    <cellStyle name="Accent4 36" xfId="2317" xr:uid="{00000000-0005-0000-0000-0000C2050000}"/>
    <cellStyle name="Accent4 37" xfId="2320" xr:uid="{00000000-0005-0000-0000-0000C3050000}"/>
    <cellStyle name="Accent4 38" xfId="2323" xr:uid="{00000000-0005-0000-0000-0000C4050000}"/>
    <cellStyle name="Accent4 39" xfId="2326" xr:uid="{00000000-0005-0000-0000-0000C5050000}"/>
    <cellStyle name="Accent4 4" xfId="2330" xr:uid="{00000000-0005-0000-0000-0000C6050000}"/>
    <cellStyle name="Accent4 40" xfId="975" xr:uid="{00000000-0005-0000-0000-0000C7050000}"/>
    <cellStyle name="Accent4 41" xfId="2318" xr:uid="{00000000-0005-0000-0000-0000C8050000}"/>
    <cellStyle name="Accent4 42" xfId="2321" xr:uid="{00000000-0005-0000-0000-0000C9050000}"/>
    <cellStyle name="Accent4 43" xfId="2324" xr:uid="{00000000-0005-0000-0000-0000CA050000}"/>
    <cellStyle name="Accent4 44" xfId="2327" xr:uid="{00000000-0005-0000-0000-0000CB050000}"/>
    <cellStyle name="Accent4 45" xfId="2331" xr:uid="{00000000-0005-0000-0000-0000CC050000}"/>
    <cellStyle name="Accent4 46" xfId="2334" xr:uid="{00000000-0005-0000-0000-0000CD050000}"/>
    <cellStyle name="Accent4 47" xfId="2337" xr:uid="{00000000-0005-0000-0000-0000CE050000}"/>
    <cellStyle name="Accent4 5" xfId="2340" xr:uid="{00000000-0005-0000-0000-0000CF050000}"/>
    <cellStyle name="Accent4 6" xfId="1140" xr:uid="{00000000-0005-0000-0000-0000D0050000}"/>
    <cellStyle name="Accent4 7" xfId="2341" xr:uid="{00000000-0005-0000-0000-0000D1050000}"/>
    <cellStyle name="Accent4 8" xfId="2342" xr:uid="{00000000-0005-0000-0000-0000D2050000}"/>
    <cellStyle name="Accent4 9" xfId="76" xr:uid="{00000000-0005-0000-0000-0000D3050000}"/>
    <cellStyle name="Accent5 - 20%" xfId="2343" xr:uid="{00000000-0005-0000-0000-0000D4050000}"/>
    <cellStyle name="Accent5 - 20% 2" xfId="2345" xr:uid="{00000000-0005-0000-0000-0000D5050000}"/>
    <cellStyle name="Accent5 - 20%_PDF" xfId="2347" xr:uid="{00000000-0005-0000-0000-0000D6050000}"/>
    <cellStyle name="Accent5 - 40%" xfId="2349" xr:uid="{00000000-0005-0000-0000-0000D7050000}"/>
    <cellStyle name="Accent5 - 40% 2" xfId="2119" xr:uid="{00000000-0005-0000-0000-0000D8050000}"/>
    <cellStyle name="Accent5 - 40%_PDF" xfId="2350" xr:uid="{00000000-0005-0000-0000-0000D9050000}"/>
    <cellStyle name="Accent5 - 60%" xfId="2351" xr:uid="{00000000-0005-0000-0000-0000DA050000}"/>
    <cellStyle name="Accent5 10" xfId="2353" xr:uid="{00000000-0005-0000-0000-0000DB050000}"/>
    <cellStyle name="Accent5 11" xfId="701" xr:uid="{00000000-0005-0000-0000-0000DC050000}"/>
    <cellStyle name="Accent5 12" xfId="2356" xr:uid="{00000000-0005-0000-0000-0000DD050000}"/>
    <cellStyle name="Accent5 13" xfId="2359" xr:uid="{00000000-0005-0000-0000-0000DE050000}"/>
    <cellStyle name="Accent5 14" xfId="2362" xr:uid="{00000000-0005-0000-0000-0000DF050000}"/>
    <cellStyle name="Accent5 15" xfId="2366" xr:uid="{00000000-0005-0000-0000-0000E0050000}"/>
    <cellStyle name="Accent5 16" xfId="2369" xr:uid="{00000000-0005-0000-0000-0000E1050000}"/>
    <cellStyle name="Accent5 17" xfId="2372" xr:uid="{00000000-0005-0000-0000-0000E2050000}"/>
    <cellStyle name="Accent5 18" xfId="2374" xr:uid="{00000000-0005-0000-0000-0000E3050000}"/>
    <cellStyle name="Accent5 19" xfId="8" xr:uid="{00000000-0005-0000-0000-0000E4050000}"/>
    <cellStyle name="Accent5 2" xfId="2376" xr:uid="{00000000-0005-0000-0000-0000E5050000}"/>
    <cellStyle name="Accent5 2 2" xfId="766" xr:uid="{00000000-0005-0000-0000-0000E6050000}"/>
    <cellStyle name="Accent5 20" xfId="2367" xr:uid="{00000000-0005-0000-0000-0000E7050000}"/>
    <cellStyle name="Accent5 21" xfId="2370" xr:uid="{00000000-0005-0000-0000-0000E8050000}"/>
    <cellStyle name="Accent5 22" xfId="2373" xr:uid="{00000000-0005-0000-0000-0000E9050000}"/>
    <cellStyle name="Accent5 23" xfId="2375" xr:uid="{00000000-0005-0000-0000-0000EA050000}"/>
    <cellStyle name="Accent5 24" xfId="9" xr:uid="{00000000-0005-0000-0000-0000EB050000}"/>
    <cellStyle name="Accent5 25" xfId="2377" xr:uid="{00000000-0005-0000-0000-0000EC050000}"/>
    <cellStyle name="Accent5 26" xfId="2380" xr:uid="{00000000-0005-0000-0000-0000ED050000}"/>
    <cellStyle name="Accent5 27" xfId="2383" xr:uid="{00000000-0005-0000-0000-0000EE050000}"/>
    <cellStyle name="Accent5 28" xfId="2386" xr:uid="{00000000-0005-0000-0000-0000EF050000}"/>
    <cellStyle name="Accent5 29" xfId="2389" xr:uid="{00000000-0005-0000-0000-0000F0050000}"/>
    <cellStyle name="Accent5 3" xfId="2392" xr:uid="{00000000-0005-0000-0000-0000F1050000}"/>
    <cellStyle name="Accent5 30" xfId="2378" xr:uid="{00000000-0005-0000-0000-0000F2050000}"/>
    <cellStyle name="Accent5 31" xfId="2381" xr:uid="{00000000-0005-0000-0000-0000F3050000}"/>
    <cellStyle name="Accent5 32" xfId="2384" xr:uid="{00000000-0005-0000-0000-0000F4050000}"/>
    <cellStyle name="Accent5 33" xfId="2387" xr:uid="{00000000-0005-0000-0000-0000F5050000}"/>
    <cellStyle name="Accent5 34" xfId="2390" xr:uid="{00000000-0005-0000-0000-0000F6050000}"/>
    <cellStyle name="Accent5 35" xfId="2393" xr:uid="{00000000-0005-0000-0000-0000F7050000}"/>
    <cellStyle name="Accent5 36" xfId="2398" xr:uid="{00000000-0005-0000-0000-0000F8050000}"/>
    <cellStyle name="Accent5 37" xfId="2403" xr:uid="{00000000-0005-0000-0000-0000F9050000}"/>
    <cellStyle name="Accent5 38" xfId="2408" xr:uid="{00000000-0005-0000-0000-0000FA050000}"/>
    <cellStyle name="Accent5 39" xfId="2413" xr:uid="{00000000-0005-0000-0000-0000FB050000}"/>
    <cellStyle name="Accent5 4" xfId="2418" xr:uid="{00000000-0005-0000-0000-0000FC050000}"/>
    <cellStyle name="Accent5 40" xfId="2394" xr:uid="{00000000-0005-0000-0000-0000FD050000}"/>
    <cellStyle name="Accent5 41" xfId="2399" xr:uid="{00000000-0005-0000-0000-0000FE050000}"/>
    <cellStyle name="Accent5 42" xfId="2404" xr:uid="{00000000-0005-0000-0000-0000FF050000}"/>
    <cellStyle name="Accent5 43" xfId="2409" xr:uid="{00000000-0005-0000-0000-000000060000}"/>
    <cellStyle name="Accent5 44" xfId="2414" xr:uid="{00000000-0005-0000-0000-000001060000}"/>
    <cellStyle name="Accent5 45" xfId="2421" xr:uid="{00000000-0005-0000-0000-000002060000}"/>
    <cellStyle name="Accent5 46" xfId="2424" xr:uid="{00000000-0005-0000-0000-000003060000}"/>
    <cellStyle name="Accent5 47" xfId="2426" xr:uid="{00000000-0005-0000-0000-000004060000}"/>
    <cellStyle name="Accent5 5" xfId="2428" xr:uid="{00000000-0005-0000-0000-000005060000}"/>
    <cellStyle name="Accent5 6" xfId="2431" xr:uid="{00000000-0005-0000-0000-000006060000}"/>
    <cellStyle name="Accent5 7" xfId="2434" xr:uid="{00000000-0005-0000-0000-000007060000}"/>
    <cellStyle name="Accent5 8" xfId="260" xr:uid="{00000000-0005-0000-0000-000008060000}"/>
    <cellStyle name="Accent5 9" xfId="2437" xr:uid="{00000000-0005-0000-0000-000009060000}"/>
    <cellStyle name="Accent6 - 20%" xfId="1241" xr:uid="{00000000-0005-0000-0000-00000A060000}"/>
    <cellStyle name="Accent6 - 20% 2" xfId="2255" xr:uid="{00000000-0005-0000-0000-00000B060000}"/>
    <cellStyle name="Accent6 - 20%_PDF" xfId="2440" xr:uid="{00000000-0005-0000-0000-00000C060000}"/>
    <cellStyle name="Accent6 - 40%" xfId="2442" xr:uid="{00000000-0005-0000-0000-00000D060000}"/>
    <cellStyle name="Accent6 - 40% 2" xfId="2443" xr:uid="{00000000-0005-0000-0000-00000E060000}"/>
    <cellStyle name="Accent6 - 40%_PDF" xfId="2444" xr:uid="{00000000-0005-0000-0000-00000F060000}"/>
    <cellStyle name="Accent6 - 60%" xfId="2446" xr:uid="{00000000-0005-0000-0000-000010060000}"/>
    <cellStyle name="Accent6 10" xfId="2449" xr:uid="{00000000-0005-0000-0000-000011060000}"/>
    <cellStyle name="Accent6 11" xfId="2450" xr:uid="{00000000-0005-0000-0000-000012060000}"/>
    <cellStyle name="Accent6 12" xfId="2452" xr:uid="{00000000-0005-0000-0000-000013060000}"/>
    <cellStyle name="Accent6 13" xfId="2453" xr:uid="{00000000-0005-0000-0000-000014060000}"/>
    <cellStyle name="Accent6 14" xfId="2454" xr:uid="{00000000-0005-0000-0000-000015060000}"/>
    <cellStyle name="Accent6 15" xfId="2455" xr:uid="{00000000-0005-0000-0000-000016060000}"/>
    <cellStyle name="Accent6 16" xfId="2458" xr:uid="{00000000-0005-0000-0000-000017060000}"/>
    <cellStyle name="Accent6 17" xfId="2460" xr:uid="{00000000-0005-0000-0000-000018060000}"/>
    <cellStyle name="Accent6 18" xfId="2463" xr:uid="{00000000-0005-0000-0000-000019060000}"/>
    <cellStyle name="Accent6 19" xfId="211" xr:uid="{00000000-0005-0000-0000-00001A060000}"/>
    <cellStyle name="Accent6 2" xfId="2465" xr:uid="{00000000-0005-0000-0000-00001B060000}"/>
    <cellStyle name="Accent6 2 2" xfId="2467" xr:uid="{00000000-0005-0000-0000-00001C060000}"/>
    <cellStyle name="Accent6 20" xfId="2456" xr:uid="{00000000-0005-0000-0000-00001D060000}"/>
    <cellStyle name="Accent6 21" xfId="2459" xr:uid="{00000000-0005-0000-0000-00001E060000}"/>
    <cellStyle name="Accent6 22" xfId="2461" xr:uid="{00000000-0005-0000-0000-00001F060000}"/>
    <cellStyle name="Accent6 23" xfId="2464" xr:uid="{00000000-0005-0000-0000-000020060000}"/>
    <cellStyle name="Accent6 24" xfId="210" xr:uid="{00000000-0005-0000-0000-000021060000}"/>
    <cellStyle name="Accent6 25" xfId="1372" xr:uid="{00000000-0005-0000-0000-000022060000}"/>
    <cellStyle name="Accent6 26" xfId="2081" xr:uid="{00000000-0005-0000-0000-000023060000}"/>
    <cellStyle name="Accent6 27" xfId="863" xr:uid="{00000000-0005-0000-0000-000024060000}"/>
    <cellStyle name="Accent6 28" xfId="1075" xr:uid="{00000000-0005-0000-0000-000025060000}"/>
    <cellStyle name="Accent6 29" xfId="2085" xr:uid="{00000000-0005-0000-0000-000026060000}"/>
    <cellStyle name="Accent6 3" xfId="2059" xr:uid="{00000000-0005-0000-0000-000027060000}"/>
    <cellStyle name="Accent6 30" xfId="1373" xr:uid="{00000000-0005-0000-0000-000028060000}"/>
    <cellStyle name="Accent6 31" xfId="2082" xr:uid="{00000000-0005-0000-0000-000029060000}"/>
    <cellStyle name="Accent6 32" xfId="864" xr:uid="{00000000-0005-0000-0000-00002A060000}"/>
    <cellStyle name="Accent6 33" xfId="1076" xr:uid="{00000000-0005-0000-0000-00002B060000}"/>
    <cellStyle name="Accent6 34" xfId="2086" xr:uid="{00000000-0005-0000-0000-00002C060000}"/>
    <cellStyle name="Accent6 35" xfId="2089" xr:uid="{00000000-0005-0000-0000-00002D060000}"/>
    <cellStyle name="Accent6 36" xfId="2093" xr:uid="{00000000-0005-0000-0000-00002E060000}"/>
    <cellStyle name="Accent6 37" xfId="2097" xr:uid="{00000000-0005-0000-0000-00002F060000}"/>
    <cellStyle name="Accent6 38" xfId="2470" xr:uid="{00000000-0005-0000-0000-000030060000}"/>
    <cellStyle name="Accent6 39" xfId="1721" xr:uid="{00000000-0005-0000-0000-000031060000}"/>
    <cellStyle name="Accent6 4" xfId="2473" xr:uid="{00000000-0005-0000-0000-000032060000}"/>
    <cellStyle name="Accent6 40" xfId="2090" xr:uid="{00000000-0005-0000-0000-000033060000}"/>
    <cellStyle name="Accent6 41" xfId="2094" xr:uid="{00000000-0005-0000-0000-000034060000}"/>
    <cellStyle name="Accent6 42" xfId="2098" xr:uid="{00000000-0005-0000-0000-000035060000}"/>
    <cellStyle name="Accent6 43" xfId="2471" xr:uid="{00000000-0005-0000-0000-000036060000}"/>
    <cellStyle name="Accent6 44" xfId="1722" xr:uid="{00000000-0005-0000-0000-000037060000}"/>
    <cellStyle name="Accent6 45" xfId="1313" xr:uid="{00000000-0005-0000-0000-000038060000}"/>
    <cellStyle name="Accent6 46" xfId="1728" xr:uid="{00000000-0005-0000-0000-000039060000}"/>
    <cellStyle name="Accent6 47" xfId="2475" xr:uid="{00000000-0005-0000-0000-00003A060000}"/>
    <cellStyle name="Accent6 5" xfId="2476" xr:uid="{00000000-0005-0000-0000-00003B060000}"/>
    <cellStyle name="Accent6 6" xfId="2478" xr:uid="{00000000-0005-0000-0000-00003C060000}"/>
    <cellStyle name="Accent6 7" xfId="2480" xr:uid="{00000000-0005-0000-0000-00003D060000}"/>
    <cellStyle name="Accent6 8" xfId="310" xr:uid="{00000000-0005-0000-0000-00003E060000}"/>
    <cellStyle name="Accent6 9" xfId="2482" xr:uid="{00000000-0005-0000-0000-00003F060000}"/>
    <cellStyle name="Accounting" xfId="2483" xr:uid="{00000000-0005-0000-0000-000040060000}"/>
    <cellStyle name="Accounting [0]" xfId="2484" xr:uid="{00000000-0005-0000-0000-000041060000}"/>
    <cellStyle name="Accounting [1]" xfId="2486" xr:uid="{00000000-0005-0000-0000-000042060000}"/>
    <cellStyle name="Accounting [1] 10" xfId="2488" xr:uid="{00000000-0005-0000-0000-000043060000}"/>
    <cellStyle name="Accounting [1] 11" xfId="796" xr:uid="{00000000-0005-0000-0000-000044060000}"/>
    <cellStyle name="Accounting [1] 12" xfId="78" xr:uid="{00000000-0005-0000-0000-000045060000}"/>
    <cellStyle name="Accounting [1] 13" xfId="2489" xr:uid="{00000000-0005-0000-0000-000046060000}"/>
    <cellStyle name="Accounting [1] 14" xfId="2490" xr:uid="{00000000-0005-0000-0000-000047060000}"/>
    <cellStyle name="Accounting [1] 15" xfId="2491" xr:uid="{00000000-0005-0000-0000-000048060000}"/>
    <cellStyle name="Accounting [1] 16" xfId="2493" xr:uid="{00000000-0005-0000-0000-000049060000}"/>
    <cellStyle name="Accounting [1] 17" xfId="2495" xr:uid="{00000000-0005-0000-0000-00004A060000}"/>
    <cellStyle name="Accounting [1] 18" xfId="330" xr:uid="{00000000-0005-0000-0000-00004B060000}"/>
    <cellStyle name="Accounting [1] 19" xfId="2497" xr:uid="{00000000-0005-0000-0000-00004C060000}"/>
    <cellStyle name="Accounting [1] 2" xfId="1077" xr:uid="{00000000-0005-0000-0000-00004D060000}"/>
    <cellStyle name="Accounting [1] 20" xfId="2492" xr:uid="{00000000-0005-0000-0000-00004E060000}"/>
    <cellStyle name="Accounting [1] 21" xfId="2494" xr:uid="{00000000-0005-0000-0000-00004F060000}"/>
    <cellStyle name="Accounting [1] 22" xfId="2496" xr:uid="{00000000-0005-0000-0000-000050060000}"/>
    <cellStyle name="Accounting [1] 23" xfId="329" xr:uid="{00000000-0005-0000-0000-000051060000}"/>
    <cellStyle name="Accounting [1] 24" xfId="2498" xr:uid="{00000000-0005-0000-0000-000052060000}"/>
    <cellStyle name="Accounting [1] 25" xfId="869" xr:uid="{00000000-0005-0000-0000-000053060000}"/>
    <cellStyle name="Accounting [1] 26" xfId="2499" xr:uid="{00000000-0005-0000-0000-000054060000}"/>
    <cellStyle name="Accounting [1] 27" xfId="2500" xr:uid="{00000000-0005-0000-0000-000055060000}"/>
    <cellStyle name="Accounting [1] 28" xfId="2501" xr:uid="{00000000-0005-0000-0000-000056060000}"/>
    <cellStyle name="Accounting [1] 29" xfId="914" xr:uid="{00000000-0005-0000-0000-000057060000}"/>
    <cellStyle name="Accounting [1] 3" xfId="2087" xr:uid="{00000000-0005-0000-0000-000058060000}"/>
    <cellStyle name="Accounting [1] 30" xfId="870" xr:uid="{00000000-0005-0000-0000-000059060000}"/>
    <cellStyle name="Accounting [1] 4" xfId="2091" xr:uid="{00000000-0005-0000-0000-00005A060000}"/>
    <cellStyle name="Accounting [1] 5" xfId="2095" xr:uid="{00000000-0005-0000-0000-00005B060000}"/>
    <cellStyle name="Accounting [1] 6" xfId="2099" xr:uid="{00000000-0005-0000-0000-00005C060000}"/>
    <cellStyle name="Accounting [1] 7" xfId="2472" xr:uid="{00000000-0005-0000-0000-00005D060000}"/>
    <cellStyle name="Accounting [1] 8" xfId="1723" xr:uid="{00000000-0005-0000-0000-00005E060000}"/>
    <cellStyle name="Accounting [1] 9" xfId="1314" xr:uid="{00000000-0005-0000-0000-00005F060000}"/>
    <cellStyle name="Acctg" xfId="2503" xr:uid="{00000000-0005-0000-0000-000060060000}"/>
    <cellStyle name="Acquisition" xfId="2505" xr:uid="{00000000-0005-0000-0000-000061060000}"/>
    <cellStyle name="active" xfId="2506" xr:uid="{00000000-0005-0000-0000-000062060000}"/>
    <cellStyle name="Actual data" xfId="1952" xr:uid="{00000000-0005-0000-0000-000063060000}"/>
    <cellStyle name="Actual data 2" xfId="2508" xr:uid="{00000000-0005-0000-0000-000064060000}"/>
    <cellStyle name="Actual year" xfId="2509" xr:uid="{00000000-0005-0000-0000-000065060000}"/>
    <cellStyle name="Actual year 10" xfId="2511" xr:uid="{00000000-0005-0000-0000-000066060000}"/>
    <cellStyle name="Actual year 11" xfId="2512" xr:uid="{00000000-0005-0000-0000-000067060000}"/>
    <cellStyle name="Actual year 12" xfId="2513" xr:uid="{00000000-0005-0000-0000-000068060000}"/>
    <cellStyle name="Actual year 13" xfId="1460" xr:uid="{00000000-0005-0000-0000-000069060000}"/>
    <cellStyle name="Actual year 14" xfId="2514" xr:uid="{00000000-0005-0000-0000-00006A060000}"/>
    <cellStyle name="Actual year 15" xfId="2515" xr:uid="{00000000-0005-0000-0000-00006B060000}"/>
    <cellStyle name="Actual year 16" xfId="2517" xr:uid="{00000000-0005-0000-0000-00006C060000}"/>
    <cellStyle name="Actual year 17" xfId="2519" xr:uid="{00000000-0005-0000-0000-00006D060000}"/>
    <cellStyle name="Actual year 18" xfId="2523" xr:uid="{00000000-0005-0000-0000-00006E060000}"/>
    <cellStyle name="Actual year 19" xfId="2525" xr:uid="{00000000-0005-0000-0000-00006F060000}"/>
    <cellStyle name="Actual year 2" xfId="2527" xr:uid="{00000000-0005-0000-0000-000070060000}"/>
    <cellStyle name="Actual year 2 10" xfId="2379" xr:uid="{00000000-0005-0000-0000-000071060000}"/>
    <cellStyle name="Actual year 2 11" xfId="2382" xr:uid="{00000000-0005-0000-0000-000072060000}"/>
    <cellStyle name="Actual year 2 12" xfId="2385" xr:uid="{00000000-0005-0000-0000-000073060000}"/>
    <cellStyle name="Actual year 2 13" xfId="2388" xr:uid="{00000000-0005-0000-0000-000074060000}"/>
    <cellStyle name="Actual year 2 14" xfId="2391" xr:uid="{00000000-0005-0000-0000-000075060000}"/>
    <cellStyle name="Actual year 2 15" xfId="2396" xr:uid="{00000000-0005-0000-0000-000076060000}"/>
    <cellStyle name="Actual year 2 16" xfId="2401" xr:uid="{00000000-0005-0000-0000-000077060000}"/>
    <cellStyle name="Actual year 2 17" xfId="2406" xr:uid="{00000000-0005-0000-0000-000078060000}"/>
    <cellStyle name="Actual year 2 18" xfId="2411" xr:uid="{00000000-0005-0000-0000-000079060000}"/>
    <cellStyle name="Actual year 2 19" xfId="2416" xr:uid="{00000000-0005-0000-0000-00007A060000}"/>
    <cellStyle name="Actual year 2 2" xfId="2419" xr:uid="{00000000-0005-0000-0000-00007B060000}"/>
    <cellStyle name="Actual year 2 20" xfId="2397" xr:uid="{00000000-0005-0000-0000-00007C060000}"/>
    <cellStyle name="Actual year 2 21" xfId="2402" xr:uid="{00000000-0005-0000-0000-00007D060000}"/>
    <cellStyle name="Actual year 2 22" xfId="2407" xr:uid="{00000000-0005-0000-0000-00007E060000}"/>
    <cellStyle name="Actual year 2 23" xfId="2412" xr:uid="{00000000-0005-0000-0000-00007F060000}"/>
    <cellStyle name="Actual year 2 24" xfId="2417" xr:uid="{00000000-0005-0000-0000-000080060000}"/>
    <cellStyle name="Actual year 2 25" xfId="2422" xr:uid="{00000000-0005-0000-0000-000081060000}"/>
    <cellStyle name="Actual year 2 26" xfId="2425" xr:uid="{00000000-0005-0000-0000-000082060000}"/>
    <cellStyle name="Actual year 2 27" xfId="2427" xr:uid="{00000000-0005-0000-0000-000083060000}"/>
    <cellStyle name="Actual year 2 28" xfId="149" xr:uid="{00000000-0005-0000-0000-000084060000}"/>
    <cellStyle name="Actual year 2 29" xfId="2529" xr:uid="{00000000-0005-0000-0000-000085060000}"/>
    <cellStyle name="Actual year 2 3" xfId="2430" xr:uid="{00000000-0005-0000-0000-000086060000}"/>
    <cellStyle name="Actual year 2 30" xfId="2423" xr:uid="{00000000-0005-0000-0000-000087060000}"/>
    <cellStyle name="Actual year 2 4" xfId="2433" xr:uid="{00000000-0005-0000-0000-000088060000}"/>
    <cellStyle name="Actual year 2 5" xfId="2436" xr:uid="{00000000-0005-0000-0000-000089060000}"/>
    <cellStyle name="Actual year 2 6" xfId="258" xr:uid="{00000000-0005-0000-0000-00008A060000}"/>
    <cellStyle name="Actual year 2 7" xfId="2439" xr:uid="{00000000-0005-0000-0000-00008B060000}"/>
    <cellStyle name="Actual year 2 8" xfId="2532" xr:uid="{00000000-0005-0000-0000-00008C060000}"/>
    <cellStyle name="Actual year 2 9" xfId="2534" xr:uid="{00000000-0005-0000-0000-00008D060000}"/>
    <cellStyle name="Actual year 20" xfId="2516" xr:uid="{00000000-0005-0000-0000-00008E060000}"/>
    <cellStyle name="Actual year 21" xfId="2518" xr:uid="{00000000-0005-0000-0000-00008F060000}"/>
    <cellStyle name="Actual year 22" xfId="2520" xr:uid="{00000000-0005-0000-0000-000090060000}"/>
    <cellStyle name="Actual year 23" xfId="2524" xr:uid="{00000000-0005-0000-0000-000091060000}"/>
    <cellStyle name="Actual year 24" xfId="2526" xr:uid="{00000000-0005-0000-0000-000092060000}"/>
    <cellStyle name="Actual year 25" xfId="2535" xr:uid="{00000000-0005-0000-0000-000093060000}"/>
    <cellStyle name="Actual year 26" xfId="2537" xr:uid="{00000000-0005-0000-0000-000094060000}"/>
    <cellStyle name="Actual year 27" xfId="2539" xr:uid="{00000000-0005-0000-0000-000095060000}"/>
    <cellStyle name="Actual year 28" xfId="2540" xr:uid="{00000000-0005-0000-0000-000096060000}"/>
    <cellStyle name="Actual year 29" xfId="2542" xr:uid="{00000000-0005-0000-0000-000097060000}"/>
    <cellStyle name="Actual year 3" xfId="1852" xr:uid="{00000000-0005-0000-0000-000098060000}"/>
    <cellStyle name="Actual year 30" xfId="2536" xr:uid="{00000000-0005-0000-0000-000099060000}"/>
    <cellStyle name="Actual year 31" xfId="2538" xr:uid="{00000000-0005-0000-0000-00009A060000}"/>
    <cellStyle name="Actual year 4" xfId="2543" xr:uid="{00000000-0005-0000-0000-00009B060000}"/>
    <cellStyle name="Actual year 5" xfId="2544" xr:uid="{00000000-0005-0000-0000-00009C060000}"/>
    <cellStyle name="Actual year 6" xfId="2545" xr:uid="{00000000-0005-0000-0000-00009D060000}"/>
    <cellStyle name="Actual year 7" xfId="492" xr:uid="{00000000-0005-0000-0000-00009E060000}"/>
    <cellStyle name="Actual year 8" xfId="2547" xr:uid="{00000000-0005-0000-0000-00009F060000}"/>
    <cellStyle name="Actual year 9" xfId="2549" xr:uid="{00000000-0005-0000-0000-0000A0060000}"/>
    <cellStyle name="Actual year_211109_ 1840" xfId="2551" xr:uid="{00000000-0005-0000-0000-0000A1060000}"/>
    <cellStyle name="Actuals Cells" xfId="2552" xr:uid="{00000000-0005-0000-0000-0000A2060000}"/>
    <cellStyle name="Actuals Cells 2" xfId="2553" xr:uid="{00000000-0005-0000-0000-0000A3060000}"/>
    <cellStyle name="Actuals Cells 3" xfId="842" xr:uid="{00000000-0005-0000-0000-0000A4060000}"/>
    <cellStyle name="Actuals Cells 4" xfId="2556" xr:uid="{00000000-0005-0000-0000-0000A5060000}"/>
    <cellStyle name="Actuals Cells 5" xfId="2558" xr:uid="{00000000-0005-0000-0000-0000A6060000}"/>
    <cellStyle name="Actuals Cells 6" xfId="1660" xr:uid="{00000000-0005-0000-0000-0000A7060000}"/>
    <cellStyle name="Adjustable" xfId="733" xr:uid="{00000000-0005-0000-0000-0000A8060000}"/>
    <cellStyle name="ÅëÈ­ [0]_±âÅ¸" xfId="2560" xr:uid="{00000000-0005-0000-0000-0000A9060000}"/>
    <cellStyle name="ÅëÈ­_±âÅ¸" xfId="2562" xr:uid="{00000000-0005-0000-0000-0000AA060000}"/>
    <cellStyle name="AFE" xfId="2563" xr:uid="{00000000-0005-0000-0000-0000AB060000}"/>
    <cellStyle name="AFE 2" xfId="2564" xr:uid="{00000000-0005-0000-0000-0000AC060000}"/>
    <cellStyle name="AFE 3" xfId="2565" xr:uid="{00000000-0005-0000-0000-0000AD060000}"/>
    <cellStyle name="AFE 4" xfId="2566" xr:uid="{00000000-0005-0000-0000-0000AE060000}"/>
    <cellStyle name="AFE 5" xfId="2567" xr:uid="{00000000-0005-0000-0000-0000AF060000}"/>
    <cellStyle name="AFE 6" xfId="2568" xr:uid="{00000000-0005-0000-0000-0000B0060000}"/>
    <cellStyle name="AFE_Motor Model 150610" xfId="2569" xr:uid="{00000000-0005-0000-0000-0000B1060000}"/>
    <cellStyle name="Alert" xfId="2571" xr:uid="{00000000-0005-0000-0000-0000B2060000}"/>
    <cellStyle name="args.style" xfId="2572" xr:uid="{00000000-0005-0000-0000-0000B3060000}"/>
    <cellStyle name="args.style 2" xfId="53" xr:uid="{00000000-0005-0000-0000-0000B4060000}"/>
    <cellStyle name="Arial 10" xfId="2573" xr:uid="{00000000-0005-0000-0000-0000B5060000}"/>
    <cellStyle name="Arial 12" xfId="2576" xr:uid="{00000000-0005-0000-0000-0000B6060000}"/>
    <cellStyle name="ÄÞ¸¶ [0]_´Ü°èº° ±¸Ãà¾È" xfId="1629" xr:uid="{00000000-0005-0000-0000-0000B7060000}"/>
    <cellStyle name="ÄÞ¸¶_´Ü°èº° ±¸Ãà¾È" xfId="752" xr:uid="{00000000-0005-0000-0000-0000B8060000}"/>
    <cellStyle name="Availability" xfId="2579" xr:uid="{00000000-0005-0000-0000-0000B9060000}"/>
    <cellStyle name="꬈b_xffff__xffff_" xfId="1891" xr:uid="{00000000-0005-0000-0000-0000BA060000}"/>
    <cellStyle name="B Table" xfId="2581" xr:uid="{00000000-0005-0000-0000-0000BB060000}"/>
    <cellStyle name="Background" xfId="2585" xr:uid="{00000000-0005-0000-0000-0000BC060000}"/>
    <cellStyle name="Bad 2" xfId="2587" xr:uid="{00000000-0005-0000-0000-0000BD060000}"/>
    <cellStyle name="Bad 2 2" xfId="342" xr:uid="{00000000-0005-0000-0000-0000BE060000}"/>
    <cellStyle name="Bad 3" xfId="29" xr:uid="{00000000-0005-0000-0000-0000BF060000}"/>
    <cellStyle name="Bad 4" xfId="219" xr:uid="{00000000-0005-0000-0000-0000C0060000}"/>
    <cellStyle name="Bad 5" xfId="2588" xr:uid="{00000000-0005-0000-0000-0000C1060000}"/>
    <cellStyle name="Bad 6" xfId="2589" xr:uid="{00000000-0005-0000-0000-0000C2060000}"/>
    <cellStyle name="Bad 7" xfId="2590" xr:uid="{00000000-0005-0000-0000-0000C3060000}"/>
    <cellStyle name="Bad 8" xfId="2591" xr:uid="{00000000-0005-0000-0000-0000C4060000}"/>
    <cellStyle name="Bad 9" xfId="2593" xr:uid="{00000000-0005-0000-0000-0000C5060000}"/>
    <cellStyle name="Band 2" xfId="2250" xr:uid="{00000000-0005-0000-0000-0000C6060000}"/>
    <cellStyle name="Band 2 2" xfId="1686" xr:uid="{00000000-0005-0000-0000-0000C7060000}"/>
    <cellStyle name="Bar Title" xfId="2596" xr:uid="{00000000-0005-0000-0000-0000C8060000}"/>
    <cellStyle name="Beregning" xfId="1957" xr:uid="{00000000-0005-0000-0000-0000C9060000}"/>
    <cellStyle name="Beregning 10" xfId="2597" xr:uid="{00000000-0005-0000-0000-0000CA060000}"/>
    <cellStyle name="Beregning 11" xfId="1027" xr:uid="{00000000-0005-0000-0000-0000CB060000}"/>
    <cellStyle name="Beregning 12" xfId="1030" xr:uid="{00000000-0005-0000-0000-0000CC060000}"/>
    <cellStyle name="Beregning 13" xfId="2599" xr:uid="{00000000-0005-0000-0000-0000CD060000}"/>
    <cellStyle name="Beregning 2" xfId="2600" xr:uid="{00000000-0005-0000-0000-0000CE060000}"/>
    <cellStyle name="Beregning 3" xfId="858" xr:uid="{00000000-0005-0000-0000-0000CF060000}"/>
    <cellStyle name="Beregning 4" xfId="2602" xr:uid="{00000000-0005-0000-0000-0000D0060000}"/>
    <cellStyle name="Beregning 5" xfId="2603" xr:uid="{00000000-0005-0000-0000-0000D1060000}"/>
    <cellStyle name="Beregning 6" xfId="324" xr:uid="{00000000-0005-0000-0000-0000D2060000}"/>
    <cellStyle name="Beregning 7" xfId="935" xr:uid="{00000000-0005-0000-0000-0000D3060000}"/>
    <cellStyle name="Beregning 8" xfId="938" xr:uid="{00000000-0005-0000-0000-0000D4060000}"/>
    <cellStyle name="Beregning 9" xfId="486" xr:uid="{00000000-0005-0000-0000-0000D5060000}"/>
    <cellStyle name="Besuchtɥr Hyperlink" xfId="2604" xr:uid="{00000000-0005-0000-0000-0000D6060000}"/>
    <cellStyle name="Black" xfId="2606" xr:uid="{00000000-0005-0000-0000-0000D7060000}"/>
    <cellStyle name="Blank" xfId="2607" xr:uid="{00000000-0005-0000-0000-0000D8060000}"/>
    <cellStyle name="Blank 2" xfId="2608" xr:uid="{00000000-0005-0000-0000-0000D9060000}"/>
    <cellStyle name="Blank 3" xfId="2611" xr:uid="{00000000-0005-0000-0000-0000DA060000}"/>
    <cellStyle name="Blank 4" xfId="2614" xr:uid="{00000000-0005-0000-0000-0000DB060000}"/>
    <cellStyle name="Blank 5" xfId="2617" xr:uid="{00000000-0005-0000-0000-0000DC060000}"/>
    <cellStyle name="Blank 6" xfId="2619" xr:uid="{00000000-0005-0000-0000-0000DD060000}"/>
    <cellStyle name="Blank 7" xfId="707" xr:uid="{00000000-0005-0000-0000-0000DE060000}"/>
    <cellStyle name="Blue" xfId="2621" xr:uid="{00000000-0005-0000-0000-0000DF060000}"/>
    <cellStyle name="Body" xfId="2622" xr:uid="{00000000-0005-0000-0000-0000E0060000}"/>
    <cellStyle name="Bold/Border" xfId="2624" xr:uid="{00000000-0005-0000-0000-0000E1060000}"/>
    <cellStyle name="Bold/Border 2" xfId="2625" xr:uid="{00000000-0005-0000-0000-0000E2060000}"/>
    <cellStyle name="Bold/Border 2 2" xfId="2626" xr:uid="{00000000-0005-0000-0000-0000E3060000}"/>
    <cellStyle name="Bold/Border 3" xfId="2627" xr:uid="{00000000-0005-0000-0000-0000E4060000}"/>
    <cellStyle name="Bold/Border 4" xfId="2628" xr:uid="{00000000-0005-0000-0000-0000E5060000}"/>
    <cellStyle name="Boolean" xfId="2629" xr:uid="{00000000-0005-0000-0000-0000E6060000}"/>
    <cellStyle name="Border" xfId="2630" xr:uid="{00000000-0005-0000-0000-0000E7060000}"/>
    <cellStyle name="Border 10" xfId="1694" xr:uid="{00000000-0005-0000-0000-0000E8060000}"/>
    <cellStyle name="Border 11" xfId="512" xr:uid="{00000000-0005-0000-0000-0000E9060000}"/>
    <cellStyle name="Border 12" xfId="2632" xr:uid="{00000000-0005-0000-0000-0000EA060000}"/>
    <cellStyle name="Border 13" xfId="2633" xr:uid="{00000000-0005-0000-0000-0000EB060000}"/>
    <cellStyle name="Border 2" xfId="1508" xr:uid="{00000000-0005-0000-0000-0000EC060000}"/>
    <cellStyle name="Border 3" xfId="2634" xr:uid="{00000000-0005-0000-0000-0000ED060000}"/>
    <cellStyle name="Border 4" xfId="2635" xr:uid="{00000000-0005-0000-0000-0000EE060000}"/>
    <cellStyle name="Border 5" xfId="2636" xr:uid="{00000000-0005-0000-0000-0000EF060000}"/>
    <cellStyle name="Border 6" xfId="1566" xr:uid="{00000000-0005-0000-0000-0000F0060000}"/>
    <cellStyle name="Border 7" xfId="2637" xr:uid="{00000000-0005-0000-0000-0000F1060000}"/>
    <cellStyle name="Border 8" xfId="2638" xr:uid="{00000000-0005-0000-0000-0000F2060000}"/>
    <cellStyle name="Border 9" xfId="2639" xr:uid="{00000000-0005-0000-0000-0000F3060000}"/>
    <cellStyle name="Border Heavy" xfId="745" xr:uid="{00000000-0005-0000-0000-0000F4060000}"/>
    <cellStyle name="Border Thin" xfId="2640" xr:uid="{00000000-0005-0000-0000-0000F5060000}"/>
    <cellStyle name="BothUnits" xfId="2641" xr:uid="{00000000-0005-0000-0000-0000F6060000}"/>
    <cellStyle name="Box" xfId="2642" xr:uid="{00000000-0005-0000-0000-0000F7060000}"/>
    <cellStyle name="bp--" xfId="1394" xr:uid="{00000000-0005-0000-0000-0000F8060000}"/>
    <cellStyle name="British Pound" xfId="2352" xr:uid="{00000000-0005-0000-0000-0000F9060000}"/>
    <cellStyle name="Buena" xfId="2644" xr:uid="{00000000-0005-0000-0000-0000FA060000}"/>
    <cellStyle name="Bullet" xfId="583" xr:uid="{00000000-0005-0000-0000-0000FB060000}"/>
    <cellStyle name="Bullet 2" xfId="2647" xr:uid="{00000000-0005-0000-0000-0000FC060000}"/>
    <cellStyle name="Bullet 3" xfId="2648" xr:uid="{00000000-0005-0000-0000-0000FD060000}"/>
    <cellStyle name="Bullet 4" xfId="2649" xr:uid="{00000000-0005-0000-0000-0000FE060000}"/>
    <cellStyle name="Bullet 5" xfId="2650" xr:uid="{00000000-0005-0000-0000-0000FF060000}"/>
    <cellStyle name="Bullet 6" xfId="1110" xr:uid="{00000000-0005-0000-0000-000000070000}"/>
    <cellStyle name="Bulleted List - Style 1" xfId="2651" xr:uid="{00000000-0005-0000-0000-000001070000}"/>
    <cellStyle name="Bulletin" xfId="2652" xr:uid="{00000000-0005-0000-0000-000002070000}"/>
    <cellStyle name="꬜bѬÍ֠ÍѬÍդÍ֤Í" xfId="2653" xr:uid="{00000000-0005-0000-0000-000003070000}"/>
    <cellStyle name="c" xfId="2654" xr:uid="{00000000-0005-0000-0000-000004070000}"/>
    <cellStyle name="c 2" xfId="2655" xr:uid="{00000000-0005-0000-0000-000005070000}"/>
    <cellStyle name="c 3" xfId="2657" xr:uid="{00000000-0005-0000-0000-000006070000}"/>
    <cellStyle name="c 4" xfId="2658" xr:uid="{00000000-0005-0000-0000-000007070000}"/>
    <cellStyle name="c 5" xfId="2660" xr:uid="{00000000-0005-0000-0000-000008070000}"/>
    <cellStyle name="c 6" xfId="2662" xr:uid="{00000000-0005-0000-0000-000009070000}"/>
    <cellStyle name="C?AØ_¿?¾÷CoE² " xfId="2663" xr:uid="{00000000-0005-0000-0000-00000A070000}"/>
    <cellStyle name="Ç¥ÁØ_´Ü°èº° ±¸Ãà¾È" xfId="1888" xr:uid="{00000000-0005-0000-0000-00000B070000}"/>
    <cellStyle name="C￥AØ_¿μ¾÷CoE² " xfId="2665" xr:uid="{00000000-0005-0000-0000-00000C070000}"/>
    <cellStyle name="Ç¥ÁØ_NEGS" xfId="2668" xr:uid="{00000000-0005-0000-0000-00000D070000}"/>
    <cellStyle name="C05_Style E Text" xfId="2670" xr:uid="{00000000-0005-0000-0000-00000E070000}"/>
    <cellStyle name="Calc" xfId="2672" xr:uid="{00000000-0005-0000-0000-00000F070000}"/>
    <cellStyle name="Calc Cells" xfId="2673" xr:uid="{00000000-0005-0000-0000-000010070000}"/>
    <cellStyle name="Calc Cells 2" xfId="1494" xr:uid="{00000000-0005-0000-0000-000011070000}"/>
    <cellStyle name="Calc Cells 3" xfId="2675" xr:uid="{00000000-0005-0000-0000-000012070000}"/>
    <cellStyle name="Calc Cells 4" xfId="2676" xr:uid="{00000000-0005-0000-0000-000013070000}"/>
    <cellStyle name="Calc Cells 5" xfId="2677" xr:uid="{00000000-0005-0000-0000-000014070000}"/>
    <cellStyle name="Calc Cells 6" xfId="1455" xr:uid="{00000000-0005-0000-0000-000015070000}"/>
    <cellStyle name="Calc Currency (0)" xfId="871" xr:uid="{00000000-0005-0000-0000-000016070000}"/>
    <cellStyle name="Calc Currency (2)" xfId="2678" xr:uid="{00000000-0005-0000-0000-000017070000}"/>
    <cellStyle name="Calc Percent (0)" xfId="2680" xr:uid="{00000000-0005-0000-0000-000018070000}"/>
    <cellStyle name="Calc Percent (1)" xfId="2681" xr:uid="{00000000-0005-0000-0000-000019070000}"/>
    <cellStyle name="Calc Percent (2)" xfId="2682" xr:uid="{00000000-0005-0000-0000-00001A070000}"/>
    <cellStyle name="Calc Units (0)" xfId="2686" xr:uid="{00000000-0005-0000-0000-00001B070000}"/>
    <cellStyle name="Calc Units (1)" xfId="2688" xr:uid="{00000000-0005-0000-0000-00001C070000}"/>
    <cellStyle name="Calc Units (2)" xfId="2690" xr:uid="{00000000-0005-0000-0000-00001D070000}"/>
    <cellStyle name="Calc Units (2) 2" xfId="2691" xr:uid="{00000000-0005-0000-0000-00001E070000}"/>
    <cellStyle name="Calc Units (2) 3" xfId="2692" xr:uid="{00000000-0005-0000-0000-00001F070000}"/>
    <cellStyle name="Calc Units (2) 4" xfId="2693" xr:uid="{00000000-0005-0000-0000-000020070000}"/>
    <cellStyle name="Calc Units (2) 5" xfId="2694" xr:uid="{00000000-0005-0000-0000-000021070000}"/>
    <cellStyle name="Calc Units (2) 6" xfId="80" xr:uid="{00000000-0005-0000-0000-000022070000}"/>
    <cellStyle name="Calc Units (2) 7" xfId="1160" xr:uid="{00000000-0005-0000-0000-000023070000}"/>
    <cellStyle name="Calc Units (2) 8" xfId="2695" xr:uid="{00000000-0005-0000-0000-000024070000}"/>
    <cellStyle name="Calc Units (2)_PI-international comps" xfId="2696" xr:uid="{00000000-0005-0000-0000-000025070000}"/>
    <cellStyle name="Calc[0]" xfId="2698" xr:uid="{00000000-0005-0000-0000-000026070000}"/>
    <cellStyle name="Calc_0dp" xfId="2700" xr:uid="{00000000-0005-0000-0000-000027070000}"/>
    <cellStyle name="CalcedCell" xfId="684" xr:uid="{00000000-0005-0000-0000-000028070000}"/>
    <cellStyle name="CalcedCell 2" xfId="720" xr:uid="{00000000-0005-0000-0000-000029070000}"/>
    <cellStyle name="CalcedCellHours" xfId="2703" xr:uid="{00000000-0005-0000-0000-00002A070000}"/>
    <cellStyle name="CalcInput" xfId="2704" xr:uid="{00000000-0005-0000-0000-00002B070000}"/>
    <cellStyle name="Calcs" xfId="2706" xr:uid="{00000000-0005-0000-0000-00002C070000}"/>
    <cellStyle name="Calculation 10" xfId="2708" xr:uid="{00000000-0005-0000-0000-00002D070000}"/>
    <cellStyle name="Calculation 2" xfId="2709" xr:uid="{00000000-0005-0000-0000-00002E070000}"/>
    <cellStyle name="Calculation 2 10" xfId="25" xr:uid="{00000000-0005-0000-0000-00002F070000}"/>
    <cellStyle name="Calculation 2 11" xfId="61" xr:uid="{00000000-0005-0000-0000-000030070000}"/>
    <cellStyle name="Calculation 2 12" xfId="62" xr:uid="{00000000-0005-0000-0000-000031070000}"/>
    <cellStyle name="Calculation 2 13" xfId="673" xr:uid="{00000000-0005-0000-0000-000032070000}"/>
    <cellStyle name="Calculation 2 14" xfId="2710" xr:uid="{00000000-0005-0000-0000-000033070000}"/>
    <cellStyle name="Calculation 2 2" xfId="2711" xr:uid="{00000000-0005-0000-0000-000034070000}"/>
    <cellStyle name="Calculation 2 2 10" xfId="2474" xr:uid="{00000000-0005-0000-0000-000035070000}"/>
    <cellStyle name="Calculation 2 2 11" xfId="2477" xr:uid="{00000000-0005-0000-0000-000036070000}"/>
    <cellStyle name="Calculation 2 2 12" xfId="2479" xr:uid="{00000000-0005-0000-0000-000037070000}"/>
    <cellStyle name="Calculation 2 2 13" xfId="2481" xr:uid="{00000000-0005-0000-0000-000038070000}"/>
    <cellStyle name="Calculation 2 2 2" xfId="2713" xr:uid="{00000000-0005-0000-0000-000039070000}"/>
    <cellStyle name="Calculation 2 2 3" xfId="667" xr:uid="{00000000-0005-0000-0000-00003A070000}"/>
    <cellStyle name="Calculation 2 2 4" xfId="2715" xr:uid="{00000000-0005-0000-0000-00003B070000}"/>
    <cellStyle name="Calculation 2 2 5" xfId="87" xr:uid="{00000000-0005-0000-0000-00003C070000}"/>
    <cellStyle name="Calculation 2 2 6" xfId="2717" xr:uid="{00000000-0005-0000-0000-00003D070000}"/>
    <cellStyle name="Calculation 2 2 7" xfId="2718" xr:uid="{00000000-0005-0000-0000-00003E070000}"/>
    <cellStyle name="Calculation 2 2 8" xfId="387" xr:uid="{00000000-0005-0000-0000-00003F070000}"/>
    <cellStyle name="Calculation 2 2 9" xfId="2719" xr:uid="{00000000-0005-0000-0000-000040070000}"/>
    <cellStyle name="Calculation 2 3" xfId="2721" xr:uid="{00000000-0005-0000-0000-000041070000}"/>
    <cellStyle name="Calculation 2 4" xfId="1858" xr:uid="{00000000-0005-0000-0000-000042070000}"/>
    <cellStyle name="Calculation 2 5" xfId="187" xr:uid="{00000000-0005-0000-0000-000043070000}"/>
    <cellStyle name="Calculation 2 6" xfId="2724" xr:uid="{00000000-0005-0000-0000-000044070000}"/>
    <cellStyle name="Calculation 2 7" xfId="2725" xr:uid="{00000000-0005-0000-0000-000045070000}"/>
    <cellStyle name="Calculation 2 8" xfId="2726" xr:uid="{00000000-0005-0000-0000-000046070000}"/>
    <cellStyle name="Calculation 2 9" xfId="2727" xr:uid="{00000000-0005-0000-0000-000047070000}"/>
    <cellStyle name="Calculation 2_Completion Const%" xfId="1649" xr:uid="{00000000-0005-0000-0000-000048070000}"/>
    <cellStyle name="Calculation 3" xfId="2728" xr:uid="{00000000-0005-0000-0000-000049070000}"/>
    <cellStyle name="Calculation 3 10" xfId="2156" xr:uid="{00000000-0005-0000-0000-00004A070000}"/>
    <cellStyle name="Calculation 3 11" xfId="2729" xr:uid="{00000000-0005-0000-0000-00004B070000}"/>
    <cellStyle name="Calculation 3 12" xfId="399" xr:uid="{00000000-0005-0000-0000-00004C070000}"/>
    <cellStyle name="Calculation 3 13" xfId="2730" xr:uid="{00000000-0005-0000-0000-00004D070000}"/>
    <cellStyle name="Calculation 3 2" xfId="2731" xr:uid="{00000000-0005-0000-0000-00004E070000}"/>
    <cellStyle name="Calculation 3 3" xfId="2732" xr:uid="{00000000-0005-0000-0000-00004F070000}"/>
    <cellStyle name="Calculation 3 4" xfId="2733" xr:uid="{00000000-0005-0000-0000-000050070000}"/>
    <cellStyle name="Calculation 3 5" xfId="2734" xr:uid="{00000000-0005-0000-0000-000051070000}"/>
    <cellStyle name="Calculation 3 6" xfId="2736" xr:uid="{00000000-0005-0000-0000-000052070000}"/>
    <cellStyle name="Calculation 3 7" xfId="2737" xr:uid="{00000000-0005-0000-0000-000053070000}"/>
    <cellStyle name="Calculation 3 8" xfId="2739" xr:uid="{00000000-0005-0000-0000-000054070000}"/>
    <cellStyle name="Calculation 3 9" xfId="2741" xr:uid="{00000000-0005-0000-0000-000055070000}"/>
    <cellStyle name="Calculation 4" xfId="2742" xr:uid="{00000000-0005-0000-0000-000056070000}"/>
    <cellStyle name="Calculation 4 10" xfId="2743" xr:uid="{00000000-0005-0000-0000-000057070000}"/>
    <cellStyle name="Calculation 4 11" xfId="2744" xr:uid="{00000000-0005-0000-0000-000058070000}"/>
    <cellStyle name="Calculation 4 12" xfId="2745" xr:uid="{00000000-0005-0000-0000-000059070000}"/>
    <cellStyle name="Calculation 4 13" xfId="2746" xr:uid="{00000000-0005-0000-0000-00005A070000}"/>
    <cellStyle name="Calculation 4 2" xfId="2747" xr:uid="{00000000-0005-0000-0000-00005B070000}"/>
    <cellStyle name="Calculation 4 3" xfId="2750" xr:uid="{00000000-0005-0000-0000-00005C070000}"/>
    <cellStyle name="Calculation 4 4" xfId="1698" xr:uid="{00000000-0005-0000-0000-00005D070000}"/>
    <cellStyle name="Calculation 4 5" xfId="2751" xr:uid="{00000000-0005-0000-0000-00005E070000}"/>
    <cellStyle name="Calculation 4 6" xfId="2752" xr:uid="{00000000-0005-0000-0000-00005F070000}"/>
    <cellStyle name="Calculation 4 7" xfId="2753" xr:uid="{00000000-0005-0000-0000-000060070000}"/>
    <cellStyle name="Calculation 4 8" xfId="2754" xr:uid="{00000000-0005-0000-0000-000061070000}"/>
    <cellStyle name="Calculation 4 9" xfId="2755" xr:uid="{00000000-0005-0000-0000-000062070000}"/>
    <cellStyle name="Calculation 5" xfId="579" xr:uid="{00000000-0005-0000-0000-000063070000}"/>
    <cellStyle name="Calculation 5 10" xfId="2756" xr:uid="{00000000-0005-0000-0000-000064070000}"/>
    <cellStyle name="Calculation 5 11" xfId="272" xr:uid="{00000000-0005-0000-0000-000065070000}"/>
    <cellStyle name="Calculation 5 12" xfId="2757" xr:uid="{00000000-0005-0000-0000-000066070000}"/>
    <cellStyle name="Calculation 5 13" xfId="2759" xr:uid="{00000000-0005-0000-0000-000067070000}"/>
    <cellStyle name="Calculation 5 2" xfId="2761" xr:uid="{00000000-0005-0000-0000-000068070000}"/>
    <cellStyle name="Calculation 5 3" xfId="2762" xr:uid="{00000000-0005-0000-0000-000069070000}"/>
    <cellStyle name="Calculation 5 4" xfId="2763" xr:uid="{00000000-0005-0000-0000-00006A070000}"/>
    <cellStyle name="Calculation 5 5" xfId="2765" xr:uid="{00000000-0005-0000-0000-00006B070000}"/>
    <cellStyle name="Calculation 5 6" xfId="2623" xr:uid="{00000000-0005-0000-0000-00006C070000}"/>
    <cellStyle name="Calculation 5 7" xfId="2766" xr:uid="{00000000-0005-0000-0000-00006D070000}"/>
    <cellStyle name="Calculation 5 8" xfId="2767" xr:uid="{00000000-0005-0000-0000-00006E070000}"/>
    <cellStyle name="Calculation 5 9" xfId="2768" xr:uid="{00000000-0005-0000-0000-00006F070000}"/>
    <cellStyle name="Calculation 6" xfId="2769" xr:uid="{00000000-0005-0000-0000-000070070000}"/>
    <cellStyle name="Calculation 6 10" xfId="2770" xr:uid="{00000000-0005-0000-0000-000071070000}"/>
    <cellStyle name="Calculation 6 11" xfId="2771" xr:uid="{00000000-0005-0000-0000-000072070000}"/>
    <cellStyle name="Calculation 6 12" xfId="2772" xr:uid="{00000000-0005-0000-0000-000073070000}"/>
    <cellStyle name="Calculation 6 13" xfId="1086" xr:uid="{00000000-0005-0000-0000-000074070000}"/>
    <cellStyle name="Calculation 6 2" xfId="2773" xr:uid="{00000000-0005-0000-0000-000075070000}"/>
    <cellStyle name="Calculation 6 3" xfId="2487" xr:uid="{00000000-0005-0000-0000-000076070000}"/>
    <cellStyle name="Calculation 6 4" xfId="2774" xr:uid="{00000000-0005-0000-0000-000077070000}"/>
    <cellStyle name="Calculation 6 5" xfId="2775" xr:uid="{00000000-0005-0000-0000-000078070000}"/>
    <cellStyle name="Calculation 6 6" xfId="217" xr:uid="{00000000-0005-0000-0000-000079070000}"/>
    <cellStyle name="Calculation 6 7" xfId="2776" xr:uid="{00000000-0005-0000-0000-00007A070000}"/>
    <cellStyle name="Calculation 6 8" xfId="2777" xr:uid="{00000000-0005-0000-0000-00007B070000}"/>
    <cellStyle name="Calculation 6 9" xfId="2778" xr:uid="{00000000-0005-0000-0000-00007C070000}"/>
    <cellStyle name="Calculation 7" xfId="2779" xr:uid="{00000000-0005-0000-0000-00007D070000}"/>
    <cellStyle name="Calculation 7 10" xfId="2781" xr:uid="{00000000-0005-0000-0000-00007E070000}"/>
    <cellStyle name="Calculation 7 11" xfId="2782" xr:uid="{00000000-0005-0000-0000-00007F070000}"/>
    <cellStyle name="Calculation 7 12" xfId="2783" xr:uid="{00000000-0005-0000-0000-000080070000}"/>
    <cellStyle name="Calculation 7 13" xfId="2784" xr:uid="{00000000-0005-0000-0000-000081070000}"/>
    <cellStyle name="Calculation 7 2" xfId="2785" xr:uid="{00000000-0005-0000-0000-000082070000}"/>
    <cellStyle name="Calculation 7 3" xfId="2788" xr:uid="{00000000-0005-0000-0000-000083070000}"/>
    <cellStyle name="Calculation 7 4" xfId="2790" xr:uid="{00000000-0005-0000-0000-000084070000}"/>
    <cellStyle name="Calculation 7 5" xfId="1735" xr:uid="{00000000-0005-0000-0000-000085070000}"/>
    <cellStyle name="Calculation 7 6" xfId="996" xr:uid="{00000000-0005-0000-0000-000086070000}"/>
    <cellStyle name="Calculation 7 7" xfId="2792" xr:uid="{00000000-0005-0000-0000-000087070000}"/>
    <cellStyle name="Calculation 7 8" xfId="2793" xr:uid="{00000000-0005-0000-0000-000088070000}"/>
    <cellStyle name="Calculation 7 9" xfId="2794" xr:uid="{00000000-0005-0000-0000-000089070000}"/>
    <cellStyle name="Calculation 8" xfId="2795" xr:uid="{00000000-0005-0000-0000-00008A070000}"/>
    <cellStyle name="Calculation 8 10" xfId="2797" xr:uid="{00000000-0005-0000-0000-00008B070000}"/>
    <cellStyle name="Calculation 8 11" xfId="2799" xr:uid="{00000000-0005-0000-0000-00008C070000}"/>
    <cellStyle name="Calculation 8 12" xfId="696" xr:uid="{00000000-0005-0000-0000-00008D070000}"/>
    <cellStyle name="Calculation 8 13" xfId="2802" xr:uid="{00000000-0005-0000-0000-00008E070000}"/>
    <cellStyle name="Calculation 8 2" xfId="2805" xr:uid="{00000000-0005-0000-0000-00008F070000}"/>
    <cellStyle name="Calculation 8 3" xfId="2807" xr:uid="{00000000-0005-0000-0000-000090070000}"/>
    <cellStyle name="Calculation 8 4" xfId="2808" xr:uid="{00000000-0005-0000-0000-000091070000}"/>
    <cellStyle name="Calculation 8 5" xfId="2809" xr:uid="{00000000-0005-0000-0000-000092070000}"/>
    <cellStyle name="Calculation 8 6" xfId="2810" xr:uid="{00000000-0005-0000-0000-000093070000}"/>
    <cellStyle name="Calculation 8 7" xfId="2598" xr:uid="{00000000-0005-0000-0000-000094070000}"/>
    <cellStyle name="Calculation 8 8" xfId="1028" xr:uid="{00000000-0005-0000-0000-000095070000}"/>
    <cellStyle name="Calculation 8 9" xfId="1031" xr:uid="{00000000-0005-0000-0000-000096070000}"/>
    <cellStyle name="Calculation 9" xfId="1643" xr:uid="{00000000-0005-0000-0000-000097070000}"/>
    <cellStyle name="Cálculo" xfId="2811" xr:uid="{00000000-0005-0000-0000-000098070000}"/>
    <cellStyle name="Cálculo 10" xfId="2812" xr:uid="{00000000-0005-0000-0000-000099070000}"/>
    <cellStyle name="Cálculo 11" xfId="2813" xr:uid="{00000000-0005-0000-0000-00009A070000}"/>
    <cellStyle name="Cálculo 12" xfId="2814" xr:uid="{00000000-0005-0000-0000-00009B070000}"/>
    <cellStyle name="Cálculo 13" xfId="2816" xr:uid="{00000000-0005-0000-0000-00009C070000}"/>
    <cellStyle name="Cálculo 2" xfId="1578" xr:uid="{00000000-0005-0000-0000-00009D070000}"/>
    <cellStyle name="Cálculo 3" xfId="2817" xr:uid="{00000000-0005-0000-0000-00009E070000}"/>
    <cellStyle name="Cálculo 4" xfId="2818" xr:uid="{00000000-0005-0000-0000-00009F070000}"/>
    <cellStyle name="Cálculo 5" xfId="2820" xr:uid="{00000000-0005-0000-0000-0000A0070000}"/>
    <cellStyle name="Cálculo 6" xfId="2821" xr:uid="{00000000-0005-0000-0000-0000A1070000}"/>
    <cellStyle name="Cálculo 7" xfId="2822" xr:uid="{00000000-0005-0000-0000-0000A2070000}"/>
    <cellStyle name="Cálculo 8" xfId="2823" xr:uid="{00000000-0005-0000-0000-0000A3070000}"/>
    <cellStyle name="Cálculo 9" xfId="2824" xr:uid="{00000000-0005-0000-0000-0000A4070000}"/>
    <cellStyle name="Cat title white end" xfId="1465" xr:uid="{00000000-0005-0000-0000-0000A5070000}"/>
    <cellStyle name="category" xfId="2825" xr:uid="{00000000-0005-0000-0000-0000A6070000}"/>
    <cellStyle name="CCP worksheet" xfId="39" xr:uid="{00000000-0005-0000-0000-0000A7070000}"/>
    <cellStyle name="Celda de comprobación" xfId="215" xr:uid="{00000000-0005-0000-0000-0000A8070000}"/>
    <cellStyle name="Celda vinculada" xfId="2827" xr:uid="{00000000-0005-0000-0000-0000A9070000}"/>
    <cellStyle name="center across" xfId="2828" xr:uid="{00000000-0005-0000-0000-0000AA070000}"/>
    <cellStyle name="CENTER HEAD" xfId="2829" xr:uid="{00000000-0005-0000-0000-0000AB070000}"/>
    <cellStyle name="CENTER HEAD 2" xfId="2830" xr:uid="{00000000-0005-0000-0000-0000AC070000}"/>
    <cellStyle name="CENTER HEAD 8" xfId="2831" xr:uid="{00000000-0005-0000-0000-0000AD070000}"/>
    <cellStyle name="CENTER HEAD 8 2" xfId="2832" xr:uid="{00000000-0005-0000-0000-0000AE070000}"/>
    <cellStyle name="CENTER HEAD 9" xfId="635" xr:uid="{00000000-0005-0000-0000-0000AF070000}"/>
    <cellStyle name="CENTER HEAD 9 2" xfId="2833" xr:uid="{00000000-0005-0000-0000-0000B0070000}"/>
    <cellStyle name="CENTER LABEL" xfId="2834" xr:uid="{00000000-0005-0000-0000-0000B1070000}"/>
    <cellStyle name="CENTER LABEL 2" xfId="1834" xr:uid="{00000000-0005-0000-0000-0000B2070000}"/>
    <cellStyle name="Cents" xfId="2835" xr:uid="{00000000-0005-0000-0000-0000B3070000}"/>
    <cellStyle name="Change in formula - number" xfId="2836" xr:uid="{00000000-0005-0000-0000-0000B4070000}"/>
    <cellStyle name="Changeable" xfId="2837" xr:uid="{00000000-0005-0000-0000-0000B5070000}"/>
    <cellStyle name="Charting" xfId="1346" xr:uid="{00000000-0005-0000-0000-0000B6070000}"/>
    <cellStyle name="Check Cell 10" xfId="2839" xr:uid="{00000000-0005-0000-0000-0000B7070000}"/>
    <cellStyle name="Check Cell 2" xfId="2841" xr:uid="{00000000-0005-0000-0000-0000B8070000}"/>
    <cellStyle name="Check Cell 2 2" xfId="2843" xr:uid="{00000000-0005-0000-0000-0000B9070000}"/>
    <cellStyle name="Check Cell 2_Completion Const%" xfId="2845" xr:uid="{00000000-0005-0000-0000-0000BA070000}"/>
    <cellStyle name="Check Cell 3" xfId="2847" xr:uid="{00000000-0005-0000-0000-0000BB070000}"/>
    <cellStyle name="Check Cell 4" xfId="2609" xr:uid="{00000000-0005-0000-0000-0000BC070000}"/>
    <cellStyle name="Check Cell 5" xfId="2612" xr:uid="{00000000-0005-0000-0000-0000BD070000}"/>
    <cellStyle name="Check Cell 6" xfId="2615" xr:uid="{00000000-0005-0000-0000-0000BE070000}"/>
    <cellStyle name="Check Cell 7" xfId="2618" xr:uid="{00000000-0005-0000-0000-0000BF070000}"/>
    <cellStyle name="Check Cell 8" xfId="2620" xr:uid="{00000000-0005-0000-0000-0000C0070000}"/>
    <cellStyle name="Check Cell 9" xfId="708" xr:uid="{00000000-0005-0000-0000-0000C1070000}"/>
    <cellStyle name="ÇÏÀÌÆÛ¸µÅ©" xfId="2849" xr:uid="{00000000-0005-0000-0000-0000C2070000}"/>
    <cellStyle name="Clear" xfId="2851" xr:uid="{00000000-0005-0000-0000-0000C3070000}"/>
    <cellStyle name="Code" xfId="2852" xr:uid="{00000000-0005-0000-0000-0000C4070000}"/>
    <cellStyle name="Code Section" xfId="2853" xr:uid="{00000000-0005-0000-0000-0000C5070000}"/>
    <cellStyle name="Code Section 2" xfId="2854" xr:uid="{00000000-0005-0000-0000-0000C6070000}"/>
    <cellStyle name="Code_1Comp co" xfId="1056" xr:uid="{00000000-0005-0000-0000-0000C7070000}"/>
    <cellStyle name="col" xfId="2855" xr:uid="{00000000-0005-0000-0000-0000C8070000}"/>
    <cellStyle name="COL HEADINGS" xfId="70" xr:uid="{00000000-0005-0000-0000-0000C9070000}"/>
    <cellStyle name="COL HEADINGS 2" xfId="1489" xr:uid="{00000000-0005-0000-0000-0000CA070000}"/>
    <cellStyle name="COL HEADINGS 2 2" xfId="2856" xr:uid="{00000000-0005-0000-0000-0000CB070000}"/>
    <cellStyle name="COL HEADINGS 3" xfId="2858" xr:uid="{00000000-0005-0000-0000-0000CC070000}"/>
    <cellStyle name="Col title" xfId="2862" xr:uid="{00000000-0005-0000-0000-0000CD070000}"/>
    <cellStyle name="Col title 2" xfId="345" xr:uid="{00000000-0005-0000-0000-0000CE070000}"/>
    <cellStyle name="Col title 2 2" xfId="225" xr:uid="{00000000-0005-0000-0000-0000CF070000}"/>
    <cellStyle name="Col title 3" xfId="2864" xr:uid="{00000000-0005-0000-0000-0000D0070000}"/>
    <cellStyle name="Col title dates (m-y)" xfId="2866" xr:uid="{00000000-0005-0000-0000-0000D1070000}"/>
    <cellStyle name="Col title dates (m-y) 2" xfId="2867" xr:uid="{00000000-0005-0000-0000-0000D2070000}"/>
    <cellStyle name="Col title dates (m-y) 2 2" xfId="2868" xr:uid="{00000000-0005-0000-0000-0000D3070000}"/>
    <cellStyle name="Col title dates (m-y) 3" xfId="2871" xr:uid="{00000000-0005-0000-0000-0000D4070000}"/>
    <cellStyle name="Col title multplie" xfId="2872" xr:uid="{00000000-0005-0000-0000-0000D5070000}"/>
    <cellStyle name="Col title multplie 2" xfId="2874" xr:uid="{00000000-0005-0000-0000-0000D6070000}"/>
    <cellStyle name="Col title multplie 2 2" xfId="2875" xr:uid="{00000000-0005-0000-0000-0000D7070000}"/>
    <cellStyle name="Col title multplie 3" xfId="2876" xr:uid="{00000000-0005-0000-0000-0000D8070000}"/>
    <cellStyle name="Col title percent" xfId="2877" xr:uid="{00000000-0005-0000-0000-0000D9070000}"/>
    <cellStyle name="Col title percent 2" xfId="2878" xr:uid="{00000000-0005-0000-0000-0000DA070000}"/>
    <cellStyle name="Col title percent 2 2" xfId="2880" xr:uid="{00000000-0005-0000-0000-0000DB070000}"/>
    <cellStyle name="Col title percent 3" xfId="2885" xr:uid="{00000000-0005-0000-0000-0000DC070000}"/>
    <cellStyle name="Col title year(eg 2004)" xfId="2887" xr:uid="{00000000-0005-0000-0000-0000DD070000}"/>
    <cellStyle name="Col title year(eg 2004) 2" xfId="2888" xr:uid="{00000000-0005-0000-0000-0000DE070000}"/>
    <cellStyle name="Col title year(eg 2004) 2 2" xfId="612" xr:uid="{00000000-0005-0000-0000-0000DF070000}"/>
    <cellStyle name="Col title year(eg 2004) 3" xfId="2109" xr:uid="{00000000-0005-0000-0000-0000E0070000}"/>
    <cellStyle name="ColHeader" xfId="1214" xr:uid="{00000000-0005-0000-0000-0000E1070000}"/>
    <cellStyle name="ColHeader 2" xfId="1225" xr:uid="{00000000-0005-0000-0000-0000E2070000}"/>
    <cellStyle name="ColHeader 2 2" xfId="93" xr:uid="{00000000-0005-0000-0000-0000E3070000}"/>
    <cellStyle name="ColHeader 3" xfId="1231" xr:uid="{00000000-0005-0000-0000-0000E4070000}"/>
    <cellStyle name="ColHeading" xfId="2890" xr:uid="{00000000-0005-0000-0000-0000E5070000}"/>
    <cellStyle name="COLUMN HEAD" xfId="2892" xr:uid="{00000000-0005-0000-0000-0000E6070000}"/>
    <cellStyle name="COLUMN HEAD 2" xfId="392" xr:uid="{00000000-0005-0000-0000-0000E7070000}"/>
    <cellStyle name="COLUMN HEAD 9" xfId="401" xr:uid="{00000000-0005-0000-0000-0000E8070000}"/>
    <cellStyle name="COLUMN HEAD 9 2" xfId="2659" xr:uid="{00000000-0005-0000-0000-0000E9070000}"/>
    <cellStyle name="Column Header" xfId="1149" xr:uid="{00000000-0005-0000-0000-0000EA070000}"/>
    <cellStyle name="Column Heading" xfId="2893" xr:uid="{00000000-0005-0000-0000-0000EB070000}"/>
    <cellStyle name="Column Heading 10" xfId="2230" xr:uid="{00000000-0005-0000-0000-0000EC070000}"/>
    <cellStyle name="Column Heading 11" xfId="2232" xr:uid="{00000000-0005-0000-0000-0000ED070000}"/>
    <cellStyle name="Column Heading 12" xfId="520" xr:uid="{00000000-0005-0000-0000-0000EE070000}"/>
    <cellStyle name="Column Heading 13" xfId="2895" xr:uid="{00000000-0005-0000-0000-0000EF070000}"/>
    <cellStyle name="Column Heading 2" xfId="2897" xr:uid="{00000000-0005-0000-0000-0000F0070000}"/>
    <cellStyle name="Column Heading 3" xfId="470" xr:uid="{00000000-0005-0000-0000-0000F1070000}"/>
    <cellStyle name="Column Heading 4" xfId="2899" xr:uid="{00000000-0005-0000-0000-0000F2070000}"/>
    <cellStyle name="Column Heading 5" xfId="2900" xr:uid="{00000000-0005-0000-0000-0000F3070000}"/>
    <cellStyle name="Column Heading 6" xfId="2507" xr:uid="{00000000-0005-0000-0000-0000F4070000}"/>
    <cellStyle name="Column Heading 7" xfId="2901" xr:uid="{00000000-0005-0000-0000-0000F5070000}"/>
    <cellStyle name="Column Heading 8" xfId="2902" xr:uid="{00000000-0005-0000-0000-0000F6070000}"/>
    <cellStyle name="Column Heading 9" xfId="2903" xr:uid="{00000000-0005-0000-0000-0000F7070000}"/>
    <cellStyle name="column1" xfId="2904" xr:uid="{00000000-0005-0000-0000-0000F8070000}"/>
    <cellStyle name="column1 2" xfId="2906" xr:uid="{00000000-0005-0000-0000-0000F9070000}"/>
    <cellStyle name="column1 3" xfId="2907" xr:uid="{00000000-0005-0000-0000-0000FA070000}"/>
    <cellStyle name="column1 4" xfId="907" xr:uid="{00000000-0005-0000-0000-0000FB070000}"/>
    <cellStyle name="column1 5" xfId="2908" xr:uid="{00000000-0005-0000-0000-0000FC070000}"/>
    <cellStyle name="column1 6" xfId="2909" xr:uid="{00000000-0005-0000-0000-0000FD070000}"/>
    <cellStyle name="column1Big" xfId="2910" xr:uid="{00000000-0005-0000-0000-0000FE070000}"/>
    <cellStyle name="column1Big 2" xfId="2912" xr:uid="{00000000-0005-0000-0000-0000FF070000}"/>
    <cellStyle name="column1Date" xfId="2913" xr:uid="{00000000-0005-0000-0000-000000080000}"/>
    <cellStyle name="column1Date 2" xfId="1820" xr:uid="{00000000-0005-0000-0000-000001080000}"/>
    <cellStyle name="column1Date 3" xfId="2285" xr:uid="{00000000-0005-0000-0000-000002080000}"/>
    <cellStyle name="column1Date 4" xfId="1620" xr:uid="{00000000-0005-0000-0000-000003080000}"/>
    <cellStyle name="column1Date 5" xfId="2287" xr:uid="{00000000-0005-0000-0000-000004080000}"/>
    <cellStyle name="column1Date 6" xfId="2914" xr:uid="{00000000-0005-0000-0000-000005080000}"/>
    <cellStyle name="ColumnHeadings" xfId="1791" xr:uid="{00000000-0005-0000-0000-000006080000}"/>
    <cellStyle name="ColumnHeadings2" xfId="2915" xr:uid="{00000000-0005-0000-0000-000007080000}"/>
    <cellStyle name="Com" xfId="2920" xr:uid="{00000000-0005-0000-0000-000008080000}"/>
    <cellStyle name="Comma" xfId="4" builtinId="3"/>
    <cellStyle name="Comma " xfId="2923" xr:uid="{00000000-0005-0000-0000-00000A080000}"/>
    <cellStyle name="Comma  - Style1" xfId="2924" xr:uid="{00000000-0005-0000-0000-00000B080000}"/>
    <cellStyle name="Comma  - Style2" xfId="2925" xr:uid="{00000000-0005-0000-0000-00000C080000}"/>
    <cellStyle name="Comma  - Style3" xfId="2927" xr:uid="{00000000-0005-0000-0000-00000D080000}"/>
    <cellStyle name="Comma  - Style4" xfId="2929" xr:uid="{00000000-0005-0000-0000-00000E080000}"/>
    <cellStyle name="Comma  - Style5" xfId="2930" xr:uid="{00000000-0005-0000-0000-00000F080000}"/>
    <cellStyle name="Comma  - Style6" xfId="2931" xr:uid="{00000000-0005-0000-0000-000010080000}"/>
    <cellStyle name="Comma  - Style7" xfId="2934" xr:uid="{00000000-0005-0000-0000-000011080000}"/>
    <cellStyle name="Comma  - Style8" xfId="2935" xr:uid="{00000000-0005-0000-0000-000012080000}"/>
    <cellStyle name="Comma (0)" xfId="2937" xr:uid="{00000000-0005-0000-0000-000013080000}"/>
    <cellStyle name="Comma [0] 2" xfId="2445" xr:uid="{00000000-0005-0000-0000-000014080000}"/>
    <cellStyle name="Comma [00]" xfId="2938" xr:uid="{00000000-0005-0000-0000-000015080000}"/>
    <cellStyle name="Comma [00] 2" xfId="2940" xr:uid="{00000000-0005-0000-0000-000016080000}"/>
    <cellStyle name="Comma [00] 3" xfId="2941" xr:uid="{00000000-0005-0000-0000-000017080000}"/>
    <cellStyle name="Comma [00] 4" xfId="2942" xr:uid="{00000000-0005-0000-0000-000018080000}"/>
    <cellStyle name="Comma [00] 5" xfId="882" xr:uid="{00000000-0005-0000-0000-000019080000}"/>
    <cellStyle name="Comma [00] 6" xfId="884" xr:uid="{00000000-0005-0000-0000-00001A080000}"/>
    <cellStyle name="Comma [00] 7" xfId="713" xr:uid="{00000000-0005-0000-0000-00001B080000}"/>
    <cellStyle name="Comma [00] 8" xfId="304" xr:uid="{00000000-0005-0000-0000-00001C080000}"/>
    <cellStyle name="Comma [1]" xfId="2943" xr:uid="{00000000-0005-0000-0000-00001D080000}"/>
    <cellStyle name="Comma [2]" xfId="264" xr:uid="{00000000-0005-0000-0000-00001E080000}"/>
    <cellStyle name="Comma 0" xfId="2945" xr:uid="{00000000-0005-0000-0000-00001F080000}"/>
    <cellStyle name="Comma 0*" xfId="2946" xr:uid="{00000000-0005-0000-0000-000020080000}"/>
    <cellStyle name="Comma 10" xfId="2947" xr:uid="{00000000-0005-0000-0000-000021080000}"/>
    <cellStyle name="Comma 10 2" xfId="2949" xr:uid="{00000000-0005-0000-0000-000022080000}"/>
    <cellStyle name="Comma 11" xfId="2951" xr:uid="{00000000-0005-0000-0000-000023080000}"/>
    <cellStyle name="Comma 12" xfId="2953" xr:uid="{00000000-0005-0000-0000-000024080000}"/>
    <cellStyle name="Comma 12 2" xfId="1609" xr:uid="{00000000-0005-0000-0000-000025080000}"/>
    <cellStyle name="Comma 13" xfId="2955" xr:uid="{00000000-0005-0000-0000-000026080000}"/>
    <cellStyle name="Comma 14" xfId="2957" xr:uid="{00000000-0005-0000-0000-000027080000}"/>
    <cellStyle name="Comma 14 2" xfId="2959" xr:uid="{00000000-0005-0000-0000-000028080000}"/>
    <cellStyle name="Comma 15" xfId="2961" xr:uid="{00000000-0005-0000-0000-000029080000}"/>
    <cellStyle name="Comma 16" xfId="584" xr:uid="{00000000-0005-0000-0000-00002A080000}"/>
    <cellStyle name="Comma 17" xfId="2964" xr:uid="{00000000-0005-0000-0000-00002B080000}"/>
    <cellStyle name="Comma 18" xfId="2966" xr:uid="{00000000-0005-0000-0000-00002C080000}"/>
    <cellStyle name="Comma 18 2" xfId="2968" xr:uid="{00000000-0005-0000-0000-00002D080000}"/>
    <cellStyle name="Comma 185" xfId="148" xr:uid="{00000000-0005-0000-0000-00002E080000}"/>
    <cellStyle name="Comma 19" xfId="2970" xr:uid="{00000000-0005-0000-0000-00002F080000}"/>
    <cellStyle name="Comma 19 2" xfId="2972" xr:uid="{00000000-0005-0000-0000-000030080000}"/>
    <cellStyle name="Comma 2" xfId="2975" xr:uid="{00000000-0005-0000-0000-000031080000}"/>
    <cellStyle name="Comma 2 10" xfId="2976" xr:uid="{00000000-0005-0000-0000-000032080000}"/>
    <cellStyle name="Comma 2 11" xfId="2977" xr:uid="{00000000-0005-0000-0000-000033080000}"/>
    <cellStyle name="Comma 2 12" xfId="2978" xr:uid="{00000000-0005-0000-0000-000034080000}"/>
    <cellStyle name="Comma 2 13" xfId="2979" xr:uid="{00000000-0005-0000-0000-000035080000}"/>
    <cellStyle name="Comma 2 14" xfId="2980" xr:uid="{00000000-0005-0000-0000-000036080000}"/>
    <cellStyle name="Comma 2 15" xfId="2441" xr:uid="{00000000-0005-0000-0000-000037080000}"/>
    <cellStyle name="Comma 2 16" xfId="2981" xr:uid="{00000000-0005-0000-0000-000038080000}"/>
    <cellStyle name="Comma 2 17" xfId="2982" xr:uid="{00000000-0005-0000-0000-000039080000}"/>
    <cellStyle name="Comma 2 2" xfId="2983" xr:uid="{00000000-0005-0000-0000-00003A080000}"/>
    <cellStyle name="Comma 2 2 10" xfId="2944" xr:uid="{00000000-0005-0000-0000-00003B080000}"/>
    <cellStyle name="Comma 2 2 11" xfId="1532" xr:uid="{00000000-0005-0000-0000-00003C080000}"/>
    <cellStyle name="Comma 2 2 12" xfId="5335" xr:uid="{00000000-0005-0000-0000-00003D080000}"/>
    <cellStyle name="Comma 2 2 2" xfId="2984" xr:uid="{00000000-0005-0000-0000-00003E080000}"/>
    <cellStyle name="Comma 2 2 3" xfId="2986" xr:uid="{00000000-0005-0000-0000-00003F080000}"/>
    <cellStyle name="Comma 2 2 4" xfId="248" xr:uid="{00000000-0005-0000-0000-000040080000}"/>
    <cellStyle name="Comma 2 2 5" xfId="2988" xr:uid="{00000000-0005-0000-0000-000041080000}"/>
    <cellStyle name="Comma 2 2 6" xfId="731" xr:uid="{00000000-0005-0000-0000-000042080000}"/>
    <cellStyle name="Comma 2 2 7" xfId="2989" xr:uid="{00000000-0005-0000-0000-000043080000}"/>
    <cellStyle name="Comma 2 2 8" xfId="2990" xr:uid="{00000000-0005-0000-0000-000044080000}"/>
    <cellStyle name="Comma 2 2 9" xfId="1816" xr:uid="{00000000-0005-0000-0000-000045080000}"/>
    <cellStyle name="Comma 2 2_12 Dec 2012 Yuhe Financials Year 2012 Audit" xfId="2991" xr:uid="{00000000-0005-0000-0000-000046080000}"/>
    <cellStyle name="Comma 2 3" xfId="344" xr:uid="{00000000-0005-0000-0000-000047080000}"/>
    <cellStyle name="Comma 2 3 2" xfId="224" xr:uid="{00000000-0005-0000-0000-000048080000}"/>
    <cellStyle name="Comma 2 4" xfId="2865" xr:uid="{00000000-0005-0000-0000-000049080000}"/>
    <cellStyle name="Comma 2 4 2" xfId="2992" xr:uid="{00000000-0005-0000-0000-00004A080000}"/>
    <cellStyle name="Comma 2 5" xfId="1428" xr:uid="{00000000-0005-0000-0000-00004B080000}"/>
    <cellStyle name="Comma 2 6" xfId="2994" xr:uid="{00000000-0005-0000-0000-00004C080000}"/>
    <cellStyle name="Comma 2 7" xfId="2995" xr:uid="{00000000-0005-0000-0000-00004D080000}"/>
    <cellStyle name="Comma 2 8" xfId="2996" xr:uid="{00000000-0005-0000-0000-00004E080000}"/>
    <cellStyle name="Comma 2 9" xfId="383" xr:uid="{00000000-0005-0000-0000-00004F080000}"/>
    <cellStyle name="Comma 2_~6864505" xfId="2997" xr:uid="{00000000-0005-0000-0000-000050080000}"/>
    <cellStyle name="Comma 20" xfId="2962" xr:uid="{00000000-0005-0000-0000-000051080000}"/>
    <cellStyle name="Comma 21" xfId="585" xr:uid="{00000000-0005-0000-0000-000052080000}"/>
    <cellStyle name="Comma 22" xfId="2965" xr:uid="{00000000-0005-0000-0000-000053080000}"/>
    <cellStyle name="Comma 23" xfId="2967" xr:uid="{00000000-0005-0000-0000-000054080000}"/>
    <cellStyle name="Comma 24" xfId="2971" xr:uid="{00000000-0005-0000-0000-000055080000}"/>
    <cellStyle name="Comma 25" xfId="2998" xr:uid="{00000000-0005-0000-0000-000056080000}"/>
    <cellStyle name="Comma 26" xfId="3000" xr:uid="{00000000-0005-0000-0000-000057080000}"/>
    <cellStyle name="Comma 27" xfId="1510" xr:uid="{00000000-0005-0000-0000-000058080000}"/>
    <cellStyle name="Comma 28" xfId="1581" xr:uid="{00000000-0005-0000-0000-000059080000}"/>
    <cellStyle name="Comma 29" xfId="3002" xr:uid="{00000000-0005-0000-0000-00005A080000}"/>
    <cellStyle name="Comma 3" xfId="3005" xr:uid="{00000000-0005-0000-0000-00005B080000}"/>
    <cellStyle name="Comma 3 2" xfId="3006" xr:uid="{00000000-0005-0000-0000-00005C080000}"/>
    <cellStyle name="Comma 3 2 2" xfId="293" xr:uid="{00000000-0005-0000-0000-00005D080000}"/>
    <cellStyle name="Comma 3 3" xfId="3007" xr:uid="{00000000-0005-0000-0000-00005E080000}"/>
    <cellStyle name="Comma 3 4" xfId="1928" xr:uid="{00000000-0005-0000-0000-00005F080000}"/>
    <cellStyle name="Comma 3 5" xfId="1930" xr:uid="{00000000-0005-0000-0000-000060080000}"/>
    <cellStyle name="Comma 3 6" xfId="1932" xr:uid="{00000000-0005-0000-0000-000061080000}"/>
    <cellStyle name="Comma 30" xfId="2999" xr:uid="{00000000-0005-0000-0000-000062080000}"/>
    <cellStyle name="Comma 31" xfId="3001" xr:uid="{00000000-0005-0000-0000-000063080000}"/>
    <cellStyle name="Comma 32" xfId="1511" xr:uid="{00000000-0005-0000-0000-000064080000}"/>
    <cellStyle name="Comma 33" xfId="1582" xr:uid="{00000000-0005-0000-0000-000065080000}"/>
    <cellStyle name="Comma 34" xfId="3003" xr:uid="{00000000-0005-0000-0000-000066080000}"/>
    <cellStyle name="Comma 35" xfId="3008" xr:uid="{00000000-0005-0000-0000-000067080000}"/>
    <cellStyle name="Comma 36" xfId="3011" xr:uid="{00000000-0005-0000-0000-000068080000}"/>
    <cellStyle name="Comma 37" xfId="3013" xr:uid="{00000000-0005-0000-0000-000069080000}"/>
    <cellStyle name="Comma 38" xfId="3015" xr:uid="{00000000-0005-0000-0000-00006A080000}"/>
    <cellStyle name="Comma 39" xfId="3017" xr:uid="{00000000-0005-0000-0000-00006B080000}"/>
    <cellStyle name="Comma 4" xfId="3019" xr:uid="{00000000-0005-0000-0000-00006C080000}"/>
    <cellStyle name="Comma 4 2" xfId="3020" xr:uid="{00000000-0005-0000-0000-00006D080000}"/>
    <cellStyle name="Comma 4 3" xfId="3021" xr:uid="{00000000-0005-0000-0000-00006E080000}"/>
    <cellStyle name="Comma 4 4" xfId="3022" xr:uid="{00000000-0005-0000-0000-00006F080000}"/>
    <cellStyle name="Comma 40" xfId="3009" xr:uid="{00000000-0005-0000-0000-000070080000}"/>
    <cellStyle name="Comma 41" xfId="3012" xr:uid="{00000000-0005-0000-0000-000071080000}"/>
    <cellStyle name="Comma 42" xfId="3014" xr:uid="{00000000-0005-0000-0000-000072080000}"/>
    <cellStyle name="Comma 43" xfId="3016" xr:uid="{00000000-0005-0000-0000-000073080000}"/>
    <cellStyle name="Comma 44" xfId="3018" xr:uid="{00000000-0005-0000-0000-000074080000}"/>
    <cellStyle name="Comma 45" xfId="1496" xr:uid="{00000000-0005-0000-0000-000075080000}"/>
    <cellStyle name="Comma 46" xfId="3023" xr:uid="{00000000-0005-0000-0000-000076080000}"/>
    <cellStyle name="Comma 47" xfId="3025" xr:uid="{00000000-0005-0000-0000-000077080000}"/>
    <cellStyle name="Comma 48" xfId="3027" xr:uid="{00000000-0005-0000-0000-000078080000}"/>
    <cellStyle name="Comma 49" xfId="3029" xr:uid="{00000000-0005-0000-0000-000079080000}"/>
    <cellStyle name="Comma 5" xfId="825" xr:uid="{00000000-0005-0000-0000-00007A080000}"/>
    <cellStyle name="Comma 5 2" xfId="2354" xr:uid="{00000000-0005-0000-0000-00007B080000}"/>
    <cellStyle name="Comma 5 3" xfId="702" xr:uid="{00000000-0005-0000-0000-00007C080000}"/>
    <cellStyle name="Comma 5 4" xfId="2357" xr:uid="{00000000-0005-0000-0000-00007D080000}"/>
    <cellStyle name="Comma 5 5" xfId="2360" xr:uid="{00000000-0005-0000-0000-00007E080000}"/>
    <cellStyle name="Comma 5 6" xfId="2363" xr:uid="{00000000-0005-0000-0000-00007F080000}"/>
    <cellStyle name="Comma 5_12 Dec 2012 Yuhe Financials Year 2012 Audit" xfId="3031" xr:uid="{00000000-0005-0000-0000-000080080000}"/>
    <cellStyle name="Comma 50" xfId="1497" xr:uid="{00000000-0005-0000-0000-000081080000}"/>
    <cellStyle name="Comma 51" xfId="3024" xr:uid="{00000000-0005-0000-0000-000082080000}"/>
    <cellStyle name="Comma 52" xfId="3026" xr:uid="{00000000-0005-0000-0000-000083080000}"/>
    <cellStyle name="Comma 53" xfId="3028" xr:uid="{00000000-0005-0000-0000-000084080000}"/>
    <cellStyle name="Comma 54" xfId="3030" xr:uid="{00000000-0005-0000-0000-000085080000}"/>
    <cellStyle name="Comma 55" xfId="3032" xr:uid="{00000000-0005-0000-0000-000086080000}"/>
    <cellStyle name="Comma 56" xfId="1905" xr:uid="{00000000-0005-0000-0000-000087080000}"/>
    <cellStyle name="Comma 57" xfId="3035" xr:uid="{00000000-0005-0000-0000-000088080000}"/>
    <cellStyle name="Comma 58" xfId="3037" xr:uid="{00000000-0005-0000-0000-000089080000}"/>
    <cellStyle name="Comma 59" xfId="3039" xr:uid="{00000000-0005-0000-0000-00008A080000}"/>
    <cellStyle name="Comma 6" xfId="3041" xr:uid="{00000000-0005-0000-0000-00008B080000}"/>
    <cellStyle name="Comma 6 2" xfId="3043" xr:uid="{00000000-0005-0000-0000-00008C080000}"/>
    <cellStyle name="Comma 60" xfId="3033" xr:uid="{00000000-0005-0000-0000-00008D080000}"/>
    <cellStyle name="Comma 61" xfId="1906" xr:uid="{00000000-0005-0000-0000-00008E080000}"/>
    <cellStyle name="Comma 62" xfId="3036" xr:uid="{00000000-0005-0000-0000-00008F080000}"/>
    <cellStyle name="Comma 63" xfId="3038" xr:uid="{00000000-0005-0000-0000-000090080000}"/>
    <cellStyle name="Comma 64" xfId="3040" xr:uid="{00000000-0005-0000-0000-000091080000}"/>
    <cellStyle name="Comma 65" xfId="3045" xr:uid="{00000000-0005-0000-0000-000092080000}"/>
    <cellStyle name="Comma 66" xfId="3046" xr:uid="{00000000-0005-0000-0000-000093080000}"/>
    <cellStyle name="Comma 67" xfId="3048" xr:uid="{00000000-0005-0000-0000-000094080000}"/>
    <cellStyle name="Comma 68" xfId="3050" xr:uid="{00000000-0005-0000-0000-000095080000}"/>
    <cellStyle name="Comma 69" xfId="3052" xr:uid="{00000000-0005-0000-0000-000096080000}"/>
    <cellStyle name="Comma 7" xfId="1585" xr:uid="{00000000-0005-0000-0000-000097080000}"/>
    <cellStyle name="Comma 7 2" xfId="480" xr:uid="{00000000-0005-0000-0000-000098080000}"/>
    <cellStyle name="Comma 7 3" xfId="3054" xr:uid="{00000000-0005-0000-0000-000099080000}"/>
    <cellStyle name="Comma 70" xfId="5339" xr:uid="{00000000-0005-0000-0000-00009A080000}"/>
    <cellStyle name="Comma 71" xfId="5340" xr:uid="{00000000-0005-0000-0000-00009B080000}"/>
    <cellStyle name="Comma 8" xfId="3056" xr:uid="{00000000-0005-0000-0000-00009C080000}"/>
    <cellStyle name="Comma 9" xfId="1063" xr:uid="{00000000-0005-0000-0000-00009D080000}"/>
    <cellStyle name="Comma(1)" xfId="3059" xr:uid="{00000000-0005-0000-0000-00009E080000}"/>
    <cellStyle name="Comma[1]" xfId="3062" xr:uid="{00000000-0005-0000-0000-00009F080000}"/>
    <cellStyle name="Comma[2]" xfId="3063" xr:uid="{00000000-0005-0000-0000-0000A0080000}"/>
    <cellStyle name="Comma[2] 2" xfId="3064" xr:uid="{00000000-0005-0000-0000-0000A1080000}"/>
    <cellStyle name="Comma[3]" xfId="2840" xr:uid="{00000000-0005-0000-0000-0000A2080000}"/>
    <cellStyle name="Comma0" xfId="2273" xr:uid="{00000000-0005-0000-0000-0000A3080000}"/>
    <cellStyle name="Comma0 - Style4" xfId="3065" xr:uid="{00000000-0005-0000-0000-0000A4080000}"/>
    <cellStyle name="Comma0 2" xfId="3066" xr:uid="{00000000-0005-0000-0000-0000A5080000}"/>
    <cellStyle name="Comma0 3" xfId="3067" xr:uid="{00000000-0005-0000-0000-0000A6080000}"/>
    <cellStyle name="Comma0 4" xfId="3069" xr:uid="{00000000-0005-0000-0000-0000A7080000}"/>
    <cellStyle name="Comma0 5" xfId="3071" xr:uid="{00000000-0005-0000-0000-0000A8080000}"/>
    <cellStyle name="Comma0 6" xfId="3072" xr:uid="{00000000-0005-0000-0000-0000A9080000}"/>
    <cellStyle name="Comma0 7" xfId="3074" xr:uid="{00000000-0005-0000-0000-0000AA080000}"/>
    <cellStyle name="Comma0 8" xfId="3076" xr:uid="{00000000-0005-0000-0000-0000AB080000}"/>
    <cellStyle name="Comma0_211109_ 1840" xfId="213" xr:uid="{00000000-0005-0000-0000-0000AC080000}"/>
    <cellStyle name="Comment" xfId="2936" xr:uid="{00000000-0005-0000-0000-0000AD080000}"/>
    <cellStyle name="Comment 2" xfId="3078" xr:uid="{00000000-0005-0000-0000-0000AE080000}"/>
    <cellStyle name="Comment_BIL 190210_1519" xfId="3079" xr:uid="{00000000-0005-0000-0000-0000AF080000}"/>
    <cellStyle name="Commm_pldt_1_PLDT_SGV_1_BAYANTEL" xfId="3081" xr:uid="{00000000-0005-0000-0000-0000B0080000}"/>
    <cellStyle name="Company" xfId="3082" xr:uid="{00000000-0005-0000-0000-0000B1080000}"/>
    <cellStyle name="Company name" xfId="3083" xr:uid="{00000000-0005-0000-0000-0000B2080000}"/>
    <cellStyle name="Company_211109_ 1840" xfId="3084" xr:uid="{00000000-0005-0000-0000-0000B3080000}"/>
    <cellStyle name="CompanyName" xfId="3086" xr:uid="{00000000-0005-0000-0000-0000B4080000}"/>
    <cellStyle name="CompanyName 2" xfId="3087" xr:uid="{00000000-0005-0000-0000-0000B5080000}"/>
    <cellStyle name="CompanyName 3" xfId="1449" xr:uid="{00000000-0005-0000-0000-0000B6080000}"/>
    <cellStyle name="CompanyName 4" xfId="3090" xr:uid="{00000000-0005-0000-0000-0000B7080000}"/>
    <cellStyle name="CompanyName 5" xfId="3093" xr:uid="{00000000-0005-0000-0000-0000B8080000}"/>
    <cellStyle name="CompanyName 6" xfId="1614" xr:uid="{00000000-0005-0000-0000-0000B9080000}"/>
    <cellStyle name="Constant" xfId="3096" xr:uid="{00000000-0005-0000-0000-0000BA080000}"/>
    <cellStyle name="Copied" xfId="3098" xr:uid="{00000000-0005-0000-0000-0000BB080000}"/>
    <cellStyle name="Cover Date" xfId="3100" xr:uid="{00000000-0005-0000-0000-0000BC080000}"/>
    <cellStyle name="Cover presentation title" xfId="674" xr:uid="{00000000-0005-0000-0000-0000BD080000}"/>
    <cellStyle name="Cover Subtitle" xfId="2299" xr:uid="{00000000-0005-0000-0000-0000BE080000}"/>
    <cellStyle name="Cover Title" xfId="3101" xr:uid="{00000000-0005-0000-0000-0000BF080000}"/>
    <cellStyle name="Curren - Style1" xfId="3102" xr:uid="{00000000-0005-0000-0000-0000C0080000}"/>
    <cellStyle name="Curren - Style5" xfId="3103" xr:uid="{00000000-0005-0000-0000-0000C1080000}"/>
    <cellStyle name="Currency--" xfId="3105" xr:uid="{00000000-0005-0000-0000-0000C2080000}"/>
    <cellStyle name="Currency $" xfId="1796" xr:uid="{00000000-0005-0000-0000-0000C3080000}"/>
    <cellStyle name="Currency $ 2" xfId="3106" xr:uid="{00000000-0005-0000-0000-0000C4080000}"/>
    <cellStyle name="Currency $ 3" xfId="283" xr:uid="{00000000-0005-0000-0000-0000C5080000}"/>
    <cellStyle name="Currency $ 4" xfId="285" xr:uid="{00000000-0005-0000-0000-0000C6080000}"/>
    <cellStyle name="Currency $ 5" xfId="496" xr:uid="{00000000-0005-0000-0000-0000C7080000}"/>
    <cellStyle name="Currency $ 6" xfId="3107" xr:uid="{00000000-0005-0000-0000-0000C8080000}"/>
    <cellStyle name="Currency (3)" xfId="3108" xr:uid="{00000000-0005-0000-0000-0000C9080000}"/>
    <cellStyle name="Currency [00]" xfId="3109" xr:uid="{00000000-0005-0000-0000-0000CA080000}"/>
    <cellStyle name="Currency [00] 2" xfId="3110" xr:uid="{00000000-0005-0000-0000-0000CB080000}"/>
    <cellStyle name="Currency [00] 3" xfId="3113" xr:uid="{00000000-0005-0000-0000-0000CC080000}"/>
    <cellStyle name="Currency [00] 4" xfId="3117" xr:uid="{00000000-0005-0000-0000-0000CD080000}"/>
    <cellStyle name="Currency [00] 5" xfId="546" xr:uid="{00000000-0005-0000-0000-0000CE080000}"/>
    <cellStyle name="Currency [00] 6" xfId="2881" xr:uid="{00000000-0005-0000-0000-0000CF080000}"/>
    <cellStyle name="Currency [00] 7" xfId="3121" xr:uid="{00000000-0005-0000-0000-0000D0080000}"/>
    <cellStyle name="Currency [00] 8" xfId="98" xr:uid="{00000000-0005-0000-0000-0000D1080000}"/>
    <cellStyle name="Currency [1]" xfId="3099" xr:uid="{00000000-0005-0000-0000-0000D2080000}"/>
    <cellStyle name="Currency [2]" xfId="3125" xr:uid="{00000000-0005-0000-0000-0000D3080000}"/>
    <cellStyle name="Currency [2] 2" xfId="191" xr:uid="{00000000-0005-0000-0000-0000D4080000}"/>
    <cellStyle name="Currency [2] 3" xfId="3127" xr:uid="{00000000-0005-0000-0000-0000D5080000}"/>
    <cellStyle name="Currency [2] 4" xfId="3129" xr:uid="{00000000-0005-0000-0000-0000D6080000}"/>
    <cellStyle name="Currency [2] 5" xfId="3132" xr:uid="{00000000-0005-0000-0000-0000D7080000}"/>
    <cellStyle name="Currency [2] 6" xfId="3135" xr:uid="{00000000-0005-0000-0000-0000D8080000}"/>
    <cellStyle name="Currency [2] 7" xfId="3138" xr:uid="{00000000-0005-0000-0000-0000D9080000}"/>
    <cellStyle name="Currency 0" xfId="3060" xr:uid="{00000000-0005-0000-0000-0000DA080000}"/>
    <cellStyle name="Currency 2" xfId="3141" xr:uid="{00000000-0005-0000-0000-0000DB080000}"/>
    <cellStyle name="Currency 2 2" xfId="3143" xr:uid="{00000000-0005-0000-0000-0000DC080000}"/>
    <cellStyle name="Currency 2 3" xfId="3145" xr:uid="{00000000-0005-0000-0000-0000DD080000}"/>
    <cellStyle name="Currency 2 4" xfId="377" xr:uid="{00000000-0005-0000-0000-0000DE080000}"/>
    <cellStyle name="Currency 2 5" xfId="3147" xr:uid="{00000000-0005-0000-0000-0000DF080000}"/>
    <cellStyle name="Currency 2 6" xfId="3150" xr:uid="{00000000-0005-0000-0000-0000E0080000}"/>
    <cellStyle name="Currency 2_Copy of pi-domestic comps-270509_1600 (2)" xfId="2123" xr:uid="{00000000-0005-0000-0000-0000E1080000}"/>
    <cellStyle name="Currency 3" xfId="3154" xr:uid="{00000000-0005-0000-0000-0000E2080000}"/>
    <cellStyle name="Currency 3 2" xfId="3156" xr:uid="{00000000-0005-0000-0000-0000E3080000}"/>
    <cellStyle name="Currency 4" xfId="3157" xr:uid="{00000000-0005-0000-0000-0000E4080000}"/>
    <cellStyle name="Currency 5" xfId="3159" xr:uid="{00000000-0005-0000-0000-0000E5080000}"/>
    <cellStyle name="Currency 6" xfId="12" xr:uid="{00000000-0005-0000-0000-0000E6080000}"/>
    <cellStyle name="Currency 7" xfId="32" xr:uid="{00000000-0005-0000-0000-0000E7080000}"/>
    <cellStyle name="Currency 7 2" xfId="412" xr:uid="{00000000-0005-0000-0000-0000E8080000}"/>
    <cellStyle name="Currency[2]" xfId="3160" xr:uid="{00000000-0005-0000-0000-0000E9080000}"/>
    <cellStyle name="Currency[2] 2" xfId="3162" xr:uid="{00000000-0005-0000-0000-0000EA080000}"/>
    <cellStyle name="Currency[2] 3" xfId="3164" xr:uid="{00000000-0005-0000-0000-0000EB080000}"/>
    <cellStyle name="Currency[2] 4" xfId="3166" xr:uid="{00000000-0005-0000-0000-0000EC080000}"/>
    <cellStyle name="Currency[2] 5" xfId="3168" xr:uid="{00000000-0005-0000-0000-0000ED080000}"/>
    <cellStyle name="Currency[2] 6" xfId="3171" xr:uid="{00000000-0005-0000-0000-0000EE080000}"/>
    <cellStyle name="Currency[2] 7" xfId="3173" xr:uid="{00000000-0005-0000-0000-0000EF080000}"/>
    <cellStyle name="Currency[2] 8" xfId="3175" xr:uid="{00000000-0005-0000-0000-0000F0080000}"/>
    <cellStyle name="Currency[2]_Copy of pi-domestic comps-270509_1600 (2)" xfId="3177" xr:uid="{00000000-0005-0000-0000-0000F1080000}"/>
    <cellStyle name="Currency0" xfId="3178" xr:uid="{00000000-0005-0000-0000-0000F2080000}"/>
    <cellStyle name="Currency0 2" xfId="3179" xr:uid="{00000000-0005-0000-0000-0000F3080000}"/>
    <cellStyle name="Currency0 3" xfId="3180" xr:uid="{00000000-0005-0000-0000-0000F4080000}"/>
    <cellStyle name="Currency0 4" xfId="619" xr:uid="{00000000-0005-0000-0000-0000F5080000}"/>
    <cellStyle name="Currency0 5" xfId="3181" xr:uid="{00000000-0005-0000-0000-0000F6080000}"/>
    <cellStyle name="Currency0 6" xfId="3182" xr:uid="{00000000-0005-0000-0000-0000F7080000}"/>
    <cellStyle name="Currency0 7" xfId="3184" xr:uid="{00000000-0005-0000-0000-0000F8080000}"/>
    <cellStyle name="Currency0 8" xfId="3185" xr:uid="{00000000-0005-0000-0000-0000F9080000}"/>
    <cellStyle name="Currency0_Copy of pi-domestic comps-270509_1600 (2)" xfId="3186" xr:uid="{00000000-0005-0000-0000-0000FA080000}"/>
    <cellStyle name="Currency-Denomination" xfId="3188" xr:uid="{00000000-0005-0000-0000-0000FB080000}"/>
    <cellStyle name="custom" xfId="1761" xr:uid="{00000000-0005-0000-0000-0000FC080000}"/>
    <cellStyle name="Custom - Style1" xfId="3190" xr:uid="{00000000-0005-0000-0000-0000FD080000}"/>
    <cellStyle name="Custom - Style8" xfId="1444" xr:uid="{00000000-0005-0000-0000-0000FE080000}"/>
    <cellStyle name="custom 2" xfId="1764" xr:uid="{00000000-0005-0000-0000-0000FF080000}"/>
    <cellStyle name="custom 3" xfId="3193" xr:uid="{00000000-0005-0000-0000-000000090000}"/>
    <cellStyle name="custom 4" xfId="2684" xr:uid="{00000000-0005-0000-0000-000001090000}"/>
    <cellStyle name="custom 5" xfId="455" xr:uid="{00000000-0005-0000-0000-000002090000}"/>
    <cellStyle name="custom 6" xfId="1553" xr:uid="{00000000-0005-0000-0000-000003090000}"/>
    <cellStyle name="custom 7" xfId="3196" xr:uid="{00000000-0005-0000-0000-000004090000}"/>
    <cellStyle name="custom 8" xfId="3198" xr:uid="{00000000-0005-0000-0000-000005090000}"/>
    <cellStyle name="D Table" xfId="3199" xr:uid="{00000000-0005-0000-0000-000006090000}"/>
    <cellStyle name="D Table 10" xfId="972" xr:uid="{00000000-0005-0000-0000-000007090000}"/>
    <cellStyle name="D Table 11" xfId="976" xr:uid="{00000000-0005-0000-0000-000008090000}"/>
    <cellStyle name="D Table 12" xfId="2319" xr:uid="{00000000-0005-0000-0000-000009090000}"/>
    <cellStyle name="D Table 13" xfId="2322" xr:uid="{00000000-0005-0000-0000-00000A090000}"/>
    <cellStyle name="D Table 14" xfId="2325" xr:uid="{00000000-0005-0000-0000-00000B090000}"/>
    <cellStyle name="D Table 15" xfId="2328" xr:uid="{00000000-0005-0000-0000-00000C090000}"/>
    <cellStyle name="D Table 16" xfId="2332" xr:uid="{00000000-0005-0000-0000-00000D090000}"/>
    <cellStyle name="D Table 17" xfId="2335" xr:uid="{00000000-0005-0000-0000-00000E090000}"/>
    <cellStyle name="D Table 18" xfId="2338" xr:uid="{00000000-0005-0000-0000-00000F090000}"/>
    <cellStyle name="D Table 19" xfId="363" xr:uid="{00000000-0005-0000-0000-000010090000}"/>
    <cellStyle name="D Table 2" xfId="3202" xr:uid="{00000000-0005-0000-0000-000011090000}"/>
    <cellStyle name="D Table 20" xfId="2329" xr:uid="{00000000-0005-0000-0000-000012090000}"/>
    <cellStyle name="D Table 21" xfId="2333" xr:uid="{00000000-0005-0000-0000-000013090000}"/>
    <cellStyle name="D Table 22" xfId="2336" xr:uid="{00000000-0005-0000-0000-000014090000}"/>
    <cellStyle name="D Table 23" xfId="2339" xr:uid="{00000000-0005-0000-0000-000015090000}"/>
    <cellStyle name="D Table 24" xfId="362" xr:uid="{00000000-0005-0000-0000-000016090000}"/>
    <cellStyle name="D Table 25" xfId="923" xr:uid="{00000000-0005-0000-0000-000017090000}"/>
    <cellStyle name="D Table 26" xfId="926" xr:uid="{00000000-0005-0000-0000-000018090000}"/>
    <cellStyle name="D Table 27" xfId="22" xr:uid="{00000000-0005-0000-0000-000019090000}"/>
    <cellStyle name="D Table 28" xfId="3203" xr:uid="{00000000-0005-0000-0000-00001A090000}"/>
    <cellStyle name="D Table 29" xfId="3205" xr:uid="{00000000-0005-0000-0000-00001B090000}"/>
    <cellStyle name="D Table 3" xfId="3206" xr:uid="{00000000-0005-0000-0000-00001C090000}"/>
    <cellStyle name="D Table 30" xfId="924" xr:uid="{00000000-0005-0000-0000-00001D090000}"/>
    <cellStyle name="D Table 4" xfId="3208" xr:uid="{00000000-0005-0000-0000-00001E090000}"/>
    <cellStyle name="D Table 5" xfId="3209" xr:uid="{00000000-0005-0000-0000-00001F090000}"/>
    <cellStyle name="D Table 6" xfId="3210" xr:uid="{00000000-0005-0000-0000-000020090000}"/>
    <cellStyle name="D Table 7" xfId="3211" xr:uid="{00000000-0005-0000-0000-000021090000}"/>
    <cellStyle name="D Table 8" xfId="3212" xr:uid="{00000000-0005-0000-0000-000022090000}"/>
    <cellStyle name="D Table 9" xfId="422" xr:uid="{00000000-0005-0000-0000-000023090000}"/>
    <cellStyle name="Dårlig" xfId="147" xr:uid="{00000000-0005-0000-0000-000024090000}"/>
    <cellStyle name="Dash" xfId="606" xr:uid="{00000000-0005-0000-0000-000025090000}"/>
    <cellStyle name="Dash 2" xfId="1164" xr:uid="{00000000-0005-0000-0000-000026090000}"/>
    <cellStyle name="Dash 3" xfId="1168" xr:uid="{00000000-0005-0000-0000-000027090000}"/>
    <cellStyle name="Dash 4" xfId="1172" xr:uid="{00000000-0005-0000-0000-000028090000}"/>
    <cellStyle name="Dash 5" xfId="1176" xr:uid="{00000000-0005-0000-0000-000029090000}"/>
    <cellStyle name="Dash 6" xfId="1181" xr:uid="{00000000-0005-0000-0000-00002A090000}"/>
    <cellStyle name="Data   - Style2" xfId="3213" xr:uid="{00000000-0005-0000-0000-00002B090000}"/>
    <cellStyle name="Data   - Style2 10" xfId="900" xr:uid="{00000000-0005-0000-0000-00002C090000}"/>
    <cellStyle name="Data   - Style2 11" xfId="902" xr:uid="{00000000-0005-0000-0000-00002D090000}"/>
    <cellStyle name="Data   - Style2 12" xfId="424" xr:uid="{00000000-0005-0000-0000-00002E090000}"/>
    <cellStyle name="Data   - Style2 13" xfId="851" xr:uid="{00000000-0005-0000-0000-00002F090000}"/>
    <cellStyle name="Data   - Style2 14" xfId="904" xr:uid="{00000000-0005-0000-0000-000030090000}"/>
    <cellStyle name="Data   - Style2 2" xfId="3214" xr:uid="{00000000-0005-0000-0000-000031090000}"/>
    <cellStyle name="Data   - Style2 3" xfId="3216" xr:uid="{00000000-0005-0000-0000-000032090000}"/>
    <cellStyle name="Data   - Style2 4" xfId="625" xr:uid="{00000000-0005-0000-0000-000033090000}"/>
    <cellStyle name="Data   - Style2 5" xfId="1558" xr:uid="{00000000-0005-0000-0000-000034090000}"/>
    <cellStyle name="Data   - Style2 6" xfId="2290" xr:uid="{00000000-0005-0000-0000-000035090000}"/>
    <cellStyle name="Data   - Style2 7" xfId="3217" xr:uid="{00000000-0005-0000-0000-000036090000}"/>
    <cellStyle name="Data   - Style2 8" xfId="3191" xr:uid="{00000000-0005-0000-0000-000037090000}"/>
    <cellStyle name="Data   - Style2 9" xfId="3218" xr:uid="{00000000-0005-0000-0000-000038090000}"/>
    <cellStyle name="Data Area" xfId="3219" xr:uid="{00000000-0005-0000-0000-000039090000}"/>
    <cellStyle name="Data_0dp" xfId="3221" xr:uid="{00000000-0005-0000-0000-00003A090000}"/>
    <cellStyle name="DataBases" xfId="3223" xr:uid="{00000000-0005-0000-0000-00003B090000}"/>
    <cellStyle name="DataEntry" xfId="3224" xr:uid="{00000000-0005-0000-0000-00003C090000}"/>
    <cellStyle name="DataEntry 10" xfId="3226" xr:uid="{00000000-0005-0000-0000-00003D090000}"/>
    <cellStyle name="DataEntry 11" xfId="912" xr:uid="{00000000-0005-0000-0000-00003E090000}"/>
    <cellStyle name="DataEntry 12" xfId="621" xr:uid="{00000000-0005-0000-0000-00003F090000}"/>
    <cellStyle name="DataEntry 13" xfId="1065" xr:uid="{00000000-0005-0000-0000-000040090000}"/>
    <cellStyle name="DataEntry 2" xfId="735" xr:uid="{00000000-0005-0000-0000-000041090000}"/>
    <cellStyle name="DataEntry 3" xfId="3227" xr:uid="{00000000-0005-0000-0000-000042090000}"/>
    <cellStyle name="DataEntry 4" xfId="3228" xr:uid="{00000000-0005-0000-0000-000043090000}"/>
    <cellStyle name="DataEntry 5" xfId="3229" xr:uid="{00000000-0005-0000-0000-000044090000}"/>
    <cellStyle name="DataEntry 6" xfId="3230" xr:uid="{00000000-0005-0000-0000-000045090000}"/>
    <cellStyle name="DataEntry 7" xfId="3231" xr:uid="{00000000-0005-0000-0000-000046090000}"/>
    <cellStyle name="DataEntry 8" xfId="3232" xr:uid="{00000000-0005-0000-0000-000047090000}"/>
    <cellStyle name="DataEntry 9" xfId="3233" xr:uid="{00000000-0005-0000-0000-000048090000}"/>
    <cellStyle name="DataEntry%" xfId="2669" xr:uid="{00000000-0005-0000-0000-000049090000}"/>
    <cellStyle name="DataEntry% 10" xfId="3234" xr:uid="{00000000-0005-0000-0000-00004A090000}"/>
    <cellStyle name="DataEntry% 11" xfId="3236" xr:uid="{00000000-0005-0000-0000-00004B090000}"/>
    <cellStyle name="DataEntry% 12" xfId="3238" xr:uid="{00000000-0005-0000-0000-00004C090000}"/>
    <cellStyle name="DataEntry% 13" xfId="3240" xr:uid="{00000000-0005-0000-0000-00004D090000}"/>
    <cellStyle name="DataEntry% 2" xfId="2017" xr:uid="{00000000-0005-0000-0000-00004E090000}"/>
    <cellStyle name="DataEntry% 3" xfId="117" xr:uid="{00000000-0005-0000-0000-00004F090000}"/>
    <cellStyle name="DataEntry% 4" xfId="2020" xr:uid="{00000000-0005-0000-0000-000050090000}"/>
    <cellStyle name="DataEntry% 5" xfId="2023" xr:uid="{00000000-0005-0000-0000-000051090000}"/>
    <cellStyle name="DataEntry% 6" xfId="2026" xr:uid="{00000000-0005-0000-0000-000052090000}"/>
    <cellStyle name="DataEntry% 7" xfId="2028" xr:uid="{00000000-0005-0000-0000-000053090000}"/>
    <cellStyle name="DataEntry% 8" xfId="483" xr:uid="{00000000-0005-0000-0000-000054090000}"/>
    <cellStyle name="DataEntry% 9" xfId="3242" xr:uid="{00000000-0005-0000-0000-000055090000}"/>
    <cellStyle name="DataEntry_GlobalAnalyserUpdates_OLD" xfId="725" xr:uid="{00000000-0005-0000-0000-000056090000}"/>
    <cellStyle name="DataToHide" xfId="2819" xr:uid="{00000000-0005-0000-0000-000057090000}"/>
    <cellStyle name="Date" xfId="1407" xr:uid="{00000000-0005-0000-0000-000058090000}"/>
    <cellStyle name="Date [d-mmm-yy]" xfId="3243" xr:uid="{00000000-0005-0000-0000-000059090000}"/>
    <cellStyle name="Date [mm-d-yy]" xfId="3244" xr:uid="{00000000-0005-0000-0000-00005A090000}"/>
    <cellStyle name="Date [mm-d-yyyy]" xfId="3097" xr:uid="{00000000-0005-0000-0000-00005B090000}"/>
    <cellStyle name="Date [mmm-d-yyyy]" xfId="3246" xr:uid="{00000000-0005-0000-0000-00005C090000}"/>
    <cellStyle name="Date [mmm-yy]" xfId="3248" xr:uid="{00000000-0005-0000-0000-00005D090000}"/>
    <cellStyle name="Date [mmm-yyyy]" xfId="3249" xr:uid="{00000000-0005-0000-0000-00005E090000}"/>
    <cellStyle name="Date [mmm-yyyy] 2" xfId="630" xr:uid="{00000000-0005-0000-0000-00005F090000}"/>
    <cellStyle name="Date [mmm-yyyy] 2 2" xfId="1909" xr:uid="{00000000-0005-0000-0000-000060090000}"/>
    <cellStyle name="Date [mmm-yyyy] 3" xfId="3251" xr:uid="{00000000-0005-0000-0000-000061090000}"/>
    <cellStyle name="Date 2" xfId="3252" xr:uid="{00000000-0005-0000-0000-000062090000}"/>
    <cellStyle name="Date 3" xfId="1540" xr:uid="{00000000-0005-0000-0000-000063090000}"/>
    <cellStyle name="Date 4" xfId="2132" xr:uid="{00000000-0005-0000-0000-000064090000}"/>
    <cellStyle name="Date 5" xfId="642" xr:uid="{00000000-0005-0000-0000-000065090000}"/>
    <cellStyle name="Date 6" xfId="366" xr:uid="{00000000-0005-0000-0000-000066090000}"/>
    <cellStyle name="Date 7" xfId="2145" xr:uid="{00000000-0005-0000-0000-000067090000}"/>
    <cellStyle name="Date 8" xfId="2147" xr:uid="{00000000-0005-0000-0000-000068090000}"/>
    <cellStyle name="Date Aligned" xfId="3253" xr:uid="{00000000-0005-0000-0000-000069090000}"/>
    <cellStyle name="Date E" xfId="2258" xr:uid="{00000000-0005-0000-0000-00006A090000}"/>
    <cellStyle name="Date E 2" xfId="2260" xr:uid="{00000000-0005-0000-0000-00006B090000}"/>
    <cellStyle name="Date E 3" xfId="653" xr:uid="{00000000-0005-0000-0000-00006C090000}"/>
    <cellStyle name="Date E 4" xfId="3254" xr:uid="{00000000-0005-0000-0000-00006D090000}"/>
    <cellStyle name="Date E 5" xfId="647" xr:uid="{00000000-0005-0000-0000-00006E090000}"/>
    <cellStyle name="Date Short" xfId="2701" xr:uid="{00000000-0005-0000-0000-00006F090000}"/>
    <cellStyle name="Date_12 Dec 2012 Yuhe Financials Year 2012 Audit" xfId="1191" xr:uid="{00000000-0005-0000-0000-000070090000}"/>
    <cellStyle name="Date2" xfId="1385" xr:uid="{00000000-0005-0000-0000-000071090000}"/>
    <cellStyle name="DateLong" xfId="2502" xr:uid="{00000000-0005-0000-0000-000072090000}"/>
    <cellStyle name="Dates" xfId="2932" xr:uid="{00000000-0005-0000-0000-000073090000}"/>
    <cellStyle name="DateShort" xfId="3255" xr:uid="{00000000-0005-0000-0000-000074090000}"/>
    <cellStyle name="Day" xfId="1756" xr:uid="{00000000-0005-0000-0000-000075090000}"/>
    <cellStyle name="DEC 7PT 1" xfId="3068" xr:uid="{00000000-0005-0000-0000-000076090000}"/>
    <cellStyle name="DEC 7PT 1 2" xfId="3257" xr:uid="{00000000-0005-0000-0000-000077090000}"/>
    <cellStyle name="DEC 7PT 2" xfId="3070" xr:uid="{00000000-0005-0000-0000-000078090000}"/>
    <cellStyle name="DEC 7PT 2 2" xfId="3258" xr:uid="{00000000-0005-0000-0000-000079090000}"/>
    <cellStyle name="DEC 7PT 4" xfId="3073" xr:uid="{00000000-0005-0000-0000-00007A090000}"/>
    <cellStyle name="DEC 7PT 4 2" xfId="2844" xr:uid="{00000000-0005-0000-0000-00007B090000}"/>
    <cellStyle name="DEC 7PT 4A" xfId="2447" xr:uid="{00000000-0005-0000-0000-00007C090000}"/>
    <cellStyle name="DEC 7PT 4A 2" xfId="986" xr:uid="{00000000-0005-0000-0000-00007D090000}"/>
    <cellStyle name="DEC 9PT 1" xfId="3260" xr:uid="{00000000-0005-0000-0000-00007E090000}"/>
    <cellStyle name="DEC 9PT 1 2" xfId="3261" xr:uid="{00000000-0005-0000-0000-00007F090000}"/>
    <cellStyle name="DEC 9PT 3" xfId="3263" xr:uid="{00000000-0005-0000-0000-000080090000}"/>
    <cellStyle name="DEC 9PT 3 2" xfId="3265" xr:uid="{00000000-0005-0000-0000-000081090000}"/>
    <cellStyle name="DEC 9PT 5" xfId="3267" xr:uid="{00000000-0005-0000-0000-000082090000}"/>
    <cellStyle name="DEC 9PT 5 2" xfId="3268" xr:uid="{00000000-0005-0000-0000-000083090000}"/>
    <cellStyle name="Decimal" xfId="3270" xr:uid="{00000000-0005-0000-0000-000084090000}"/>
    <cellStyle name="decimal 1" xfId="3272" xr:uid="{00000000-0005-0000-0000-000085090000}"/>
    <cellStyle name="Decimal 2" xfId="3274" xr:uid="{00000000-0005-0000-0000-000086090000}"/>
    <cellStyle name="Decimal_0dp" xfId="3276" xr:uid="{00000000-0005-0000-0000-000087090000}"/>
    <cellStyle name="Define your own named style" xfId="3277" xr:uid="{00000000-0005-0000-0000-000088090000}"/>
    <cellStyle name="DELTA" xfId="3278" xr:uid="{00000000-0005-0000-0000-000089090000}"/>
    <cellStyle name="Derive" xfId="3279" xr:uid="{00000000-0005-0000-0000-00008A090000}"/>
    <cellStyle name="Dezimal [0]_BB Financial Summary Template" xfId="141" xr:uid="{00000000-0005-0000-0000-00008B090000}"/>
    <cellStyle name="Dezimal_ Magirus " xfId="1354" xr:uid="{00000000-0005-0000-0000-00008C090000}"/>
    <cellStyle name="Dollar" xfId="3169" xr:uid="{00000000-0005-0000-0000-00008D090000}"/>
    <cellStyle name="Dollar 2" xfId="3280" xr:uid="{00000000-0005-0000-0000-00008E090000}"/>
    <cellStyle name="Dollar 3" xfId="3281" xr:uid="{00000000-0005-0000-0000-00008F090000}"/>
    <cellStyle name="Dollar 4" xfId="3282" xr:uid="{00000000-0005-0000-0000-000090090000}"/>
    <cellStyle name="Dollar 5" xfId="3284" xr:uid="{00000000-0005-0000-0000-000091090000}"/>
    <cellStyle name="Dollar 6" xfId="3245" xr:uid="{00000000-0005-0000-0000-000092090000}"/>
    <cellStyle name="Dollar_Zero" xfId="1084" xr:uid="{00000000-0005-0000-0000-000093090000}"/>
    <cellStyle name="dollars" xfId="3286" xr:uid="{00000000-0005-0000-0000-000094090000}"/>
    <cellStyle name="Dotted Line" xfId="3287" xr:uid="{00000000-0005-0000-0000-000095090000}"/>
    <cellStyle name="Double Accounting" xfId="873" xr:uid="{00000000-0005-0000-0000-000096090000}"/>
    <cellStyle name="Emphasis 1" xfId="3289" xr:uid="{00000000-0005-0000-0000-000097090000}"/>
    <cellStyle name="Emphasis 2" xfId="431" xr:uid="{00000000-0005-0000-0000-000098090000}"/>
    <cellStyle name="Emphasis 3" xfId="3290" xr:uid="{00000000-0005-0000-0000-000099090000}"/>
    <cellStyle name="Encabezado 4" xfId="3291" xr:uid="{00000000-0005-0000-0000-00009A090000}"/>
    <cellStyle name="Énfasis1" xfId="1277" xr:uid="{00000000-0005-0000-0000-00009B090000}"/>
    <cellStyle name="Énfasis2" xfId="1280" xr:uid="{00000000-0005-0000-0000-00009C090000}"/>
    <cellStyle name="Énfasis3" xfId="1282" xr:uid="{00000000-0005-0000-0000-00009D090000}"/>
    <cellStyle name="Énfasis4" xfId="3292" xr:uid="{00000000-0005-0000-0000-00009E090000}"/>
    <cellStyle name="Énfasis5" xfId="3293" xr:uid="{00000000-0005-0000-0000-00009F090000}"/>
    <cellStyle name="Énfasis6" xfId="3294" xr:uid="{00000000-0005-0000-0000-0000A0090000}"/>
    <cellStyle name="Enlarge title text, yellow on blue" xfId="3295" xr:uid="{00000000-0005-0000-0000-0000A1090000}"/>
    <cellStyle name="Enter Currency (0)" xfId="3296" xr:uid="{00000000-0005-0000-0000-0000A2090000}"/>
    <cellStyle name="Enter Currency (0) 2" xfId="3298" xr:uid="{00000000-0005-0000-0000-0000A3090000}"/>
    <cellStyle name="Enter Currency (0) 3" xfId="3299" xr:uid="{00000000-0005-0000-0000-0000A4090000}"/>
    <cellStyle name="Enter Currency (0) 4" xfId="3300" xr:uid="{00000000-0005-0000-0000-0000A5090000}"/>
    <cellStyle name="Enter Currency (0) 5" xfId="616" xr:uid="{00000000-0005-0000-0000-0000A6090000}"/>
    <cellStyle name="Enter Currency (0) 6" xfId="3301" xr:uid="{00000000-0005-0000-0000-0000A7090000}"/>
    <cellStyle name="Enter Currency (0) 7" xfId="3302" xr:uid="{00000000-0005-0000-0000-0000A8090000}"/>
    <cellStyle name="Enter Currency (0) 8" xfId="3304" xr:uid="{00000000-0005-0000-0000-0000A9090000}"/>
    <cellStyle name="Enter Currency (0)_PI-international comps" xfId="788" xr:uid="{00000000-0005-0000-0000-0000AA090000}"/>
    <cellStyle name="Enter Currency (2)" xfId="2697" xr:uid="{00000000-0005-0000-0000-0000AB090000}"/>
    <cellStyle name="Enter Currency (2) 2" xfId="3305" xr:uid="{00000000-0005-0000-0000-0000AC090000}"/>
    <cellStyle name="Enter Currency (2) 3" xfId="3307" xr:uid="{00000000-0005-0000-0000-0000AD090000}"/>
    <cellStyle name="Enter Currency (2) 4" xfId="3309" xr:uid="{00000000-0005-0000-0000-0000AE090000}"/>
    <cellStyle name="Enter Currency (2) 5" xfId="3311" xr:uid="{00000000-0005-0000-0000-0000AF090000}"/>
    <cellStyle name="Enter Currency (2) 6" xfId="3313" xr:uid="{00000000-0005-0000-0000-0000B0090000}"/>
    <cellStyle name="Enter Currency (2) 7" xfId="3315" xr:uid="{00000000-0005-0000-0000-0000B1090000}"/>
    <cellStyle name="Enter Currency (2) 8" xfId="3316" xr:uid="{00000000-0005-0000-0000-0000B2090000}"/>
    <cellStyle name="Enter Currency (2)_PI-international comps" xfId="3317" xr:uid="{00000000-0005-0000-0000-0000B3090000}"/>
    <cellStyle name="Enter Units (0)" xfId="3318" xr:uid="{00000000-0005-0000-0000-0000B4090000}"/>
    <cellStyle name="Enter Units (0) 2" xfId="2863" xr:uid="{00000000-0005-0000-0000-0000B5090000}"/>
    <cellStyle name="Enter Units (0) 3" xfId="1918" xr:uid="{00000000-0005-0000-0000-0000B6090000}"/>
    <cellStyle name="Enter Units (0) 4" xfId="1920" xr:uid="{00000000-0005-0000-0000-0000B7090000}"/>
    <cellStyle name="Enter Units (0) 5" xfId="1922" xr:uid="{00000000-0005-0000-0000-0000B8090000}"/>
    <cellStyle name="Enter Units (0) 6" xfId="1924" xr:uid="{00000000-0005-0000-0000-0000B9090000}"/>
    <cellStyle name="Enter Units (0) 7" xfId="449" xr:uid="{00000000-0005-0000-0000-0000BA090000}"/>
    <cellStyle name="Enter Units (0) 8" xfId="1926" xr:uid="{00000000-0005-0000-0000-0000BB090000}"/>
    <cellStyle name="Enter Units (0)_PI-international comps" xfId="3320" xr:uid="{00000000-0005-0000-0000-0000BC090000}"/>
    <cellStyle name="Enter Units (1)" xfId="3322" xr:uid="{00000000-0005-0000-0000-0000BD090000}"/>
    <cellStyle name="Enter Units (1) 2" xfId="3047" xr:uid="{00000000-0005-0000-0000-0000BE090000}"/>
    <cellStyle name="Enter Units (1) 3" xfId="3049" xr:uid="{00000000-0005-0000-0000-0000BF090000}"/>
    <cellStyle name="Enter Units (1) 4" xfId="3051" xr:uid="{00000000-0005-0000-0000-0000C0090000}"/>
    <cellStyle name="Enter Units (1) 5" xfId="3053" xr:uid="{00000000-0005-0000-0000-0000C1090000}"/>
    <cellStyle name="Enter Units (1) 6" xfId="3324" xr:uid="{00000000-0005-0000-0000-0000C2090000}"/>
    <cellStyle name="Enter Units (1) 7" xfId="3325" xr:uid="{00000000-0005-0000-0000-0000C3090000}"/>
    <cellStyle name="Enter Units (1) 8" xfId="3326" xr:uid="{00000000-0005-0000-0000-0000C4090000}"/>
    <cellStyle name="Enter Units (1)_PI-international comps" xfId="3328" xr:uid="{00000000-0005-0000-0000-0000C5090000}"/>
    <cellStyle name="Enter Units (2)" xfId="2105" xr:uid="{00000000-0005-0000-0000-0000C6090000}"/>
    <cellStyle name="Enter Units (2) 2" xfId="1772" xr:uid="{00000000-0005-0000-0000-0000C7090000}"/>
    <cellStyle name="Enter Units (2) 3" xfId="1775" xr:uid="{00000000-0005-0000-0000-0000C8090000}"/>
    <cellStyle name="Enter Units (2) 4" xfId="1779" xr:uid="{00000000-0005-0000-0000-0000C9090000}"/>
    <cellStyle name="Enter Units (2) 5" xfId="1782" xr:uid="{00000000-0005-0000-0000-0000CA090000}"/>
    <cellStyle name="Enter Units (2) 6" xfId="1785" xr:uid="{00000000-0005-0000-0000-0000CB090000}"/>
    <cellStyle name="Enter Units (2) 7" xfId="3330" xr:uid="{00000000-0005-0000-0000-0000CC090000}"/>
    <cellStyle name="Enter Units (2) 8" xfId="3331" xr:uid="{00000000-0005-0000-0000-0000CD090000}"/>
    <cellStyle name="Enter Units (2)_PI-international comps" xfId="3332" xr:uid="{00000000-0005-0000-0000-0000CE090000}"/>
    <cellStyle name="Entered" xfId="1836" xr:uid="{00000000-0005-0000-0000-0000CF090000}"/>
    <cellStyle name="Entities" xfId="3334" xr:uid="{00000000-0005-0000-0000-0000D0090000}"/>
    <cellStyle name="Entrada" xfId="3336" xr:uid="{00000000-0005-0000-0000-0000D1090000}"/>
    <cellStyle name="Entrada 10" xfId="3337" xr:uid="{00000000-0005-0000-0000-0000D2090000}"/>
    <cellStyle name="Entrada 11" xfId="3338" xr:uid="{00000000-0005-0000-0000-0000D3090000}"/>
    <cellStyle name="Entrada 12" xfId="3340" xr:uid="{00000000-0005-0000-0000-0000D4090000}"/>
    <cellStyle name="Entrada 13" xfId="3342" xr:uid="{00000000-0005-0000-0000-0000D5090000}"/>
    <cellStyle name="Entrada 2" xfId="3345" xr:uid="{00000000-0005-0000-0000-0000D6090000}"/>
    <cellStyle name="Entrada 3" xfId="3346" xr:uid="{00000000-0005-0000-0000-0000D7090000}"/>
    <cellStyle name="Entrada 4" xfId="2687" xr:uid="{00000000-0005-0000-0000-0000D8090000}"/>
    <cellStyle name="Entrada 5" xfId="3347" xr:uid="{00000000-0005-0000-0000-0000D9090000}"/>
    <cellStyle name="Entrada 6" xfId="3348" xr:uid="{00000000-0005-0000-0000-0000DA090000}"/>
    <cellStyle name="Entrada 7" xfId="3349" xr:uid="{00000000-0005-0000-0000-0000DB090000}"/>
    <cellStyle name="Entrada 8" xfId="3350" xr:uid="{00000000-0005-0000-0000-0000DC090000}"/>
    <cellStyle name="Entrada 9" xfId="2689" xr:uid="{00000000-0005-0000-0000-0000DD090000}"/>
    <cellStyle name="Euro" xfId="3351" xr:uid="{00000000-0005-0000-0000-0000DE090000}"/>
    <cellStyle name="Euro 2" xfId="3352" xr:uid="{00000000-0005-0000-0000-0000DF090000}"/>
    <cellStyle name="Euro 2 2" xfId="3353" xr:uid="{00000000-0005-0000-0000-0000E0090000}"/>
    <cellStyle name="Euro 3" xfId="3354" xr:uid="{00000000-0005-0000-0000-0000E1090000}"/>
    <cellStyle name="Euro 4" xfId="3355" xr:uid="{00000000-0005-0000-0000-0000E2090000}"/>
    <cellStyle name="Euro 5" xfId="3356" xr:uid="{00000000-0005-0000-0000-0000E3090000}"/>
    <cellStyle name="Euro 6" xfId="1612" xr:uid="{00000000-0005-0000-0000-0000E4090000}"/>
    <cellStyle name="Euro 7" xfId="2153" xr:uid="{00000000-0005-0000-0000-0000E5090000}"/>
    <cellStyle name="Euro_BIL 190210_1519" xfId="3357" xr:uid="{00000000-0005-0000-0000-0000E6090000}"/>
    <cellStyle name="Excel Built-in Normal" xfId="3358" xr:uid="{00000000-0005-0000-0000-0000E7090000}"/>
    <cellStyle name="EXHIBIT #" xfId="2462" xr:uid="{00000000-0005-0000-0000-0000E8090000}"/>
    <cellStyle name="EXHIBIT # 2" xfId="2570" xr:uid="{00000000-0005-0000-0000-0000E9090000}"/>
    <cellStyle name="Explanatory Text 2" xfId="2838" xr:uid="{00000000-0005-0000-0000-0000EA090000}"/>
    <cellStyle name="Explanatory Text 2 2" xfId="3359" xr:uid="{00000000-0005-0000-0000-0000EB090000}"/>
    <cellStyle name="Explanatory Text 3" xfId="3361" xr:uid="{00000000-0005-0000-0000-0000EC090000}"/>
    <cellStyle name="Explanatory Text 4" xfId="3362" xr:uid="{00000000-0005-0000-0000-0000ED090000}"/>
    <cellStyle name="Explanatory Text 5" xfId="3363" xr:uid="{00000000-0005-0000-0000-0000EE090000}"/>
    <cellStyle name="Explanatory Text 6" xfId="3364" xr:uid="{00000000-0005-0000-0000-0000EF090000}"/>
    <cellStyle name="Explanatory Text 7" xfId="1349" xr:uid="{00000000-0005-0000-0000-0000F0090000}"/>
    <cellStyle name="Explanatory Text 8" xfId="1351" xr:uid="{00000000-0005-0000-0000-0000F1090000}"/>
    <cellStyle name="Explanatory Text 9" xfId="1355" xr:uid="{00000000-0005-0000-0000-0000F2090000}"/>
    <cellStyle name="External File Cells" xfId="271" xr:uid="{00000000-0005-0000-0000-0000F3090000}"/>
    <cellStyle name="External File Cells 10" xfId="1135" xr:uid="{00000000-0005-0000-0000-0000F4090000}"/>
    <cellStyle name="External File Cells 11" xfId="1326" xr:uid="{00000000-0005-0000-0000-0000F5090000}"/>
    <cellStyle name="External File Cells 12" xfId="1329" xr:uid="{00000000-0005-0000-0000-0000F6090000}"/>
    <cellStyle name="External File Cells 13" xfId="527" xr:uid="{00000000-0005-0000-0000-0000F7090000}"/>
    <cellStyle name="External File Cells 14" xfId="1332" xr:uid="{00000000-0005-0000-0000-0000F8090000}"/>
    <cellStyle name="External File Cells 15" xfId="1335" xr:uid="{00000000-0005-0000-0000-0000F9090000}"/>
    <cellStyle name="External File Cells 16" xfId="1337" xr:uid="{00000000-0005-0000-0000-0000FA090000}"/>
    <cellStyle name="External File Cells 17" xfId="1339" xr:uid="{00000000-0005-0000-0000-0000FB090000}"/>
    <cellStyle name="External File Cells 18" xfId="1341" xr:uid="{00000000-0005-0000-0000-0000FC090000}"/>
    <cellStyle name="External File Cells 2" xfId="3365" xr:uid="{00000000-0005-0000-0000-0000FD090000}"/>
    <cellStyle name="External File Cells 2 10" xfId="3366" xr:uid="{00000000-0005-0000-0000-0000FE090000}"/>
    <cellStyle name="External File Cells 2 11" xfId="1009" xr:uid="{00000000-0005-0000-0000-0000FF090000}"/>
    <cellStyle name="External File Cells 2 12" xfId="1392" xr:uid="{00000000-0005-0000-0000-0000000A0000}"/>
    <cellStyle name="External File Cells 2 13" xfId="1395" xr:uid="{00000000-0005-0000-0000-0000010A0000}"/>
    <cellStyle name="External File Cells 2 2" xfId="2631" xr:uid="{00000000-0005-0000-0000-0000020A0000}"/>
    <cellStyle name="External File Cells 2 3" xfId="3367" xr:uid="{00000000-0005-0000-0000-0000030A0000}"/>
    <cellStyle name="External File Cells 2 4" xfId="3368" xr:uid="{00000000-0005-0000-0000-0000040A0000}"/>
    <cellStyle name="External File Cells 2 5" xfId="3189" xr:uid="{00000000-0005-0000-0000-0000050A0000}"/>
    <cellStyle name="External File Cells 2 6" xfId="3369" xr:uid="{00000000-0005-0000-0000-0000060A0000}"/>
    <cellStyle name="External File Cells 2 7" xfId="1114" xr:uid="{00000000-0005-0000-0000-0000070A0000}"/>
    <cellStyle name="External File Cells 2 8" xfId="3370" xr:uid="{00000000-0005-0000-0000-0000080A0000}"/>
    <cellStyle name="External File Cells 2 9" xfId="3371" xr:uid="{00000000-0005-0000-0000-0000090A0000}"/>
    <cellStyle name="External File Cells 3" xfId="3126" xr:uid="{00000000-0005-0000-0000-00000A0A0000}"/>
    <cellStyle name="External File Cells 3 10" xfId="300" xr:uid="{00000000-0005-0000-0000-00000B0A0000}"/>
    <cellStyle name="External File Cells 3 11" xfId="1797" xr:uid="{00000000-0005-0000-0000-00000C0A0000}"/>
    <cellStyle name="External File Cells 3 12" xfId="1799" xr:uid="{00000000-0005-0000-0000-00000D0A0000}"/>
    <cellStyle name="External File Cells 3 13" xfId="1801" xr:uid="{00000000-0005-0000-0000-00000E0A0000}"/>
    <cellStyle name="External File Cells 3 2" xfId="190" xr:uid="{00000000-0005-0000-0000-00000F0A0000}"/>
    <cellStyle name="External File Cells 3 3" xfId="3128" xr:uid="{00000000-0005-0000-0000-0000100A0000}"/>
    <cellStyle name="External File Cells 3 4" xfId="3130" xr:uid="{00000000-0005-0000-0000-0000110A0000}"/>
    <cellStyle name="External File Cells 3 5" xfId="3133" xr:uid="{00000000-0005-0000-0000-0000120A0000}"/>
    <cellStyle name="External File Cells 3 6" xfId="3136" xr:uid="{00000000-0005-0000-0000-0000130A0000}"/>
    <cellStyle name="External File Cells 3 7" xfId="3139" xr:uid="{00000000-0005-0000-0000-0000140A0000}"/>
    <cellStyle name="External File Cells 3 8" xfId="1470" xr:uid="{00000000-0005-0000-0000-0000150A0000}"/>
    <cellStyle name="External File Cells 3 9" xfId="1678" xr:uid="{00000000-0005-0000-0000-0000160A0000}"/>
    <cellStyle name="External File Cells 4" xfId="3372" xr:uid="{00000000-0005-0000-0000-0000170A0000}"/>
    <cellStyle name="External File Cells 4 10" xfId="2712" xr:uid="{00000000-0005-0000-0000-0000180A0000}"/>
    <cellStyle name="External File Cells 4 11" xfId="2722" xr:uid="{00000000-0005-0000-0000-0000190A0000}"/>
    <cellStyle name="External File Cells 4 12" xfId="1859" xr:uid="{00000000-0005-0000-0000-00001A0A0000}"/>
    <cellStyle name="External File Cells 4 13" xfId="186" xr:uid="{00000000-0005-0000-0000-00001B0A0000}"/>
    <cellStyle name="External File Cells 4 2" xfId="3373" xr:uid="{00000000-0005-0000-0000-00001C0A0000}"/>
    <cellStyle name="External File Cells 4 3" xfId="3374" xr:uid="{00000000-0005-0000-0000-00001D0A0000}"/>
    <cellStyle name="External File Cells 4 4" xfId="3375" xr:uid="{00000000-0005-0000-0000-00001E0A0000}"/>
    <cellStyle name="External File Cells 4 5" xfId="1319" xr:uid="{00000000-0005-0000-0000-00001F0A0000}"/>
    <cellStyle name="External File Cells 4 6" xfId="1321" xr:uid="{00000000-0005-0000-0000-0000200A0000}"/>
    <cellStyle name="External File Cells 4 7" xfId="1323" xr:uid="{00000000-0005-0000-0000-0000210A0000}"/>
    <cellStyle name="External File Cells 4 8" xfId="876" xr:uid="{00000000-0005-0000-0000-0000220A0000}"/>
    <cellStyle name="External File Cells 4 9" xfId="3376" xr:uid="{00000000-0005-0000-0000-0000230A0000}"/>
    <cellStyle name="External File Cells 5" xfId="2580" xr:uid="{00000000-0005-0000-0000-0000240A0000}"/>
    <cellStyle name="External File Cells 5 10" xfId="2786" xr:uid="{00000000-0005-0000-0000-0000250A0000}"/>
    <cellStyle name="External File Cells 5 11" xfId="2789" xr:uid="{00000000-0005-0000-0000-0000260A0000}"/>
    <cellStyle name="External File Cells 5 12" xfId="2791" xr:uid="{00000000-0005-0000-0000-0000270A0000}"/>
    <cellStyle name="External File Cells 5 13" xfId="1736" xr:uid="{00000000-0005-0000-0000-0000280A0000}"/>
    <cellStyle name="External File Cells 5 2" xfId="3377" xr:uid="{00000000-0005-0000-0000-0000290A0000}"/>
    <cellStyle name="External File Cells 5 3" xfId="3378" xr:uid="{00000000-0005-0000-0000-00002A0A0000}"/>
    <cellStyle name="External File Cells 5 4" xfId="3380" xr:uid="{00000000-0005-0000-0000-00002B0A0000}"/>
    <cellStyle name="External File Cells 5 5" xfId="3382" xr:uid="{00000000-0005-0000-0000-00002C0A0000}"/>
    <cellStyle name="External File Cells 5 6" xfId="3384" xr:uid="{00000000-0005-0000-0000-00002D0A0000}"/>
    <cellStyle name="External File Cells 5 7" xfId="3387" xr:uid="{00000000-0005-0000-0000-00002E0A0000}"/>
    <cellStyle name="External File Cells 5 8" xfId="2601" xr:uid="{00000000-0005-0000-0000-00002F0A0000}"/>
    <cellStyle name="External File Cells 5 9" xfId="860" xr:uid="{00000000-0005-0000-0000-0000300A0000}"/>
    <cellStyle name="External File Cells 6" xfId="3388" xr:uid="{00000000-0005-0000-0000-0000310A0000}"/>
    <cellStyle name="External File Cells 6 10" xfId="3339" xr:uid="{00000000-0005-0000-0000-0000320A0000}"/>
    <cellStyle name="External File Cells 6 11" xfId="3341" xr:uid="{00000000-0005-0000-0000-0000330A0000}"/>
    <cellStyle name="External File Cells 6 12" xfId="3343" xr:uid="{00000000-0005-0000-0000-0000340A0000}"/>
    <cellStyle name="External File Cells 6 13" xfId="3389" xr:uid="{00000000-0005-0000-0000-0000350A0000}"/>
    <cellStyle name="External File Cells 6 2" xfId="3390" xr:uid="{00000000-0005-0000-0000-0000360A0000}"/>
    <cellStyle name="External File Cells 6 3" xfId="1043" xr:uid="{00000000-0005-0000-0000-0000370A0000}"/>
    <cellStyle name="External File Cells 6 4" xfId="3391" xr:uid="{00000000-0005-0000-0000-0000380A0000}"/>
    <cellStyle name="External File Cells 6 5" xfId="3392" xr:uid="{00000000-0005-0000-0000-0000390A0000}"/>
    <cellStyle name="External File Cells 6 6" xfId="3393" xr:uid="{00000000-0005-0000-0000-00003A0A0000}"/>
    <cellStyle name="External File Cells 6 7" xfId="3394" xr:uid="{00000000-0005-0000-0000-00003B0A0000}"/>
    <cellStyle name="External File Cells 6 8" xfId="2348" xr:uid="{00000000-0005-0000-0000-00003C0A0000}"/>
    <cellStyle name="External File Cells 6 9" xfId="3395" xr:uid="{00000000-0005-0000-0000-00003D0A0000}"/>
    <cellStyle name="External File Cells 7" xfId="3396" xr:uid="{00000000-0005-0000-0000-00003E0A0000}"/>
    <cellStyle name="External File Cells 8" xfId="3397" xr:uid="{00000000-0005-0000-0000-00003F0A0000}"/>
    <cellStyle name="External File Cells 9" xfId="3398" xr:uid="{00000000-0005-0000-0000-0000400A0000}"/>
    <cellStyle name="EYBlocked" xfId="3256" xr:uid="{00000000-0005-0000-0000-0000410A0000}"/>
    <cellStyle name="EYCallUp" xfId="3399" xr:uid="{00000000-0005-0000-0000-0000420A0000}"/>
    <cellStyle name="EYCheck" xfId="3400" xr:uid="{00000000-0005-0000-0000-0000430A0000}"/>
    <cellStyle name="EYDate" xfId="3401" xr:uid="{00000000-0005-0000-0000-0000440A0000}"/>
    <cellStyle name="EYDeviant" xfId="1037" xr:uid="{00000000-0005-0000-0000-0000450A0000}"/>
    <cellStyle name="EYHeader1" xfId="3402" xr:uid="{00000000-0005-0000-0000-0000460A0000}"/>
    <cellStyle name="EYHeader1 10" xfId="1189" xr:uid="{00000000-0005-0000-0000-0000470A0000}"/>
    <cellStyle name="EYHeader1 11" xfId="964" xr:uid="{00000000-0005-0000-0000-0000480A0000}"/>
    <cellStyle name="EYHeader1 12" xfId="3403" xr:uid="{00000000-0005-0000-0000-0000490A0000}"/>
    <cellStyle name="EYHeader1 13" xfId="3404" xr:uid="{00000000-0005-0000-0000-00004A0A0000}"/>
    <cellStyle name="EYHeader1 14" xfId="3405" xr:uid="{00000000-0005-0000-0000-00004B0A0000}"/>
    <cellStyle name="EYHeader1 15" xfId="3406" xr:uid="{00000000-0005-0000-0000-00004C0A0000}"/>
    <cellStyle name="EYHeader1 16" xfId="3408" xr:uid="{00000000-0005-0000-0000-00004D0A0000}"/>
    <cellStyle name="EYHeader1 17" xfId="3410" xr:uid="{00000000-0005-0000-0000-00004E0A0000}"/>
    <cellStyle name="EYHeader1 18" xfId="3412" xr:uid="{00000000-0005-0000-0000-00004F0A0000}"/>
    <cellStyle name="EYHeader1 19" xfId="698" xr:uid="{00000000-0005-0000-0000-0000500A0000}"/>
    <cellStyle name="EYHeader1 2" xfId="2894" xr:uid="{00000000-0005-0000-0000-0000510A0000}"/>
    <cellStyle name="EYHeader1 20" xfId="3407" xr:uid="{00000000-0005-0000-0000-0000520A0000}"/>
    <cellStyle name="EYHeader1 21" xfId="3409" xr:uid="{00000000-0005-0000-0000-0000530A0000}"/>
    <cellStyle name="EYHeader1 22" xfId="3411" xr:uid="{00000000-0005-0000-0000-0000540A0000}"/>
    <cellStyle name="EYHeader1 23" xfId="3413" xr:uid="{00000000-0005-0000-0000-0000550A0000}"/>
    <cellStyle name="EYHeader1 24" xfId="699" xr:uid="{00000000-0005-0000-0000-0000560A0000}"/>
    <cellStyle name="EYHeader1 25" xfId="3414" xr:uid="{00000000-0005-0000-0000-0000570A0000}"/>
    <cellStyle name="EYHeader1 26" xfId="3416" xr:uid="{00000000-0005-0000-0000-0000580A0000}"/>
    <cellStyle name="EYHeader1 27" xfId="3417" xr:uid="{00000000-0005-0000-0000-0000590A0000}"/>
    <cellStyle name="EYHeader1 28" xfId="3418" xr:uid="{00000000-0005-0000-0000-00005A0A0000}"/>
    <cellStyle name="EYHeader1 29" xfId="3419" xr:uid="{00000000-0005-0000-0000-00005B0A0000}"/>
    <cellStyle name="EYHeader1 3" xfId="3420" xr:uid="{00000000-0005-0000-0000-00005C0A0000}"/>
    <cellStyle name="EYHeader1 30" xfId="3415" xr:uid="{00000000-0005-0000-0000-00005D0A0000}"/>
    <cellStyle name="EYHeader1 4" xfId="3421" xr:uid="{00000000-0005-0000-0000-00005E0A0000}"/>
    <cellStyle name="EYHeader1 5" xfId="3422" xr:uid="{00000000-0005-0000-0000-00005F0A0000}"/>
    <cellStyle name="EYHeader1 6" xfId="3423" xr:uid="{00000000-0005-0000-0000-0000600A0000}"/>
    <cellStyle name="EYHeader1 7" xfId="3424" xr:uid="{00000000-0005-0000-0000-0000610A0000}"/>
    <cellStyle name="EYHeader1 8" xfId="3425" xr:uid="{00000000-0005-0000-0000-0000620A0000}"/>
    <cellStyle name="EYHeader1 9" xfId="2973" xr:uid="{00000000-0005-0000-0000-0000630A0000}"/>
    <cellStyle name="EYHeader2" xfId="3427" xr:uid="{00000000-0005-0000-0000-0000640A0000}"/>
    <cellStyle name="EYHeader3" xfId="3428" xr:uid="{00000000-0005-0000-0000-0000650A0000}"/>
    <cellStyle name="EYInputDate" xfId="1049" xr:uid="{00000000-0005-0000-0000-0000660A0000}"/>
    <cellStyle name="EYInputPercent" xfId="1993" xr:uid="{00000000-0005-0000-0000-0000670A0000}"/>
    <cellStyle name="EYInputValue" xfId="2521" xr:uid="{00000000-0005-0000-0000-0000680A0000}"/>
    <cellStyle name="EYNormal" xfId="3259" xr:uid="{00000000-0005-0000-0000-0000690A0000}"/>
    <cellStyle name="EYPercent" xfId="3429" xr:uid="{00000000-0005-0000-0000-00006A0A0000}"/>
    <cellStyle name="EYPercentCapped" xfId="2115" xr:uid="{00000000-0005-0000-0000-00006B0A0000}"/>
    <cellStyle name="EYSubTotal" xfId="3430" xr:uid="{00000000-0005-0000-0000-00006C0A0000}"/>
    <cellStyle name="EYSubTotal 10" xfId="3431" xr:uid="{00000000-0005-0000-0000-00006D0A0000}"/>
    <cellStyle name="EYSubTotal 11" xfId="3433" xr:uid="{00000000-0005-0000-0000-00006E0A0000}"/>
    <cellStyle name="EYSubTotal 12" xfId="3435" xr:uid="{00000000-0005-0000-0000-00006F0A0000}"/>
    <cellStyle name="EYSubTotal 13" xfId="3437" xr:uid="{00000000-0005-0000-0000-0000700A0000}"/>
    <cellStyle name="EYSubTotal 14" xfId="3439" xr:uid="{00000000-0005-0000-0000-0000710A0000}"/>
    <cellStyle name="EYSubTotal 15" xfId="2582" xr:uid="{00000000-0005-0000-0000-0000720A0000}"/>
    <cellStyle name="EYSubTotal 16" xfId="3440" xr:uid="{00000000-0005-0000-0000-0000730A0000}"/>
    <cellStyle name="EYSubTotal 17" xfId="3442" xr:uid="{00000000-0005-0000-0000-0000740A0000}"/>
    <cellStyle name="EYSubTotal 18" xfId="3444" xr:uid="{00000000-0005-0000-0000-0000750A0000}"/>
    <cellStyle name="EYSubTotal 19" xfId="3446" xr:uid="{00000000-0005-0000-0000-0000760A0000}"/>
    <cellStyle name="EYSubTotal 2" xfId="3104" xr:uid="{00000000-0005-0000-0000-0000770A0000}"/>
    <cellStyle name="EYSubTotal 20" xfId="2583" xr:uid="{00000000-0005-0000-0000-0000780A0000}"/>
    <cellStyle name="EYSubTotal 21" xfId="3441" xr:uid="{00000000-0005-0000-0000-0000790A0000}"/>
    <cellStyle name="EYSubTotal 22" xfId="3443" xr:uid="{00000000-0005-0000-0000-00007A0A0000}"/>
    <cellStyle name="EYSubTotal 23" xfId="3445" xr:uid="{00000000-0005-0000-0000-00007B0A0000}"/>
    <cellStyle name="EYSubTotal 24" xfId="3447" xr:uid="{00000000-0005-0000-0000-00007C0A0000}"/>
    <cellStyle name="EYSubTotal 25" xfId="3448" xr:uid="{00000000-0005-0000-0000-00007D0A0000}"/>
    <cellStyle name="EYSubTotal 26" xfId="3450" xr:uid="{00000000-0005-0000-0000-00007E0A0000}"/>
    <cellStyle name="EYSubTotal 27" xfId="3451" xr:uid="{00000000-0005-0000-0000-00007F0A0000}"/>
    <cellStyle name="EYSubTotal 28" xfId="3452" xr:uid="{00000000-0005-0000-0000-0000800A0000}"/>
    <cellStyle name="EYSubTotal 29" xfId="3453" xr:uid="{00000000-0005-0000-0000-0000810A0000}"/>
    <cellStyle name="EYSubTotal 3" xfId="3163" xr:uid="{00000000-0005-0000-0000-0000820A0000}"/>
    <cellStyle name="EYSubTotal 30" xfId="3449" xr:uid="{00000000-0005-0000-0000-0000830A0000}"/>
    <cellStyle name="EYSubTotal 4" xfId="3165" xr:uid="{00000000-0005-0000-0000-0000840A0000}"/>
    <cellStyle name="EYSubTotal 5" xfId="3167" xr:uid="{00000000-0005-0000-0000-0000850A0000}"/>
    <cellStyle name="EYSubTotal 6" xfId="3170" xr:uid="{00000000-0005-0000-0000-0000860A0000}"/>
    <cellStyle name="EYSubTotal 7" xfId="3172" xr:uid="{00000000-0005-0000-0000-0000870A0000}"/>
    <cellStyle name="EYSubTotal 8" xfId="3174" xr:uid="{00000000-0005-0000-0000-0000880A0000}"/>
    <cellStyle name="EYSubTotal 9" xfId="3176" xr:uid="{00000000-0005-0000-0000-0000890A0000}"/>
    <cellStyle name="EYTotal" xfId="2815" xr:uid="{00000000-0005-0000-0000-00008A0A0000}"/>
    <cellStyle name="EYWIP" xfId="3454" xr:uid="{00000000-0005-0000-0000-00008B0A0000}"/>
    <cellStyle name="Ẹ롑㿎_x0008__x0001_" xfId="3455" xr:uid="{00000000-0005-0000-0000-00008C0A0000}"/>
    <cellStyle name="F2" xfId="295" xr:uid="{00000000-0005-0000-0000-00008D0A0000}"/>
    <cellStyle name="F3" xfId="1765" xr:uid="{00000000-0005-0000-0000-00008E0A0000}"/>
    <cellStyle name="F4" xfId="3192" xr:uid="{00000000-0005-0000-0000-00008F0A0000}"/>
    <cellStyle name="F5" xfId="2683" xr:uid="{00000000-0005-0000-0000-0000900A0000}"/>
    <cellStyle name="F6" xfId="457" xr:uid="{00000000-0005-0000-0000-0000910A0000}"/>
    <cellStyle name="F7" xfId="1552" xr:uid="{00000000-0005-0000-0000-0000920A0000}"/>
    <cellStyle name="F8" xfId="3197" xr:uid="{00000000-0005-0000-0000-0000930A0000}"/>
    <cellStyle name="Factor" xfId="1022" xr:uid="{00000000-0005-0000-0000-0000940A0000}"/>
    <cellStyle name="fbnumber" xfId="3456" xr:uid="{00000000-0005-0000-0000-0000950A0000}"/>
    <cellStyle name="fbnumber 2" xfId="839" xr:uid="{00000000-0005-0000-0000-0000960A0000}"/>
    <cellStyle name="fbnumber 3" xfId="1050" xr:uid="{00000000-0005-0000-0000-0000970A0000}"/>
    <cellStyle name="fbnumber 4" xfId="3458" xr:uid="{00000000-0005-0000-0000-0000980A0000}"/>
    <cellStyle name="fbnumber 5" xfId="2850" xr:uid="{00000000-0005-0000-0000-0000990A0000}"/>
    <cellStyle name="fbnumber 6" xfId="1398" xr:uid="{00000000-0005-0000-0000-00009A0A0000}"/>
    <cellStyle name="FF_EURO" xfId="3459" xr:uid="{00000000-0005-0000-0000-00009B0A0000}"/>
    <cellStyle name="FieldName" xfId="990" xr:uid="{00000000-0005-0000-0000-00009C0A0000}"/>
    <cellStyle name="FieldName 10" xfId="2013" xr:uid="{00000000-0005-0000-0000-00009D0A0000}"/>
    <cellStyle name="FieldName 11" xfId="2015" xr:uid="{00000000-0005-0000-0000-00009E0A0000}"/>
    <cellStyle name="FieldName 12" xfId="1706" xr:uid="{00000000-0005-0000-0000-00009F0A0000}"/>
    <cellStyle name="FieldName 13" xfId="3460" xr:uid="{00000000-0005-0000-0000-0000A00A0000}"/>
    <cellStyle name="FieldName 14" xfId="3461" xr:uid="{00000000-0005-0000-0000-0000A10A0000}"/>
    <cellStyle name="FieldName 2" xfId="3462" xr:uid="{00000000-0005-0000-0000-0000A20A0000}"/>
    <cellStyle name="FieldName 2 10" xfId="685" xr:uid="{00000000-0005-0000-0000-0000A30A0000}"/>
    <cellStyle name="FieldName 2 11" xfId="3465" xr:uid="{00000000-0005-0000-0000-0000A40A0000}"/>
    <cellStyle name="FieldName 2 12" xfId="268" xr:uid="{00000000-0005-0000-0000-0000A50A0000}"/>
    <cellStyle name="FieldName 2 13" xfId="3467" xr:uid="{00000000-0005-0000-0000-0000A60A0000}"/>
    <cellStyle name="FieldName 2 2" xfId="1963" xr:uid="{00000000-0005-0000-0000-0000A70A0000}"/>
    <cellStyle name="FieldName 2 3" xfId="1739" xr:uid="{00000000-0005-0000-0000-0000A80A0000}"/>
    <cellStyle name="FieldName 2 4" xfId="3469" xr:uid="{00000000-0005-0000-0000-0000A90A0000}"/>
    <cellStyle name="FieldName 2 5" xfId="3471" xr:uid="{00000000-0005-0000-0000-0000AA0A0000}"/>
    <cellStyle name="FieldName 2 6" xfId="3473" xr:uid="{00000000-0005-0000-0000-0000AB0A0000}"/>
    <cellStyle name="FieldName 2 7" xfId="3475" xr:uid="{00000000-0005-0000-0000-0000AC0A0000}"/>
    <cellStyle name="FieldName 2 8" xfId="20" xr:uid="{00000000-0005-0000-0000-0000AD0A0000}"/>
    <cellStyle name="FieldName 2 9" xfId="1525" xr:uid="{00000000-0005-0000-0000-0000AE0A0000}"/>
    <cellStyle name="FieldName 3" xfId="3477" xr:uid="{00000000-0005-0000-0000-0000AF0A0000}"/>
    <cellStyle name="FieldName 4" xfId="3481" xr:uid="{00000000-0005-0000-0000-0000B00A0000}"/>
    <cellStyle name="FieldName 5" xfId="3483" xr:uid="{00000000-0005-0000-0000-0000B10A0000}"/>
    <cellStyle name="FieldName 6" xfId="1708" xr:uid="{00000000-0005-0000-0000-0000B20A0000}"/>
    <cellStyle name="FieldName 7" xfId="1058" xr:uid="{00000000-0005-0000-0000-0000B30A0000}"/>
    <cellStyle name="FieldName 8" xfId="3485" xr:uid="{00000000-0005-0000-0000-0000B40A0000}"/>
    <cellStyle name="FieldName 9" xfId="3486" xr:uid="{00000000-0005-0000-0000-0000B50A0000}"/>
    <cellStyle name="Final_Data" xfId="1822" xr:uid="{00000000-0005-0000-0000-0000B60A0000}"/>
    <cellStyle name="FinClose" xfId="2344" xr:uid="{00000000-0005-0000-0000-0000B70A0000}"/>
    <cellStyle name="Fixed" xfId="2364" xr:uid="{00000000-0005-0000-0000-0000B80A0000}"/>
    <cellStyle name="Fixed [0]" xfId="3487" xr:uid="{00000000-0005-0000-0000-0000B90A0000}"/>
    <cellStyle name="Fixed [0] 2" xfId="3489" xr:uid="{00000000-0005-0000-0000-0000BA0A0000}"/>
    <cellStyle name="Fixed [0] 3" xfId="3491" xr:uid="{00000000-0005-0000-0000-0000BB0A0000}"/>
    <cellStyle name="Fixed [0] 4" xfId="3493" xr:uid="{00000000-0005-0000-0000-0000BC0A0000}"/>
    <cellStyle name="Fixed [0] 5" xfId="3495" xr:uid="{00000000-0005-0000-0000-0000BD0A0000}"/>
    <cellStyle name="Fixed [0] 6" xfId="3497" xr:uid="{00000000-0005-0000-0000-0000BE0A0000}"/>
    <cellStyle name="Fixed [0] 7" xfId="3499" xr:uid="{00000000-0005-0000-0000-0000BF0A0000}"/>
    <cellStyle name="Fixed 2" xfId="1605" xr:uid="{00000000-0005-0000-0000-0000C00A0000}"/>
    <cellStyle name="Fixed 3" xfId="3501" xr:uid="{00000000-0005-0000-0000-0000C10A0000}"/>
    <cellStyle name="Fixed 4" xfId="3502" xr:uid="{00000000-0005-0000-0000-0000C20A0000}"/>
    <cellStyle name="Fixed 5" xfId="1515" xr:uid="{00000000-0005-0000-0000-0000C30A0000}"/>
    <cellStyle name="Fixed 6" xfId="27" xr:uid="{00000000-0005-0000-0000-0000C40A0000}"/>
    <cellStyle name="Fixed 7" xfId="3503" xr:uid="{00000000-0005-0000-0000-0000C50A0000}"/>
    <cellStyle name="Fixed 8" xfId="3504" xr:uid="{00000000-0005-0000-0000-0000C60A0000}"/>
    <cellStyle name="Fixed_211109_ 1840" xfId="1792" xr:uid="{00000000-0005-0000-0000-0000C70A0000}"/>
    <cellStyle name="Fixed3 - Style3" xfId="3505" xr:uid="{00000000-0005-0000-0000-0000C80A0000}"/>
    <cellStyle name="Fleet" xfId="3506" xr:uid="{00000000-0005-0000-0000-0000C90A0000}"/>
    <cellStyle name="Fleet 2" xfId="3507" xr:uid="{00000000-0005-0000-0000-0000CA0A0000}"/>
    <cellStyle name="Fleet 3" xfId="3508" xr:uid="{00000000-0005-0000-0000-0000CB0A0000}"/>
    <cellStyle name="Fleet 4" xfId="658" xr:uid="{00000000-0005-0000-0000-0000CC0A0000}"/>
    <cellStyle name="Fleet 5" xfId="3511" xr:uid="{00000000-0005-0000-0000-0000CD0A0000}"/>
    <cellStyle name="Fleet 6" xfId="3512" xr:uid="{00000000-0005-0000-0000-0000CE0A0000}"/>
    <cellStyle name="ƒnƒCƒp[ƒŠƒ“ƒN" xfId="339" xr:uid="{00000000-0005-0000-0000-0000CF0A0000}"/>
    <cellStyle name="Footer SBILogo1" xfId="3513" xr:uid="{00000000-0005-0000-0000-0000D00A0000}"/>
    <cellStyle name="Footer SBILogo2" xfId="3514" xr:uid="{00000000-0005-0000-0000-0000D10A0000}"/>
    <cellStyle name="Footnote" xfId="3515" xr:uid="{00000000-0005-0000-0000-0000D20A0000}"/>
    <cellStyle name="FOOTNOTE 2" xfId="3516" xr:uid="{00000000-0005-0000-0000-0000D30A0000}"/>
    <cellStyle name="Footnote Reference" xfId="3517" xr:uid="{00000000-0005-0000-0000-0000D40A0000}"/>
    <cellStyle name="FOOTNOTE_Copy of pi-domestic comps-270509_1600 (2)" xfId="1153" xr:uid="{00000000-0005-0000-0000-0000D50A0000}"/>
    <cellStyle name="Forecast Cell Column Heading" xfId="3519" xr:uid="{00000000-0005-0000-0000-0000D60A0000}"/>
    <cellStyle name="Forecast Cells" xfId="1627" xr:uid="{00000000-0005-0000-0000-0000D70A0000}"/>
    <cellStyle name="Forecast Cells 2" xfId="3426" xr:uid="{00000000-0005-0000-0000-0000D80A0000}"/>
    <cellStyle name="Forecast Cells 3" xfId="2974" xr:uid="{00000000-0005-0000-0000-0000D90A0000}"/>
    <cellStyle name="Forecast Cells 4" xfId="3520" xr:uid="{00000000-0005-0000-0000-0000DA0A0000}"/>
    <cellStyle name="Forecast Cells 5" xfId="793" xr:uid="{00000000-0005-0000-0000-0000DB0A0000}"/>
    <cellStyle name="Forecast Cells 6" xfId="1896" xr:uid="{00000000-0005-0000-0000-0000DC0A0000}"/>
    <cellStyle name="Forklarende tekst" xfId="2723" xr:uid="{00000000-0005-0000-0000-0000DD0A0000}"/>
    <cellStyle name="FS_Zero" xfId="1032" xr:uid="{00000000-0005-0000-0000-0000DE0A0000}"/>
    <cellStyle name="FS-Hist_Zero" xfId="3521" xr:uid="{00000000-0005-0000-0000-0000DF0A0000}"/>
    <cellStyle name="fy" xfId="3522" xr:uid="{00000000-0005-0000-0000-0000E00A0000}"/>
    <cellStyle name="fy 2" xfId="3523" xr:uid="{00000000-0005-0000-0000-0000E10A0000}"/>
    <cellStyle name="fy 3" xfId="1603" xr:uid="{00000000-0005-0000-0000-0000E20A0000}"/>
    <cellStyle name="fy 4" xfId="2045" xr:uid="{00000000-0005-0000-0000-0000E30A0000}"/>
    <cellStyle name="fy 5" xfId="2046" xr:uid="{00000000-0005-0000-0000-0000E40A0000}"/>
    <cellStyle name="G02 Table Text" xfId="51" xr:uid="{00000000-0005-0000-0000-0000E50A0000}"/>
    <cellStyle name="G02 Table Text 2" xfId="3524" xr:uid="{00000000-0005-0000-0000-0000E60A0000}"/>
    <cellStyle name="G02 Table Text 3" xfId="3080" xr:uid="{00000000-0005-0000-0000-0000E70A0000}"/>
    <cellStyle name="G02 Table Text 4" xfId="403" xr:uid="{00000000-0005-0000-0000-0000E80A0000}"/>
    <cellStyle name="G02 Table Text 5" xfId="3525" xr:uid="{00000000-0005-0000-0000-0000E90A0000}"/>
    <cellStyle name="G02 Table Text 6" xfId="3526" xr:uid="{00000000-0005-0000-0000-0000EA0A0000}"/>
    <cellStyle name="G04_Main head" xfId="3042" xr:uid="{00000000-0005-0000-0000-0000EB0A0000}"/>
    <cellStyle name="G05 Tab Head Bold" xfId="3527" xr:uid="{00000000-0005-0000-0000-0000EC0A0000}"/>
    <cellStyle name="G05 Tab Head Bold 2" xfId="2720" xr:uid="{00000000-0005-0000-0000-0000ED0A0000}"/>
    <cellStyle name="G05 Tab Head Bold 3" xfId="1503" xr:uid="{00000000-0005-0000-0000-0000EE0A0000}"/>
    <cellStyle name="G05 Tab Head Bold 4" xfId="1130" xr:uid="{00000000-0005-0000-0000-0000EF0A0000}"/>
    <cellStyle name="G05 Tab Head Bold 5" xfId="3220" xr:uid="{00000000-0005-0000-0000-0000F00A0000}"/>
    <cellStyle name="G05 Tab Head Bold 6" xfId="3085" xr:uid="{00000000-0005-0000-0000-0000F10A0000}"/>
    <cellStyle name="G05 Tab Head Bold 7" xfId="1682" xr:uid="{00000000-0005-0000-0000-0000F20A0000}"/>
    <cellStyle name="G05 Tab Head Bold 8" xfId="3528" xr:uid="{00000000-0005-0000-0000-0000F30A0000}"/>
    <cellStyle name="G05 Tab Head Bold_PI-international comps" xfId="3529" xr:uid="{00000000-0005-0000-0000-0000F40A0000}"/>
    <cellStyle name="G05 Tab Head Light" xfId="130" xr:uid="{00000000-0005-0000-0000-0000F50A0000}"/>
    <cellStyle name="G05 Tab Head Light 2" xfId="1762" xr:uid="{00000000-0005-0000-0000-0000F60A0000}"/>
    <cellStyle name="G05 Tab Head Light 3" xfId="1768" xr:uid="{00000000-0005-0000-0000-0000F70A0000}"/>
    <cellStyle name="G05 Tab Head Light 4" xfId="1770" xr:uid="{00000000-0005-0000-0000-0000F80A0000}"/>
    <cellStyle name="G05 Tab Head Light 5" xfId="1773" xr:uid="{00000000-0005-0000-0000-0000F90A0000}"/>
    <cellStyle name="G05 Tab Head Light 6" xfId="1777" xr:uid="{00000000-0005-0000-0000-0000FA0A0000}"/>
    <cellStyle name="G05 Tab Head Light 7" xfId="1780" xr:uid="{00000000-0005-0000-0000-0000FB0A0000}"/>
    <cellStyle name="G05 Tab Head Light 8" xfId="1783" xr:uid="{00000000-0005-0000-0000-0000FC0A0000}"/>
    <cellStyle name="G05 Tab Head Light_PI-international comps" xfId="3532" xr:uid="{00000000-0005-0000-0000-0000FD0A0000}"/>
    <cellStyle name="G1_1999 figures" xfId="1480" xr:uid="{00000000-0005-0000-0000-0000FE0A0000}"/>
    <cellStyle name="General" xfId="2451" xr:uid="{00000000-0005-0000-0000-0000FF0A0000}"/>
    <cellStyle name="General 2" xfId="3534" xr:uid="{00000000-0005-0000-0000-0000000B0000}"/>
    <cellStyle name="General 3" xfId="3536" xr:uid="{00000000-0005-0000-0000-0000010B0000}"/>
    <cellStyle name="General 4" xfId="3538" xr:uid="{00000000-0005-0000-0000-0000020B0000}"/>
    <cellStyle name="General 5" xfId="3540" xr:uid="{00000000-0005-0000-0000-0000030B0000}"/>
    <cellStyle name="General 6" xfId="1474" xr:uid="{00000000-0005-0000-0000-0000040B0000}"/>
    <cellStyle name="General 7" xfId="627" xr:uid="{00000000-0005-0000-0000-0000050B0000}"/>
    <cellStyle name="giallo" xfId="3541" xr:uid="{00000000-0005-0000-0000-0000060B0000}"/>
    <cellStyle name="Global" xfId="3544" xr:uid="{00000000-0005-0000-0000-0000070B0000}"/>
    <cellStyle name="Global 10" xfId="3545" xr:uid="{00000000-0005-0000-0000-0000080B0000}"/>
    <cellStyle name="Global 11" xfId="3546" xr:uid="{00000000-0005-0000-0000-0000090B0000}"/>
    <cellStyle name="Global 12" xfId="3547" xr:uid="{00000000-0005-0000-0000-00000A0B0000}"/>
    <cellStyle name="Global 13" xfId="266" xr:uid="{00000000-0005-0000-0000-00000B0B0000}"/>
    <cellStyle name="Global 14" xfId="3297" xr:uid="{00000000-0005-0000-0000-00000C0B0000}"/>
    <cellStyle name="Global 15" xfId="3549" xr:uid="{00000000-0005-0000-0000-00000D0B0000}"/>
    <cellStyle name="Global 16" xfId="1118" xr:uid="{00000000-0005-0000-0000-00000E0B0000}"/>
    <cellStyle name="Global 17" xfId="944" xr:uid="{00000000-0005-0000-0000-00000F0B0000}"/>
    <cellStyle name="Global 18" xfId="3551" xr:uid="{00000000-0005-0000-0000-0000100B0000}"/>
    <cellStyle name="Global 19" xfId="3552" xr:uid="{00000000-0005-0000-0000-0000110B0000}"/>
    <cellStyle name="Global 2" xfId="3553" xr:uid="{00000000-0005-0000-0000-0000120B0000}"/>
    <cellStyle name="Global 20" xfId="3550" xr:uid="{00000000-0005-0000-0000-0000130B0000}"/>
    <cellStyle name="Global 21" xfId="1119" xr:uid="{00000000-0005-0000-0000-0000140B0000}"/>
    <cellStyle name="Global 3" xfId="3554" xr:uid="{00000000-0005-0000-0000-0000150B0000}"/>
    <cellStyle name="Global 4" xfId="3555" xr:uid="{00000000-0005-0000-0000-0000160B0000}"/>
    <cellStyle name="Global 5" xfId="3556" xr:uid="{00000000-0005-0000-0000-0000170B0000}"/>
    <cellStyle name="Global 6" xfId="3557" xr:uid="{00000000-0005-0000-0000-0000180B0000}"/>
    <cellStyle name="Global 7" xfId="3558" xr:uid="{00000000-0005-0000-0000-0000190B0000}"/>
    <cellStyle name="Global 8" xfId="3559" xr:uid="{00000000-0005-0000-0000-00001A0B0000}"/>
    <cellStyle name="Global 9" xfId="320" xr:uid="{00000000-0005-0000-0000-00001B0B0000}"/>
    <cellStyle name="God" xfId="3560" xr:uid="{00000000-0005-0000-0000-00001C0B0000}"/>
    <cellStyle name="Good 2" xfId="1490" xr:uid="{00000000-0005-0000-0000-00001D0B0000}"/>
    <cellStyle name="Good 2 2" xfId="2857" xr:uid="{00000000-0005-0000-0000-00001E0B0000}"/>
    <cellStyle name="Good 3" xfId="2859" xr:uid="{00000000-0005-0000-0000-00001F0B0000}"/>
    <cellStyle name="Good 4" xfId="1446" xr:uid="{00000000-0005-0000-0000-0000200B0000}"/>
    <cellStyle name="Good 5" xfId="3561" xr:uid="{00000000-0005-0000-0000-0000210B0000}"/>
    <cellStyle name="Good 6" xfId="92" xr:uid="{00000000-0005-0000-0000-0000220B0000}"/>
    <cellStyle name="Good 7" xfId="110" xr:uid="{00000000-0005-0000-0000-0000230B0000}"/>
    <cellStyle name="Good 8" xfId="126" xr:uid="{00000000-0005-0000-0000-0000240B0000}"/>
    <cellStyle name="Good 9" xfId="132" xr:uid="{00000000-0005-0000-0000-0000250B0000}"/>
    <cellStyle name="grayText2" xfId="3562" xr:uid="{00000000-0005-0000-0000-0000260B0000}"/>
    <cellStyle name="grayText2 2" xfId="3564" xr:uid="{00000000-0005-0000-0000-0000270B0000}"/>
    <cellStyle name="grayText2 3" xfId="3566" xr:uid="{00000000-0005-0000-0000-0000280B0000}"/>
    <cellStyle name="grayText2 4" xfId="2705" xr:uid="{00000000-0005-0000-0000-0000290B0000}"/>
    <cellStyle name="grayText2 5" xfId="3568" xr:uid="{00000000-0005-0000-0000-00002A0B0000}"/>
    <cellStyle name="grayText2 6" xfId="662" xr:uid="{00000000-0005-0000-0000-00002B0B0000}"/>
    <cellStyle name="grayText2Big" xfId="3570" xr:uid="{00000000-0005-0000-0000-00002C0B0000}"/>
    <cellStyle name="grayText2Big 2" xfId="2100" xr:uid="{00000000-0005-0000-0000-00002D0B0000}"/>
    <cellStyle name="Green" xfId="1204" xr:uid="{00000000-0005-0000-0000-00002E0B0000}"/>
    <cellStyle name="Grey" xfId="3571" xr:uid="{00000000-0005-0000-0000-00002F0B0000}"/>
    <cellStyle name="Gross Margin" xfId="280" xr:uid="{00000000-0005-0000-0000-0000300B0000}"/>
    <cellStyle name="Gross Margin 2" xfId="1512" xr:uid="{00000000-0005-0000-0000-0000310B0000}"/>
    <cellStyle name="Gross Margin 3" xfId="1583" xr:uid="{00000000-0005-0000-0000-0000320B0000}"/>
    <cellStyle name="Gross Margin 4" xfId="3004" xr:uid="{00000000-0005-0000-0000-0000330B0000}"/>
    <cellStyle name="Gross Margin 5" xfId="3010" xr:uid="{00000000-0005-0000-0000-0000340B0000}"/>
    <cellStyle name="GroupHeader" xfId="209" xr:uid="{00000000-0005-0000-0000-0000350B0000}"/>
    <cellStyle name="GroupHeader 10" xfId="3572" xr:uid="{00000000-0005-0000-0000-0000360B0000}"/>
    <cellStyle name="GroupHeader 11" xfId="3573" xr:uid="{00000000-0005-0000-0000-0000370B0000}"/>
    <cellStyle name="GroupHeader 12" xfId="3574" xr:uid="{00000000-0005-0000-0000-0000380B0000}"/>
    <cellStyle name="GroupHeader 13" xfId="1789" xr:uid="{00000000-0005-0000-0000-0000390B0000}"/>
    <cellStyle name="GroupHeader 14" xfId="3575" xr:uid="{00000000-0005-0000-0000-00003A0B0000}"/>
    <cellStyle name="GroupHeader 15" xfId="3576" xr:uid="{00000000-0005-0000-0000-00003B0B0000}"/>
    <cellStyle name="GroupHeader 16" xfId="3578" xr:uid="{00000000-0005-0000-0000-00003C0B0000}"/>
    <cellStyle name="GroupHeader 17" xfId="1165" xr:uid="{00000000-0005-0000-0000-00003D0B0000}"/>
    <cellStyle name="GroupHeader 18" xfId="1169" xr:uid="{00000000-0005-0000-0000-00003E0B0000}"/>
    <cellStyle name="GroupHeader 19" xfId="1173" xr:uid="{00000000-0005-0000-0000-00003F0B0000}"/>
    <cellStyle name="GroupHeader 2" xfId="3580" xr:uid="{00000000-0005-0000-0000-0000400B0000}"/>
    <cellStyle name="GroupHeader 20" xfId="3577" xr:uid="{00000000-0005-0000-0000-0000410B0000}"/>
    <cellStyle name="GroupHeader 21" xfId="3579" xr:uid="{00000000-0005-0000-0000-0000420B0000}"/>
    <cellStyle name="GroupHeader 22" xfId="1166" xr:uid="{00000000-0005-0000-0000-0000430B0000}"/>
    <cellStyle name="GroupHeader 23" xfId="1170" xr:uid="{00000000-0005-0000-0000-0000440B0000}"/>
    <cellStyle name="GroupHeader 24" xfId="1174" xr:uid="{00000000-0005-0000-0000-0000450B0000}"/>
    <cellStyle name="GroupHeader 25" xfId="1177" xr:uid="{00000000-0005-0000-0000-0000460B0000}"/>
    <cellStyle name="GroupHeader 26" xfId="1182" xr:uid="{00000000-0005-0000-0000-0000470B0000}"/>
    <cellStyle name="GroupHeader 27" xfId="1184" xr:uid="{00000000-0005-0000-0000-0000480B0000}"/>
    <cellStyle name="GroupHeader 28" xfId="1186" xr:uid="{00000000-0005-0000-0000-0000490B0000}"/>
    <cellStyle name="GroupHeader 29" xfId="1190" xr:uid="{00000000-0005-0000-0000-00004A0B0000}"/>
    <cellStyle name="GroupHeader 3" xfId="3581" xr:uid="{00000000-0005-0000-0000-00004B0B0000}"/>
    <cellStyle name="GroupHeader 30" xfId="1178" xr:uid="{00000000-0005-0000-0000-00004C0B0000}"/>
    <cellStyle name="GroupHeader 4" xfId="2889" xr:uid="{00000000-0005-0000-0000-00004D0B0000}"/>
    <cellStyle name="GroupHeader 5" xfId="2110" xr:uid="{00000000-0005-0000-0000-00004E0B0000}"/>
    <cellStyle name="GroupHeader 6" xfId="3582" xr:uid="{00000000-0005-0000-0000-00004F0B0000}"/>
    <cellStyle name="GroupHeader 7" xfId="3583" xr:uid="{00000000-0005-0000-0000-0000500B0000}"/>
    <cellStyle name="GroupHeader 8" xfId="3584" xr:uid="{00000000-0005-0000-0000-0000510B0000}"/>
    <cellStyle name="GroupHeader 9" xfId="1752" xr:uid="{00000000-0005-0000-0000-0000520B0000}"/>
    <cellStyle name="H_1998_col_head" xfId="3585" xr:uid="{00000000-0005-0000-0000-0000530B0000}"/>
    <cellStyle name="H_1998_col_head 2" xfId="3586" xr:uid="{00000000-0005-0000-0000-0000540B0000}"/>
    <cellStyle name="H_1999_col_head" xfId="3587" xr:uid="{00000000-0005-0000-0000-0000550B0000}"/>
    <cellStyle name="H1_1998 figures" xfId="3590" xr:uid="{00000000-0005-0000-0000-0000560B0000}"/>
    <cellStyle name="hard no" xfId="278" xr:uid="{00000000-0005-0000-0000-0000570B0000}"/>
    <cellStyle name="hard no 10" xfId="3591" xr:uid="{00000000-0005-0000-0000-0000580B0000}"/>
    <cellStyle name="hard no 11" xfId="3592" xr:uid="{00000000-0005-0000-0000-0000590B0000}"/>
    <cellStyle name="hard no 2" xfId="3594" xr:uid="{00000000-0005-0000-0000-00005A0B0000}"/>
    <cellStyle name="hard no 2 2" xfId="3225" xr:uid="{00000000-0005-0000-0000-00005B0B0000}"/>
    <cellStyle name="hard no 2 3" xfId="3595" xr:uid="{00000000-0005-0000-0000-00005C0B0000}"/>
    <cellStyle name="hard no 2 4" xfId="3597" xr:uid="{00000000-0005-0000-0000-00005D0B0000}"/>
    <cellStyle name="hard no 2 5" xfId="3598" xr:uid="{00000000-0005-0000-0000-00005E0B0000}"/>
    <cellStyle name="hard no 2 6" xfId="3599" xr:uid="{00000000-0005-0000-0000-00005F0B0000}"/>
    <cellStyle name="hard no 3" xfId="3600" xr:uid="{00000000-0005-0000-0000-0000600B0000}"/>
    <cellStyle name="hard no 3 2" xfId="3601" xr:uid="{00000000-0005-0000-0000-0000610B0000}"/>
    <cellStyle name="hard no 3 3" xfId="3602" xr:uid="{00000000-0005-0000-0000-0000620B0000}"/>
    <cellStyle name="hard no 3 4" xfId="3603" xr:uid="{00000000-0005-0000-0000-0000630B0000}"/>
    <cellStyle name="hard no 3 5" xfId="3604" xr:uid="{00000000-0005-0000-0000-0000640B0000}"/>
    <cellStyle name="hard no 3 6" xfId="3605" xr:uid="{00000000-0005-0000-0000-0000650B0000}"/>
    <cellStyle name="hard no 4" xfId="1142" xr:uid="{00000000-0005-0000-0000-0000660B0000}"/>
    <cellStyle name="hard no 4 2" xfId="2891" xr:uid="{00000000-0005-0000-0000-0000670B0000}"/>
    <cellStyle name="hard no 4 3" xfId="3606" xr:uid="{00000000-0005-0000-0000-0000680B0000}"/>
    <cellStyle name="hard no 4 4" xfId="3607" xr:uid="{00000000-0005-0000-0000-0000690B0000}"/>
    <cellStyle name="hard no 4 5" xfId="3608" xr:uid="{00000000-0005-0000-0000-00006A0B0000}"/>
    <cellStyle name="hard no 4 6" xfId="3609" xr:uid="{00000000-0005-0000-0000-00006B0B0000}"/>
    <cellStyle name="hard no 5" xfId="3610" xr:uid="{00000000-0005-0000-0000-00006C0B0000}"/>
    <cellStyle name="hard no 5 2" xfId="3611" xr:uid="{00000000-0005-0000-0000-00006D0B0000}"/>
    <cellStyle name="hard no 5 3" xfId="1641" xr:uid="{00000000-0005-0000-0000-00006E0B0000}"/>
    <cellStyle name="hard no 5 4" xfId="894" xr:uid="{00000000-0005-0000-0000-00006F0B0000}"/>
    <cellStyle name="hard no 5 5" xfId="3612" xr:uid="{00000000-0005-0000-0000-0000700B0000}"/>
    <cellStyle name="hard no 5 6" xfId="3613" xr:uid="{00000000-0005-0000-0000-0000710B0000}"/>
    <cellStyle name="hard no 6" xfId="274" xr:uid="{00000000-0005-0000-0000-0000720B0000}"/>
    <cellStyle name="hard no 6 2" xfId="3616" xr:uid="{00000000-0005-0000-0000-0000730B0000}"/>
    <cellStyle name="hard no 6 3" xfId="176" xr:uid="{00000000-0005-0000-0000-0000740B0000}"/>
    <cellStyle name="hard no 6 4" xfId="183" xr:uid="{00000000-0005-0000-0000-0000750B0000}"/>
    <cellStyle name="hard no 6 5" xfId="170" xr:uid="{00000000-0005-0000-0000-0000760B0000}"/>
    <cellStyle name="hard no 6 6" xfId="199" xr:uid="{00000000-0005-0000-0000-0000770B0000}"/>
    <cellStyle name="hard no 7" xfId="3617" xr:uid="{00000000-0005-0000-0000-0000780B0000}"/>
    <cellStyle name="hard no 8" xfId="173" xr:uid="{00000000-0005-0000-0000-0000790B0000}"/>
    <cellStyle name="hard no 9" xfId="3618" xr:uid="{00000000-0005-0000-0000-00007A0B0000}"/>
    <cellStyle name="Hard Percent" xfId="1274" xr:uid="{00000000-0005-0000-0000-00007B0B0000}"/>
    <cellStyle name="Hardcoded" xfId="3619" xr:uid="{00000000-0005-0000-0000-00007C0B0000}"/>
    <cellStyle name="hardno" xfId="3621" xr:uid="{00000000-0005-0000-0000-00007D0B0000}"/>
    <cellStyle name="Head" xfId="3622" xr:uid="{00000000-0005-0000-0000-00007E0B0000}"/>
    <cellStyle name="head2" xfId="3623" xr:uid="{00000000-0005-0000-0000-00007F0B0000}"/>
    <cellStyle name="head2 2" xfId="3624" xr:uid="{00000000-0005-0000-0000-0000800B0000}"/>
    <cellStyle name="head2 2 2" xfId="3625" xr:uid="{00000000-0005-0000-0000-0000810B0000}"/>
    <cellStyle name="head2 3" xfId="3626" xr:uid="{00000000-0005-0000-0000-0000820B0000}"/>
    <cellStyle name="HEADER" xfId="3628" xr:uid="{00000000-0005-0000-0000-0000830B0000}"/>
    <cellStyle name="Header 3" xfId="951" xr:uid="{00000000-0005-0000-0000-0000840B0000}"/>
    <cellStyle name="Header Draft Stamp" xfId="3629" xr:uid="{00000000-0005-0000-0000-0000850B0000}"/>
    <cellStyle name="Header Row" xfId="1381" xr:uid="{00000000-0005-0000-0000-0000860B0000}"/>
    <cellStyle name="Header_BIL 190210_1519" xfId="308" xr:uid="{00000000-0005-0000-0000-0000870B0000}"/>
    <cellStyle name="Header1" xfId="3593" xr:uid="{00000000-0005-0000-0000-0000880B0000}"/>
    <cellStyle name="Header1 2" xfId="3630" xr:uid="{00000000-0005-0000-0000-0000890B0000}"/>
    <cellStyle name="Header1 3" xfId="127" xr:uid="{00000000-0005-0000-0000-00008A0B0000}"/>
    <cellStyle name="Header1 4" xfId="3631" xr:uid="{00000000-0005-0000-0000-00008B0B0000}"/>
    <cellStyle name="Header1 5" xfId="3632" xr:uid="{00000000-0005-0000-0000-00008C0B0000}"/>
    <cellStyle name="Header1 6" xfId="2798" xr:uid="{00000000-0005-0000-0000-00008D0B0000}"/>
    <cellStyle name="Header1_211109_ 1840" xfId="3633" xr:uid="{00000000-0005-0000-0000-00008E0B0000}"/>
    <cellStyle name="Header2" xfId="3636" xr:uid="{00000000-0005-0000-0000-00008F0B0000}"/>
    <cellStyle name="Header2 10" xfId="3637" xr:uid="{00000000-0005-0000-0000-0000900B0000}"/>
    <cellStyle name="Header2 11" xfId="3222" xr:uid="{00000000-0005-0000-0000-0000910B0000}"/>
    <cellStyle name="Header2 12" xfId="3638" xr:uid="{00000000-0005-0000-0000-0000920B0000}"/>
    <cellStyle name="Header2 13" xfId="3639" xr:uid="{00000000-0005-0000-0000-0000930B0000}"/>
    <cellStyle name="Header2 14" xfId="632" xr:uid="{00000000-0005-0000-0000-0000940B0000}"/>
    <cellStyle name="Header2 15" xfId="3640" xr:uid="{00000000-0005-0000-0000-0000950B0000}"/>
    <cellStyle name="Header2 16" xfId="3642" xr:uid="{00000000-0005-0000-0000-0000960B0000}"/>
    <cellStyle name="Header2 17" xfId="3644" xr:uid="{00000000-0005-0000-0000-0000970B0000}"/>
    <cellStyle name="Header2 18" xfId="3646" xr:uid="{00000000-0005-0000-0000-0000980B0000}"/>
    <cellStyle name="Header2 19" xfId="3648" xr:uid="{00000000-0005-0000-0000-0000990B0000}"/>
    <cellStyle name="Header2 2" xfId="3650" xr:uid="{00000000-0005-0000-0000-00009A0B0000}"/>
    <cellStyle name="Header2 2 10" xfId="3114" xr:uid="{00000000-0005-0000-0000-00009B0B0000}"/>
    <cellStyle name="Header2 2 11" xfId="3118" xr:uid="{00000000-0005-0000-0000-00009C0B0000}"/>
    <cellStyle name="Header2 2 12" xfId="547" xr:uid="{00000000-0005-0000-0000-00009D0B0000}"/>
    <cellStyle name="Header2 2 13" xfId="2882" xr:uid="{00000000-0005-0000-0000-00009E0B0000}"/>
    <cellStyle name="Header2 2 14" xfId="3122" xr:uid="{00000000-0005-0000-0000-00009F0B0000}"/>
    <cellStyle name="Header2 2 15" xfId="97" xr:uid="{00000000-0005-0000-0000-0000A00B0000}"/>
    <cellStyle name="Header2 2 16" xfId="114" xr:uid="{00000000-0005-0000-0000-0000A10B0000}"/>
    <cellStyle name="Header2 2 17" xfId="1193" xr:uid="{00000000-0005-0000-0000-0000A20B0000}"/>
    <cellStyle name="Header2 2 18" xfId="137" xr:uid="{00000000-0005-0000-0000-0000A30B0000}"/>
    <cellStyle name="Header2 2 19" xfId="2916" xr:uid="{00000000-0005-0000-0000-0000A40B0000}"/>
    <cellStyle name="Header2 2 2" xfId="3651" xr:uid="{00000000-0005-0000-0000-0000A50B0000}"/>
    <cellStyle name="Header2 2 20" xfId="96" xr:uid="{00000000-0005-0000-0000-0000A60B0000}"/>
    <cellStyle name="Header2 2 21" xfId="113" xr:uid="{00000000-0005-0000-0000-0000A70B0000}"/>
    <cellStyle name="Header2 2 22" xfId="1194" xr:uid="{00000000-0005-0000-0000-0000A80B0000}"/>
    <cellStyle name="Header2 2 23" xfId="136" xr:uid="{00000000-0005-0000-0000-0000A90B0000}"/>
    <cellStyle name="Header2 2 24" xfId="2917" xr:uid="{00000000-0005-0000-0000-0000AA0B0000}"/>
    <cellStyle name="Header2 2 25" xfId="155" xr:uid="{00000000-0005-0000-0000-0000AB0B0000}"/>
    <cellStyle name="Header2 2 26" xfId="16" xr:uid="{00000000-0005-0000-0000-0000AC0B0000}"/>
    <cellStyle name="Header2 2 27" xfId="3652" xr:uid="{00000000-0005-0000-0000-0000AD0B0000}"/>
    <cellStyle name="Header2 2 28" xfId="3654" xr:uid="{00000000-0005-0000-0000-0000AE0B0000}"/>
    <cellStyle name="Header2 2 29" xfId="3656" xr:uid="{00000000-0005-0000-0000-0000AF0B0000}"/>
    <cellStyle name="Header2 2 3" xfId="3657" xr:uid="{00000000-0005-0000-0000-0000B00B0000}"/>
    <cellStyle name="Header2 2 30" xfId="154" xr:uid="{00000000-0005-0000-0000-0000B10B0000}"/>
    <cellStyle name="Header2 2 4" xfId="3659" xr:uid="{00000000-0005-0000-0000-0000B20B0000}"/>
    <cellStyle name="Header2 2 5" xfId="3661" xr:uid="{00000000-0005-0000-0000-0000B30B0000}"/>
    <cellStyle name="Header2 2 6" xfId="3463" xr:uid="{00000000-0005-0000-0000-0000B40B0000}"/>
    <cellStyle name="Header2 2 7" xfId="3478" xr:uid="{00000000-0005-0000-0000-0000B50B0000}"/>
    <cellStyle name="Header2 2 8" xfId="3482" xr:uid="{00000000-0005-0000-0000-0000B60B0000}"/>
    <cellStyle name="Header2 2 9" xfId="3484" xr:uid="{00000000-0005-0000-0000-0000B70B0000}"/>
    <cellStyle name="Header2 20" xfId="3641" xr:uid="{00000000-0005-0000-0000-0000B80B0000}"/>
    <cellStyle name="Header2 21" xfId="3643" xr:uid="{00000000-0005-0000-0000-0000B90B0000}"/>
    <cellStyle name="Header2 22" xfId="3645" xr:uid="{00000000-0005-0000-0000-0000BA0B0000}"/>
    <cellStyle name="Header2 23" xfId="3647" xr:uid="{00000000-0005-0000-0000-0000BB0B0000}"/>
    <cellStyle name="Header2 24" xfId="3649" xr:uid="{00000000-0005-0000-0000-0000BC0B0000}"/>
    <cellStyle name="Header2 25" xfId="3663" xr:uid="{00000000-0005-0000-0000-0000BD0B0000}"/>
    <cellStyle name="Header2 26" xfId="3665" xr:uid="{00000000-0005-0000-0000-0000BE0B0000}"/>
    <cellStyle name="Header2 27" xfId="952" xr:uid="{00000000-0005-0000-0000-0000BF0B0000}"/>
    <cellStyle name="Header2 28" xfId="1226" xr:uid="{00000000-0005-0000-0000-0000C00B0000}"/>
    <cellStyle name="Header2 29" xfId="1232" xr:uid="{00000000-0005-0000-0000-0000C10B0000}"/>
    <cellStyle name="Header2 3" xfId="3667" xr:uid="{00000000-0005-0000-0000-0000C20B0000}"/>
    <cellStyle name="Header2 3 10" xfId="3668" xr:uid="{00000000-0005-0000-0000-0000C30B0000}"/>
    <cellStyle name="Header2 3 11" xfId="3669" xr:uid="{00000000-0005-0000-0000-0000C40B0000}"/>
    <cellStyle name="Header2 3 12" xfId="3670" xr:uid="{00000000-0005-0000-0000-0000C50B0000}"/>
    <cellStyle name="Header2 3 13" xfId="3671" xr:uid="{00000000-0005-0000-0000-0000C60B0000}"/>
    <cellStyle name="Header2 3 14" xfId="3672" xr:uid="{00000000-0005-0000-0000-0000C70B0000}"/>
    <cellStyle name="Header2 3 15" xfId="3673" xr:uid="{00000000-0005-0000-0000-0000C80B0000}"/>
    <cellStyle name="Header2 3 16" xfId="2666" xr:uid="{00000000-0005-0000-0000-0000C90B0000}"/>
    <cellStyle name="Header2 3 17" xfId="2574" xr:uid="{00000000-0005-0000-0000-0000CA0B0000}"/>
    <cellStyle name="Header2 3 18" xfId="3675" xr:uid="{00000000-0005-0000-0000-0000CB0B0000}"/>
    <cellStyle name="Header2 3 19" xfId="2577" xr:uid="{00000000-0005-0000-0000-0000CC0B0000}"/>
    <cellStyle name="Header2 3 2" xfId="2550" xr:uid="{00000000-0005-0000-0000-0000CD0B0000}"/>
    <cellStyle name="Header2 3 20" xfId="3674" xr:uid="{00000000-0005-0000-0000-0000CE0B0000}"/>
    <cellStyle name="Header2 3 21" xfId="2667" xr:uid="{00000000-0005-0000-0000-0000CF0B0000}"/>
    <cellStyle name="Header2 3 22" xfId="2575" xr:uid="{00000000-0005-0000-0000-0000D00B0000}"/>
    <cellStyle name="Header2 3 23" xfId="3676" xr:uid="{00000000-0005-0000-0000-0000D10B0000}"/>
    <cellStyle name="Header2 3 24" xfId="2578" xr:uid="{00000000-0005-0000-0000-0000D20B0000}"/>
    <cellStyle name="Header2 3 25" xfId="3677" xr:uid="{00000000-0005-0000-0000-0000D30B0000}"/>
    <cellStyle name="Header2 3 26" xfId="3680" xr:uid="{00000000-0005-0000-0000-0000D40B0000}"/>
    <cellStyle name="Header2 3 27" xfId="3681" xr:uid="{00000000-0005-0000-0000-0000D50B0000}"/>
    <cellStyle name="Header2 3 28" xfId="3683" xr:uid="{00000000-0005-0000-0000-0000D60B0000}"/>
    <cellStyle name="Header2 3 29" xfId="3684" xr:uid="{00000000-0005-0000-0000-0000D70B0000}"/>
    <cellStyle name="Header2 3 3" xfId="3685" xr:uid="{00000000-0005-0000-0000-0000D80B0000}"/>
    <cellStyle name="Header2 3 30" xfId="3678" xr:uid="{00000000-0005-0000-0000-0000D90B0000}"/>
    <cellStyle name="Header2 3 4" xfId="3686" xr:uid="{00000000-0005-0000-0000-0000DA0B0000}"/>
    <cellStyle name="Header2 3 5" xfId="3687" xr:uid="{00000000-0005-0000-0000-0000DB0B0000}"/>
    <cellStyle name="Header2 3 6" xfId="3688" xr:uid="{00000000-0005-0000-0000-0000DC0B0000}"/>
    <cellStyle name="Header2 3 7" xfId="3689" xr:uid="{00000000-0005-0000-0000-0000DD0B0000}"/>
    <cellStyle name="Header2 3 8" xfId="3690" xr:uid="{00000000-0005-0000-0000-0000DE0B0000}"/>
    <cellStyle name="Header2 3 9" xfId="3691" xr:uid="{00000000-0005-0000-0000-0000DF0B0000}"/>
    <cellStyle name="Header2 30" xfId="3664" xr:uid="{00000000-0005-0000-0000-0000E00B0000}"/>
    <cellStyle name="Header2 31" xfId="3666" xr:uid="{00000000-0005-0000-0000-0000E10B0000}"/>
    <cellStyle name="Header2 32" xfId="953" xr:uid="{00000000-0005-0000-0000-0000E20B0000}"/>
    <cellStyle name="Header2 33" xfId="1227" xr:uid="{00000000-0005-0000-0000-0000E30B0000}"/>
    <cellStyle name="Header2 34" xfId="1233" xr:uid="{00000000-0005-0000-0000-0000E40B0000}"/>
    <cellStyle name="Header2 35" xfId="1237" xr:uid="{00000000-0005-0000-0000-0000E50B0000}"/>
    <cellStyle name="Header2 4" xfId="3692" xr:uid="{00000000-0005-0000-0000-0000E60B0000}"/>
    <cellStyle name="Header2 4 10" xfId="3693" xr:uid="{00000000-0005-0000-0000-0000E70B0000}"/>
    <cellStyle name="Header2 4 11" xfId="3694" xr:uid="{00000000-0005-0000-0000-0000E80B0000}"/>
    <cellStyle name="Header2 4 12" xfId="992" xr:uid="{00000000-0005-0000-0000-0000E90B0000}"/>
    <cellStyle name="Header2 4 13" xfId="3695" xr:uid="{00000000-0005-0000-0000-0000EA0B0000}"/>
    <cellStyle name="Header2 4 14" xfId="3696" xr:uid="{00000000-0005-0000-0000-0000EB0B0000}"/>
    <cellStyle name="Header2 4 15" xfId="2869" xr:uid="{00000000-0005-0000-0000-0000EC0B0000}"/>
    <cellStyle name="Header2 4 16" xfId="3697" xr:uid="{00000000-0005-0000-0000-0000ED0B0000}"/>
    <cellStyle name="Header2 4 17" xfId="3699" xr:uid="{00000000-0005-0000-0000-0000EE0B0000}"/>
    <cellStyle name="Header2 4 18" xfId="3701" xr:uid="{00000000-0005-0000-0000-0000EF0B0000}"/>
    <cellStyle name="Header2 4 19" xfId="3703" xr:uid="{00000000-0005-0000-0000-0000F00B0000}"/>
    <cellStyle name="Header2 4 2" xfId="3705" xr:uid="{00000000-0005-0000-0000-0000F10B0000}"/>
    <cellStyle name="Header2 4 20" xfId="2870" xr:uid="{00000000-0005-0000-0000-0000F20B0000}"/>
    <cellStyle name="Header2 4 21" xfId="3698" xr:uid="{00000000-0005-0000-0000-0000F30B0000}"/>
    <cellStyle name="Header2 4 22" xfId="3700" xr:uid="{00000000-0005-0000-0000-0000F40B0000}"/>
    <cellStyle name="Header2 4 23" xfId="3702" xr:uid="{00000000-0005-0000-0000-0000F50B0000}"/>
    <cellStyle name="Header2 4 24" xfId="3704" xr:uid="{00000000-0005-0000-0000-0000F60B0000}"/>
    <cellStyle name="Header2 4 25" xfId="2554" xr:uid="{00000000-0005-0000-0000-0000F70B0000}"/>
    <cellStyle name="Header2 4 26" xfId="843" xr:uid="{00000000-0005-0000-0000-0000F80B0000}"/>
    <cellStyle name="Header2 4 27" xfId="2557" xr:uid="{00000000-0005-0000-0000-0000F90B0000}"/>
    <cellStyle name="Header2 4 28" xfId="2559" xr:uid="{00000000-0005-0000-0000-0000FA0B0000}"/>
    <cellStyle name="Header2 4 29" xfId="1661" xr:uid="{00000000-0005-0000-0000-0000FB0B0000}"/>
    <cellStyle name="Header2 4 3" xfId="3706" xr:uid="{00000000-0005-0000-0000-0000FC0B0000}"/>
    <cellStyle name="Header2 4 30" xfId="2555" xr:uid="{00000000-0005-0000-0000-0000FD0B0000}"/>
    <cellStyle name="Header2 4 4" xfId="3707" xr:uid="{00000000-0005-0000-0000-0000FE0B0000}"/>
    <cellStyle name="Header2 4 5" xfId="2842" xr:uid="{00000000-0005-0000-0000-0000FF0B0000}"/>
    <cellStyle name="Header2 4 6" xfId="2848" xr:uid="{00000000-0005-0000-0000-0000000C0000}"/>
    <cellStyle name="Header2 4 7" xfId="2610" xr:uid="{00000000-0005-0000-0000-0000010C0000}"/>
    <cellStyle name="Header2 4 8" xfId="2613" xr:uid="{00000000-0005-0000-0000-0000020C0000}"/>
    <cellStyle name="Header2 4 9" xfId="2616" xr:uid="{00000000-0005-0000-0000-0000030C0000}"/>
    <cellStyle name="Header2 5" xfId="3708" xr:uid="{00000000-0005-0000-0000-0000040C0000}"/>
    <cellStyle name="Header2 5 10" xfId="3709" xr:uid="{00000000-0005-0000-0000-0000050C0000}"/>
    <cellStyle name="Header2 5 11" xfId="3710" xr:uid="{00000000-0005-0000-0000-0000060C0000}"/>
    <cellStyle name="Header2 5 12" xfId="3711" xr:uid="{00000000-0005-0000-0000-0000070C0000}"/>
    <cellStyle name="Header2 5 13" xfId="227" xr:uid="{00000000-0005-0000-0000-0000080C0000}"/>
    <cellStyle name="Header2 5 14" xfId="3712" xr:uid="{00000000-0005-0000-0000-0000090C0000}"/>
    <cellStyle name="Header2 5 15" xfId="3713" xr:uid="{00000000-0005-0000-0000-00000A0C0000}"/>
    <cellStyle name="Header2 5 16" xfId="3715" xr:uid="{00000000-0005-0000-0000-00000B0C0000}"/>
    <cellStyle name="Header2 5 17" xfId="277" xr:uid="{00000000-0005-0000-0000-00000C0C0000}"/>
    <cellStyle name="Header2 5 18" xfId="3717" xr:uid="{00000000-0005-0000-0000-00000D0C0000}"/>
    <cellStyle name="Header2 5 19" xfId="3719" xr:uid="{00000000-0005-0000-0000-00000E0C0000}"/>
    <cellStyle name="Header2 5 2" xfId="270" xr:uid="{00000000-0005-0000-0000-00000F0C0000}"/>
    <cellStyle name="Header2 5 20" xfId="3714" xr:uid="{00000000-0005-0000-0000-0000100C0000}"/>
    <cellStyle name="Header2 5 21" xfId="3716" xr:uid="{00000000-0005-0000-0000-0000110C0000}"/>
    <cellStyle name="Header2 5 22" xfId="276" xr:uid="{00000000-0005-0000-0000-0000120C0000}"/>
    <cellStyle name="Header2 5 23" xfId="3718" xr:uid="{00000000-0005-0000-0000-0000130C0000}"/>
    <cellStyle name="Header2 5 24" xfId="3720" xr:uid="{00000000-0005-0000-0000-0000140C0000}"/>
    <cellStyle name="Header2 5 25" xfId="3722" xr:uid="{00000000-0005-0000-0000-0000150C0000}"/>
    <cellStyle name="Header2 5 26" xfId="3725" xr:uid="{00000000-0005-0000-0000-0000160C0000}"/>
    <cellStyle name="Header2 5 27" xfId="3727" xr:uid="{00000000-0005-0000-0000-0000170C0000}"/>
    <cellStyle name="Header2 5 28" xfId="3729" xr:uid="{00000000-0005-0000-0000-0000180C0000}"/>
    <cellStyle name="Header2 5 29" xfId="562" xr:uid="{00000000-0005-0000-0000-0000190C0000}"/>
    <cellStyle name="Header2 5 3" xfId="2758" xr:uid="{00000000-0005-0000-0000-00001A0C0000}"/>
    <cellStyle name="Header2 5 30" xfId="3723" xr:uid="{00000000-0005-0000-0000-00001B0C0000}"/>
    <cellStyle name="Header2 5 4" xfId="2760" xr:uid="{00000000-0005-0000-0000-00001C0C0000}"/>
    <cellStyle name="Header2 5 5" xfId="3730" xr:uid="{00000000-0005-0000-0000-00001D0C0000}"/>
    <cellStyle name="Header2 5 6" xfId="42" xr:uid="{00000000-0005-0000-0000-00001E0C0000}"/>
    <cellStyle name="Header2 5 7" xfId="1883" xr:uid="{00000000-0005-0000-0000-00001F0C0000}"/>
    <cellStyle name="Header2 5 8" xfId="3731" xr:uid="{00000000-0005-0000-0000-0000200C0000}"/>
    <cellStyle name="Header2 5 9" xfId="3732" xr:uid="{00000000-0005-0000-0000-0000210C0000}"/>
    <cellStyle name="Header2 6" xfId="3736" xr:uid="{00000000-0005-0000-0000-0000220C0000}"/>
    <cellStyle name="Header2 6 10" xfId="3737" xr:uid="{00000000-0005-0000-0000-0000230C0000}"/>
    <cellStyle name="Header2 6 11" xfId="3738" xr:uid="{00000000-0005-0000-0000-0000240C0000}"/>
    <cellStyle name="Header2 6 12" xfId="3739" xr:uid="{00000000-0005-0000-0000-0000250C0000}"/>
    <cellStyle name="Header2 6 13" xfId="3740" xr:uid="{00000000-0005-0000-0000-0000260C0000}"/>
    <cellStyle name="Header2 6 14" xfId="3741" xr:uid="{00000000-0005-0000-0000-0000270C0000}"/>
    <cellStyle name="Header2 6 15" xfId="3742" xr:uid="{00000000-0005-0000-0000-0000280C0000}"/>
    <cellStyle name="Header2 6 16" xfId="601" xr:uid="{00000000-0005-0000-0000-0000290C0000}"/>
    <cellStyle name="Header2 6 17" xfId="3744" xr:uid="{00000000-0005-0000-0000-00002A0C0000}"/>
    <cellStyle name="Header2 6 18" xfId="3746" xr:uid="{00000000-0005-0000-0000-00002B0C0000}"/>
    <cellStyle name="Header2 6 19" xfId="3748" xr:uid="{00000000-0005-0000-0000-00002C0C0000}"/>
    <cellStyle name="Header2 6 2" xfId="3750" xr:uid="{00000000-0005-0000-0000-00002D0C0000}"/>
    <cellStyle name="Header2 6 20" xfId="3743" xr:uid="{00000000-0005-0000-0000-00002E0C0000}"/>
    <cellStyle name="Header2 6 21" xfId="602" xr:uid="{00000000-0005-0000-0000-00002F0C0000}"/>
    <cellStyle name="Header2 6 22" xfId="3745" xr:uid="{00000000-0005-0000-0000-0000300C0000}"/>
    <cellStyle name="Header2 6 23" xfId="3747" xr:uid="{00000000-0005-0000-0000-0000310C0000}"/>
    <cellStyle name="Header2 6 24" xfId="3749" xr:uid="{00000000-0005-0000-0000-0000320C0000}"/>
    <cellStyle name="Header2 6 25" xfId="3751" xr:uid="{00000000-0005-0000-0000-0000330C0000}"/>
    <cellStyle name="Header2 6 26" xfId="1088" xr:uid="{00000000-0005-0000-0000-0000340C0000}"/>
    <cellStyle name="Header2 6 27" xfId="3329" xr:uid="{00000000-0005-0000-0000-0000350C0000}"/>
    <cellStyle name="Header2 6 28" xfId="1491" xr:uid="{00000000-0005-0000-0000-0000360C0000}"/>
    <cellStyle name="Header2 6 29" xfId="2860" xr:uid="{00000000-0005-0000-0000-0000370C0000}"/>
    <cellStyle name="Header2 6 3" xfId="3753" xr:uid="{00000000-0005-0000-0000-0000380C0000}"/>
    <cellStyle name="Header2 6 30" xfId="3752" xr:uid="{00000000-0005-0000-0000-0000390C0000}"/>
    <cellStyle name="Header2 6 4" xfId="2911" xr:uid="{00000000-0005-0000-0000-00003A0C0000}"/>
    <cellStyle name="Header2 6 5" xfId="3754" xr:uid="{00000000-0005-0000-0000-00003B0C0000}"/>
    <cellStyle name="Header2 6 6" xfId="3755" xr:uid="{00000000-0005-0000-0000-00003C0C0000}"/>
    <cellStyle name="Header2 6 7" xfId="566" xr:uid="{00000000-0005-0000-0000-00003D0C0000}"/>
    <cellStyle name="Header2 6 8" xfId="3756" xr:uid="{00000000-0005-0000-0000-00003E0C0000}"/>
    <cellStyle name="Header2 6 9" xfId="3757" xr:uid="{00000000-0005-0000-0000-00003F0C0000}"/>
    <cellStyle name="Header2 7" xfId="2826" xr:uid="{00000000-0005-0000-0000-0000400C0000}"/>
    <cellStyle name="Header2 8" xfId="2905" xr:uid="{00000000-0005-0000-0000-0000410C0000}"/>
    <cellStyle name="Header2 9" xfId="2950" xr:uid="{00000000-0005-0000-0000-0000420C0000}"/>
    <cellStyle name="Header2_211109_ 1840" xfId="3758" xr:uid="{00000000-0005-0000-0000-0000430C0000}"/>
    <cellStyle name="Heading" xfId="3759" xr:uid="{00000000-0005-0000-0000-0000440C0000}"/>
    <cellStyle name="Heading 1 10" xfId="3760" xr:uid="{00000000-0005-0000-0000-0000450C0000}"/>
    <cellStyle name="Heading 1 2" xfId="3761" xr:uid="{00000000-0005-0000-0000-0000460C0000}"/>
    <cellStyle name="Heading 1 2 2" xfId="3762" xr:uid="{00000000-0005-0000-0000-0000470C0000}"/>
    <cellStyle name="Heading 1 2 3" xfId="3763" xr:uid="{00000000-0005-0000-0000-0000480C0000}"/>
    <cellStyle name="Heading 1 2 4" xfId="3333" xr:uid="{00000000-0005-0000-0000-0000490C0000}"/>
    <cellStyle name="Heading 1 2 5" xfId="3764" xr:uid="{00000000-0005-0000-0000-00004A0C0000}"/>
    <cellStyle name="Heading 1 2 6" xfId="2679" xr:uid="{00000000-0005-0000-0000-00004B0C0000}"/>
    <cellStyle name="Heading 1 2_211109_ 1840" xfId="3765" xr:uid="{00000000-0005-0000-0000-00004C0C0000}"/>
    <cellStyle name="Heading 1 3" xfId="664" xr:uid="{00000000-0005-0000-0000-00004D0C0000}"/>
    <cellStyle name="Heading 1 4" xfId="539" xr:uid="{00000000-0005-0000-0000-00004E0C0000}"/>
    <cellStyle name="Heading 1 5" xfId="3767" xr:uid="{00000000-0005-0000-0000-00004F0C0000}"/>
    <cellStyle name="Heading 1 6" xfId="2879" xr:uid="{00000000-0005-0000-0000-0000500C0000}"/>
    <cellStyle name="Heading 1 7" xfId="2886" xr:uid="{00000000-0005-0000-0000-0000510C0000}"/>
    <cellStyle name="Heading 1 8" xfId="3768" xr:uid="{00000000-0005-0000-0000-0000520C0000}"/>
    <cellStyle name="Heading 1 9" xfId="3769" xr:uid="{00000000-0005-0000-0000-0000530C0000}"/>
    <cellStyle name="Heading 1 Above" xfId="3770" xr:uid="{00000000-0005-0000-0000-0000540C0000}"/>
    <cellStyle name="Heading 1+" xfId="3771" xr:uid="{00000000-0005-0000-0000-0000550C0000}"/>
    <cellStyle name="Heading 1+ 2" xfId="654" xr:uid="{00000000-0005-0000-0000-0000560C0000}"/>
    <cellStyle name="Heading 2 10" xfId="3772" xr:uid="{00000000-0005-0000-0000-0000570C0000}"/>
    <cellStyle name="Heading 2 2" xfId="3774" xr:uid="{00000000-0005-0000-0000-0000580C0000}"/>
    <cellStyle name="Heading 2 2 2" xfId="3775" xr:uid="{00000000-0005-0000-0000-0000590C0000}"/>
    <cellStyle name="Heading 2 2 3" xfId="2018" xr:uid="{00000000-0005-0000-0000-00005A0C0000}"/>
    <cellStyle name="Heading 2 2 4" xfId="116" xr:uid="{00000000-0005-0000-0000-00005B0C0000}"/>
    <cellStyle name="Heading 2 2 5" xfId="2021" xr:uid="{00000000-0005-0000-0000-00005C0C0000}"/>
    <cellStyle name="Heading 2 2 6" xfId="2024" xr:uid="{00000000-0005-0000-0000-00005D0C0000}"/>
    <cellStyle name="Heading 2 2_211109_ 1840" xfId="1266" xr:uid="{00000000-0005-0000-0000-00005E0C0000}"/>
    <cellStyle name="Heading 2 3" xfId="3776" xr:uid="{00000000-0005-0000-0000-00005F0C0000}"/>
    <cellStyle name="Heading 2 4" xfId="3778" xr:uid="{00000000-0005-0000-0000-0000600C0000}"/>
    <cellStyle name="Heading 2 5" xfId="3779" xr:uid="{00000000-0005-0000-0000-0000610C0000}"/>
    <cellStyle name="Heading 2 6" xfId="678" xr:uid="{00000000-0005-0000-0000-0000620C0000}"/>
    <cellStyle name="Heading 2 7" xfId="1701" xr:uid="{00000000-0005-0000-0000-0000630C0000}"/>
    <cellStyle name="Heading 2 8" xfId="3780" xr:uid="{00000000-0005-0000-0000-0000640C0000}"/>
    <cellStyle name="Heading 2 9" xfId="3781" xr:uid="{00000000-0005-0000-0000-0000650C0000}"/>
    <cellStyle name="Heading 2 Below" xfId="3782" xr:uid="{00000000-0005-0000-0000-0000660C0000}"/>
    <cellStyle name="Heading 2+" xfId="3783" xr:uid="{00000000-0005-0000-0000-0000670C0000}"/>
    <cellStyle name="Heading 2+ 2" xfId="1201" xr:uid="{00000000-0005-0000-0000-0000680C0000}"/>
    <cellStyle name="Heading 3 10" xfId="3785" xr:uid="{00000000-0005-0000-0000-0000690C0000}"/>
    <cellStyle name="Heading 3 2" xfId="3786" xr:uid="{00000000-0005-0000-0000-00006A0C0000}"/>
    <cellStyle name="Heading 3 2 2" xfId="3787" xr:uid="{00000000-0005-0000-0000-00006B0C0000}"/>
    <cellStyle name="Heading 3 2_Completion Const%" xfId="3788" xr:uid="{00000000-0005-0000-0000-00006C0C0000}"/>
    <cellStyle name="Heading 3 3" xfId="3790" xr:uid="{00000000-0005-0000-0000-00006D0C0000}"/>
    <cellStyle name="Heading 3 4" xfId="3791" xr:uid="{00000000-0005-0000-0000-00006E0C0000}"/>
    <cellStyle name="Heading 3 5" xfId="3792" xr:uid="{00000000-0005-0000-0000-00006F0C0000}"/>
    <cellStyle name="Heading 3 6" xfId="57" xr:uid="{00000000-0005-0000-0000-0000700C0000}"/>
    <cellStyle name="Heading 3 7" xfId="3794" xr:uid="{00000000-0005-0000-0000-0000710C0000}"/>
    <cellStyle name="Heading 3 8" xfId="3795" xr:uid="{00000000-0005-0000-0000-0000720C0000}"/>
    <cellStyle name="Heading 3 9" xfId="2468" xr:uid="{00000000-0005-0000-0000-0000730C0000}"/>
    <cellStyle name="Heading 3+" xfId="2926" xr:uid="{00000000-0005-0000-0000-0000740C0000}"/>
    <cellStyle name="Heading 4 2" xfId="3797" xr:uid="{00000000-0005-0000-0000-0000750C0000}"/>
    <cellStyle name="Heading 4 2 2" xfId="3798" xr:uid="{00000000-0005-0000-0000-0000760C0000}"/>
    <cellStyle name="Heading 4 3" xfId="3144" xr:uid="{00000000-0005-0000-0000-0000770C0000}"/>
    <cellStyle name="Heading 4 4" xfId="3146" xr:uid="{00000000-0005-0000-0000-0000780C0000}"/>
    <cellStyle name="Heading 4 5" xfId="376" xr:uid="{00000000-0005-0000-0000-0000790C0000}"/>
    <cellStyle name="Heading 4 6" xfId="3149" xr:uid="{00000000-0005-0000-0000-00007A0C0000}"/>
    <cellStyle name="Heading 4 7" xfId="3152" xr:uid="{00000000-0005-0000-0000-00007B0C0000}"/>
    <cellStyle name="Heading 4 8" xfId="3800" xr:uid="{00000000-0005-0000-0000-00007C0C0000}"/>
    <cellStyle name="Heading 4 9" xfId="3802" xr:uid="{00000000-0005-0000-0000-00007D0C0000}"/>
    <cellStyle name="Heading bar" xfId="373" xr:uid="{00000000-0005-0000-0000-00007E0C0000}"/>
    <cellStyle name="Heading page" xfId="3803" xr:uid="{00000000-0005-0000-0000-00007F0C0000}"/>
    <cellStyle name="Heading1" xfId="3806" xr:uid="{00000000-0005-0000-0000-0000800C0000}"/>
    <cellStyle name="Heading1 2" xfId="3807" xr:uid="{00000000-0005-0000-0000-0000810C0000}"/>
    <cellStyle name="Heading1 3" xfId="3808" xr:uid="{00000000-0005-0000-0000-0000820C0000}"/>
    <cellStyle name="Heading1 4" xfId="3809" xr:uid="{00000000-0005-0000-0000-0000830C0000}"/>
    <cellStyle name="Heading1 5" xfId="3810" xr:uid="{00000000-0005-0000-0000-0000840C0000}"/>
    <cellStyle name="Heading1 6" xfId="3811" xr:uid="{00000000-0005-0000-0000-0000850C0000}"/>
    <cellStyle name="Heading2" xfId="3812" xr:uid="{00000000-0005-0000-0000-0000860C0000}"/>
    <cellStyle name="Headings2" xfId="1218" xr:uid="{00000000-0005-0000-0000-0000870C0000}"/>
    <cellStyle name="Headings2 10" xfId="3813" xr:uid="{00000000-0005-0000-0000-0000880C0000}"/>
    <cellStyle name="Headings2 11" xfId="3814" xr:uid="{00000000-0005-0000-0000-0000890C0000}"/>
    <cellStyle name="Headings2 12" xfId="3815" xr:uid="{00000000-0005-0000-0000-00008A0C0000}"/>
    <cellStyle name="Headings2 13" xfId="3816" xr:uid="{00000000-0005-0000-0000-00008B0C0000}"/>
    <cellStyle name="Headings2 14" xfId="3789" xr:uid="{00000000-0005-0000-0000-00008C0C0000}"/>
    <cellStyle name="Headings2 2" xfId="564" xr:uid="{00000000-0005-0000-0000-00008D0C0000}"/>
    <cellStyle name="Headings2 3" xfId="1534" xr:uid="{00000000-0005-0000-0000-00008E0C0000}"/>
    <cellStyle name="Headings2 4" xfId="3817" xr:uid="{00000000-0005-0000-0000-00008F0C0000}"/>
    <cellStyle name="Headings2 5" xfId="3818" xr:uid="{00000000-0005-0000-0000-0000900C0000}"/>
    <cellStyle name="Headings2 6" xfId="3773" xr:uid="{00000000-0005-0000-0000-0000910C0000}"/>
    <cellStyle name="Headings2 7" xfId="3819" xr:uid="{00000000-0005-0000-0000-0000920C0000}"/>
    <cellStyle name="Headings2 8" xfId="3821" xr:uid="{00000000-0005-0000-0000-0000930C0000}"/>
    <cellStyle name="Headings2 9" xfId="3822" xr:uid="{00000000-0005-0000-0000-0000940C0000}"/>
    <cellStyle name="HHV" xfId="3823" xr:uid="{00000000-0005-0000-0000-0000950C0000}"/>
    <cellStyle name="Hidden" xfId="3824" xr:uid="{00000000-0005-0000-0000-0000960C0000}"/>
    <cellStyle name="HIDE" xfId="1198" xr:uid="{00000000-0005-0000-0000-0000970C0000}"/>
    <cellStyle name="HIDE 2" xfId="3658" xr:uid="{00000000-0005-0000-0000-0000980C0000}"/>
    <cellStyle name="HIDE 3" xfId="3660" xr:uid="{00000000-0005-0000-0000-0000990C0000}"/>
    <cellStyle name="HIDE 4" xfId="3662" xr:uid="{00000000-0005-0000-0000-00009A0C0000}"/>
    <cellStyle name="HIDE 5" xfId="3464" xr:uid="{00000000-0005-0000-0000-00009B0C0000}"/>
    <cellStyle name="HIDE 6" xfId="3479" xr:uid="{00000000-0005-0000-0000-00009C0C0000}"/>
    <cellStyle name="HidST" xfId="3215" xr:uid="{00000000-0005-0000-0000-00009D0C0000}"/>
    <cellStyle name="HidST 2" xfId="3283" xr:uid="{00000000-0005-0000-0000-00009E0C0000}"/>
    <cellStyle name="HidST 2 2" xfId="3825" xr:uid="{00000000-0005-0000-0000-00009F0C0000}"/>
    <cellStyle name="HidST 3" xfId="3285" xr:uid="{00000000-0005-0000-0000-0000A00C0000}"/>
    <cellStyle name="Highlight" xfId="2661" xr:uid="{00000000-0005-0000-0000-0000A10C0000}"/>
    <cellStyle name="Historical_cover" xfId="3360" xr:uid="{00000000-0005-0000-0000-0000A20C0000}"/>
    <cellStyle name="HSBC Input Date" xfId="3826" xr:uid="{00000000-0005-0000-0000-0000A30C0000}"/>
    <cellStyle name="HSBC Input Label" xfId="3827" xr:uid="{00000000-0005-0000-0000-0000A40C0000}"/>
    <cellStyle name="HSBC Input Label 2" xfId="3829" xr:uid="{00000000-0005-0000-0000-0000A50C0000}"/>
    <cellStyle name="HSBC Input Label Link" xfId="3831" xr:uid="{00000000-0005-0000-0000-0000A60C0000}"/>
    <cellStyle name="HSBC Input Logical 1" xfId="3820" xr:uid="{00000000-0005-0000-0000-0000A70C0000}"/>
    <cellStyle name="HSBC Input Number 1" xfId="998" xr:uid="{00000000-0005-0000-0000-0000A80C0000}"/>
    <cellStyle name="HSBC Input Number 2" xfId="3834" xr:uid="{00000000-0005-0000-0000-0000A90C0000}"/>
    <cellStyle name="HSBC Input Percent" xfId="3835" xr:uid="{00000000-0005-0000-0000-0000AA0C0000}"/>
    <cellStyle name="HSBC Input Year Format" xfId="3836" xr:uid="{00000000-0005-0000-0000-0000AB0C0000}"/>
    <cellStyle name="HSBC Title Main" xfId="3682" xr:uid="{00000000-0005-0000-0000-0000AC0C0000}"/>
    <cellStyle name="HSBC Title Main Sub" xfId="3837" xr:uid="{00000000-0005-0000-0000-0000AD0C0000}"/>
    <cellStyle name="HSBC Title Main_BSPL-3" xfId="3207" xr:uid="{00000000-0005-0000-0000-0000AE0C0000}"/>
    <cellStyle name="HSBC Title Module" xfId="3838" xr:uid="{00000000-0005-0000-0000-0000AF0C0000}"/>
    <cellStyle name="HSBC WK Date" xfId="241" xr:uid="{00000000-0005-0000-0000-0000B00C0000}"/>
    <cellStyle name="HSBC WK Logical 1" xfId="3839" xr:uid="{00000000-0005-0000-0000-0000B10C0000}"/>
    <cellStyle name="HSBC WK Logical 2" xfId="3840" xr:uid="{00000000-0005-0000-0000-0000B20C0000}"/>
    <cellStyle name="HSBC WK Number 1" xfId="3842" xr:uid="{00000000-0005-0000-0000-0000B30C0000}"/>
    <cellStyle name="HSBC WK Number 2" xfId="3843" xr:uid="{00000000-0005-0000-0000-0000B40C0000}"/>
    <cellStyle name="HSBC WK Number 2 T" xfId="2939" xr:uid="{00000000-0005-0000-0000-0000B50C0000}"/>
    <cellStyle name="HSBC WK Number 2_BSPL-3" xfId="3844" xr:uid="{00000000-0005-0000-0000-0000B60C0000}"/>
    <cellStyle name="HSBC WK Percent" xfId="3845" xr:uid="{00000000-0005-0000-0000-0000B70C0000}"/>
    <cellStyle name="HSBC WK Ratios" xfId="2873" xr:uid="{00000000-0005-0000-0000-0000B80C0000}"/>
    <cellStyle name="HSBC WK Year Format" xfId="3846" xr:uid="{00000000-0005-0000-0000-0000B90C0000}"/>
    <cellStyle name="Hyperlink" xfId="5341" builtinId="8"/>
    <cellStyle name="Hyperlink 2" xfId="3847" xr:uid="{00000000-0005-0000-0000-0000BA0C0000}"/>
    <cellStyle name="Hyperlink 3" xfId="2061" xr:uid="{00000000-0005-0000-0000-0000BB0C0000}"/>
    <cellStyle name="Hyperlink 3 2" xfId="5334" xr:uid="{00000000-0005-0000-0000-0000BC0C0000}"/>
    <cellStyle name="Hyperlink 4" xfId="2063" xr:uid="{00000000-0005-0000-0000-0000BD0C0000}"/>
    <cellStyle name="Ï" xfId="1105" xr:uid="{00000000-0005-0000-0000-0000BE0C0000}"/>
    <cellStyle name="Incomplete" xfId="1572" xr:uid="{00000000-0005-0000-0000-0000BF0C0000}"/>
    <cellStyle name="Incorrecto" xfId="441" xr:uid="{00000000-0005-0000-0000-0000C00C0000}"/>
    <cellStyle name="Indent" xfId="3848" xr:uid="{00000000-0005-0000-0000-0000C10C0000}"/>
    <cellStyle name="Info_Main" xfId="633" xr:uid="{00000000-0005-0000-0000-0000C20C0000}"/>
    <cellStyle name="Inndata" xfId="3849" xr:uid="{00000000-0005-0000-0000-0000C30C0000}"/>
    <cellStyle name="Inndata 10" xfId="3075" xr:uid="{00000000-0005-0000-0000-0000C40C0000}"/>
    <cellStyle name="Inndata 11" xfId="3077" xr:uid="{00000000-0005-0000-0000-0000C50C0000}"/>
    <cellStyle name="Inndata 12" xfId="1012" xr:uid="{00000000-0005-0000-0000-0000C60C0000}"/>
    <cellStyle name="Inndata 13" xfId="557" xr:uid="{00000000-0005-0000-0000-0000C70C0000}"/>
    <cellStyle name="Inndata 2" xfId="2197" xr:uid="{00000000-0005-0000-0000-0000C80C0000}"/>
    <cellStyle name="Inndata 3" xfId="349" xr:uid="{00000000-0005-0000-0000-0000C90C0000}"/>
    <cellStyle name="Inndata 4" xfId="2201" xr:uid="{00000000-0005-0000-0000-0000CA0C0000}"/>
    <cellStyle name="Inndata 5" xfId="2206" xr:uid="{00000000-0005-0000-0000-0000CB0C0000}"/>
    <cellStyle name="Inndata 6" xfId="2210" xr:uid="{00000000-0005-0000-0000-0000CC0C0000}"/>
    <cellStyle name="Inndata 7" xfId="2214" xr:uid="{00000000-0005-0000-0000-0000CD0C0000}"/>
    <cellStyle name="Inndata 8" xfId="2218" xr:uid="{00000000-0005-0000-0000-0000CE0C0000}"/>
    <cellStyle name="Inndata 9" xfId="2221" xr:uid="{00000000-0005-0000-0000-0000CF0C0000}"/>
    <cellStyle name="Input [yellow]" xfId="3850" xr:uid="{00000000-0005-0000-0000-0000D00C0000}"/>
    <cellStyle name="Input [yellow] 2" xfId="1270" xr:uid="{00000000-0005-0000-0000-0000D10C0000}"/>
    <cellStyle name="Input [yellow] 3" xfId="1272" xr:uid="{00000000-0005-0000-0000-0000D20C0000}"/>
    <cellStyle name="Input [yellow] 4" xfId="1275" xr:uid="{00000000-0005-0000-0000-0000D30C0000}"/>
    <cellStyle name="Input [yellow] 5" xfId="832" xr:uid="{00000000-0005-0000-0000-0000D40C0000}"/>
    <cellStyle name="Input [yellow] 6" xfId="1278" xr:uid="{00000000-0005-0000-0000-0000D50C0000}"/>
    <cellStyle name="Input 10" xfId="3851" xr:uid="{00000000-0005-0000-0000-0000D60C0000}"/>
    <cellStyle name="Input 11" xfId="1000" xr:uid="{00000000-0005-0000-0000-0000D70C0000}"/>
    <cellStyle name="Input 12" xfId="1807" xr:uid="{00000000-0005-0000-0000-0000D80C0000}"/>
    <cellStyle name="Input 13" xfId="3852" xr:uid="{00000000-0005-0000-0000-0000D90C0000}"/>
    <cellStyle name="Input 14" xfId="3854" xr:uid="{00000000-0005-0000-0000-0000DA0C0000}"/>
    <cellStyle name="Input 15" xfId="3855" xr:uid="{00000000-0005-0000-0000-0000DB0C0000}"/>
    <cellStyle name="Input 16" xfId="3857" xr:uid="{00000000-0005-0000-0000-0000DC0C0000}"/>
    <cellStyle name="Input 17" xfId="3859" xr:uid="{00000000-0005-0000-0000-0000DD0C0000}"/>
    <cellStyle name="Input 18" xfId="3111" xr:uid="{00000000-0005-0000-0000-0000DE0C0000}"/>
    <cellStyle name="Input 19" xfId="3115" xr:uid="{00000000-0005-0000-0000-0000DF0C0000}"/>
    <cellStyle name="Input 2" xfId="3861" xr:uid="{00000000-0005-0000-0000-0000E00C0000}"/>
    <cellStyle name="Input 2 10" xfId="3614" xr:uid="{00000000-0005-0000-0000-0000E10C0000}"/>
    <cellStyle name="Input 2 11" xfId="2448" xr:uid="{00000000-0005-0000-0000-0000E20C0000}"/>
    <cellStyle name="Input 2 12" xfId="3862" xr:uid="{00000000-0005-0000-0000-0000E30C0000}"/>
    <cellStyle name="Input 2 13" xfId="3863" xr:uid="{00000000-0005-0000-0000-0000E40C0000}"/>
    <cellStyle name="Input 2 14" xfId="3864" xr:uid="{00000000-0005-0000-0000-0000E50C0000}"/>
    <cellStyle name="Input 2 2" xfId="3288" xr:uid="{00000000-0005-0000-0000-0000E60C0000}"/>
    <cellStyle name="Input 2 2 10" xfId="3865" xr:uid="{00000000-0005-0000-0000-0000E70C0000}"/>
    <cellStyle name="Input 2 2 11" xfId="2702" xr:uid="{00000000-0005-0000-0000-0000E80C0000}"/>
    <cellStyle name="Input 2 2 12" xfId="3866" xr:uid="{00000000-0005-0000-0000-0000E90C0000}"/>
    <cellStyle name="Input 2 2 13" xfId="291" xr:uid="{00000000-0005-0000-0000-0000EA0C0000}"/>
    <cellStyle name="Input 2 2 2" xfId="3867" xr:uid="{00000000-0005-0000-0000-0000EB0C0000}"/>
    <cellStyle name="Input 2 2 3" xfId="3323" xr:uid="{00000000-0005-0000-0000-0000EC0C0000}"/>
    <cellStyle name="Input 2 2 4" xfId="2960" xr:uid="{00000000-0005-0000-0000-0000ED0C0000}"/>
    <cellStyle name="Input 2 2 5" xfId="759" xr:uid="{00000000-0005-0000-0000-0000EE0C0000}"/>
    <cellStyle name="Input 2 2 6" xfId="1968" xr:uid="{00000000-0005-0000-0000-0000EF0C0000}"/>
    <cellStyle name="Input 2 2 7" xfId="3869" xr:uid="{00000000-0005-0000-0000-0000F00C0000}"/>
    <cellStyle name="Input 2 2 8" xfId="2106" xr:uid="{00000000-0005-0000-0000-0000F10C0000}"/>
    <cellStyle name="Input 2 2 9" xfId="1935" xr:uid="{00000000-0005-0000-0000-0000F20C0000}"/>
    <cellStyle name="Input 2 3" xfId="3870" xr:uid="{00000000-0005-0000-0000-0000F30C0000}"/>
    <cellStyle name="Input 2 4" xfId="3871" xr:uid="{00000000-0005-0000-0000-0000F40C0000}"/>
    <cellStyle name="Input 2 5" xfId="231" xr:uid="{00000000-0005-0000-0000-0000F50C0000}"/>
    <cellStyle name="Input 2 6" xfId="3872" xr:uid="{00000000-0005-0000-0000-0000F60C0000}"/>
    <cellStyle name="Input 2 7" xfId="501" xr:uid="{00000000-0005-0000-0000-0000F70C0000}"/>
    <cellStyle name="Input 2 8" xfId="3873" xr:uid="{00000000-0005-0000-0000-0000F80C0000}"/>
    <cellStyle name="Input 2 9" xfId="3874" xr:uid="{00000000-0005-0000-0000-0000F90C0000}"/>
    <cellStyle name="Input 2_Completion Const%" xfId="3875" xr:uid="{00000000-0005-0000-0000-0000FA0C0000}"/>
    <cellStyle name="Input 20" xfId="3856" xr:uid="{00000000-0005-0000-0000-0000FB0C0000}"/>
    <cellStyle name="Input 21" xfId="3858" xr:uid="{00000000-0005-0000-0000-0000FC0C0000}"/>
    <cellStyle name="Input 22" xfId="3860" xr:uid="{00000000-0005-0000-0000-0000FD0C0000}"/>
    <cellStyle name="Input 23" xfId="3112" xr:uid="{00000000-0005-0000-0000-0000FE0C0000}"/>
    <cellStyle name="Input 24" xfId="3116" xr:uid="{00000000-0005-0000-0000-0000FF0C0000}"/>
    <cellStyle name="Input 25" xfId="3119" xr:uid="{00000000-0005-0000-0000-0000000D0000}"/>
    <cellStyle name="Input 26" xfId="548" xr:uid="{00000000-0005-0000-0000-0000010D0000}"/>
    <cellStyle name="Input 27" xfId="2883" xr:uid="{00000000-0005-0000-0000-0000020D0000}"/>
    <cellStyle name="Input 28" xfId="3123" xr:uid="{00000000-0005-0000-0000-0000030D0000}"/>
    <cellStyle name="Input 29" xfId="95" xr:uid="{00000000-0005-0000-0000-0000040D0000}"/>
    <cellStyle name="Input 3" xfId="3877" xr:uid="{00000000-0005-0000-0000-0000050D0000}"/>
    <cellStyle name="Input 3 10" xfId="750" xr:uid="{00000000-0005-0000-0000-0000060D0000}"/>
    <cellStyle name="Input 3 11" xfId="3784" xr:uid="{00000000-0005-0000-0000-0000070D0000}"/>
    <cellStyle name="Input 3 12" xfId="761" xr:uid="{00000000-0005-0000-0000-0000080D0000}"/>
    <cellStyle name="Input 3 13" xfId="194" xr:uid="{00000000-0005-0000-0000-0000090D0000}"/>
    <cellStyle name="Input 3 2" xfId="3878" xr:uid="{00000000-0005-0000-0000-00000A0D0000}"/>
    <cellStyle name="Input 3 3" xfId="3879" xr:uid="{00000000-0005-0000-0000-00000B0D0000}"/>
    <cellStyle name="Input 3 4" xfId="3880" xr:uid="{00000000-0005-0000-0000-00000C0D0000}"/>
    <cellStyle name="Input 3 5" xfId="3881" xr:uid="{00000000-0005-0000-0000-00000D0D0000}"/>
    <cellStyle name="Input 3 6" xfId="1718" xr:uid="{00000000-0005-0000-0000-00000E0D0000}"/>
    <cellStyle name="Input 3 7" xfId="3882" xr:uid="{00000000-0005-0000-0000-00000F0D0000}"/>
    <cellStyle name="Input 3 8" xfId="3883" xr:uid="{00000000-0005-0000-0000-0000100D0000}"/>
    <cellStyle name="Input 3 9" xfId="3884" xr:uid="{00000000-0005-0000-0000-0000110D0000}"/>
    <cellStyle name="Input 30" xfId="3120" xr:uid="{00000000-0005-0000-0000-0000120D0000}"/>
    <cellStyle name="Input 31" xfId="549" xr:uid="{00000000-0005-0000-0000-0000130D0000}"/>
    <cellStyle name="Input 32" xfId="2884" xr:uid="{00000000-0005-0000-0000-0000140D0000}"/>
    <cellStyle name="Input 33" xfId="3124" xr:uid="{00000000-0005-0000-0000-0000150D0000}"/>
    <cellStyle name="Input 34" xfId="94" xr:uid="{00000000-0005-0000-0000-0000160D0000}"/>
    <cellStyle name="Input 35" xfId="112" xr:uid="{00000000-0005-0000-0000-0000170D0000}"/>
    <cellStyle name="Input 36" xfId="1195" xr:uid="{00000000-0005-0000-0000-0000180D0000}"/>
    <cellStyle name="Input 37" xfId="135" xr:uid="{00000000-0005-0000-0000-0000190D0000}"/>
    <cellStyle name="Input 38" xfId="2918" xr:uid="{00000000-0005-0000-0000-00001A0D0000}"/>
    <cellStyle name="Input 39" xfId="153" xr:uid="{00000000-0005-0000-0000-00001B0D0000}"/>
    <cellStyle name="Input 4" xfId="3488" xr:uid="{00000000-0005-0000-0000-00001C0D0000}"/>
    <cellStyle name="Input 4 10" xfId="3735" xr:uid="{00000000-0005-0000-0000-00001D0D0000}"/>
    <cellStyle name="Input 4 11" xfId="3887" xr:uid="{00000000-0005-0000-0000-00001E0D0000}"/>
    <cellStyle name="Input 4 12" xfId="3890" xr:uid="{00000000-0005-0000-0000-00001F0D0000}"/>
    <cellStyle name="Input 4 13" xfId="3892" xr:uid="{00000000-0005-0000-0000-0000200D0000}"/>
    <cellStyle name="Input 4 2" xfId="3490" xr:uid="{00000000-0005-0000-0000-0000210D0000}"/>
    <cellStyle name="Input 4 3" xfId="3492" xr:uid="{00000000-0005-0000-0000-0000220D0000}"/>
    <cellStyle name="Input 4 4" xfId="3494" xr:uid="{00000000-0005-0000-0000-0000230D0000}"/>
    <cellStyle name="Input 4 5" xfId="3496" xr:uid="{00000000-0005-0000-0000-0000240D0000}"/>
    <cellStyle name="Input 4 6" xfId="3498" xr:uid="{00000000-0005-0000-0000-0000250D0000}"/>
    <cellStyle name="Input 4 7" xfId="3500" xr:uid="{00000000-0005-0000-0000-0000260D0000}"/>
    <cellStyle name="Input 4 8" xfId="3893" xr:uid="{00000000-0005-0000-0000-0000270D0000}"/>
    <cellStyle name="Input 4 9" xfId="2346" xr:uid="{00000000-0005-0000-0000-0000280D0000}"/>
    <cellStyle name="Input 40" xfId="111" xr:uid="{00000000-0005-0000-0000-0000290D0000}"/>
    <cellStyle name="Input 41" xfId="1196" xr:uid="{00000000-0005-0000-0000-00002A0D0000}"/>
    <cellStyle name="Input 42" xfId="134" xr:uid="{00000000-0005-0000-0000-00002B0D0000}"/>
    <cellStyle name="Input 43" xfId="2919" xr:uid="{00000000-0005-0000-0000-00002C0D0000}"/>
    <cellStyle name="Input 44" xfId="152" xr:uid="{00000000-0005-0000-0000-00002D0D0000}"/>
    <cellStyle name="Input 45" xfId="17" xr:uid="{00000000-0005-0000-0000-00002E0D0000}"/>
    <cellStyle name="Input 46" xfId="3653" xr:uid="{00000000-0005-0000-0000-00002F0D0000}"/>
    <cellStyle name="Input 47" xfId="3655" xr:uid="{00000000-0005-0000-0000-0000300D0000}"/>
    <cellStyle name="Input 5" xfId="3894" xr:uid="{00000000-0005-0000-0000-0000310D0000}"/>
    <cellStyle name="Input 5 10" xfId="3194" xr:uid="{00000000-0005-0000-0000-0000320D0000}"/>
    <cellStyle name="Input 5 11" xfId="2685" xr:uid="{00000000-0005-0000-0000-0000330D0000}"/>
    <cellStyle name="Input 5 12" xfId="454" xr:uid="{00000000-0005-0000-0000-0000340D0000}"/>
    <cellStyle name="Input 5 13" xfId="1554" xr:uid="{00000000-0005-0000-0000-0000350D0000}"/>
    <cellStyle name="Input 5 2" xfId="3895" xr:uid="{00000000-0005-0000-0000-0000360D0000}"/>
    <cellStyle name="Input 5 3" xfId="3896" xr:uid="{00000000-0005-0000-0000-0000370D0000}"/>
    <cellStyle name="Input 5 4" xfId="3897" xr:uid="{00000000-0005-0000-0000-0000380D0000}"/>
    <cellStyle name="Input 5 5" xfId="3319" xr:uid="{00000000-0005-0000-0000-0000390D0000}"/>
    <cellStyle name="Input 5 6" xfId="3898" xr:uid="{00000000-0005-0000-0000-00003A0D0000}"/>
    <cellStyle name="Input 5 7" xfId="3899" xr:uid="{00000000-0005-0000-0000-00003B0D0000}"/>
    <cellStyle name="Input 5 8" xfId="3900" xr:uid="{00000000-0005-0000-0000-00003C0D0000}"/>
    <cellStyle name="Input 5 9" xfId="3868" xr:uid="{00000000-0005-0000-0000-00003D0D0000}"/>
    <cellStyle name="Input 6" xfId="3901" xr:uid="{00000000-0005-0000-0000-00003E0D0000}"/>
    <cellStyle name="Input 6 10" xfId="3902" xr:uid="{00000000-0005-0000-0000-00003F0D0000}"/>
    <cellStyle name="Input 6 11" xfId="3903" xr:uid="{00000000-0005-0000-0000-0000400D0000}"/>
    <cellStyle name="Input 6 12" xfId="3904" xr:uid="{00000000-0005-0000-0000-0000410D0000}"/>
    <cellStyle name="Input 6 13" xfId="3905" xr:uid="{00000000-0005-0000-0000-0000420D0000}"/>
    <cellStyle name="Input 6 2" xfId="3273" xr:uid="{00000000-0005-0000-0000-0000430D0000}"/>
    <cellStyle name="Input 6 3" xfId="3275" xr:uid="{00000000-0005-0000-0000-0000440D0000}"/>
    <cellStyle name="Input 6 4" xfId="3906" xr:uid="{00000000-0005-0000-0000-0000450D0000}"/>
    <cellStyle name="Input 6 5" xfId="3907" xr:uid="{00000000-0005-0000-0000-0000460D0000}"/>
    <cellStyle name="Input 6 6" xfId="3908" xr:uid="{00000000-0005-0000-0000-0000470D0000}"/>
    <cellStyle name="Input 6 7" xfId="3909" xr:uid="{00000000-0005-0000-0000-0000480D0000}"/>
    <cellStyle name="Input 6 8" xfId="3563" xr:uid="{00000000-0005-0000-0000-0000490D0000}"/>
    <cellStyle name="Input 6 9" xfId="3910" xr:uid="{00000000-0005-0000-0000-00004A0D0000}"/>
    <cellStyle name="Input 7" xfId="3911" xr:uid="{00000000-0005-0000-0000-00004B0D0000}"/>
    <cellStyle name="Input 7 10" xfId="982" xr:uid="{00000000-0005-0000-0000-00004C0D0000}"/>
    <cellStyle name="Input 7 11" xfId="984" xr:uid="{00000000-0005-0000-0000-00004D0D0000}"/>
    <cellStyle name="Input 7 12" xfId="987" xr:uid="{00000000-0005-0000-0000-00004E0D0000}"/>
    <cellStyle name="Input 7 13" xfId="102" xr:uid="{00000000-0005-0000-0000-00004F0D0000}"/>
    <cellStyle name="Input 7 2" xfId="5" xr:uid="{00000000-0005-0000-0000-0000500D0000}"/>
    <cellStyle name="Input 7 3" xfId="47" xr:uid="{00000000-0005-0000-0000-0000510D0000}"/>
    <cellStyle name="Input 7 4" xfId="45" xr:uid="{00000000-0005-0000-0000-0000520D0000}"/>
    <cellStyle name="Input 7 5" xfId="140" xr:uid="{00000000-0005-0000-0000-0000530D0000}"/>
    <cellStyle name="Input 7 6" xfId="142" xr:uid="{00000000-0005-0000-0000-0000540D0000}"/>
    <cellStyle name="Input 7 7" xfId="157" xr:uid="{00000000-0005-0000-0000-0000550D0000}"/>
    <cellStyle name="Input 7 8" xfId="3912" xr:uid="{00000000-0005-0000-0000-0000560D0000}"/>
    <cellStyle name="Input 7 9" xfId="928" xr:uid="{00000000-0005-0000-0000-0000570D0000}"/>
    <cellStyle name="Input 8" xfId="3913" xr:uid="{00000000-0005-0000-0000-0000580D0000}"/>
    <cellStyle name="Input 8 10" xfId="1936" xr:uid="{00000000-0005-0000-0000-0000590D0000}"/>
    <cellStyle name="Input 8 11" xfId="1938" xr:uid="{00000000-0005-0000-0000-00005A0D0000}"/>
    <cellStyle name="Input 8 12" xfId="1940" xr:uid="{00000000-0005-0000-0000-00005B0D0000}"/>
    <cellStyle name="Input 8 13" xfId="1943" xr:uid="{00000000-0005-0000-0000-00005C0D0000}"/>
    <cellStyle name="Input 8 2" xfId="3476" xr:uid="{00000000-0005-0000-0000-00005D0D0000}"/>
    <cellStyle name="Input 8 3" xfId="19" xr:uid="{00000000-0005-0000-0000-00005E0D0000}"/>
    <cellStyle name="Input 8 4" xfId="1524" xr:uid="{00000000-0005-0000-0000-00005F0D0000}"/>
    <cellStyle name="Input 8 5" xfId="3915" xr:uid="{00000000-0005-0000-0000-0000600D0000}"/>
    <cellStyle name="Input 8 6" xfId="3916" xr:uid="{00000000-0005-0000-0000-0000610D0000}"/>
    <cellStyle name="Input 8 7" xfId="3917" xr:uid="{00000000-0005-0000-0000-0000620D0000}"/>
    <cellStyle name="Input 8 8" xfId="3918" xr:uid="{00000000-0005-0000-0000-0000630D0000}"/>
    <cellStyle name="Input 8 9" xfId="3919" xr:uid="{00000000-0005-0000-0000-0000640D0000}"/>
    <cellStyle name="Input 9" xfId="3920" xr:uid="{00000000-0005-0000-0000-0000650D0000}"/>
    <cellStyle name="Input Cells" xfId="3922" xr:uid="{00000000-0005-0000-0000-0000660D0000}"/>
    <cellStyle name="Input Cells 2" xfId="3923" xr:uid="{00000000-0005-0000-0000-0000670D0000}"/>
    <cellStyle name="Input Currency" xfId="3924" xr:uid="{00000000-0005-0000-0000-0000680D0000}"/>
    <cellStyle name="Input Date" xfId="1388" xr:uid="{00000000-0005-0000-0000-0000690D0000}"/>
    <cellStyle name="Input dates" xfId="3925" xr:uid="{00000000-0005-0000-0000-00006A0D0000}"/>
    <cellStyle name="Input Fixed [0]" xfId="1187" xr:uid="{00000000-0005-0000-0000-00006B0D0000}"/>
    <cellStyle name="Input multiple" xfId="1830" xr:uid="{00000000-0005-0000-0000-00006C0D0000}"/>
    <cellStyle name="Input normal" xfId="3926" xr:uid="{00000000-0005-0000-0000-00006D0D0000}"/>
    <cellStyle name="Input Number Normal" xfId="3928" xr:uid="{00000000-0005-0000-0000-00006E0D0000}"/>
    <cellStyle name="Input percent" xfId="1219" xr:uid="{00000000-0005-0000-0000-00006F0D0000}"/>
    <cellStyle name="Input Percent [2]" xfId="3929" xr:uid="{00000000-0005-0000-0000-0000700D0000}"/>
    <cellStyle name="Input Titles" xfId="2801" xr:uid="{00000000-0005-0000-0000-0000710D0000}"/>
    <cellStyle name="Input years" xfId="2861" xr:uid="{00000000-0005-0000-0000-0000720D0000}"/>
    <cellStyle name="Input%" xfId="3930" xr:uid="{00000000-0005-0000-0000-0000730D0000}"/>
    <cellStyle name="Input2" xfId="1467" xr:uid="{00000000-0005-0000-0000-0000740D0000}"/>
    <cellStyle name="Input2 10" xfId="3931" xr:uid="{00000000-0005-0000-0000-0000750D0000}"/>
    <cellStyle name="Input2 11" xfId="3932" xr:uid="{00000000-0005-0000-0000-0000760D0000}"/>
    <cellStyle name="Input2 12" xfId="3933" xr:uid="{00000000-0005-0000-0000-0000770D0000}"/>
    <cellStyle name="Input2 13" xfId="390" xr:uid="{00000000-0005-0000-0000-0000780D0000}"/>
    <cellStyle name="Input2 2" xfId="3935" xr:uid="{00000000-0005-0000-0000-0000790D0000}"/>
    <cellStyle name="Input2 3" xfId="3936" xr:uid="{00000000-0005-0000-0000-00007A0D0000}"/>
    <cellStyle name="Input2 4" xfId="3937" xr:uid="{00000000-0005-0000-0000-00007B0D0000}"/>
    <cellStyle name="Input2 5" xfId="3938" xr:uid="{00000000-0005-0000-0000-00007C0D0000}"/>
    <cellStyle name="Input2 6" xfId="3940" xr:uid="{00000000-0005-0000-0000-00007D0D0000}"/>
    <cellStyle name="Input2 7" xfId="3942" xr:uid="{00000000-0005-0000-0000-00007E0D0000}"/>
    <cellStyle name="Input2 8" xfId="2674" xr:uid="{00000000-0005-0000-0000-00007F0D0000}"/>
    <cellStyle name="Input2 9" xfId="3943" xr:uid="{00000000-0005-0000-0000-0000800D0000}"/>
    <cellStyle name="InputBlueFont" xfId="3944" xr:uid="{00000000-0005-0000-0000-0000810D0000}"/>
    <cellStyle name="InputDate" xfId="3945" xr:uid="{00000000-0005-0000-0000-0000820D0000}"/>
    <cellStyle name="InputDecimal" xfId="3946" xr:uid="{00000000-0005-0000-0000-0000830D0000}"/>
    <cellStyle name="InputDecimal 2" xfId="3947" xr:uid="{00000000-0005-0000-0000-0000840D0000}"/>
    <cellStyle name="InputDescriptions" xfId="3948" xr:uid="{00000000-0005-0000-0000-0000850D0000}"/>
    <cellStyle name="InputHeading1" xfId="2541" xr:uid="{00000000-0005-0000-0000-0000860D0000}"/>
    <cellStyle name="InputNegative" xfId="3949" xr:uid="{00000000-0005-0000-0000-0000870D0000}"/>
    <cellStyle name="InputSheetHeading" xfId="3950" xr:uid="{00000000-0005-0000-0000-0000880D0000}"/>
    <cellStyle name="InputSheetHeading 10" xfId="3951" xr:uid="{00000000-0005-0000-0000-0000890D0000}"/>
    <cellStyle name="InputSheetHeading 11" xfId="3952" xr:uid="{00000000-0005-0000-0000-00008A0D0000}"/>
    <cellStyle name="InputSheetHeading 12" xfId="1966" xr:uid="{00000000-0005-0000-0000-00008B0D0000}"/>
    <cellStyle name="InputSheetHeading 13" xfId="1970" xr:uid="{00000000-0005-0000-0000-00008C0D0000}"/>
    <cellStyle name="InputSheetHeading 14" xfId="1973" xr:uid="{00000000-0005-0000-0000-00008D0D0000}"/>
    <cellStyle name="InputSheetHeading 15" xfId="1975" xr:uid="{00000000-0005-0000-0000-00008E0D0000}"/>
    <cellStyle name="InputSheetHeading 16" xfId="1978" xr:uid="{00000000-0005-0000-0000-00008F0D0000}"/>
    <cellStyle name="InputSheetHeading 17" xfId="1981" xr:uid="{00000000-0005-0000-0000-0000900D0000}"/>
    <cellStyle name="InputSheetHeading 18" xfId="1985" xr:uid="{00000000-0005-0000-0000-0000910D0000}"/>
    <cellStyle name="InputSheetHeading 19" xfId="1988" xr:uid="{00000000-0005-0000-0000-0000920D0000}"/>
    <cellStyle name="InputSheetHeading 2" xfId="3271" xr:uid="{00000000-0005-0000-0000-0000930D0000}"/>
    <cellStyle name="InputSheetHeading 20" xfId="1976" xr:uid="{00000000-0005-0000-0000-0000940D0000}"/>
    <cellStyle name="InputSheetHeading 21" xfId="1979" xr:uid="{00000000-0005-0000-0000-0000950D0000}"/>
    <cellStyle name="InputSheetHeading 22" xfId="1982" xr:uid="{00000000-0005-0000-0000-0000960D0000}"/>
    <cellStyle name="InputSheetHeading 3" xfId="2355" xr:uid="{00000000-0005-0000-0000-0000970D0000}"/>
    <cellStyle name="InputSheetHeading 4" xfId="703" xr:uid="{00000000-0005-0000-0000-0000980D0000}"/>
    <cellStyle name="InputSheetHeading 5" xfId="2358" xr:uid="{00000000-0005-0000-0000-0000990D0000}"/>
    <cellStyle name="InputSheetHeading 6" xfId="2361" xr:uid="{00000000-0005-0000-0000-00009A0D0000}"/>
    <cellStyle name="InputSheetHeading 7" xfId="2365" xr:uid="{00000000-0005-0000-0000-00009B0D0000}"/>
    <cellStyle name="InputSheetHeading 8" xfId="2368" xr:uid="{00000000-0005-0000-0000-00009C0D0000}"/>
    <cellStyle name="InputSheetHeading 9" xfId="2371" xr:uid="{00000000-0005-0000-0000-00009D0D0000}"/>
    <cellStyle name="InputValue" xfId="2846" xr:uid="{00000000-0005-0000-0000-00009E0D0000}"/>
    <cellStyle name="Integer" xfId="3953" xr:uid="{00000000-0005-0000-0000-00009F0D0000}"/>
    <cellStyle name="Item" xfId="1383" xr:uid="{00000000-0005-0000-0000-0000A00D0000}"/>
    <cellStyle name="ItemTypeClass" xfId="1421" xr:uid="{00000000-0005-0000-0000-0000A10D0000}"/>
    <cellStyle name="ItemTypeClass 10" xfId="477" xr:uid="{00000000-0005-0000-0000-0000A20D0000}"/>
    <cellStyle name="ItemTypeClass 11" xfId="3954" xr:uid="{00000000-0005-0000-0000-0000A30D0000}"/>
    <cellStyle name="ItemTypeClass 12" xfId="3955" xr:uid="{00000000-0005-0000-0000-0000A40D0000}"/>
    <cellStyle name="ItemTypeClass 13" xfId="3956" xr:uid="{00000000-0005-0000-0000-0000A50D0000}"/>
    <cellStyle name="ItemTypeClass 14" xfId="3957" xr:uid="{00000000-0005-0000-0000-0000A60D0000}"/>
    <cellStyle name="ItemTypeClass 2" xfId="3958" xr:uid="{00000000-0005-0000-0000-0000A70D0000}"/>
    <cellStyle name="ItemTypeClass 3" xfId="3959" xr:uid="{00000000-0005-0000-0000-0000A80D0000}"/>
    <cellStyle name="ItemTypeClass 4" xfId="3960" xr:uid="{00000000-0005-0000-0000-0000A90D0000}"/>
    <cellStyle name="ItemTypeClass 5" xfId="819" xr:uid="{00000000-0005-0000-0000-0000AA0D0000}"/>
    <cellStyle name="ItemTypeClass 6" xfId="3961" xr:uid="{00000000-0005-0000-0000-0000AB0D0000}"/>
    <cellStyle name="ItemTypeClass 7" xfId="3962" xr:uid="{00000000-0005-0000-0000-0000AC0D0000}"/>
    <cellStyle name="ItemTypeClass 8" xfId="3964" xr:uid="{00000000-0005-0000-0000-0000AD0D0000}"/>
    <cellStyle name="ItemTypeClass 9" xfId="410" xr:uid="{00000000-0005-0000-0000-0000AE0D0000}"/>
    <cellStyle name="KEIKAKU" xfId="3965" xr:uid="{00000000-0005-0000-0000-0000AF0D0000}"/>
    <cellStyle name="Koblet celle" xfId="3966" xr:uid="{00000000-0005-0000-0000-0000B00D0000}"/>
    <cellStyle name="Komma [0]_CM_DATA_TRAXIS" xfId="3967" xr:uid="{00000000-0005-0000-0000-0000B10D0000}"/>
    <cellStyle name="Komma_CM_DATA_TRAXIS" xfId="3634" xr:uid="{00000000-0005-0000-0000-0000B20D0000}"/>
    <cellStyle name="Kontrollcelle" xfId="3968" xr:uid="{00000000-0005-0000-0000-0000B30D0000}"/>
    <cellStyle name="Labels - Style3" xfId="1242" xr:uid="{00000000-0005-0000-0000-0000B40D0000}"/>
    <cellStyle name="Labels - Style3 10" xfId="3131" xr:uid="{00000000-0005-0000-0000-0000B50D0000}"/>
    <cellStyle name="Labels - Style3 11" xfId="3134" xr:uid="{00000000-0005-0000-0000-0000B60D0000}"/>
    <cellStyle name="Labels - Style3 12" xfId="3137" xr:uid="{00000000-0005-0000-0000-0000B70D0000}"/>
    <cellStyle name="Labels - Style3 13" xfId="3140" xr:uid="{00000000-0005-0000-0000-0000B80D0000}"/>
    <cellStyle name="Labels - Style3 14" xfId="1471" xr:uid="{00000000-0005-0000-0000-0000B90D0000}"/>
    <cellStyle name="Labels - Style3 2" xfId="2256" xr:uid="{00000000-0005-0000-0000-0000BA0D0000}"/>
    <cellStyle name="Labels - Style3 3" xfId="416" xr:uid="{00000000-0005-0000-0000-0000BB0D0000}"/>
    <cellStyle name="Labels - Style3 4" xfId="2263" xr:uid="{00000000-0005-0000-0000-0000BC0D0000}"/>
    <cellStyle name="Labels - Style3 5" xfId="2266" xr:uid="{00000000-0005-0000-0000-0000BD0D0000}"/>
    <cellStyle name="Labels - Style3 6" xfId="857" xr:uid="{00000000-0005-0000-0000-0000BE0D0000}"/>
    <cellStyle name="Labels - Style3 7" xfId="2239" xr:uid="{00000000-0005-0000-0000-0000BF0D0000}"/>
    <cellStyle name="Labels - Style3 8" xfId="2269" xr:uid="{00000000-0005-0000-0000-0000C00D0000}"/>
    <cellStyle name="Labels - Style3 9" xfId="2274" xr:uid="{00000000-0005-0000-0000-0000C10D0000}"/>
    <cellStyle name="LEFT 7" xfId="2102" xr:uid="{00000000-0005-0000-0000-0000C20D0000}"/>
    <cellStyle name="LEFT 7 2" xfId="3970" xr:uid="{00000000-0005-0000-0000-0000C30D0000}"/>
    <cellStyle name="LEFT 7 SPACE2" xfId="3971" xr:uid="{00000000-0005-0000-0000-0000C40D0000}"/>
    <cellStyle name="LEFT 7 SPACE2 2" xfId="3972" xr:uid="{00000000-0005-0000-0000-0000C50D0000}"/>
    <cellStyle name="LEFT 7 SPACEA" xfId="3973" xr:uid="{00000000-0005-0000-0000-0000C60D0000}"/>
    <cellStyle name="LEFT 7 SPACEA 2" xfId="3974" xr:uid="{00000000-0005-0000-0000-0000C70D0000}"/>
    <cellStyle name="LEFT 7 SPACER" xfId="3975" xr:uid="{00000000-0005-0000-0000-0000C80D0000}"/>
    <cellStyle name="LEFT 7 SPACER 2" xfId="3977" xr:uid="{00000000-0005-0000-0000-0000C90D0000}"/>
    <cellStyle name="LEFT 7A" xfId="3978" xr:uid="{00000000-0005-0000-0000-0000CA0D0000}"/>
    <cellStyle name="LEFT 7A 2" xfId="2" xr:uid="{00000000-0005-0000-0000-0000CB0D0000}"/>
    <cellStyle name="LEFT 9" xfId="1724" xr:uid="{00000000-0005-0000-0000-0000CC0D0000}"/>
    <cellStyle name="LEFT 9 2" xfId="1726" xr:uid="{00000000-0005-0000-0000-0000CD0D0000}"/>
    <cellStyle name="LEFT 9 SPACER" xfId="3979" xr:uid="{00000000-0005-0000-0000-0000CE0D0000}"/>
    <cellStyle name="LEFT 9 SPACER 2" xfId="1529" xr:uid="{00000000-0005-0000-0000-0000CF0D0000}"/>
    <cellStyle name="Level 2 Total" xfId="515" xr:uid="{00000000-0005-0000-0000-0000D00D0000}"/>
    <cellStyle name="Lien hypertexte" xfId="3980" xr:uid="{00000000-0005-0000-0000-0000D10D0000}"/>
    <cellStyle name="Lien hypertexte visité" xfId="2000" xr:uid="{00000000-0005-0000-0000-0000D20D0000}"/>
    <cellStyle name="Lien hypertexte_Ankara-New costing - based on T1" xfId="1564" xr:uid="{00000000-0005-0000-0000-0000D30D0000}"/>
    <cellStyle name="Link Currency (0)" xfId="3969" xr:uid="{00000000-0005-0000-0000-0000D40D0000}"/>
    <cellStyle name="Link Currency (0) 2" xfId="3981" xr:uid="{00000000-0005-0000-0000-0000D50D0000}"/>
    <cellStyle name="Link Currency (0) 3" xfId="3457" xr:uid="{00000000-0005-0000-0000-0000D60D0000}"/>
    <cellStyle name="Link Currency (0) 4" xfId="1841" xr:uid="{00000000-0005-0000-0000-0000D70D0000}"/>
    <cellStyle name="Link Currency (0) 5" xfId="1843" xr:uid="{00000000-0005-0000-0000-0000D80D0000}"/>
    <cellStyle name="Link Currency (0) 6" xfId="1845" xr:uid="{00000000-0005-0000-0000-0000D90D0000}"/>
    <cellStyle name="Link Currency (0) 7" xfId="1847" xr:uid="{00000000-0005-0000-0000-0000DA0D0000}"/>
    <cellStyle name="Link Currency (0) 8" xfId="1849" xr:uid="{00000000-0005-0000-0000-0000DB0D0000}"/>
    <cellStyle name="Link Currency (0)_PI-international comps" xfId="3982" xr:uid="{00000000-0005-0000-0000-0000DC0D0000}"/>
    <cellStyle name="Link Currency (2)" xfId="3480" xr:uid="{00000000-0005-0000-0000-0000DD0D0000}"/>
    <cellStyle name="Link Currency (2) 2" xfId="1986" xr:uid="{00000000-0005-0000-0000-0000DE0D0000}"/>
    <cellStyle name="Link Currency (2) 3" xfId="1989" xr:uid="{00000000-0005-0000-0000-0000DF0D0000}"/>
    <cellStyle name="Link Currency (2) 4" xfId="3984" xr:uid="{00000000-0005-0000-0000-0000E00D0000}"/>
    <cellStyle name="Link Currency (2) 5" xfId="3986" xr:uid="{00000000-0005-0000-0000-0000E10D0000}"/>
    <cellStyle name="Link Currency (2) 6" xfId="3988" xr:uid="{00000000-0005-0000-0000-0000E20D0000}"/>
    <cellStyle name="Link Currency (2) 7" xfId="3989" xr:uid="{00000000-0005-0000-0000-0000E30D0000}"/>
    <cellStyle name="Link Currency (2) 8" xfId="3990" xr:uid="{00000000-0005-0000-0000-0000E40D0000}"/>
    <cellStyle name="Link Currency (2)_PI-international comps" xfId="2548" xr:uid="{00000000-0005-0000-0000-0000E50D0000}"/>
    <cellStyle name="Link Units (0)" xfId="3991" xr:uid="{00000000-0005-0000-0000-0000E60D0000}"/>
    <cellStyle name="Link Units (0) 2" xfId="440" xr:uid="{00000000-0005-0000-0000-0000E70D0000}"/>
    <cellStyle name="Link Units (0) 3" xfId="3161" xr:uid="{00000000-0005-0000-0000-0000E80D0000}"/>
    <cellStyle name="Link Units (0) 4" xfId="379" xr:uid="{00000000-0005-0000-0000-0000E90D0000}"/>
    <cellStyle name="Link Units (0) 5" xfId="3992" xr:uid="{00000000-0005-0000-0000-0000EA0D0000}"/>
    <cellStyle name="Link Units (0) 6" xfId="2969" xr:uid="{00000000-0005-0000-0000-0000EB0D0000}"/>
    <cellStyle name="Link Units (0) 7" xfId="3993" xr:uid="{00000000-0005-0000-0000-0000EC0D0000}"/>
    <cellStyle name="Link Units (0) 8" xfId="3994" xr:uid="{00000000-0005-0000-0000-0000ED0D0000}"/>
    <cellStyle name="Link Units (0)_PI-international comps" xfId="3995" xr:uid="{00000000-0005-0000-0000-0000EE0D0000}"/>
    <cellStyle name="Link Units (1)" xfId="3996" xr:uid="{00000000-0005-0000-0000-0000EF0D0000}"/>
    <cellStyle name="Link Units (1) 2" xfId="3997" xr:uid="{00000000-0005-0000-0000-0000F00D0000}"/>
    <cellStyle name="Link Units (1) 3" xfId="3998" xr:uid="{00000000-0005-0000-0000-0000F10D0000}"/>
    <cellStyle name="Link Units (1) 4" xfId="90" xr:uid="{00000000-0005-0000-0000-0000F20D0000}"/>
    <cellStyle name="Link Units (1) 5" xfId="3999" xr:uid="{00000000-0005-0000-0000-0000F30D0000}"/>
    <cellStyle name="Link Units (1) 6" xfId="3805" xr:uid="{00000000-0005-0000-0000-0000F40D0000}"/>
    <cellStyle name="Link Units (1) 7" xfId="4001" xr:uid="{00000000-0005-0000-0000-0000F50D0000}"/>
    <cellStyle name="Link Units (1) 8" xfId="847" xr:uid="{00000000-0005-0000-0000-0000F60D0000}"/>
    <cellStyle name="Link Units (1)_PI-international comps" xfId="965" xr:uid="{00000000-0005-0000-0000-0000F70D0000}"/>
    <cellStyle name="Link Units (2)" xfId="4002" xr:uid="{00000000-0005-0000-0000-0000F80D0000}"/>
    <cellStyle name="Link Units (2) 2" xfId="4003" xr:uid="{00000000-0005-0000-0000-0000F90D0000}"/>
    <cellStyle name="Link Units (2) 3" xfId="4004" xr:uid="{00000000-0005-0000-0000-0000FA0D0000}"/>
    <cellStyle name="Link Units (2) 4" xfId="4005" xr:uid="{00000000-0005-0000-0000-0000FB0D0000}"/>
    <cellStyle name="Link Units (2) 5" xfId="1045" xr:uid="{00000000-0005-0000-0000-0000FC0D0000}"/>
    <cellStyle name="Link Units (2) 6" xfId="1047" xr:uid="{00000000-0005-0000-0000-0000FD0D0000}"/>
    <cellStyle name="Link Units (2) 7" xfId="4006" xr:uid="{00000000-0005-0000-0000-0000FE0D0000}"/>
    <cellStyle name="Link Units (2) 8" xfId="4007" xr:uid="{00000000-0005-0000-0000-0000FF0D0000}"/>
    <cellStyle name="Link Units (2)_PI-international comps" xfId="4008" xr:uid="{00000000-0005-0000-0000-0000000E0000}"/>
    <cellStyle name="Link_1dp" xfId="2928" xr:uid="{00000000-0005-0000-0000-0000010E0000}"/>
    <cellStyle name="Linked" xfId="2592" xr:uid="{00000000-0005-0000-0000-0000020E0000}"/>
    <cellStyle name="Linked Cell 10" xfId="1120" xr:uid="{00000000-0005-0000-0000-0000030E0000}"/>
    <cellStyle name="Linked Cell 2" xfId="3934" xr:uid="{00000000-0005-0000-0000-0000040E0000}"/>
    <cellStyle name="Linked Cell 2 2" xfId="3034" xr:uid="{00000000-0005-0000-0000-0000050E0000}"/>
    <cellStyle name="Linked Cell 2_Completion Const%" xfId="4009" xr:uid="{00000000-0005-0000-0000-0000060E0000}"/>
    <cellStyle name="Linked Cell 3" xfId="389" xr:uid="{00000000-0005-0000-0000-0000070E0000}"/>
    <cellStyle name="Linked Cell 4" xfId="4010" xr:uid="{00000000-0005-0000-0000-0000080E0000}"/>
    <cellStyle name="Linked Cell 5" xfId="530" xr:uid="{00000000-0005-0000-0000-0000090E0000}"/>
    <cellStyle name="Linked Cell 6" xfId="3432" xr:uid="{00000000-0005-0000-0000-00000A0E0000}"/>
    <cellStyle name="Linked Cell 7" xfId="3434" xr:uid="{00000000-0005-0000-0000-00000B0E0000}"/>
    <cellStyle name="Linked Cell 8" xfId="3436" xr:uid="{00000000-0005-0000-0000-00000C0E0000}"/>
    <cellStyle name="Linked Cell 9" xfId="3438" xr:uid="{00000000-0005-0000-0000-00000D0E0000}"/>
    <cellStyle name="LinkedCell" xfId="4011" xr:uid="{00000000-0005-0000-0000-00000E0E0000}"/>
    <cellStyle name="LinkedCell 2" xfId="2933" xr:uid="{00000000-0005-0000-0000-00000F0E0000}"/>
    <cellStyle name="LinkedCellHours" xfId="2116" xr:uid="{00000000-0005-0000-0000-0000100E0000}"/>
    <cellStyle name="LinkedCellHours 2" xfId="4012" xr:uid="{00000000-0005-0000-0000-0000110E0000}"/>
    <cellStyle name="LookUpText" xfId="4013" xr:uid="{00000000-0005-0000-0000-0000120E0000}"/>
    <cellStyle name="LookUpText 2" xfId="691" xr:uid="{00000000-0005-0000-0000-0000130E0000}"/>
    <cellStyle name="LookUpText 3" xfId="4014" xr:uid="{00000000-0005-0000-0000-0000140E0000}"/>
    <cellStyle name="LookUpText 4" xfId="532" xr:uid="{00000000-0005-0000-0000-0000150E0000}"/>
    <cellStyle name="LookUpText 5" xfId="2586" xr:uid="{00000000-0005-0000-0000-0000160E0000}"/>
    <cellStyle name="LookUpText 6" xfId="4015" xr:uid="{00000000-0005-0000-0000-0000170E0000}"/>
    <cellStyle name="LookUpText 7" xfId="318" xr:uid="{00000000-0005-0000-0000-0000180E0000}"/>
    <cellStyle name="LTM Cell Column Heading" xfId="4016" xr:uid="{00000000-0005-0000-0000-0000190E0000}"/>
    <cellStyle name="m/d/yy" xfId="4017" xr:uid="{00000000-0005-0000-0000-00001A0E0000}"/>
    <cellStyle name="m/d/yy 2" xfId="1990" xr:uid="{00000000-0005-0000-0000-00001B0E0000}"/>
    <cellStyle name="m/d/yy 2 2" xfId="4018" xr:uid="{00000000-0005-0000-0000-00001C0E0000}"/>
    <cellStyle name="m/d/yy 3" xfId="3985" xr:uid="{00000000-0005-0000-0000-00001D0E0000}"/>
    <cellStyle name="Macro" xfId="4019" xr:uid="{00000000-0005-0000-0000-00001E0E0000}"/>
    <cellStyle name="Mainhead" xfId="3344" xr:uid="{00000000-0005-0000-0000-00001F0E0000}"/>
    <cellStyle name="Major Total" xfId="4020" xr:uid="{00000000-0005-0000-0000-0000200E0000}"/>
    <cellStyle name="Merknad" xfId="2466" xr:uid="{00000000-0005-0000-0000-0000210E0000}"/>
    <cellStyle name="Merknad 10" xfId="4021" xr:uid="{00000000-0005-0000-0000-0000220E0000}"/>
    <cellStyle name="Merknad 11" xfId="4022" xr:uid="{00000000-0005-0000-0000-0000230E0000}"/>
    <cellStyle name="Merknad 12" xfId="4023" xr:uid="{00000000-0005-0000-0000-0000240E0000}"/>
    <cellStyle name="Merknad 13" xfId="4024" xr:uid="{00000000-0005-0000-0000-0000250E0000}"/>
    <cellStyle name="Merknad 2" xfId="2469" xr:uid="{00000000-0005-0000-0000-0000260E0000}"/>
    <cellStyle name="Merknad 3" xfId="3983" xr:uid="{00000000-0005-0000-0000-0000270E0000}"/>
    <cellStyle name="Merknad 4" xfId="4026" xr:uid="{00000000-0005-0000-0000-0000280E0000}"/>
    <cellStyle name="Merknad 5" xfId="1136" xr:uid="{00000000-0005-0000-0000-0000290E0000}"/>
    <cellStyle name="Merknad 6" xfId="1327" xr:uid="{00000000-0005-0000-0000-00002A0E0000}"/>
    <cellStyle name="Merknad 7" xfId="1330" xr:uid="{00000000-0005-0000-0000-00002B0E0000}"/>
    <cellStyle name="Merknad 8" xfId="528" xr:uid="{00000000-0005-0000-0000-00002C0E0000}"/>
    <cellStyle name="Merknad 9" xfId="1333" xr:uid="{00000000-0005-0000-0000-00002D0E0000}"/>
    <cellStyle name="Migliaia (0)_1_MACRO" xfId="4028" xr:uid="{00000000-0005-0000-0000-00002E0E0000}"/>
    <cellStyle name="Millares [0] 2" xfId="2032" xr:uid="{00000000-0005-0000-0000-00002F0E0000}"/>
    <cellStyle name="Millares [0] 3" xfId="2034" xr:uid="{00000000-0005-0000-0000-0000300E0000}"/>
    <cellStyle name="Millares [0]_laroux" xfId="3153" xr:uid="{00000000-0005-0000-0000-0000310E0000}"/>
    <cellStyle name="Millares 2" xfId="1856" xr:uid="{00000000-0005-0000-0000-0000320E0000}"/>
    <cellStyle name="Millares 3" xfId="1593" xr:uid="{00000000-0005-0000-0000-0000330E0000}"/>
    <cellStyle name="Millares 4" xfId="1863" xr:uid="{00000000-0005-0000-0000-0000340E0000}"/>
    <cellStyle name="Millares 5" xfId="1866" xr:uid="{00000000-0005-0000-0000-0000350E0000}"/>
    <cellStyle name="Millares 5 2" xfId="2764" xr:uid="{00000000-0005-0000-0000-0000360E0000}"/>
    <cellStyle name="Millares_laroux" xfId="2056" xr:uid="{00000000-0005-0000-0000-0000370E0000}"/>
    <cellStyle name="Milliers [0]_!!!GO" xfId="2656" xr:uid="{00000000-0005-0000-0000-0000380E0000}"/>
    <cellStyle name="Milliers_!!!GO" xfId="4029" xr:uid="{00000000-0005-0000-0000-0000390E0000}"/>
    <cellStyle name="MLComma0" xfId="2247" xr:uid="{00000000-0005-0000-0000-00003A0E0000}"/>
    <cellStyle name="MLPercent0" xfId="4030" xr:uid="{00000000-0005-0000-0000-00003B0E0000}"/>
    <cellStyle name="Model" xfId="4031" xr:uid="{00000000-0005-0000-0000-00003C0E0000}"/>
    <cellStyle name="Moeda [0]_aola" xfId="1316" xr:uid="{00000000-0005-0000-0000-00003D0E0000}"/>
    <cellStyle name="Moeda_aola" xfId="4033" xr:uid="{00000000-0005-0000-0000-00003E0E0000}"/>
    <cellStyle name="Mon¡§?taire [0]_Assumptions" xfId="1362" xr:uid="{00000000-0005-0000-0000-00003F0E0000}"/>
    <cellStyle name="Mon¡§?taire_Assumptions" xfId="4034" xr:uid="{00000000-0005-0000-0000-0000400E0000}"/>
    <cellStyle name="Mon¨¦taire [0]_Assumptions" xfId="4035" xr:uid="{00000000-0005-0000-0000-0000410E0000}"/>
    <cellStyle name="Mon¨¦taire_Assumptions" xfId="4037" xr:uid="{00000000-0005-0000-0000-0000420E0000}"/>
    <cellStyle name="Moneda [0]_laroux" xfId="4038" xr:uid="{00000000-0005-0000-0000-0000430E0000}"/>
    <cellStyle name="Moneda 2" xfId="2780" xr:uid="{00000000-0005-0000-0000-0000440E0000}"/>
    <cellStyle name="Moneda 3" xfId="2796" xr:uid="{00000000-0005-0000-0000-0000450E0000}"/>
    <cellStyle name="Moneda 3 2" xfId="2806" xr:uid="{00000000-0005-0000-0000-0000460E0000}"/>
    <cellStyle name="Moneda 4" xfId="1644" xr:uid="{00000000-0005-0000-0000-0000470E0000}"/>
    <cellStyle name="Moneda 5" xfId="689" xr:uid="{00000000-0005-0000-0000-0000480E0000}"/>
    <cellStyle name="Moneda_laroux" xfId="1468" xr:uid="{00000000-0005-0000-0000-0000490E0000}"/>
    <cellStyle name="Monétaire [0]_!!!GO" xfId="4039" xr:uid="{00000000-0005-0000-0000-00004A0E0000}"/>
    <cellStyle name="Monétaire_!!!GO" xfId="3264" xr:uid="{00000000-0005-0000-0000-00004B0E0000}"/>
    <cellStyle name="Month" xfId="2112" xr:uid="{00000000-0005-0000-0000-00004C0E0000}"/>
    <cellStyle name="MONTH HEAD" xfId="4040" xr:uid="{00000000-0005-0000-0000-00004D0E0000}"/>
    <cellStyle name="MONTH HEAD 2" xfId="208" xr:uid="{00000000-0005-0000-0000-00004E0E0000}"/>
    <cellStyle name="MONTH HEAD 3" xfId="1375" xr:uid="{00000000-0005-0000-0000-00004F0E0000}"/>
    <cellStyle name="MONTH HEAD 4" xfId="2083" xr:uid="{00000000-0005-0000-0000-0000500E0000}"/>
    <cellStyle name="MONTH HEAD 5" xfId="865" xr:uid="{00000000-0005-0000-0000-0000510E0000}"/>
    <cellStyle name="MONTH HEAD 6" xfId="1078" xr:uid="{00000000-0005-0000-0000-0000520E0000}"/>
    <cellStyle name="Month_Corp model 20080402 (2007 actual first-cut) 2008-04-11a" xfId="4025" xr:uid="{00000000-0005-0000-0000-0000530E0000}"/>
    <cellStyle name="MonthYears" xfId="852" xr:uid="{00000000-0005-0000-0000-0000540E0000}"/>
    <cellStyle name="Multiple" xfId="1645" xr:uid="{00000000-0005-0000-0000-0000550E0000}"/>
    <cellStyle name="Multiple [0]" xfId="2078" xr:uid="{00000000-0005-0000-0000-0000560E0000}"/>
    <cellStyle name="Multiple 2" xfId="1650" xr:uid="{00000000-0005-0000-0000-0000570E0000}"/>
    <cellStyle name="Multiple 3" xfId="1655" xr:uid="{00000000-0005-0000-0000-0000580E0000}"/>
    <cellStyle name="Multiple 4" xfId="1658" xr:uid="{00000000-0005-0000-0000-0000590E0000}"/>
    <cellStyle name="Multiple 5" xfId="2073" xr:uid="{00000000-0005-0000-0000-00005A0E0000}"/>
    <cellStyle name="Multiple 6" xfId="4042" xr:uid="{00000000-0005-0000-0000-00005B0E0000}"/>
    <cellStyle name="Multiple 7" xfId="4043" xr:uid="{00000000-0005-0000-0000-00005C0E0000}"/>
    <cellStyle name="Multiple 8" xfId="4044" xr:uid="{00000000-0005-0000-0000-00005D0E0000}"/>
    <cellStyle name="Multiple Cell Column Heading" xfId="3195" xr:uid="{00000000-0005-0000-0000-00005E0E0000}"/>
    <cellStyle name="Multiple_BIL 190210_1519" xfId="3204" xr:uid="{00000000-0005-0000-0000-00005F0E0000}"/>
    <cellStyle name="NA is zero" xfId="3509" xr:uid="{00000000-0005-0000-0000-0000600E0000}"/>
    <cellStyle name="Names" xfId="4045" xr:uid="{00000000-0005-0000-0000-0000610E0000}"/>
    <cellStyle name="Neutral 2" xfId="4046" xr:uid="{00000000-0005-0000-0000-0000620E0000}"/>
    <cellStyle name="Neutral 2 2" xfId="2804" xr:uid="{00000000-0005-0000-0000-0000630E0000}"/>
    <cellStyle name="Neutral 3" xfId="2948" xr:uid="{00000000-0005-0000-0000-0000640E0000}"/>
    <cellStyle name="Neutral 4" xfId="2952" xr:uid="{00000000-0005-0000-0000-0000650E0000}"/>
    <cellStyle name="Neutral 5" xfId="2954" xr:uid="{00000000-0005-0000-0000-0000660E0000}"/>
    <cellStyle name="Neutral 6" xfId="2956" xr:uid="{00000000-0005-0000-0000-0000670E0000}"/>
    <cellStyle name="Neutral 7" xfId="2958" xr:uid="{00000000-0005-0000-0000-0000680E0000}"/>
    <cellStyle name="Neutral 8" xfId="2963" xr:uid="{00000000-0005-0000-0000-0000690E0000}"/>
    <cellStyle name="Neutral 9" xfId="586" xr:uid="{00000000-0005-0000-0000-00006A0E0000}"/>
    <cellStyle name="NEW" xfId="4048" xr:uid="{00000000-0005-0000-0000-00006B0E0000}"/>
    <cellStyle name="NEW 2" xfId="4050" xr:uid="{00000000-0005-0000-0000-00006C0E0000}"/>
    <cellStyle name="no dec" xfId="572" xr:uid="{00000000-0005-0000-0000-00006D0E0000}"/>
    <cellStyle name="no dec 2" xfId="4051" xr:uid="{00000000-0005-0000-0000-00006E0E0000}"/>
    <cellStyle name="Non défini" xfId="4052" xr:uid="{00000000-0005-0000-0000-00006F0E0000}"/>
    <cellStyle name="Non_definito" xfId="3853" xr:uid="{00000000-0005-0000-0000-0000700E0000}"/>
    <cellStyle name="Nor}al" xfId="1971" xr:uid="{00000000-0005-0000-0000-0000710E0000}"/>
    <cellStyle name="Nor}al 2" xfId="3876" xr:uid="{00000000-0005-0000-0000-0000720E0000}"/>
    <cellStyle name="Nor}al_2233 Financials" xfId="2225" xr:uid="{00000000-0005-0000-0000-0000730E0000}"/>
    <cellStyle name="Normal" xfId="0" builtinId="0"/>
    <cellStyle name="Normal--" xfId="2735" xr:uid="{00000000-0005-0000-0000-0000750E0000}"/>
    <cellStyle name="Normal - Style1" xfId="139" xr:uid="{00000000-0005-0000-0000-0000760E0000}"/>
    <cellStyle name="Normal [0]" xfId="6" xr:uid="{00000000-0005-0000-0000-0000770E0000}"/>
    <cellStyle name="Normal [1]" xfId="4053" xr:uid="{00000000-0005-0000-0000-0000780E0000}"/>
    <cellStyle name="Normal [1] 2" xfId="4054" xr:uid="{00000000-0005-0000-0000-0000790E0000}"/>
    <cellStyle name="Normal [1] 3" xfId="4055" xr:uid="{00000000-0005-0000-0000-00007A0E0000}"/>
    <cellStyle name="Normal [1] 4" xfId="4049" xr:uid="{00000000-0005-0000-0000-00007B0E0000}"/>
    <cellStyle name="Normal [1] 5" xfId="2485" xr:uid="{00000000-0005-0000-0000-00007C0E0000}"/>
    <cellStyle name="Normal [1] 6" xfId="4056" xr:uid="{00000000-0005-0000-0000-00007D0E0000}"/>
    <cellStyle name="Normal [1] 7" xfId="3518" xr:uid="{00000000-0005-0000-0000-00007E0E0000}"/>
    <cellStyle name="Normal [2]" xfId="4057" xr:uid="{00000000-0005-0000-0000-00007F0E0000}"/>
    <cellStyle name="Normal [3]" xfId="4058" xr:uid="{00000000-0005-0000-0000-0000800E0000}"/>
    <cellStyle name="Normal 10" xfId="4059" xr:uid="{00000000-0005-0000-0000-0000810E0000}"/>
    <cellStyle name="Normal 10 2" xfId="2295" xr:uid="{00000000-0005-0000-0000-0000820E0000}"/>
    <cellStyle name="Normal 10 3" xfId="4060" xr:uid="{00000000-0005-0000-0000-0000830E0000}"/>
    <cellStyle name="Normal 10 4" xfId="1703" xr:uid="{00000000-0005-0000-0000-0000840E0000}"/>
    <cellStyle name="Normal 11" xfId="4061" xr:uid="{00000000-0005-0000-0000-0000850E0000}"/>
    <cellStyle name="Normal 12" xfId="790" xr:uid="{00000000-0005-0000-0000-0000860E0000}"/>
    <cellStyle name="Normal 13" xfId="4062" xr:uid="{00000000-0005-0000-0000-0000870E0000}"/>
    <cellStyle name="Normal 14" xfId="4063" xr:uid="{00000000-0005-0000-0000-0000880E0000}"/>
    <cellStyle name="Normal 15" xfId="4065" xr:uid="{00000000-0005-0000-0000-0000890E0000}"/>
    <cellStyle name="Normal 16" xfId="203" xr:uid="{00000000-0005-0000-0000-00008A0E0000}"/>
    <cellStyle name="Normal 17" xfId="3588" xr:uid="{00000000-0005-0000-0000-00008B0E0000}"/>
    <cellStyle name="Normal 18" xfId="4067" xr:uid="{00000000-0005-0000-0000-00008C0E0000}"/>
    <cellStyle name="Normal 18 2" xfId="4069" xr:uid="{00000000-0005-0000-0000-00008D0E0000}"/>
    <cellStyle name="Normal 19" xfId="710" xr:uid="{00000000-0005-0000-0000-00008E0E0000}"/>
    <cellStyle name="Normal 19 2" xfId="4071" xr:uid="{00000000-0005-0000-0000-00008F0E0000}"/>
    <cellStyle name="Normal 19 2 2" xfId="3939" xr:uid="{00000000-0005-0000-0000-0000900E0000}"/>
    <cellStyle name="Normal 19 2 2 2" xfId="4072" xr:uid="{00000000-0005-0000-0000-0000910E0000}"/>
    <cellStyle name="Normal 19 2 3" xfId="3941" xr:uid="{00000000-0005-0000-0000-0000920E0000}"/>
    <cellStyle name="Normal 19 3" xfId="1670" xr:uid="{00000000-0005-0000-0000-0000930E0000}"/>
    <cellStyle name="Normal 19 4" xfId="4073" xr:uid="{00000000-0005-0000-0000-0000940E0000}"/>
    <cellStyle name="Normal 19 5" xfId="2898" xr:uid="{00000000-0005-0000-0000-0000950E0000}"/>
    <cellStyle name="Normal 2" xfId="1633" xr:uid="{00000000-0005-0000-0000-0000960E0000}"/>
    <cellStyle name="Normal 2 10" xfId="4074" xr:uid="{00000000-0005-0000-0000-0000970E0000}"/>
    <cellStyle name="Normal 2 18" xfId="4075" xr:uid="{00000000-0005-0000-0000-0000980E0000}"/>
    <cellStyle name="Normal 2 2" xfId="4076" xr:uid="{00000000-0005-0000-0000-0000990E0000}"/>
    <cellStyle name="Normal 2 2 2" xfId="2292" xr:uid="{00000000-0005-0000-0000-00009A0E0000}"/>
    <cellStyle name="Normal 2 2 2 2" xfId="4077" xr:uid="{00000000-0005-0000-0000-00009B0E0000}"/>
    <cellStyle name="Normal 2 2 2 8" xfId="5337" xr:uid="{00000000-0005-0000-0000-00009C0E0000}"/>
    <cellStyle name="Normal 2 2 3" xfId="223" xr:uid="{00000000-0005-0000-0000-00009D0E0000}"/>
    <cellStyle name="Normal 2 2 4" xfId="4080" xr:uid="{00000000-0005-0000-0000-00009E0E0000}"/>
    <cellStyle name="Normal 2 2_Castle 010510 1121" xfId="1526" xr:uid="{00000000-0005-0000-0000-00009F0E0000}"/>
    <cellStyle name="Normal 2 3" xfId="4081" xr:uid="{00000000-0005-0000-0000-0000A00E0000}"/>
    <cellStyle name="Normal 2 3 2" xfId="1425" xr:uid="{00000000-0005-0000-0000-0000A10E0000}"/>
    <cellStyle name="Normal 2 3_Elsamex Analysis" xfId="4082" xr:uid="{00000000-0005-0000-0000-0000A20E0000}"/>
    <cellStyle name="Normal 2 4" xfId="4083" xr:uid="{00000000-0005-0000-0000-0000A30E0000}"/>
    <cellStyle name="Normal 2 5" xfId="1672" xr:uid="{00000000-0005-0000-0000-0000A40E0000}"/>
    <cellStyle name="Normal 2 6" xfId="4084" xr:uid="{00000000-0005-0000-0000-0000A50E0000}"/>
    <cellStyle name="Normal 2 6 2" xfId="1409" xr:uid="{00000000-0005-0000-0000-0000A60E0000}"/>
    <cellStyle name="Normal 2 7" xfId="4085" xr:uid="{00000000-0005-0000-0000-0000A70E0000}"/>
    <cellStyle name="Normal 2 8" xfId="4086" xr:uid="{00000000-0005-0000-0000-0000A80E0000}"/>
    <cellStyle name="Normal 2 9" xfId="1589" xr:uid="{00000000-0005-0000-0000-0000A90E0000}"/>
    <cellStyle name="Normal 2_211109_ 1840" xfId="4087" xr:uid="{00000000-0005-0000-0000-0000AA0E0000}"/>
    <cellStyle name="Normal 20" xfId="4064" xr:uid="{00000000-0005-0000-0000-0000AB0E0000}"/>
    <cellStyle name="Normal 20 2" xfId="4088" xr:uid="{00000000-0005-0000-0000-0000AC0E0000}"/>
    <cellStyle name="Normal 20 2 2" xfId="4089" xr:uid="{00000000-0005-0000-0000-0000AD0E0000}"/>
    <cellStyle name="Normal 20 2 2 2" xfId="2546" xr:uid="{00000000-0005-0000-0000-0000AE0E0000}"/>
    <cellStyle name="Normal 21" xfId="202" xr:uid="{00000000-0005-0000-0000-0000AF0E0000}"/>
    <cellStyle name="Normal 21 2" xfId="4090" xr:uid="{00000000-0005-0000-0000-0000B00E0000}"/>
    <cellStyle name="Normal 22" xfId="3589" xr:uid="{00000000-0005-0000-0000-0000B10E0000}"/>
    <cellStyle name="Normal 23" xfId="4066" xr:uid="{00000000-0005-0000-0000-0000B20E0000}"/>
    <cellStyle name="Normal 23 2" xfId="4068" xr:uid="{00000000-0005-0000-0000-0000B30E0000}"/>
    <cellStyle name="Normal 24" xfId="711" xr:uid="{00000000-0005-0000-0000-0000B40E0000}"/>
    <cellStyle name="Normal 24 2" xfId="4070" xr:uid="{00000000-0005-0000-0000-0000B50E0000}"/>
    <cellStyle name="Normal 25" xfId="4092" xr:uid="{00000000-0005-0000-0000-0000B60E0000}"/>
    <cellStyle name="Normal 26" xfId="4094" xr:uid="{00000000-0005-0000-0000-0000B70E0000}"/>
    <cellStyle name="Normal 27" xfId="802" xr:uid="{00000000-0005-0000-0000-0000B80E0000}"/>
    <cellStyle name="Normal 28" xfId="4096" xr:uid="{00000000-0005-0000-0000-0000B90E0000}"/>
    <cellStyle name="Normal 28 2" xfId="4097" xr:uid="{00000000-0005-0000-0000-0000BA0E0000}"/>
    <cellStyle name="Normal 29" xfId="4099" xr:uid="{00000000-0005-0000-0000-0000BB0E0000}"/>
    <cellStyle name="Normal 29 2" xfId="4100" xr:uid="{00000000-0005-0000-0000-0000BC0E0000}"/>
    <cellStyle name="Normal 3" xfId="1635" xr:uid="{00000000-0005-0000-0000-0000BD0E0000}"/>
    <cellStyle name="Normal 3 10" xfId="56" xr:uid="{00000000-0005-0000-0000-0000BE0E0000}"/>
    <cellStyle name="Normal 3 10 2" xfId="3510" xr:uid="{00000000-0005-0000-0000-0000BF0E0000}"/>
    <cellStyle name="Normal 3 11" xfId="5333" xr:uid="{00000000-0005-0000-0000-0000C00E0000}"/>
    <cellStyle name="Normal 3 2" xfId="3235" xr:uid="{00000000-0005-0000-0000-0000C10E0000}"/>
    <cellStyle name="Normal 3 2 2" xfId="4101" xr:uid="{00000000-0005-0000-0000-0000C20E0000}"/>
    <cellStyle name="Normal 3 2 2 2" xfId="1537" xr:uid="{00000000-0005-0000-0000-0000C30E0000}"/>
    <cellStyle name="Normal 3 2 2_P&amp;L(1)" xfId="3327" xr:uid="{00000000-0005-0000-0000-0000C40E0000}"/>
    <cellStyle name="Normal 3 2_P&amp;L(1)" xfId="1805" xr:uid="{00000000-0005-0000-0000-0000C50E0000}"/>
    <cellStyle name="Normal 3 3" xfId="3237" xr:uid="{00000000-0005-0000-0000-0000C60E0000}"/>
    <cellStyle name="Normal 3 3 2" xfId="3057" xr:uid="{00000000-0005-0000-0000-0000C70E0000}"/>
    <cellStyle name="Normal 3 3 2 2" xfId="800" xr:uid="{00000000-0005-0000-0000-0000C80E0000}"/>
    <cellStyle name="Normal 3 3 2 2 2" xfId="4102" xr:uid="{00000000-0005-0000-0000-0000C90E0000}"/>
    <cellStyle name="Normal 3 3 2 3" xfId="4103" xr:uid="{00000000-0005-0000-0000-0000CA0E0000}"/>
    <cellStyle name="Normal 3 4" xfId="3239" xr:uid="{00000000-0005-0000-0000-0000CB0E0000}"/>
    <cellStyle name="Normal 3 5" xfId="3241" xr:uid="{00000000-0005-0000-0000-0000CC0E0000}"/>
    <cellStyle name="Normal 3 6" xfId="4104" xr:uid="{00000000-0005-0000-0000-0000CD0E0000}"/>
    <cellStyle name="Normal 3 7" xfId="1438" xr:uid="{00000000-0005-0000-0000-0000CE0E0000}"/>
    <cellStyle name="Normal 3 8" xfId="544" xr:uid="{00000000-0005-0000-0000-0000CF0E0000}"/>
    <cellStyle name="Normal 3 9" xfId="4105" xr:uid="{00000000-0005-0000-0000-0000D00E0000}"/>
    <cellStyle name="Normal 3_12 Dec 2012 Yuhe Financials Year 2012 Audit" xfId="4106" xr:uid="{00000000-0005-0000-0000-0000D10E0000}"/>
    <cellStyle name="Normal 30" xfId="4091" xr:uid="{00000000-0005-0000-0000-0000D20E0000}"/>
    <cellStyle name="Normal 31" xfId="4093" xr:uid="{00000000-0005-0000-0000-0000D30E0000}"/>
    <cellStyle name="Normal 32" xfId="803" xr:uid="{00000000-0005-0000-0000-0000D40E0000}"/>
    <cellStyle name="Normal 33" xfId="4095" xr:uid="{00000000-0005-0000-0000-0000D50E0000}"/>
    <cellStyle name="Normal 34" xfId="4098" xr:uid="{00000000-0005-0000-0000-0000D60E0000}"/>
    <cellStyle name="Normal 35" xfId="4108" xr:uid="{00000000-0005-0000-0000-0000D70E0000}"/>
    <cellStyle name="Normal 36" xfId="4110" xr:uid="{00000000-0005-0000-0000-0000D80E0000}"/>
    <cellStyle name="Normal 37" xfId="4112" xr:uid="{00000000-0005-0000-0000-0000D90E0000}"/>
    <cellStyle name="Normal 38" xfId="722" xr:uid="{00000000-0005-0000-0000-0000DA0E0000}"/>
    <cellStyle name="Normal 39" xfId="4114" xr:uid="{00000000-0005-0000-0000-0000DB0E0000}"/>
    <cellStyle name="Normal 4" xfId="1637" xr:uid="{00000000-0005-0000-0000-0000DC0E0000}"/>
    <cellStyle name="Normal 4 2" xfId="2510" xr:uid="{00000000-0005-0000-0000-0000DD0E0000}"/>
    <cellStyle name="Normal 4 2 2" xfId="2528" xr:uid="{00000000-0005-0000-0000-0000DE0E0000}"/>
    <cellStyle name="Normal 4 2 2 2" xfId="2420" xr:uid="{00000000-0005-0000-0000-0000DF0E0000}"/>
    <cellStyle name="Normal 4 2 2 2 2" xfId="1983" xr:uid="{00000000-0005-0000-0000-0000E00E0000}"/>
    <cellStyle name="Normal 4 3" xfId="4115" xr:uid="{00000000-0005-0000-0000-0000E10E0000}"/>
    <cellStyle name="Normal 4 4" xfId="4116" xr:uid="{00000000-0005-0000-0000-0000E20E0000}"/>
    <cellStyle name="Normal 4 5" xfId="2664" xr:uid="{00000000-0005-0000-0000-0000E30E0000}"/>
    <cellStyle name="Normal 4_12 Dec 2012 Yuhe Financials Year 2012 Audit" xfId="1457" xr:uid="{00000000-0005-0000-0000-0000E40E0000}"/>
    <cellStyle name="Normal 40" xfId="4107" xr:uid="{00000000-0005-0000-0000-0000E50E0000}"/>
    <cellStyle name="Normal 41" xfId="4109" xr:uid="{00000000-0005-0000-0000-0000E60E0000}"/>
    <cellStyle name="Normal 42" xfId="4111" xr:uid="{00000000-0005-0000-0000-0000E70E0000}"/>
    <cellStyle name="Normal 43" xfId="723" xr:uid="{00000000-0005-0000-0000-0000E80E0000}"/>
    <cellStyle name="Normal 44" xfId="4113" xr:uid="{00000000-0005-0000-0000-0000E90E0000}"/>
    <cellStyle name="Normal 45" xfId="1289" xr:uid="{00000000-0005-0000-0000-0000EA0E0000}"/>
    <cellStyle name="Normal 46" xfId="1293" xr:uid="{00000000-0005-0000-0000-0000EB0E0000}"/>
    <cellStyle name="Normal 47" xfId="1296" xr:uid="{00000000-0005-0000-0000-0000EC0E0000}"/>
    <cellStyle name="Normal 47 2" xfId="5332" xr:uid="{00000000-0005-0000-0000-0000ED0E0000}"/>
    <cellStyle name="Normal 48" xfId="1299" xr:uid="{00000000-0005-0000-0000-0000EE0E0000}"/>
    <cellStyle name="Normal 49" xfId="1302" xr:uid="{00000000-0005-0000-0000-0000EF0E0000}"/>
    <cellStyle name="Normal 5" xfId="1639" xr:uid="{00000000-0005-0000-0000-0000F00E0000}"/>
    <cellStyle name="Normal 5 2" xfId="3914" xr:uid="{00000000-0005-0000-0000-0000F10E0000}"/>
    <cellStyle name="Normal 5 3" xfId="3921" xr:uid="{00000000-0005-0000-0000-0000F20E0000}"/>
    <cellStyle name="Normal 5 4" xfId="4117" xr:uid="{00000000-0005-0000-0000-0000F30E0000}"/>
    <cellStyle name="Normal 5 5" xfId="4118" xr:uid="{00000000-0005-0000-0000-0000F40E0000}"/>
    <cellStyle name="Normal 5_12 Dec 2012 Yuhe Financials Year 2012 Audit" xfId="4047" xr:uid="{00000000-0005-0000-0000-0000F50E0000}"/>
    <cellStyle name="Normal 50" xfId="1290" xr:uid="{00000000-0005-0000-0000-0000F60E0000}"/>
    <cellStyle name="Normal 51" xfId="1294" xr:uid="{00000000-0005-0000-0000-0000F70E0000}"/>
    <cellStyle name="Normal 52" xfId="1297" xr:uid="{00000000-0005-0000-0000-0000F80E0000}"/>
    <cellStyle name="Normal 53" xfId="1300" xr:uid="{00000000-0005-0000-0000-0000F90E0000}"/>
    <cellStyle name="Normal 54" xfId="1303" xr:uid="{00000000-0005-0000-0000-0000FA0E0000}"/>
    <cellStyle name="Normal 55" xfId="1305" xr:uid="{00000000-0005-0000-0000-0000FB0E0000}"/>
    <cellStyle name="Normal 56" xfId="1308" xr:uid="{00000000-0005-0000-0000-0000FC0E0000}"/>
    <cellStyle name="Normal 57" xfId="69" xr:uid="{00000000-0005-0000-0000-0000FD0E0000}"/>
    <cellStyle name="Normal 58" xfId="3088" xr:uid="{00000000-0005-0000-0000-0000FE0E0000}"/>
    <cellStyle name="Normal 59" xfId="1451" xr:uid="{00000000-0005-0000-0000-0000FF0E0000}"/>
    <cellStyle name="Normal 6" xfId="4119" xr:uid="{00000000-0005-0000-0000-0000000F0000}"/>
    <cellStyle name="Normal 6 2" xfId="3335" xr:uid="{00000000-0005-0000-0000-0000010F0000}"/>
    <cellStyle name="Normal 6 2 2" xfId="3841" xr:uid="{00000000-0005-0000-0000-0000020F0000}"/>
    <cellStyle name="Normal 6 2 2 2" xfId="3183" xr:uid="{00000000-0005-0000-0000-0000030F0000}"/>
    <cellStyle name="Normal 6 3" xfId="4120" xr:uid="{00000000-0005-0000-0000-0000040F0000}"/>
    <cellStyle name="Normal 6_12 Dec 2012 Yuhe Financials Year 2012 Audit" xfId="4121" xr:uid="{00000000-0005-0000-0000-0000050F0000}"/>
    <cellStyle name="Normal 60" xfId="1306" xr:uid="{00000000-0005-0000-0000-0000060F0000}"/>
    <cellStyle name="Normal 61" xfId="1309" xr:uid="{00000000-0005-0000-0000-0000070F0000}"/>
    <cellStyle name="Normal 62" xfId="68" xr:uid="{00000000-0005-0000-0000-0000080F0000}"/>
    <cellStyle name="Normal 63" xfId="3089" xr:uid="{00000000-0005-0000-0000-0000090F0000}"/>
    <cellStyle name="Normal 64" xfId="1452" xr:uid="{00000000-0005-0000-0000-00000A0F0000}"/>
    <cellStyle name="Normal 65" xfId="3091" xr:uid="{00000000-0005-0000-0000-00000B0F0000}"/>
    <cellStyle name="Normal 66" xfId="3094" xr:uid="{00000000-0005-0000-0000-00000C0F0000}"/>
    <cellStyle name="Normal 67" xfId="1615" xr:uid="{00000000-0005-0000-0000-00000D0F0000}"/>
    <cellStyle name="Normal 68" xfId="4123" xr:uid="{00000000-0005-0000-0000-00000E0F0000}"/>
    <cellStyle name="Normal 69" xfId="4125" xr:uid="{00000000-0005-0000-0000-00000F0F0000}"/>
    <cellStyle name="Normal 7" xfId="4126" xr:uid="{00000000-0005-0000-0000-0000100F0000}"/>
    <cellStyle name="Normal 7 2" xfId="31" xr:uid="{00000000-0005-0000-0000-0000110F0000}"/>
    <cellStyle name="Normal 70" xfId="3092" xr:uid="{00000000-0005-0000-0000-0000120F0000}"/>
    <cellStyle name="Normal 71" xfId="3095" xr:uid="{00000000-0005-0000-0000-0000130F0000}"/>
    <cellStyle name="Normal 72" xfId="1616" xr:uid="{00000000-0005-0000-0000-0000140F0000}"/>
    <cellStyle name="Normal 73" xfId="4122" xr:uid="{00000000-0005-0000-0000-0000150F0000}"/>
    <cellStyle name="Normal 74" xfId="4124" xr:uid="{00000000-0005-0000-0000-0000160F0000}"/>
    <cellStyle name="Normal 8" xfId="4127" xr:uid="{00000000-0005-0000-0000-0000170F0000}"/>
    <cellStyle name="Normal 9" xfId="4128" xr:uid="{00000000-0005-0000-0000-0000180F0000}"/>
    <cellStyle name="Normal Bold" xfId="4027" xr:uid="{00000000-0005-0000-0000-0000190F0000}"/>
    <cellStyle name="Normal Cells" xfId="2787" xr:uid="{00000000-0005-0000-0000-00001A0F0000}"/>
    <cellStyle name="Normal Cells 2" xfId="1759" xr:uid="{00000000-0005-0000-0000-00001B0F0000}"/>
    <cellStyle name="Normal- Enter (1)" xfId="4129" xr:uid="{00000000-0005-0000-0000-00001C0F0000}"/>
    <cellStyle name="Normal- Enter (1) 2" xfId="4130" xr:uid="{00000000-0005-0000-0000-00001D0F0000}"/>
    <cellStyle name="Normal- Enter (1) 3" xfId="2714" xr:uid="{00000000-0005-0000-0000-00001E0F0000}"/>
    <cellStyle name="Normal- Enter (1) 4" xfId="668" xr:uid="{00000000-0005-0000-0000-00001F0F0000}"/>
    <cellStyle name="Normal- Enter (1) 5" xfId="2716" xr:uid="{00000000-0005-0000-0000-0000200F0000}"/>
    <cellStyle name="Normal- Enter (1) 6" xfId="86" xr:uid="{00000000-0005-0000-0000-0000210F0000}"/>
    <cellStyle name="Normal Pct" xfId="3548" xr:uid="{00000000-0005-0000-0000-0000220F0000}"/>
    <cellStyle name="Normal_CMA02" xfId="1477" xr:uid="{00000000-0005-0000-0000-0000230F0000}"/>
    <cellStyle name="Normal2" xfId="4132" xr:uid="{00000000-0005-0000-0000-0000240F0000}"/>
    <cellStyle name="normal5" xfId="4134" xr:uid="{00000000-0005-0000-0000-0000250F0000}"/>
    <cellStyle name="Normal-Entry" xfId="4135" xr:uid="{00000000-0005-0000-0000-0000260F0000}"/>
    <cellStyle name="Normal-Entry 10" xfId="4136" xr:uid="{00000000-0005-0000-0000-0000270F0000}"/>
    <cellStyle name="Normal-Entry 11" xfId="1441" xr:uid="{00000000-0005-0000-0000-0000280F0000}"/>
    <cellStyle name="Normal-Entry 12" xfId="4137" xr:uid="{00000000-0005-0000-0000-0000290F0000}"/>
    <cellStyle name="Normal-Entry 13" xfId="4138" xr:uid="{00000000-0005-0000-0000-00002A0F0000}"/>
    <cellStyle name="Normal-Entry 2" xfId="755" xr:uid="{00000000-0005-0000-0000-00002B0F0000}"/>
    <cellStyle name="Normal-Entry 3" xfId="4139" xr:uid="{00000000-0005-0000-0000-00002C0F0000}"/>
    <cellStyle name="Normal-Entry 4" xfId="4140" xr:uid="{00000000-0005-0000-0000-00002D0F0000}"/>
    <cellStyle name="Normal-Entry 5" xfId="4141" xr:uid="{00000000-0005-0000-0000-00002E0F0000}"/>
    <cellStyle name="Normal-Entry 6" xfId="4142" xr:uid="{00000000-0005-0000-0000-00002F0F0000}"/>
    <cellStyle name="Normal-Entry 7" xfId="1448" xr:uid="{00000000-0005-0000-0000-0000300F0000}"/>
    <cellStyle name="Normal-Entry 8" xfId="3766" xr:uid="{00000000-0005-0000-0000-0000310F0000}"/>
    <cellStyle name="Normal-Entry 9" xfId="3531" xr:uid="{00000000-0005-0000-0000-0000320F0000}"/>
    <cellStyle name="NormalGB" xfId="4143" xr:uid="{00000000-0005-0000-0000-0000330F0000}"/>
    <cellStyle name="Normal-Input(1)" xfId="4144" xr:uid="{00000000-0005-0000-0000-0000340F0000}"/>
    <cellStyle name="Normal-Input(1) 2" xfId="4145" xr:uid="{00000000-0005-0000-0000-0000350F0000}"/>
    <cellStyle name="NormalMultiple" xfId="3303" xr:uid="{00000000-0005-0000-0000-0000360F0000}"/>
    <cellStyle name="NormalX" xfId="1432" xr:uid="{00000000-0005-0000-0000-0000370F0000}"/>
    <cellStyle name="NormalxShadow" xfId="3635" xr:uid="{00000000-0005-0000-0000-0000380F0000}"/>
    <cellStyle name="NOT" xfId="4146" xr:uid="{00000000-0005-0000-0000-0000390F0000}"/>
    <cellStyle name="Notas" xfId="3596" xr:uid="{00000000-0005-0000-0000-00003A0F0000}"/>
    <cellStyle name="Notas 10" xfId="2504" xr:uid="{00000000-0005-0000-0000-00003B0F0000}"/>
    <cellStyle name="Notas 11" xfId="4147" xr:uid="{00000000-0005-0000-0000-00003C0F0000}"/>
    <cellStyle name="Notas 12" xfId="4148" xr:uid="{00000000-0005-0000-0000-00003D0F0000}"/>
    <cellStyle name="Notas 13" xfId="4149" xr:uid="{00000000-0005-0000-0000-00003E0F0000}"/>
    <cellStyle name="Notas 14" xfId="4150" xr:uid="{00000000-0005-0000-0000-00003F0F0000}"/>
    <cellStyle name="Notas 2" xfId="3247" xr:uid="{00000000-0005-0000-0000-0000400F0000}"/>
    <cellStyle name="Notas 2 2" xfId="3385" xr:uid="{00000000-0005-0000-0000-0000410F0000}"/>
    <cellStyle name="Notas 3" xfId="4151" xr:uid="{00000000-0005-0000-0000-0000420F0000}"/>
    <cellStyle name="Notas 4" xfId="3321" xr:uid="{00000000-0005-0000-0000-0000430F0000}"/>
    <cellStyle name="Notas 5" xfId="4036" xr:uid="{00000000-0005-0000-0000-0000440F0000}"/>
    <cellStyle name="Notas 6" xfId="4152" xr:uid="{00000000-0005-0000-0000-0000450F0000}"/>
    <cellStyle name="Notas 7" xfId="4153" xr:uid="{00000000-0005-0000-0000-0000460F0000}"/>
    <cellStyle name="Notas 8" xfId="1505" xr:uid="{00000000-0005-0000-0000-0000470F0000}"/>
    <cellStyle name="Notas 9" xfId="4154" xr:uid="{00000000-0005-0000-0000-0000480F0000}"/>
    <cellStyle name="Note 10" xfId="4155" xr:uid="{00000000-0005-0000-0000-0000490F0000}"/>
    <cellStyle name="Note 2" xfId="4156" xr:uid="{00000000-0005-0000-0000-00004A0F0000}"/>
    <cellStyle name="Note 2 10" xfId="4157" xr:uid="{00000000-0005-0000-0000-00004B0F0000}"/>
    <cellStyle name="Note 2 11" xfId="4158" xr:uid="{00000000-0005-0000-0000-00004C0F0000}"/>
    <cellStyle name="Note 2 12" xfId="4159" xr:uid="{00000000-0005-0000-0000-00004D0F0000}"/>
    <cellStyle name="Note 2 13" xfId="4161" xr:uid="{00000000-0005-0000-0000-00004E0F0000}"/>
    <cellStyle name="Note 2 14" xfId="2749" xr:uid="{00000000-0005-0000-0000-00004F0F0000}"/>
    <cellStyle name="Note 2 2" xfId="4163" xr:uid="{00000000-0005-0000-0000-0000500F0000}"/>
    <cellStyle name="Note 2 2 10" xfId="2646" xr:uid="{00000000-0005-0000-0000-0000510F0000}"/>
    <cellStyle name="Note 2 2 11" xfId="3201" xr:uid="{00000000-0005-0000-0000-0000520F0000}"/>
    <cellStyle name="Note 2 2 12" xfId="4164" xr:uid="{00000000-0005-0000-0000-0000530F0000}"/>
    <cellStyle name="Note 2 2 13" xfId="3833" xr:uid="{00000000-0005-0000-0000-0000540F0000}"/>
    <cellStyle name="Note 2 2 2" xfId="4166" xr:uid="{00000000-0005-0000-0000-0000550F0000}"/>
    <cellStyle name="Note 2 2 3" xfId="4167" xr:uid="{00000000-0005-0000-0000-0000560F0000}"/>
    <cellStyle name="Note 2 2 4" xfId="4168" xr:uid="{00000000-0005-0000-0000-0000570F0000}"/>
    <cellStyle name="Note 2 2 5" xfId="1106" xr:uid="{00000000-0005-0000-0000-0000580F0000}"/>
    <cellStyle name="Note 2 2 6" xfId="4169" xr:uid="{00000000-0005-0000-0000-0000590F0000}"/>
    <cellStyle name="Note 2 2 7" xfId="4170" xr:uid="{00000000-0005-0000-0000-00005A0F0000}"/>
    <cellStyle name="Note 2 2 8" xfId="4171" xr:uid="{00000000-0005-0000-0000-00005B0F0000}"/>
    <cellStyle name="Note 2 2 9" xfId="4172" xr:uid="{00000000-0005-0000-0000-00005C0F0000}"/>
    <cellStyle name="Note 2 3" xfId="4131" xr:uid="{00000000-0005-0000-0000-00005D0F0000}"/>
    <cellStyle name="Note 2 4" xfId="3828" xr:uid="{00000000-0005-0000-0000-00005E0F0000}"/>
    <cellStyle name="Note 2 5" xfId="4173" xr:uid="{00000000-0005-0000-0000-00005F0F0000}"/>
    <cellStyle name="Note 2 6" xfId="4133" xr:uid="{00000000-0005-0000-0000-0000600F0000}"/>
    <cellStyle name="Note 2 7" xfId="3187" xr:uid="{00000000-0005-0000-0000-0000610F0000}"/>
    <cellStyle name="Note 2 8" xfId="4174" xr:uid="{00000000-0005-0000-0000-0000620F0000}"/>
    <cellStyle name="Note 2 9" xfId="4176" xr:uid="{00000000-0005-0000-0000-0000630F0000}"/>
    <cellStyle name="Note 2_Completion Const%" xfId="3777" xr:uid="{00000000-0005-0000-0000-0000640F0000}"/>
    <cellStyle name="Note 3" xfId="4177" xr:uid="{00000000-0005-0000-0000-0000650F0000}"/>
    <cellStyle name="Note 3 10" xfId="488" xr:uid="{00000000-0005-0000-0000-0000660F0000}"/>
    <cellStyle name="Note 3 11" xfId="4178" xr:uid="{00000000-0005-0000-0000-0000670F0000}"/>
    <cellStyle name="Note 3 12" xfId="4179" xr:uid="{00000000-0005-0000-0000-0000680F0000}"/>
    <cellStyle name="Note 3 13" xfId="4181" xr:uid="{00000000-0005-0000-0000-0000690F0000}"/>
    <cellStyle name="Note 3 2" xfId="2922" xr:uid="{00000000-0005-0000-0000-00006A0F0000}"/>
    <cellStyle name="Note 3 3" xfId="1730" xr:uid="{00000000-0005-0000-0000-00006B0F0000}"/>
    <cellStyle name="Note 3 4" xfId="805" xr:uid="{00000000-0005-0000-0000-00006C0F0000}"/>
    <cellStyle name="Note 3 5" xfId="3306" xr:uid="{00000000-0005-0000-0000-00006D0F0000}"/>
    <cellStyle name="Note 3 6" xfId="3308" xr:uid="{00000000-0005-0000-0000-00006E0F0000}"/>
    <cellStyle name="Note 3 7" xfId="3310" xr:uid="{00000000-0005-0000-0000-00006F0F0000}"/>
    <cellStyle name="Note 3 8" xfId="3312" xr:uid="{00000000-0005-0000-0000-0000700F0000}"/>
    <cellStyle name="Note 3 9" xfId="3314" xr:uid="{00000000-0005-0000-0000-0000710F0000}"/>
    <cellStyle name="Note 4" xfId="2671" xr:uid="{00000000-0005-0000-0000-0000720F0000}"/>
    <cellStyle name="Note 4 10" xfId="4183" xr:uid="{00000000-0005-0000-0000-0000730F0000}"/>
    <cellStyle name="Note 4 11" xfId="4184" xr:uid="{00000000-0005-0000-0000-0000740F0000}"/>
    <cellStyle name="Note 4 12" xfId="4185" xr:uid="{00000000-0005-0000-0000-0000750F0000}"/>
    <cellStyle name="Note 4 13" xfId="932" xr:uid="{00000000-0005-0000-0000-0000760F0000}"/>
    <cellStyle name="Note 4 2" xfId="4186" xr:uid="{00000000-0005-0000-0000-0000770F0000}"/>
    <cellStyle name="Note 4 3" xfId="4187" xr:uid="{00000000-0005-0000-0000-0000780F0000}"/>
    <cellStyle name="Note 4 4" xfId="4188" xr:uid="{00000000-0005-0000-0000-0000790F0000}"/>
    <cellStyle name="Note 4 5" xfId="3061" xr:uid="{00000000-0005-0000-0000-00007A0F0000}"/>
    <cellStyle name="Note 4 6" xfId="3262" xr:uid="{00000000-0005-0000-0000-00007B0F0000}"/>
    <cellStyle name="Note 4 7" xfId="3142" xr:uid="{00000000-0005-0000-0000-00007C0F0000}"/>
    <cellStyle name="Note 4 8" xfId="3155" xr:uid="{00000000-0005-0000-0000-00007D0F0000}"/>
    <cellStyle name="Note 4 9" xfId="3158" xr:uid="{00000000-0005-0000-0000-00007E0F0000}"/>
    <cellStyle name="Note 5" xfId="4189" xr:uid="{00000000-0005-0000-0000-00007F0F0000}"/>
    <cellStyle name="Note 5 10" xfId="2048" xr:uid="{00000000-0005-0000-0000-0000800F0000}"/>
    <cellStyle name="Note 5 11" xfId="2050" xr:uid="{00000000-0005-0000-0000-0000810F0000}"/>
    <cellStyle name="Note 5 12" xfId="2052" xr:uid="{00000000-0005-0000-0000-0000820F0000}"/>
    <cellStyle name="Note 5 13" xfId="2054" xr:uid="{00000000-0005-0000-0000-0000830F0000}"/>
    <cellStyle name="Note 5 2" xfId="1094" xr:uid="{00000000-0005-0000-0000-0000840F0000}"/>
    <cellStyle name="Note 5 3" xfId="1097" xr:uid="{00000000-0005-0000-0000-0000850F0000}"/>
    <cellStyle name="Note 5 4" xfId="1099" xr:uid="{00000000-0005-0000-0000-0000860F0000}"/>
    <cellStyle name="Note 5 5" xfId="1101" xr:uid="{00000000-0005-0000-0000-0000870F0000}"/>
    <cellStyle name="Note 5 6" xfId="4032" xr:uid="{00000000-0005-0000-0000-0000880F0000}"/>
    <cellStyle name="Note 5 7" xfId="4190" xr:uid="{00000000-0005-0000-0000-0000890F0000}"/>
    <cellStyle name="Note 5 8" xfId="2985" xr:uid="{00000000-0005-0000-0000-00008A0F0000}"/>
    <cellStyle name="Note 5 9" xfId="2987" xr:uid="{00000000-0005-0000-0000-00008B0F0000}"/>
    <cellStyle name="Note 6" xfId="4191" xr:uid="{00000000-0005-0000-0000-00008C0F0000}"/>
    <cellStyle name="Note 6 10" xfId="73" xr:uid="{00000000-0005-0000-0000-00008D0F0000}"/>
    <cellStyle name="Note 6 11" xfId="4192" xr:uid="{00000000-0005-0000-0000-00008E0F0000}"/>
    <cellStyle name="Note 6 12" xfId="4193" xr:uid="{00000000-0005-0000-0000-00008F0F0000}"/>
    <cellStyle name="Note 6 13" xfId="3976" xr:uid="{00000000-0005-0000-0000-0000900F0000}"/>
    <cellStyle name="Note 6 2" xfId="4194" xr:uid="{00000000-0005-0000-0000-0000910F0000}"/>
    <cellStyle name="Note 6 3" xfId="4195" xr:uid="{00000000-0005-0000-0000-0000920F0000}"/>
    <cellStyle name="Note 6 4" xfId="4041" xr:uid="{00000000-0005-0000-0000-0000930F0000}"/>
    <cellStyle name="Note 6 5" xfId="4196" xr:uid="{00000000-0005-0000-0000-0000940F0000}"/>
    <cellStyle name="Note 6 6" xfId="3266" xr:uid="{00000000-0005-0000-0000-0000950F0000}"/>
    <cellStyle name="Note 6 7" xfId="2293" xr:uid="{00000000-0005-0000-0000-0000960F0000}"/>
    <cellStyle name="Note 6 8" xfId="222" xr:uid="{00000000-0005-0000-0000-0000970F0000}"/>
    <cellStyle name="Note 6 9" xfId="4079" xr:uid="{00000000-0005-0000-0000-0000980F0000}"/>
    <cellStyle name="Note 7" xfId="4197" xr:uid="{00000000-0005-0000-0000-0000990F0000}"/>
    <cellStyle name="Note 7 10" xfId="3379" xr:uid="{00000000-0005-0000-0000-00009A0F0000}"/>
    <cellStyle name="Note 7 11" xfId="3381" xr:uid="{00000000-0005-0000-0000-00009B0F0000}"/>
    <cellStyle name="Note 7 12" xfId="3383" xr:uid="{00000000-0005-0000-0000-00009C0F0000}"/>
    <cellStyle name="Note 7 13" xfId="3386" xr:uid="{00000000-0005-0000-0000-00009D0F0000}"/>
    <cellStyle name="Note 7 2" xfId="798" xr:uid="{00000000-0005-0000-0000-00009E0F0000}"/>
    <cellStyle name="Note 7 3" xfId="4198" xr:uid="{00000000-0005-0000-0000-00009F0F0000}"/>
    <cellStyle name="Note 7 4" xfId="2241" xr:uid="{00000000-0005-0000-0000-0000A00F0000}"/>
    <cellStyle name="Note 7 5" xfId="4199" xr:uid="{00000000-0005-0000-0000-0000A10F0000}"/>
    <cellStyle name="Note 7 6" xfId="4200" xr:uid="{00000000-0005-0000-0000-0000A20F0000}"/>
    <cellStyle name="Note 7 7" xfId="1426" xr:uid="{00000000-0005-0000-0000-0000A30F0000}"/>
    <cellStyle name="Note 7 8" xfId="2993" xr:uid="{00000000-0005-0000-0000-0000A40F0000}"/>
    <cellStyle name="Note 7 9" xfId="1631" xr:uid="{00000000-0005-0000-0000-0000A50F0000}"/>
    <cellStyle name="Note 8" xfId="3830" xr:uid="{00000000-0005-0000-0000-0000A60F0000}"/>
    <cellStyle name="Note 8 10" xfId="3627" xr:uid="{00000000-0005-0000-0000-0000A70F0000}"/>
    <cellStyle name="Note 8 11" xfId="2561" xr:uid="{00000000-0005-0000-0000-0000A80F0000}"/>
    <cellStyle name="Note 8 12" xfId="4201" xr:uid="{00000000-0005-0000-0000-0000A90F0000}"/>
    <cellStyle name="Note 8 13" xfId="4202" xr:uid="{00000000-0005-0000-0000-0000AA0F0000}"/>
    <cellStyle name="Note 8 2" xfId="4203" xr:uid="{00000000-0005-0000-0000-0000AB0F0000}"/>
    <cellStyle name="Note 8 3" xfId="1749" xr:uid="{00000000-0005-0000-0000-0000AC0F0000}"/>
    <cellStyle name="Note 8 4" xfId="4204" xr:uid="{00000000-0005-0000-0000-0000AD0F0000}"/>
    <cellStyle name="Note 8 5" xfId="2699" xr:uid="{00000000-0005-0000-0000-0000AE0F0000}"/>
    <cellStyle name="Note 8 6" xfId="3269" xr:uid="{00000000-0005-0000-0000-0000AF0F0000}"/>
    <cellStyle name="Note 8 7" xfId="4205" xr:uid="{00000000-0005-0000-0000-0000B00F0000}"/>
    <cellStyle name="Note 8 8" xfId="466" xr:uid="{00000000-0005-0000-0000-0000B10F0000}"/>
    <cellStyle name="Note 8 9" xfId="4206" xr:uid="{00000000-0005-0000-0000-0000B20F0000}"/>
    <cellStyle name="Note 9" xfId="4208" xr:uid="{00000000-0005-0000-0000-0000B30F0000}"/>
    <cellStyle name="Notes" xfId="4209" xr:uid="{00000000-0005-0000-0000-0000B40F0000}"/>
    <cellStyle name="Nøytral" xfId="2584" xr:uid="{00000000-0005-0000-0000-0000B50F0000}"/>
    <cellStyle name="NPPESalesPct" xfId="1039" xr:uid="{00000000-0005-0000-0000-0000B60F0000}"/>
    <cellStyle name="num1Style" xfId="356" xr:uid="{00000000-0005-0000-0000-0000B70F0000}"/>
    <cellStyle name="num1Style 2" xfId="2530" xr:uid="{00000000-0005-0000-0000-0000B80F0000}"/>
    <cellStyle name="num1Style 3" xfId="3044" xr:uid="{00000000-0005-0000-0000-0000B90F0000}"/>
    <cellStyle name="num1Style 4" xfId="4210" xr:uid="{00000000-0005-0000-0000-0000BA0F0000}"/>
    <cellStyle name="num1Style 5" xfId="4211" xr:uid="{00000000-0005-0000-0000-0000BB0F0000}"/>
    <cellStyle name="num1Style 6" xfId="4212" xr:uid="{00000000-0005-0000-0000-0000BC0F0000}"/>
    <cellStyle name="num1Styleb" xfId="1586" xr:uid="{00000000-0005-0000-0000-0000BD0F0000}"/>
    <cellStyle name="num1Styleb 2" xfId="481" xr:uid="{00000000-0005-0000-0000-0000BE0F0000}"/>
    <cellStyle name="num1Styleb 3" xfId="3055" xr:uid="{00000000-0005-0000-0000-0000BF0F0000}"/>
    <cellStyle name="num1Styleb 4" xfId="4213" xr:uid="{00000000-0005-0000-0000-0000C00F0000}"/>
    <cellStyle name="num1Styleb 5" xfId="4214" xr:uid="{00000000-0005-0000-0000-0000C10F0000}"/>
    <cellStyle name="num1Styleb 6" xfId="1060" xr:uid="{00000000-0005-0000-0000-0000C20F0000}"/>
    <cellStyle name="num4Style" xfId="3927" xr:uid="{00000000-0005-0000-0000-0000C30F0000}"/>
    <cellStyle name="num4Style 2" xfId="4215" xr:uid="{00000000-0005-0000-0000-0000C40F0000}"/>
    <cellStyle name="num4Style 3" xfId="3565" xr:uid="{00000000-0005-0000-0000-0000C50F0000}"/>
    <cellStyle name="num4Style 4" xfId="3567" xr:uid="{00000000-0005-0000-0000-0000C60F0000}"/>
    <cellStyle name="num4Style 5" xfId="2707" xr:uid="{00000000-0005-0000-0000-0000C70F0000}"/>
    <cellStyle name="num4Style 6" xfId="3569" xr:uid="{00000000-0005-0000-0000-0000C80F0000}"/>
    <cellStyle name="num4Styleb" xfId="3796" xr:uid="{00000000-0005-0000-0000-0000C90F0000}"/>
    <cellStyle name="num4Styleb 2" xfId="4175" xr:uid="{00000000-0005-0000-0000-0000CA0F0000}"/>
    <cellStyle name="num4Styleb 3" xfId="3620" xr:uid="{00000000-0005-0000-0000-0000CB0F0000}"/>
    <cellStyle name="num4Styleb 4" xfId="4216" xr:uid="{00000000-0005-0000-0000-0000CC0F0000}"/>
    <cellStyle name="num4Styleb 5" xfId="2151" xr:uid="{00000000-0005-0000-0000-0000CD0F0000}"/>
    <cellStyle name="num4Styleb 6" xfId="2643" xr:uid="{00000000-0005-0000-0000-0000CE0F0000}"/>
    <cellStyle name="Number" xfId="4217" xr:uid="{00000000-0005-0000-0000-0000CF0F0000}"/>
    <cellStyle name="numPStyle" xfId="3987" xr:uid="{00000000-0005-0000-0000-0000D00F0000}"/>
    <cellStyle name="numPStyle 2" xfId="848" xr:uid="{00000000-0005-0000-0000-0000D10F0000}"/>
    <cellStyle name="numPStyle 3" xfId="4218" xr:uid="{00000000-0005-0000-0000-0000D20F0000}"/>
    <cellStyle name="numPStyle 4" xfId="4219" xr:uid="{00000000-0005-0000-0000-0000D30F0000}"/>
    <cellStyle name="numPStyle 5" xfId="4220" xr:uid="{00000000-0005-0000-0000-0000D40F0000}"/>
    <cellStyle name="numPStyle 6" xfId="1003" xr:uid="{00000000-0005-0000-0000-0000D50F0000}"/>
    <cellStyle name="numPStyleb" xfId="4221" xr:uid="{00000000-0005-0000-0000-0000D60F0000}"/>
    <cellStyle name="numPStyleb 2" xfId="2738" xr:uid="{00000000-0005-0000-0000-0000D70F0000}"/>
    <cellStyle name="numPStyleb 3" xfId="2740" xr:uid="{00000000-0005-0000-0000-0000D80F0000}"/>
    <cellStyle name="numPStyleb 4" xfId="4222" xr:uid="{00000000-0005-0000-0000-0000D90F0000}"/>
    <cellStyle name="numPStyleb 5" xfId="4223" xr:uid="{00000000-0005-0000-0000-0000DA0F0000}"/>
    <cellStyle name="numPStyleb 6" xfId="4224" xr:uid="{00000000-0005-0000-0000-0000DB0F0000}"/>
    <cellStyle name="numXStyle" xfId="4225" xr:uid="{00000000-0005-0000-0000-0000DC0F0000}"/>
    <cellStyle name="numXStyle 2" xfId="4226" xr:uid="{00000000-0005-0000-0000-0000DD0F0000}"/>
    <cellStyle name="numXStyle 3" xfId="4227" xr:uid="{00000000-0005-0000-0000-0000DE0F0000}"/>
    <cellStyle name="numXStyle 4" xfId="4228" xr:uid="{00000000-0005-0000-0000-0000DF0F0000}"/>
    <cellStyle name="numXStyle 5" xfId="4229" xr:uid="{00000000-0005-0000-0000-0000E00F0000}"/>
    <cellStyle name="numXStyle 6" xfId="4230" xr:uid="{00000000-0005-0000-0000-0000E10F0000}"/>
    <cellStyle name="numXStyleb" xfId="4231" xr:uid="{00000000-0005-0000-0000-0000E20F0000}"/>
    <cellStyle name="numXStyleb 2" xfId="4232" xr:uid="{00000000-0005-0000-0000-0000E30F0000}"/>
    <cellStyle name="numXStyleb 3" xfId="4233" xr:uid="{00000000-0005-0000-0000-0000E40F0000}"/>
    <cellStyle name="numXStyleb 4" xfId="4234" xr:uid="{00000000-0005-0000-0000-0000E50F0000}"/>
    <cellStyle name="numXStyleb 5" xfId="4235" xr:uid="{00000000-0005-0000-0000-0000E60F0000}"/>
    <cellStyle name="numXStyleb 6" xfId="4236" xr:uid="{00000000-0005-0000-0000-0000E70F0000}"/>
    <cellStyle name="NWI%S" xfId="4237" xr:uid="{00000000-0005-0000-0000-0000E80F0000}"/>
    <cellStyle name="Obsolete" xfId="4238" xr:uid="{00000000-0005-0000-0000-0000E90F0000}"/>
    <cellStyle name="Œ…‹aO‚e_4Qtr (2)" xfId="4239" xr:uid="{00000000-0005-0000-0000-0000EA0F0000}"/>
    <cellStyle name="Œ…‹æØ‚è [0.00]_!!!GO" xfId="4240" xr:uid="{00000000-0005-0000-0000-0000EB0F0000}"/>
    <cellStyle name="Œ…‹æØ‚è_!!!GO" xfId="4241" xr:uid="{00000000-0005-0000-0000-0000EC0F0000}"/>
    <cellStyle name="OScommands" xfId="2896" xr:uid="{00000000-0005-0000-0000-0000ED0F0000}"/>
    <cellStyle name="outh America" xfId="3793" xr:uid="{00000000-0005-0000-0000-0000EE0F0000}"/>
    <cellStyle name="outh America 2" xfId="4242" xr:uid="{00000000-0005-0000-0000-0000EF0F0000}"/>
    <cellStyle name="Output 10" xfId="4243" xr:uid="{00000000-0005-0000-0000-0000F00F0000}"/>
    <cellStyle name="Output 2" xfId="4244" xr:uid="{00000000-0005-0000-0000-0000F10F0000}"/>
    <cellStyle name="Output 2 10" xfId="4245" xr:uid="{00000000-0005-0000-0000-0000F20F0000}"/>
    <cellStyle name="Output 2 11" xfId="4246" xr:uid="{00000000-0005-0000-0000-0000F30F0000}"/>
    <cellStyle name="Output 2 12" xfId="4247" xr:uid="{00000000-0005-0000-0000-0000F40F0000}"/>
    <cellStyle name="Output 2 13" xfId="4248" xr:uid="{00000000-0005-0000-0000-0000F50F0000}"/>
    <cellStyle name="Output 2 14" xfId="4249" xr:uid="{00000000-0005-0000-0000-0000F60F0000}"/>
    <cellStyle name="Output 2 2" xfId="4250" xr:uid="{00000000-0005-0000-0000-0000F70F0000}"/>
    <cellStyle name="Output 2 2 10" xfId="4251" xr:uid="{00000000-0005-0000-0000-0000F80F0000}"/>
    <cellStyle name="Output 2 2 11" xfId="4252" xr:uid="{00000000-0005-0000-0000-0000F90F0000}"/>
    <cellStyle name="Output 2 2 12" xfId="4253" xr:uid="{00000000-0005-0000-0000-0000FA0F0000}"/>
    <cellStyle name="Output 2 2 13" xfId="4254" xr:uid="{00000000-0005-0000-0000-0000FB0F0000}"/>
    <cellStyle name="Output 2 2 2" xfId="4255" xr:uid="{00000000-0005-0000-0000-0000FC0F0000}"/>
    <cellStyle name="Output 2 2 3" xfId="4256" xr:uid="{00000000-0005-0000-0000-0000FD0F0000}"/>
    <cellStyle name="Output 2 2 4" xfId="4257" xr:uid="{00000000-0005-0000-0000-0000FE0F0000}"/>
    <cellStyle name="Output 2 2 5" xfId="4258" xr:uid="{00000000-0005-0000-0000-0000FF0F0000}"/>
    <cellStyle name="Output 2 2 6" xfId="4259" xr:uid="{00000000-0005-0000-0000-000000100000}"/>
    <cellStyle name="Output 2 2 7" xfId="4260" xr:uid="{00000000-0005-0000-0000-000001100000}"/>
    <cellStyle name="Output 2 2 8" xfId="4261" xr:uid="{00000000-0005-0000-0000-000002100000}"/>
    <cellStyle name="Output 2 2 9" xfId="4262" xr:uid="{00000000-0005-0000-0000-000003100000}"/>
    <cellStyle name="Output 2 3" xfId="4263" xr:uid="{00000000-0005-0000-0000-000004100000}"/>
    <cellStyle name="Output 2 4" xfId="4264" xr:uid="{00000000-0005-0000-0000-000005100000}"/>
    <cellStyle name="Output 2 5" xfId="4265" xr:uid="{00000000-0005-0000-0000-000006100000}"/>
    <cellStyle name="Output 2 6" xfId="4266" xr:uid="{00000000-0005-0000-0000-000007100000}"/>
    <cellStyle name="Output 2 7" xfId="4267" xr:uid="{00000000-0005-0000-0000-000008100000}"/>
    <cellStyle name="Output 2 8" xfId="4268" xr:uid="{00000000-0005-0000-0000-000009100000}"/>
    <cellStyle name="Output 2 9" xfId="4269" xr:uid="{00000000-0005-0000-0000-00000A100000}"/>
    <cellStyle name="Output 2_Completion Const%" xfId="4270" xr:uid="{00000000-0005-0000-0000-00000B100000}"/>
    <cellStyle name="Output 3" xfId="4271" xr:uid="{00000000-0005-0000-0000-00000C100000}"/>
    <cellStyle name="Output 3 10" xfId="4272" xr:uid="{00000000-0005-0000-0000-00000D100000}"/>
    <cellStyle name="Output 3 11" xfId="4273" xr:uid="{00000000-0005-0000-0000-00000E100000}"/>
    <cellStyle name="Output 3 12" xfId="4274" xr:uid="{00000000-0005-0000-0000-00000F100000}"/>
    <cellStyle name="Output 3 13" xfId="4275" xr:uid="{00000000-0005-0000-0000-000010100000}"/>
    <cellStyle name="Output 3 2" xfId="4276" xr:uid="{00000000-0005-0000-0000-000011100000}"/>
    <cellStyle name="Output 3 3" xfId="4277" xr:uid="{00000000-0005-0000-0000-000012100000}"/>
    <cellStyle name="Output 3 4" xfId="4278" xr:uid="{00000000-0005-0000-0000-000013100000}"/>
    <cellStyle name="Output 3 5" xfId="2605" xr:uid="{00000000-0005-0000-0000-000014100000}"/>
    <cellStyle name="Output 3 6" xfId="4279" xr:uid="{00000000-0005-0000-0000-000015100000}"/>
    <cellStyle name="Output 3 7" xfId="4280" xr:uid="{00000000-0005-0000-0000-000016100000}"/>
    <cellStyle name="Output 3 8" xfId="4281" xr:uid="{00000000-0005-0000-0000-000017100000}"/>
    <cellStyle name="Output 3 9" xfId="4282" xr:uid="{00000000-0005-0000-0000-000018100000}"/>
    <cellStyle name="Output 4" xfId="4283" xr:uid="{00000000-0005-0000-0000-000019100000}"/>
    <cellStyle name="Output 4 10" xfId="4284" xr:uid="{00000000-0005-0000-0000-00001A100000}"/>
    <cellStyle name="Output 4 11" xfId="4285" xr:uid="{00000000-0005-0000-0000-00001B100000}"/>
    <cellStyle name="Output 4 12" xfId="4286" xr:uid="{00000000-0005-0000-0000-00001C100000}"/>
    <cellStyle name="Output 4 13" xfId="4287" xr:uid="{00000000-0005-0000-0000-00001D100000}"/>
    <cellStyle name="Output 4 2" xfId="4288" xr:uid="{00000000-0005-0000-0000-00001E100000}"/>
    <cellStyle name="Output 4 3" xfId="4289" xr:uid="{00000000-0005-0000-0000-00001F100000}"/>
    <cellStyle name="Output 4 4" xfId="4290" xr:uid="{00000000-0005-0000-0000-000020100000}"/>
    <cellStyle name="Output 4 5" xfId="4291" xr:uid="{00000000-0005-0000-0000-000021100000}"/>
    <cellStyle name="Output 4 6" xfId="4292" xr:uid="{00000000-0005-0000-0000-000022100000}"/>
    <cellStyle name="Output 4 7" xfId="4293" xr:uid="{00000000-0005-0000-0000-000023100000}"/>
    <cellStyle name="Output 4 8" xfId="4294" xr:uid="{00000000-0005-0000-0000-000024100000}"/>
    <cellStyle name="Output 4 9" xfId="4295" xr:uid="{00000000-0005-0000-0000-000025100000}"/>
    <cellStyle name="Output 5" xfId="4296" xr:uid="{00000000-0005-0000-0000-000026100000}"/>
    <cellStyle name="Output 5 10" xfId="4297" xr:uid="{00000000-0005-0000-0000-000027100000}"/>
    <cellStyle name="Output 5 11" xfId="4298" xr:uid="{00000000-0005-0000-0000-000028100000}"/>
    <cellStyle name="Output 5 12" xfId="4299" xr:uid="{00000000-0005-0000-0000-000029100000}"/>
    <cellStyle name="Output 5 13" xfId="4300" xr:uid="{00000000-0005-0000-0000-00002A100000}"/>
    <cellStyle name="Output 5 2" xfId="4301" xr:uid="{00000000-0005-0000-0000-00002B100000}"/>
    <cellStyle name="Output 5 3" xfId="4302" xr:uid="{00000000-0005-0000-0000-00002C100000}"/>
    <cellStyle name="Output 5 4" xfId="4303" xr:uid="{00000000-0005-0000-0000-00002D100000}"/>
    <cellStyle name="Output 5 5" xfId="4304" xr:uid="{00000000-0005-0000-0000-00002E100000}"/>
    <cellStyle name="Output 5 6" xfId="4305" xr:uid="{00000000-0005-0000-0000-00002F100000}"/>
    <cellStyle name="Output 5 7" xfId="4306" xr:uid="{00000000-0005-0000-0000-000030100000}"/>
    <cellStyle name="Output 5 8" xfId="4307" xr:uid="{00000000-0005-0000-0000-000031100000}"/>
    <cellStyle name="Output 5 9" xfId="4308" xr:uid="{00000000-0005-0000-0000-000032100000}"/>
    <cellStyle name="Output 6" xfId="4309" xr:uid="{00000000-0005-0000-0000-000033100000}"/>
    <cellStyle name="Output 6 10" xfId="4310" xr:uid="{00000000-0005-0000-0000-000034100000}"/>
    <cellStyle name="Output 6 11" xfId="4311" xr:uid="{00000000-0005-0000-0000-000035100000}"/>
    <cellStyle name="Output 6 12" xfId="4312" xr:uid="{00000000-0005-0000-0000-000036100000}"/>
    <cellStyle name="Output 6 13" xfId="4313" xr:uid="{00000000-0005-0000-0000-000037100000}"/>
    <cellStyle name="Output 6 2" xfId="4315" xr:uid="{00000000-0005-0000-0000-000038100000}"/>
    <cellStyle name="Output 6 3" xfId="4316" xr:uid="{00000000-0005-0000-0000-000039100000}"/>
    <cellStyle name="Output 6 4" xfId="4317" xr:uid="{00000000-0005-0000-0000-00003A100000}"/>
    <cellStyle name="Output 6 5" xfId="3533" xr:uid="{00000000-0005-0000-0000-00003B100000}"/>
    <cellStyle name="Output 6 6" xfId="3535" xr:uid="{00000000-0005-0000-0000-00003C100000}"/>
    <cellStyle name="Output 6 7" xfId="3537" xr:uid="{00000000-0005-0000-0000-00003D100000}"/>
    <cellStyle name="Output 6 8" xfId="3539" xr:uid="{00000000-0005-0000-0000-00003E100000}"/>
    <cellStyle name="Output 6 9" xfId="1473" xr:uid="{00000000-0005-0000-0000-00003F100000}"/>
    <cellStyle name="Output 7" xfId="4318" xr:uid="{00000000-0005-0000-0000-000040100000}"/>
    <cellStyle name="Output 7 10" xfId="4319" xr:uid="{00000000-0005-0000-0000-000041100000}"/>
    <cellStyle name="Output 7 11" xfId="4320" xr:uid="{00000000-0005-0000-0000-000042100000}"/>
    <cellStyle name="Output 7 12" xfId="4321" xr:uid="{00000000-0005-0000-0000-000043100000}"/>
    <cellStyle name="Output 7 13" xfId="4322" xr:uid="{00000000-0005-0000-0000-000044100000}"/>
    <cellStyle name="Output 7 2" xfId="4323" xr:uid="{00000000-0005-0000-0000-000045100000}"/>
    <cellStyle name="Output 7 3" xfId="4324" xr:uid="{00000000-0005-0000-0000-000046100000}"/>
    <cellStyle name="Output 7 4" xfId="4325" xr:uid="{00000000-0005-0000-0000-000047100000}"/>
    <cellStyle name="Output 7 5" xfId="60" xr:uid="{00000000-0005-0000-0000-000048100000}"/>
    <cellStyle name="Output 7 6" xfId="4326" xr:uid="{00000000-0005-0000-0000-000049100000}"/>
    <cellStyle name="Output 7 7" xfId="4327" xr:uid="{00000000-0005-0000-0000-00004A100000}"/>
    <cellStyle name="Output 7 8" xfId="4328" xr:uid="{00000000-0005-0000-0000-00004B100000}"/>
    <cellStyle name="Output 7 9" xfId="671" xr:uid="{00000000-0005-0000-0000-00004C100000}"/>
    <cellStyle name="Output 8" xfId="4329" xr:uid="{00000000-0005-0000-0000-00004D100000}"/>
    <cellStyle name="Output 8 10" xfId="4330" xr:uid="{00000000-0005-0000-0000-00004E100000}"/>
    <cellStyle name="Output 8 11" xfId="4331" xr:uid="{00000000-0005-0000-0000-00004F100000}"/>
    <cellStyle name="Output 8 12" xfId="4332" xr:uid="{00000000-0005-0000-0000-000050100000}"/>
    <cellStyle name="Output 8 13" xfId="4333" xr:uid="{00000000-0005-0000-0000-000051100000}"/>
    <cellStyle name="Output 8 2" xfId="4334" xr:uid="{00000000-0005-0000-0000-000052100000}"/>
    <cellStyle name="Output 8 3" xfId="4335" xr:uid="{00000000-0005-0000-0000-000053100000}"/>
    <cellStyle name="Output 8 4" xfId="4336" xr:uid="{00000000-0005-0000-0000-000054100000}"/>
    <cellStyle name="Output 8 5" xfId="4337" xr:uid="{00000000-0005-0000-0000-000055100000}"/>
    <cellStyle name="Output 8 6" xfId="4338" xr:uid="{00000000-0005-0000-0000-000056100000}"/>
    <cellStyle name="Output 8 7" xfId="4339" xr:uid="{00000000-0005-0000-0000-000057100000}"/>
    <cellStyle name="Output 8 8" xfId="4340" xr:uid="{00000000-0005-0000-0000-000058100000}"/>
    <cellStyle name="Output 8 9" xfId="4341" xr:uid="{00000000-0005-0000-0000-000059100000}"/>
    <cellStyle name="Output 9" xfId="4342" xr:uid="{00000000-0005-0000-0000-00005A100000}"/>
    <cellStyle name="Output Amounts" xfId="4343" xr:uid="{00000000-0005-0000-0000-00005B100000}"/>
    <cellStyle name="Output Column Headings" xfId="4344" xr:uid="{00000000-0005-0000-0000-00005C100000}"/>
    <cellStyle name="Output Line Items" xfId="4345" xr:uid="{00000000-0005-0000-0000-00005D100000}"/>
    <cellStyle name="Output Report Heading" xfId="4346" xr:uid="{00000000-0005-0000-0000-00005E100000}"/>
    <cellStyle name="Output Report Title" xfId="4347" xr:uid="{00000000-0005-0000-0000-00005F100000}"/>
    <cellStyle name="Override" xfId="4348" xr:uid="{00000000-0005-0000-0000-000060100000}"/>
    <cellStyle name="Override 10" xfId="4349" xr:uid="{00000000-0005-0000-0000-000061100000}"/>
    <cellStyle name="Override 11" xfId="4350" xr:uid="{00000000-0005-0000-0000-000062100000}"/>
    <cellStyle name="Override 12" xfId="4351" xr:uid="{00000000-0005-0000-0000-000063100000}"/>
    <cellStyle name="Override 13" xfId="4352" xr:uid="{00000000-0005-0000-0000-000064100000}"/>
    <cellStyle name="Override 2" xfId="4353" xr:uid="{00000000-0005-0000-0000-000065100000}"/>
    <cellStyle name="Override 3" xfId="4354" xr:uid="{00000000-0005-0000-0000-000066100000}"/>
    <cellStyle name="Override 4" xfId="4355" xr:uid="{00000000-0005-0000-0000-000067100000}"/>
    <cellStyle name="Override 5" xfId="4356" xr:uid="{00000000-0005-0000-0000-000068100000}"/>
    <cellStyle name="Override 6" xfId="4357" xr:uid="{00000000-0005-0000-0000-000069100000}"/>
    <cellStyle name="Override 7" xfId="4358" xr:uid="{00000000-0005-0000-0000-00006A100000}"/>
    <cellStyle name="Override 8" xfId="4359" xr:uid="{00000000-0005-0000-0000-00006B100000}"/>
    <cellStyle name="Override 9" xfId="4360" xr:uid="{00000000-0005-0000-0000-00006C100000}"/>
    <cellStyle name="Overskrift 1" xfId="4361" xr:uid="{00000000-0005-0000-0000-00006D100000}"/>
    <cellStyle name="Overskrift 2" xfId="4362" xr:uid="{00000000-0005-0000-0000-00006E100000}"/>
    <cellStyle name="Overskrift 3" xfId="4363" xr:uid="{00000000-0005-0000-0000-00006F100000}"/>
    <cellStyle name="Overskrift 4" xfId="4364" xr:uid="{00000000-0005-0000-0000-000070100000}"/>
    <cellStyle name="Page header" xfId="4365" xr:uid="{00000000-0005-0000-0000-000071100000}"/>
    <cellStyle name="Page header 2" xfId="4366" xr:uid="{00000000-0005-0000-0000-000072100000}"/>
    <cellStyle name="Page Heading" xfId="3543" xr:uid="{00000000-0005-0000-0000-000073100000}"/>
    <cellStyle name="Page Heading Large" xfId="4367" xr:uid="{00000000-0005-0000-0000-000074100000}"/>
    <cellStyle name="Page Heading Small" xfId="4368" xr:uid="{00000000-0005-0000-0000-000075100000}"/>
    <cellStyle name="Page Number" xfId="4369" xr:uid="{00000000-0005-0000-0000-000076100000}"/>
    <cellStyle name="Parens (1)" xfId="4370" xr:uid="{00000000-0005-0000-0000-000077100000}"/>
    <cellStyle name="PB Table Heading" xfId="4371" xr:uid="{00000000-0005-0000-0000-000078100000}"/>
    <cellStyle name="PB Table Highlight1" xfId="4372" xr:uid="{00000000-0005-0000-0000-000079100000}"/>
    <cellStyle name="PB Table Highlight2" xfId="4373" xr:uid="{00000000-0005-0000-0000-00007A100000}"/>
    <cellStyle name="PB Table Highlight2 2" xfId="4374" xr:uid="{00000000-0005-0000-0000-00007B100000}"/>
    <cellStyle name="PB Table Highlight3" xfId="4375" xr:uid="{00000000-0005-0000-0000-00007C100000}"/>
    <cellStyle name="PB Table Highlight3 2" xfId="4376" xr:uid="{00000000-0005-0000-0000-00007D100000}"/>
    <cellStyle name="PB Table Standard Row" xfId="4377" xr:uid="{00000000-0005-0000-0000-00007E100000}"/>
    <cellStyle name="PB Table Subtotal Row" xfId="4378" xr:uid="{00000000-0005-0000-0000-00007F100000}"/>
    <cellStyle name="PB Table Subtotal Row 10" xfId="4379" xr:uid="{00000000-0005-0000-0000-000080100000}"/>
    <cellStyle name="PB Table Subtotal Row 11" xfId="4380" xr:uid="{00000000-0005-0000-0000-000081100000}"/>
    <cellStyle name="PB Table Subtotal Row 2" xfId="4381" xr:uid="{00000000-0005-0000-0000-000082100000}"/>
    <cellStyle name="PB Table Subtotal Row 3" xfId="4382" xr:uid="{00000000-0005-0000-0000-000083100000}"/>
    <cellStyle name="PB Table Subtotal Row 4" xfId="4383" xr:uid="{00000000-0005-0000-0000-000084100000}"/>
    <cellStyle name="PB Table Subtotal Row 5" xfId="4384" xr:uid="{00000000-0005-0000-0000-000085100000}"/>
    <cellStyle name="PB Table Subtotal Row 6" xfId="4385" xr:uid="{00000000-0005-0000-0000-000086100000}"/>
    <cellStyle name="PB Table Subtotal Row 7" xfId="4386" xr:uid="{00000000-0005-0000-0000-000087100000}"/>
    <cellStyle name="PB Table Subtotal Row 8" xfId="4387" xr:uid="{00000000-0005-0000-0000-000088100000}"/>
    <cellStyle name="PB Table Subtotal Row 9" xfId="4388" xr:uid="{00000000-0005-0000-0000-000089100000}"/>
    <cellStyle name="PB Table Total Row" xfId="4389" xr:uid="{00000000-0005-0000-0000-00008A100000}"/>
    <cellStyle name="pb_table_format_columnheading" xfId="4390" xr:uid="{00000000-0005-0000-0000-00008B100000}"/>
    <cellStyle name="per m3" xfId="1374" xr:uid="{00000000-0005-0000-0000-00008C100000}"/>
    <cellStyle name="per Ton" xfId="4391" xr:uid="{00000000-0005-0000-0000-00008D100000}"/>
    <cellStyle name="per.style" xfId="4392" xr:uid="{00000000-0005-0000-0000-00008E100000}"/>
    <cellStyle name="per.style 2" xfId="4393" xr:uid="{00000000-0005-0000-0000-00008F100000}"/>
    <cellStyle name="Percen - Style2" xfId="4394" xr:uid="{00000000-0005-0000-0000-000090100000}"/>
    <cellStyle name="Percent" xfId="24" builtinId="5"/>
    <cellStyle name="Percent (0)" xfId="4395" xr:uid="{00000000-0005-0000-0000-000092100000}"/>
    <cellStyle name="Percent [0]" xfId="891" xr:uid="{00000000-0005-0000-0000-000093100000}"/>
    <cellStyle name="Percent [0] 2" xfId="4396" xr:uid="{00000000-0005-0000-0000-000094100000}"/>
    <cellStyle name="Percent [0] 3" xfId="4397" xr:uid="{00000000-0005-0000-0000-000095100000}"/>
    <cellStyle name="Percent [0] 4" xfId="4398" xr:uid="{00000000-0005-0000-0000-000096100000}"/>
    <cellStyle name="Percent [0] 5" xfId="4399" xr:uid="{00000000-0005-0000-0000-000097100000}"/>
    <cellStyle name="Percent [0] 6" xfId="4400" xr:uid="{00000000-0005-0000-0000-000098100000}"/>
    <cellStyle name="Percent [0] 7" xfId="4401" xr:uid="{00000000-0005-0000-0000-000099100000}"/>
    <cellStyle name="Percent [0] 8" xfId="4402" xr:uid="{00000000-0005-0000-0000-00009A100000}"/>
    <cellStyle name="Percent [00]" xfId="4403" xr:uid="{00000000-0005-0000-0000-00009B100000}"/>
    <cellStyle name="Percent [00] 2" xfId="4404" xr:uid="{00000000-0005-0000-0000-00009C100000}"/>
    <cellStyle name="Percent [00] 3" xfId="4405" xr:uid="{00000000-0005-0000-0000-00009D100000}"/>
    <cellStyle name="Percent [00] 4" xfId="4406" xr:uid="{00000000-0005-0000-0000-00009E100000}"/>
    <cellStyle name="Percent [00] 5" xfId="4407" xr:uid="{00000000-0005-0000-0000-00009F100000}"/>
    <cellStyle name="Percent [00] 6" xfId="4408" xr:uid="{00000000-0005-0000-0000-0000A0100000}"/>
    <cellStyle name="Percent [00] 7" xfId="589" xr:uid="{00000000-0005-0000-0000-0000A1100000}"/>
    <cellStyle name="Percent [00] 8" xfId="4409" xr:uid="{00000000-0005-0000-0000-0000A2100000}"/>
    <cellStyle name="Percent [1]" xfId="4410" xr:uid="{00000000-0005-0000-0000-0000A3100000}"/>
    <cellStyle name="Percent [1] --" xfId="4411" xr:uid="{00000000-0005-0000-0000-0000A4100000}"/>
    <cellStyle name="Percent [1]_~5269252" xfId="4412" xr:uid="{00000000-0005-0000-0000-0000A5100000}"/>
    <cellStyle name="Percent [2]" xfId="4413" xr:uid="{00000000-0005-0000-0000-0000A6100000}"/>
    <cellStyle name="Percent [2] 2" xfId="4414" xr:uid="{00000000-0005-0000-0000-0000A7100000}"/>
    <cellStyle name="Percent [2] 3" xfId="4415" xr:uid="{00000000-0005-0000-0000-0000A8100000}"/>
    <cellStyle name="Percent [2] 4" xfId="4416" xr:uid="{00000000-0005-0000-0000-0000A9100000}"/>
    <cellStyle name="Percent [2] 5" xfId="4417" xr:uid="{00000000-0005-0000-0000-0000AA100000}"/>
    <cellStyle name="Percent [2] 6" xfId="4418" xr:uid="{00000000-0005-0000-0000-0000AB100000}"/>
    <cellStyle name="Percent [2] 7" xfId="4419" xr:uid="{00000000-0005-0000-0000-0000AC100000}"/>
    <cellStyle name="Percent [2] 8" xfId="4420" xr:uid="{00000000-0005-0000-0000-0000AD100000}"/>
    <cellStyle name="Percent [2]_BIL 190210_1519" xfId="4421" xr:uid="{00000000-0005-0000-0000-0000AE100000}"/>
    <cellStyle name="Percent [3]" xfId="4422" xr:uid="{00000000-0005-0000-0000-0000AF100000}"/>
    <cellStyle name="Percent [3]--" xfId="4423" xr:uid="{00000000-0005-0000-0000-0000B0100000}"/>
    <cellStyle name="Percent 10" xfId="4424" xr:uid="{00000000-0005-0000-0000-0000B1100000}"/>
    <cellStyle name="Percent 10 2" xfId="4425" xr:uid="{00000000-0005-0000-0000-0000B2100000}"/>
    <cellStyle name="Percent 11" xfId="1833" xr:uid="{00000000-0005-0000-0000-0000B3100000}"/>
    <cellStyle name="Percent 11 2" xfId="4426" xr:uid="{00000000-0005-0000-0000-0000B4100000}"/>
    <cellStyle name="Percent 11 2 2" xfId="4427" xr:uid="{00000000-0005-0000-0000-0000B5100000}"/>
    <cellStyle name="Percent 11 2 2 2" xfId="4428" xr:uid="{00000000-0005-0000-0000-0000B6100000}"/>
    <cellStyle name="Percent 12" xfId="370" xr:uid="{00000000-0005-0000-0000-0000B7100000}"/>
    <cellStyle name="Percent 12 2" xfId="4429" xr:uid="{00000000-0005-0000-0000-0000B8100000}"/>
    <cellStyle name="Percent 13" xfId="644" xr:uid="{00000000-0005-0000-0000-0000B9100000}"/>
    <cellStyle name="Percent 13 2" xfId="4430" xr:uid="{00000000-0005-0000-0000-0000BA100000}"/>
    <cellStyle name="Percent 13 2 2" xfId="4431" xr:uid="{00000000-0005-0000-0000-0000BB100000}"/>
    <cellStyle name="Percent 14" xfId="4432" xr:uid="{00000000-0005-0000-0000-0000BC100000}"/>
    <cellStyle name="Percent 14 2" xfId="4433" xr:uid="{00000000-0005-0000-0000-0000BD100000}"/>
    <cellStyle name="Percent 15" xfId="4434" xr:uid="{00000000-0005-0000-0000-0000BE100000}"/>
    <cellStyle name="Percent 16" xfId="4436" xr:uid="{00000000-0005-0000-0000-0000BF100000}"/>
    <cellStyle name="Percent 17" xfId="4438" xr:uid="{00000000-0005-0000-0000-0000C0100000}"/>
    <cellStyle name="Percent 18" xfId="4440" xr:uid="{00000000-0005-0000-0000-0000C1100000}"/>
    <cellStyle name="Percent 19" xfId="4442" xr:uid="{00000000-0005-0000-0000-0000C2100000}"/>
    <cellStyle name="Percent 2" xfId="4444" xr:uid="{00000000-0005-0000-0000-0000C3100000}"/>
    <cellStyle name="Percent 2 2" xfId="4445" xr:uid="{00000000-0005-0000-0000-0000C4100000}"/>
    <cellStyle name="Percent 2 2 2" xfId="4446" xr:uid="{00000000-0005-0000-0000-0000C5100000}"/>
    <cellStyle name="Percent 2 2 2 2" xfId="4447" xr:uid="{00000000-0005-0000-0000-0000C6100000}"/>
    <cellStyle name="Percent 2 2 3" xfId="4448" xr:uid="{00000000-0005-0000-0000-0000C7100000}"/>
    <cellStyle name="Percent 2 2 3 2" xfId="4449" xr:uid="{00000000-0005-0000-0000-0000C8100000}"/>
    <cellStyle name="Percent 2 3" xfId="4450" xr:uid="{00000000-0005-0000-0000-0000C9100000}"/>
    <cellStyle name="Percent 2 3 2" xfId="4451" xr:uid="{00000000-0005-0000-0000-0000CA100000}"/>
    <cellStyle name="Percent 2 4" xfId="4452" xr:uid="{00000000-0005-0000-0000-0000CB100000}"/>
    <cellStyle name="Percent 2 4 2" xfId="4453" xr:uid="{00000000-0005-0000-0000-0000CC100000}"/>
    <cellStyle name="Percent 2 5" xfId="4454" xr:uid="{00000000-0005-0000-0000-0000CD100000}"/>
    <cellStyle name="Percent 2 6" xfId="4455" xr:uid="{00000000-0005-0000-0000-0000CE100000}"/>
    <cellStyle name="Percent 2 6 2" xfId="4456" xr:uid="{00000000-0005-0000-0000-0000CF100000}"/>
    <cellStyle name="Percent 2 7" xfId="4457" xr:uid="{00000000-0005-0000-0000-0000D0100000}"/>
    <cellStyle name="Percent 2 8" xfId="4458" xr:uid="{00000000-0005-0000-0000-0000D1100000}"/>
    <cellStyle name="Percent 2 9" xfId="5338" xr:uid="{00000000-0005-0000-0000-0000D2100000}"/>
    <cellStyle name="Percent 2_BIL 190210_1519" xfId="4459" xr:uid="{00000000-0005-0000-0000-0000D3100000}"/>
    <cellStyle name="Percent 20" xfId="4435" xr:uid="{00000000-0005-0000-0000-0000D4100000}"/>
    <cellStyle name="Percent 21" xfId="4437" xr:uid="{00000000-0005-0000-0000-0000D5100000}"/>
    <cellStyle name="Percent 22" xfId="4439" xr:uid="{00000000-0005-0000-0000-0000D6100000}"/>
    <cellStyle name="Percent 23" xfId="4441" xr:uid="{00000000-0005-0000-0000-0000D7100000}"/>
    <cellStyle name="Percent 24" xfId="4443" xr:uid="{00000000-0005-0000-0000-0000D8100000}"/>
    <cellStyle name="Percent 25" xfId="4460" xr:uid="{00000000-0005-0000-0000-0000D9100000}"/>
    <cellStyle name="Percent 26" xfId="1015" xr:uid="{00000000-0005-0000-0000-0000DA100000}"/>
    <cellStyle name="Percent 27" xfId="650" xr:uid="{00000000-0005-0000-0000-0000DB100000}"/>
    <cellStyle name="Percent 28" xfId="2158" xr:uid="{00000000-0005-0000-0000-0000DC100000}"/>
    <cellStyle name="Percent 29" xfId="2161" xr:uid="{00000000-0005-0000-0000-0000DD100000}"/>
    <cellStyle name="Percent 3" xfId="4462" xr:uid="{00000000-0005-0000-0000-0000DE100000}"/>
    <cellStyle name="Percent 3 2" xfId="4463" xr:uid="{00000000-0005-0000-0000-0000DF100000}"/>
    <cellStyle name="Percent 3 3" xfId="4464" xr:uid="{00000000-0005-0000-0000-0000E0100000}"/>
    <cellStyle name="Percent 3_Castle 010510 1121" xfId="4465" xr:uid="{00000000-0005-0000-0000-0000E1100000}"/>
    <cellStyle name="Percent 30" xfId="4461" xr:uid="{00000000-0005-0000-0000-0000E2100000}"/>
    <cellStyle name="Percent 31" xfId="1014" xr:uid="{00000000-0005-0000-0000-0000E3100000}"/>
    <cellStyle name="Percent 32" xfId="649" xr:uid="{00000000-0005-0000-0000-0000E4100000}"/>
    <cellStyle name="Percent 33" xfId="2157" xr:uid="{00000000-0005-0000-0000-0000E5100000}"/>
    <cellStyle name="Percent 34" xfId="2160" xr:uid="{00000000-0005-0000-0000-0000E6100000}"/>
    <cellStyle name="Percent 35" xfId="1548" xr:uid="{00000000-0005-0000-0000-0000E7100000}"/>
    <cellStyle name="Percent 36" xfId="2164" xr:uid="{00000000-0005-0000-0000-0000E8100000}"/>
    <cellStyle name="Percent 37" xfId="2168" xr:uid="{00000000-0005-0000-0000-0000E9100000}"/>
    <cellStyle name="Percent 38" xfId="2172" xr:uid="{00000000-0005-0000-0000-0000EA100000}"/>
    <cellStyle name="Percent 39" xfId="2176" xr:uid="{00000000-0005-0000-0000-0000EB100000}"/>
    <cellStyle name="Percent 4" xfId="4466" xr:uid="{00000000-0005-0000-0000-0000EC100000}"/>
    <cellStyle name="Percent 4 2" xfId="4467" xr:uid="{00000000-0005-0000-0000-0000ED100000}"/>
    <cellStyle name="Percent 4 2 2" xfId="4468" xr:uid="{00000000-0005-0000-0000-0000EE100000}"/>
    <cellStyle name="Percent 40" xfId="1547" xr:uid="{00000000-0005-0000-0000-0000EF100000}"/>
    <cellStyle name="Percent 41" xfId="2163" xr:uid="{00000000-0005-0000-0000-0000F0100000}"/>
    <cellStyle name="Percent 42" xfId="2167" xr:uid="{00000000-0005-0000-0000-0000F1100000}"/>
    <cellStyle name="Percent 43" xfId="2171" xr:uid="{00000000-0005-0000-0000-0000F2100000}"/>
    <cellStyle name="Percent 44" xfId="2175" xr:uid="{00000000-0005-0000-0000-0000F3100000}"/>
    <cellStyle name="Percent 45" xfId="2180" xr:uid="{00000000-0005-0000-0000-0000F4100000}"/>
    <cellStyle name="Percent 46" xfId="2186" xr:uid="{00000000-0005-0000-0000-0000F5100000}"/>
    <cellStyle name="Percent 47" xfId="2190" xr:uid="{00000000-0005-0000-0000-0000F6100000}"/>
    <cellStyle name="Percent 48" xfId="2194" xr:uid="{00000000-0005-0000-0000-0000F7100000}"/>
    <cellStyle name="Percent 49" xfId="353" xr:uid="{00000000-0005-0000-0000-0000F8100000}"/>
    <cellStyle name="Percent 5" xfId="4469" xr:uid="{00000000-0005-0000-0000-0000F9100000}"/>
    <cellStyle name="Percent 5 2" xfId="4470" xr:uid="{00000000-0005-0000-0000-0000FA100000}"/>
    <cellStyle name="Percent 5 2 2" xfId="4471" xr:uid="{00000000-0005-0000-0000-0000FB100000}"/>
    <cellStyle name="Percent 5 3" xfId="4472" xr:uid="{00000000-0005-0000-0000-0000FC100000}"/>
    <cellStyle name="Percent 5 4" xfId="4473" xr:uid="{00000000-0005-0000-0000-0000FD100000}"/>
    <cellStyle name="Percent 5 5" xfId="4474" xr:uid="{00000000-0005-0000-0000-0000FE100000}"/>
    <cellStyle name="Percent 50" xfId="2179" xr:uid="{00000000-0005-0000-0000-0000FF100000}"/>
    <cellStyle name="Percent 51" xfId="2185" xr:uid="{00000000-0005-0000-0000-000000110000}"/>
    <cellStyle name="Percent 52" xfId="2189" xr:uid="{00000000-0005-0000-0000-000001110000}"/>
    <cellStyle name="Percent 53" xfId="2193" xr:uid="{00000000-0005-0000-0000-000002110000}"/>
    <cellStyle name="Percent 54" xfId="354" xr:uid="{00000000-0005-0000-0000-000003110000}"/>
    <cellStyle name="Percent 55" xfId="2198" xr:uid="{00000000-0005-0000-0000-000004110000}"/>
    <cellStyle name="Percent 56" xfId="2203" xr:uid="{00000000-0005-0000-0000-000005110000}"/>
    <cellStyle name="Percent 57" xfId="2207" xr:uid="{00000000-0005-0000-0000-000006110000}"/>
    <cellStyle name="Percent 58" xfId="2211" xr:uid="{00000000-0005-0000-0000-000007110000}"/>
    <cellStyle name="Percent 59" xfId="2215" xr:uid="{00000000-0005-0000-0000-000008110000}"/>
    <cellStyle name="Percent 6" xfId="4476" xr:uid="{00000000-0005-0000-0000-000009110000}"/>
    <cellStyle name="Percent 60" xfId="5336" xr:uid="{00000000-0005-0000-0000-00000A110000}"/>
    <cellStyle name="Percent 7" xfId="4477" xr:uid="{00000000-0005-0000-0000-00000B110000}"/>
    <cellStyle name="Percent 8" xfId="4478" xr:uid="{00000000-0005-0000-0000-00000C110000}"/>
    <cellStyle name="Percent 9" xfId="4479" xr:uid="{00000000-0005-0000-0000-00000D110000}"/>
    <cellStyle name="Percent Hard" xfId="4480" xr:uid="{00000000-0005-0000-0000-00000E110000}"/>
    <cellStyle name="Percent Input" xfId="4482" xr:uid="{00000000-0005-0000-0000-00000F110000}"/>
    <cellStyle name="Percent[0]" xfId="4483" xr:uid="{00000000-0005-0000-0000-000010110000}"/>
    <cellStyle name="Percent[0] 2" xfId="4484" xr:uid="{00000000-0005-0000-0000-000011110000}"/>
    <cellStyle name="Percent[2]" xfId="4485" xr:uid="{00000000-0005-0000-0000-000012110000}"/>
    <cellStyle name="Percent[2] 2" xfId="4486" xr:uid="{00000000-0005-0000-0000-000013110000}"/>
    <cellStyle name="Percent0" xfId="4487" xr:uid="{00000000-0005-0000-0000-000014110000}"/>
    <cellStyle name="Percent1" xfId="4488" xr:uid="{00000000-0005-0000-0000-000015110000}"/>
    <cellStyle name="Percent2" xfId="4489" xr:uid="{00000000-0005-0000-0000-000016110000}"/>
    <cellStyle name="PERCENTAGE" xfId="4490" xr:uid="{00000000-0005-0000-0000-000017110000}"/>
    <cellStyle name="PERCENTAGE 2" xfId="289" xr:uid="{00000000-0005-0000-0000-000018110000}"/>
    <cellStyle name="PERCENTAGE 3" xfId="4491" xr:uid="{00000000-0005-0000-0000-000019110000}"/>
    <cellStyle name="PercentChange" xfId="1291" xr:uid="{00000000-0005-0000-0000-00001A110000}"/>
    <cellStyle name="PercentSales" xfId="4492" xr:uid="{00000000-0005-0000-0000-00001B110000}"/>
    <cellStyle name="Periods" xfId="4493" xr:uid="{00000000-0005-0000-0000-00001C110000}"/>
    <cellStyle name="PlainDollarBoldwBorders" xfId="4494" xr:uid="{00000000-0005-0000-0000-00001D110000}"/>
    <cellStyle name="PlainDollarBoldwBorders 2" xfId="4495" xr:uid="{00000000-0005-0000-0000-00001E110000}"/>
    <cellStyle name="PlainDollarBoldwBorders_211109_ 1840" xfId="4496" xr:uid="{00000000-0005-0000-0000-00001F110000}"/>
    <cellStyle name="Porcentaje 2" xfId="3530" xr:uid="{00000000-0005-0000-0000-000020110000}"/>
    <cellStyle name="Porcentaje 3" xfId="4497" xr:uid="{00000000-0005-0000-0000-000021110000}"/>
    <cellStyle name="Porcentaje 4" xfId="166" xr:uid="{00000000-0005-0000-0000-000022110000}"/>
    <cellStyle name="Porcentaje 5" xfId="4499" xr:uid="{00000000-0005-0000-0000-000023110000}"/>
    <cellStyle name="Porcentaje 5 2" xfId="4500" xr:uid="{00000000-0005-0000-0000-000024110000}"/>
    <cellStyle name="Porcentual 2" xfId="4501" xr:uid="{00000000-0005-0000-0000-000025110000}"/>
    <cellStyle name="Porcentual 2 2" xfId="4502" xr:uid="{00000000-0005-0000-0000-000026110000}"/>
    <cellStyle name="Porcentual 3" xfId="4503" xr:uid="{00000000-0005-0000-0000-000027110000}"/>
    <cellStyle name="Pourcentage_Ankara-New costing - based on T1" xfId="4504" xr:uid="{00000000-0005-0000-0000-000028110000}"/>
    <cellStyle name="PrePop Currency (0)" xfId="4505" xr:uid="{00000000-0005-0000-0000-000029110000}"/>
    <cellStyle name="PrePop Currency (0) 2" xfId="686" xr:uid="{00000000-0005-0000-0000-00002A110000}"/>
    <cellStyle name="PrePop Currency (0) 3" xfId="4507" xr:uid="{00000000-0005-0000-0000-00002B110000}"/>
    <cellStyle name="PrePop Currency (0) 4" xfId="4508" xr:uid="{00000000-0005-0000-0000-00002C110000}"/>
    <cellStyle name="PrePop Currency (0) 5" xfId="4509" xr:uid="{00000000-0005-0000-0000-00002D110000}"/>
    <cellStyle name="PrePop Currency (0) 6" xfId="4510" xr:uid="{00000000-0005-0000-0000-00002E110000}"/>
    <cellStyle name="PrePop Currency (0) 7" xfId="4511" xr:uid="{00000000-0005-0000-0000-00002F110000}"/>
    <cellStyle name="PrePop Currency (0) 8" xfId="4512" xr:uid="{00000000-0005-0000-0000-000030110000}"/>
    <cellStyle name="PrePop Currency (0)_PI-international comps" xfId="4513" xr:uid="{00000000-0005-0000-0000-000031110000}"/>
    <cellStyle name="PrePop Currency (2)" xfId="4514" xr:uid="{00000000-0005-0000-0000-000032110000}"/>
    <cellStyle name="PrePop Currency (2) 2" xfId="4515" xr:uid="{00000000-0005-0000-0000-000033110000}"/>
    <cellStyle name="PrePop Currency (2) 3" xfId="4516" xr:uid="{00000000-0005-0000-0000-000034110000}"/>
    <cellStyle name="PrePop Currency (2) 4" xfId="4517" xr:uid="{00000000-0005-0000-0000-000035110000}"/>
    <cellStyle name="PrePop Currency (2) 5" xfId="4518" xr:uid="{00000000-0005-0000-0000-000036110000}"/>
    <cellStyle name="PrePop Currency (2) 6" xfId="4519" xr:uid="{00000000-0005-0000-0000-000037110000}"/>
    <cellStyle name="PrePop Currency (2) 7" xfId="4520" xr:uid="{00000000-0005-0000-0000-000038110000}"/>
    <cellStyle name="PrePop Currency (2) 8" xfId="4521" xr:uid="{00000000-0005-0000-0000-000039110000}"/>
    <cellStyle name="PrePop Currency (2)_PI-international comps" xfId="4522" xr:uid="{00000000-0005-0000-0000-00003A110000}"/>
    <cellStyle name="PrePop Units (0)" xfId="4523" xr:uid="{00000000-0005-0000-0000-00003B110000}"/>
    <cellStyle name="PrePop Units (0) 2" xfId="4524" xr:uid="{00000000-0005-0000-0000-00003C110000}"/>
    <cellStyle name="PrePop Units (0) 3" xfId="4525" xr:uid="{00000000-0005-0000-0000-00003D110000}"/>
    <cellStyle name="PrePop Units (0) 4" xfId="4526" xr:uid="{00000000-0005-0000-0000-00003E110000}"/>
    <cellStyle name="PrePop Units (0) 5" xfId="1854" xr:uid="{00000000-0005-0000-0000-00003F110000}"/>
    <cellStyle name="PrePop Units (0) 6" xfId="1591" xr:uid="{00000000-0005-0000-0000-000040110000}"/>
    <cellStyle name="PrePop Units (0) 7" xfId="1861" xr:uid="{00000000-0005-0000-0000-000041110000}"/>
    <cellStyle name="PrePop Units (0) 8" xfId="1864" xr:uid="{00000000-0005-0000-0000-000042110000}"/>
    <cellStyle name="PrePop Units (0)_PI-international comps" xfId="4527" xr:uid="{00000000-0005-0000-0000-000043110000}"/>
    <cellStyle name="PrePop Units (1)" xfId="1317" xr:uid="{00000000-0005-0000-0000-000044110000}"/>
    <cellStyle name="PrePop Units (1) 2" xfId="4528" xr:uid="{00000000-0005-0000-0000-000045110000}"/>
    <cellStyle name="PrePop Units (1) 3" xfId="4529" xr:uid="{00000000-0005-0000-0000-000046110000}"/>
    <cellStyle name="PrePop Units (1) 4" xfId="4530" xr:uid="{00000000-0005-0000-0000-000047110000}"/>
    <cellStyle name="PrePop Units (1) 5" xfId="949" xr:uid="{00000000-0005-0000-0000-000048110000}"/>
    <cellStyle name="PrePop Units (1) 6" xfId="1223" xr:uid="{00000000-0005-0000-0000-000049110000}"/>
    <cellStyle name="PrePop Units (1) 7" xfId="1229" xr:uid="{00000000-0005-0000-0000-00004A110000}"/>
    <cellStyle name="PrePop Units (1) 8" xfId="1235" xr:uid="{00000000-0005-0000-0000-00004B110000}"/>
    <cellStyle name="PrePop Units (1)_PI-international comps" xfId="4531" xr:uid="{00000000-0005-0000-0000-00004C110000}"/>
    <cellStyle name="PrePop Units (2)" xfId="4532" xr:uid="{00000000-0005-0000-0000-00004D110000}"/>
    <cellStyle name="PrePop Units (2) 2" xfId="4533" xr:uid="{00000000-0005-0000-0000-00004E110000}"/>
    <cellStyle name="PrePop Units (2) 3" xfId="4534" xr:uid="{00000000-0005-0000-0000-00004F110000}"/>
    <cellStyle name="PrePop Units (2) 4" xfId="3615" xr:uid="{00000000-0005-0000-0000-000050110000}"/>
    <cellStyle name="PrePop Units (2) 5" xfId="178" xr:uid="{00000000-0005-0000-0000-000051110000}"/>
    <cellStyle name="PrePop Units (2) 6" xfId="184" xr:uid="{00000000-0005-0000-0000-000052110000}"/>
    <cellStyle name="PrePop Units (2) 7" xfId="171" xr:uid="{00000000-0005-0000-0000-000053110000}"/>
    <cellStyle name="PrePop Units (2) 8" xfId="200" xr:uid="{00000000-0005-0000-0000-000054110000}"/>
    <cellStyle name="PrePop Units (2)_PI-international comps" xfId="4535" xr:uid="{00000000-0005-0000-0000-000055110000}"/>
    <cellStyle name="Price" xfId="4536" xr:uid="{00000000-0005-0000-0000-000056110000}"/>
    <cellStyle name="ProgramVariable" xfId="4537" xr:uid="{00000000-0005-0000-0000-000057110000}"/>
    <cellStyle name="Proj" xfId="4538" xr:uid="{00000000-0005-0000-0000-000058110000}"/>
    <cellStyle name="ProtectedDates" xfId="4539" xr:uid="{00000000-0005-0000-0000-000059110000}"/>
    <cellStyle name="PSChar" xfId="4540" xr:uid="{00000000-0005-0000-0000-00005A110000}"/>
    <cellStyle name="PSChar 2" xfId="4542" xr:uid="{00000000-0005-0000-0000-00005B110000}"/>
    <cellStyle name="PSDate" xfId="4543" xr:uid="{00000000-0005-0000-0000-00005C110000}"/>
    <cellStyle name="PSDate 2" xfId="3466" xr:uid="{00000000-0005-0000-0000-00005D110000}"/>
    <cellStyle name="PSDec" xfId="4544" xr:uid="{00000000-0005-0000-0000-00005E110000}"/>
    <cellStyle name="PSDec 2" xfId="72" xr:uid="{00000000-0005-0000-0000-00005F110000}"/>
    <cellStyle name="PSHeading" xfId="4314" xr:uid="{00000000-0005-0000-0000-000060110000}"/>
    <cellStyle name="PSHeading 2" xfId="4545" xr:uid="{00000000-0005-0000-0000-000061110000}"/>
    <cellStyle name="PSHeading_211109_ 1840" xfId="4546" xr:uid="{00000000-0005-0000-0000-000062110000}"/>
    <cellStyle name="PSInt" xfId="4547" xr:uid="{00000000-0005-0000-0000-000063110000}"/>
    <cellStyle name="PSInt 2" xfId="4548" xr:uid="{00000000-0005-0000-0000-000064110000}"/>
    <cellStyle name="PSSpacer" xfId="4549" xr:uid="{00000000-0005-0000-0000-000065110000}"/>
    <cellStyle name="PSSpacer 2" xfId="4550" xr:uid="{00000000-0005-0000-0000-000066110000}"/>
    <cellStyle name="ReadInData" xfId="4551" xr:uid="{00000000-0005-0000-0000-000067110000}"/>
    <cellStyle name="Red" xfId="1654" xr:uid="{00000000-0005-0000-0000-000068110000}"/>
    <cellStyle name="RED 2" xfId="4552" xr:uid="{00000000-0005-0000-0000-000069110000}"/>
    <cellStyle name="RED 3" xfId="4553" xr:uid="{00000000-0005-0000-0000-00006A110000}"/>
    <cellStyle name="RED 4" xfId="4554" xr:uid="{00000000-0005-0000-0000-00006B110000}"/>
    <cellStyle name="RED 5" xfId="4555" xr:uid="{00000000-0005-0000-0000-00006C110000}"/>
    <cellStyle name="RED 6" xfId="4556" xr:uid="{00000000-0005-0000-0000-00006D110000}"/>
    <cellStyle name="Red font" xfId="4557" xr:uid="{00000000-0005-0000-0000-00006E110000}"/>
    <cellStyle name="Report" xfId="4558" xr:uid="{00000000-0005-0000-0000-00006F110000}"/>
    <cellStyle name="ReportNums" xfId="4559" xr:uid="{00000000-0005-0000-0000-000070110000}"/>
    <cellStyle name="ReportNums 10" xfId="4560" xr:uid="{00000000-0005-0000-0000-000071110000}"/>
    <cellStyle name="ReportNums 11" xfId="4561" xr:uid="{00000000-0005-0000-0000-000072110000}"/>
    <cellStyle name="ReportNums 12" xfId="4562" xr:uid="{00000000-0005-0000-0000-000073110000}"/>
    <cellStyle name="ReportNums 13" xfId="4563" xr:uid="{00000000-0005-0000-0000-000074110000}"/>
    <cellStyle name="ReportNums 14" xfId="4564" xr:uid="{00000000-0005-0000-0000-000075110000}"/>
    <cellStyle name="ReportNums 15" xfId="4565" xr:uid="{00000000-0005-0000-0000-000076110000}"/>
    <cellStyle name="ReportNums 16" xfId="4567" xr:uid="{00000000-0005-0000-0000-000077110000}"/>
    <cellStyle name="ReportNums 17" xfId="4570" xr:uid="{00000000-0005-0000-0000-000078110000}"/>
    <cellStyle name="ReportNums 18" xfId="4572" xr:uid="{00000000-0005-0000-0000-000079110000}"/>
    <cellStyle name="ReportNums 19" xfId="4574" xr:uid="{00000000-0005-0000-0000-00007A110000}"/>
    <cellStyle name="ReportNums 2" xfId="4576" xr:uid="{00000000-0005-0000-0000-00007B110000}"/>
    <cellStyle name="ReportNums 2 10" xfId="4577" xr:uid="{00000000-0005-0000-0000-00007C110000}"/>
    <cellStyle name="ReportNums 2 11" xfId="4578" xr:uid="{00000000-0005-0000-0000-00007D110000}"/>
    <cellStyle name="ReportNums 2 12" xfId="4579" xr:uid="{00000000-0005-0000-0000-00007E110000}"/>
    <cellStyle name="ReportNums 2 13" xfId="4581" xr:uid="{00000000-0005-0000-0000-00007F110000}"/>
    <cellStyle name="ReportNums 2 14" xfId="4582" xr:uid="{00000000-0005-0000-0000-000080110000}"/>
    <cellStyle name="ReportNums 2 15" xfId="4583" xr:uid="{00000000-0005-0000-0000-000081110000}"/>
    <cellStyle name="ReportNums 2 16" xfId="4585" xr:uid="{00000000-0005-0000-0000-000082110000}"/>
    <cellStyle name="ReportNums 2 17" xfId="4587" xr:uid="{00000000-0005-0000-0000-000083110000}"/>
    <cellStyle name="ReportNums 2 18" xfId="4589" xr:uid="{00000000-0005-0000-0000-000084110000}"/>
    <cellStyle name="ReportNums 2 19" xfId="105" xr:uid="{00000000-0005-0000-0000-000085110000}"/>
    <cellStyle name="ReportNums 2 2" xfId="4160" xr:uid="{00000000-0005-0000-0000-000086110000}"/>
    <cellStyle name="ReportNums 2 20" xfId="4584" xr:uid="{00000000-0005-0000-0000-000087110000}"/>
    <cellStyle name="ReportNums 2 21" xfId="4586" xr:uid="{00000000-0005-0000-0000-000088110000}"/>
    <cellStyle name="ReportNums 2 22" xfId="4588" xr:uid="{00000000-0005-0000-0000-000089110000}"/>
    <cellStyle name="ReportNums 2 23" xfId="4590" xr:uid="{00000000-0005-0000-0000-00008A110000}"/>
    <cellStyle name="ReportNums 2 24" xfId="106" xr:uid="{00000000-0005-0000-0000-00008B110000}"/>
    <cellStyle name="ReportNums 2 25" xfId="4591" xr:uid="{00000000-0005-0000-0000-00008C110000}"/>
    <cellStyle name="ReportNums 2 26" xfId="4592" xr:uid="{00000000-0005-0000-0000-00008D110000}"/>
    <cellStyle name="ReportNums 2 27" xfId="4593" xr:uid="{00000000-0005-0000-0000-00008E110000}"/>
    <cellStyle name="ReportNums 2 28" xfId="4594" xr:uid="{00000000-0005-0000-0000-00008F110000}"/>
    <cellStyle name="ReportNums 2 29" xfId="4595" xr:uid="{00000000-0005-0000-0000-000090110000}"/>
    <cellStyle name="ReportNums 2 3" xfId="4162" xr:uid="{00000000-0005-0000-0000-000091110000}"/>
    <cellStyle name="ReportNums 2 4" xfId="2748" xr:uid="{00000000-0005-0000-0000-000092110000}"/>
    <cellStyle name="ReportNums 2 5" xfId="4596" xr:uid="{00000000-0005-0000-0000-000093110000}"/>
    <cellStyle name="ReportNums 2 6" xfId="4597" xr:uid="{00000000-0005-0000-0000-000094110000}"/>
    <cellStyle name="ReportNums 2 7" xfId="4598" xr:uid="{00000000-0005-0000-0000-000095110000}"/>
    <cellStyle name="ReportNums 2 8" xfId="4599" xr:uid="{00000000-0005-0000-0000-000096110000}"/>
    <cellStyle name="ReportNums 2 9" xfId="4600" xr:uid="{00000000-0005-0000-0000-000097110000}"/>
    <cellStyle name="ReportNums 20" xfId="4566" xr:uid="{00000000-0005-0000-0000-000098110000}"/>
    <cellStyle name="ReportNums 21" xfId="4568" xr:uid="{00000000-0005-0000-0000-000099110000}"/>
    <cellStyle name="ReportNums 22" xfId="4571" xr:uid="{00000000-0005-0000-0000-00009A110000}"/>
    <cellStyle name="ReportNums 23" xfId="4573" xr:uid="{00000000-0005-0000-0000-00009B110000}"/>
    <cellStyle name="ReportNums 24" xfId="4575" xr:uid="{00000000-0005-0000-0000-00009C110000}"/>
    <cellStyle name="ReportNums 25" xfId="4601" xr:uid="{00000000-0005-0000-0000-00009D110000}"/>
    <cellStyle name="ReportNums 26" xfId="4603" xr:uid="{00000000-0005-0000-0000-00009E110000}"/>
    <cellStyle name="ReportNums 27" xfId="4605" xr:uid="{00000000-0005-0000-0000-00009F110000}"/>
    <cellStyle name="ReportNums 28" xfId="4607" xr:uid="{00000000-0005-0000-0000-0000A0110000}"/>
    <cellStyle name="ReportNums 29" xfId="4609" xr:uid="{00000000-0005-0000-0000-0000A1110000}"/>
    <cellStyle name="ReportNums 3" xfId="4611" xr:uid="{00000000-0005-0000-0000-0000A2110000}"/>
    <cellStyle name="ReportNums 3 10" xfId="4612" xr:uid="{00000000-0005-0000-0000-0000A3110000}"/>
    <cellStyle name="ReportNums 3 11" xfId="4613" xr:uid="{00000000-0005-0000-0000-0000A4110000}"/>
    <cellStyle name="ReportNums 3 12" xfId="4614" xr:uid="{00000000-0005-0000-0000-0000A5110000}"/>
    <cellStyle name="ReportNums 3 13" xfId="4615" xr:uid="{00000000-0005-0000-0000-0000A6110000}"/>
    <cellStyle name="ReportNums 3 14" xfId="4616" xr:uid="{00000000-0005-0000-0000-0000A7110000}"/>
    <cellStyle name="ReportNums 3 15" xfId="4617" xr:uid="{00000000-0005-0000-0000-0000A8110000}"/>
    <cellStyle name="ReportNums 3 16" xfId="4619" xr:uid="{00000000-0005-0000-0000-0000A9110000}"/>
    <cellStyle name="ReportNums 3 17" xfId="4621" xr:uid="{00000000-0005-0000-0000-0000AA110000}"/>
    <cellStyle name="ReportNums 3 18" xfId="4623" xr:uid="{00000000-0005-0000-0000-0000AB110000}"/>
    <cellStyle name="ReportNums 3 19" xfId="4625" xr:uid="{00000000-0005-0000-0000-0000AC110000}"/>
    <cellStyle name="ReportNums 3 2" xfId="4627" xr:uid="{00000000-0005-0000-0000-0000AD110000}"/>
    <cellStyle name="ReportNums 3 20" xfId="4618" xr:uid="{00000000-0005-0000-0000-0000AE110000}"/>
    <cellStyle name="ReportNums 3 21" xfId="4620" xr:uid="{00000000-0005-0000-0000-0000AF110000}"/>
    <cellStyle name="ReportNums 3 22" xfId="4622" xr:uid="{00000000-0005-0000-0000-0000B0110000}"/>
    <cellStyle name="ReportNums 3 23" xfId="4624" xr:uid="{00000000-0005-0000-0000-0000B1110000}"/>
    <cellStyle name="ReportNums 3 24" xfId="4626" xr:uid="{00000000-0005-0000-0000-0000B2110000}"/>
    <cellStyle name="ReportNums 3 25" xfId="4628" xr:uid="{00000000-0005-0000-0000-0000B3110000}"/>
    <cellStyle name="ReportNums 3 26" xfId="4629" xr:uid="{00000000-0005-0000-0000-0000B4110000}"/>
    <cellStyle name="ReportNums 3 27" xfId="4630" xr:uid="{00000000-0005-0000-0000-0000B5110000}"/>
    <cellStyle name="ReportNums 3 28" xfId="4631" xr:uid="{00000000-0005-0000-0000-0000B6110000}"/>
    <cellStyle name="ReportNums 3 29" xfId="4632" xr:uid="{00000000-0005-0000-0000-0000B7110000}"/>
    <cellStyle name="ReportNums 3 3" xfId="4633" xr:uid="{00000000-0005-0000-0000-0000B8110000}"/>
    <cellStyle name="ReportNums 3 4" xfId="4634" xr:uid="{00000000-0005-0000-0000-0000B9110000}"/>
    <cellStyle name="ReportNums 3 5" xfId="4635" xr:uid="{00000000-0005-0000-0000-0000BA110000}"/>
    <cellStyle name="ReportNums 3 6" xfId="4636" xr:uid="{00000000-0005-0000-0000-0000BB110000}"/>
    <cellStyle name="ReportNums 3 7" xfId="4637" xr:uid="{00000000-0005-0000-0000-0000BC110000}"/>
    <cellStyle name="ReportNums 3 8" xfId="4638" xr:uid="{00000000-0005-0000-0000-0000BD110000}"/>
    <cellStyle name="ReportNums 3 9" xfId="4639" xr:uid="{00000000-0005-0000-0000-0000BE110000}"/>
    <cellStyle name="ReportNums 30" xfId="4602" xr:uid="{00000000-0005-0000-0000-0000BF110000}"/>
    <cellStyle name="ReportNums 31" xfId="4604" xr:uid="{00000000-0005-0000-0000-0000C0110000}"/>
    <cellStyle name="ReportNums 32" xfId="4606" xr:uid="{00000000-0005-0000-0000-0000C1110000}"/>
    <cellStyle name="ReportNums 33" xfId="4608" xr:uid="{00000000-0005-0000-0000-0000C2110000}"/>
    <cellStyle name="ReportNums 34" xfId="4610" xr:uid="{00000000-0005-0000-0000-0000C3110000}"/>
    <cellStyle name="ReportNums 35" xfId="2921" xr:uid="{00000000-0005-0000-0000-0000C4110000}"/>
    <cellStyle name="ReportNums 4" xfId="4640" xr:uid="{00000000-0005-0000-0000-0000C5110000}"/>
    <cellStyle name="ReportNums 4 10" xfId="4641" xr:uid="{00000000-0005-0000-0000-0000C6110000}"/>
    <cellStyle name="ReportNums 4 11" xfId="4642" xr:uid="{00000000-0005-0000-0000-0000C7110000}"/>
    <cellStyle name="ReportNums 4 12" xfId="4643" xr:uid="{00000000-0005-0000-0000-0000C8110000}"/>
    <cellStyle name="ReportNums 4 13" xfId="4644" xr:uid="{00000000-0005-0000-0000-0000C9110000}"/>
    <cellStyle name="ReportNums 4 14" xfId="4645" xr:uid="{00000000-0005-0000-0000-0000CA110000}"/>
    <cellStyle name="ReportNums 4 15" xfId="4646" xr:uid="{00000000-0005-0000-0000-0000CB110000}"/>
    <cellStyle name="ReportNums 4 16" xfId="4648" xr:uid="{00000000-0005-0000-0000-0000CC110000}"/>
    <cellStyle name="ReportNums 4 17" xfId="4650" xr:uid="{00000000-0005-0000-0000-0000CD110000}"/>
    <cellStyle name="ReportNums 4 18" xfId="4652" xr:uid="{00000000-0005-0000-0000-0000CE110000}"/>
    <cellStyle name="ReportNums 4 19" xfId="4654" xr:uid="{00000000-0005-0000-0000-0000CF110000}"/>
    <cellStyle name="ReportNums 4 2" xfId="4656" xr:uid="{00000000-0005-0000-0000-0000D0110000}"/>
    <cellStyle name="ReportNums 4 20" xfId="4647" xr:uid="{00000000-0005-0000-0000-0000D1110000}"/>
    <cellStyle name="ReportNums 4 21" xfId="4649" xr:uid="{00000000-0005-0000-0000-0000D2110000}"/>
    <cellStyle name="ReportNums 4 22" xfId="4651" xr:uid="{00000000-0005-0000-0000-0000D3110000}"/>
    <cellStyle name="ReportNums 4 23" xfId="4653" xr:uid="{00000000-0005-0000-0000-0000D4110000}"/>
    <cellStyle name="ReportNums 4 24" xfId="4655" xr:uid="{00000000-0005-0000-0000-0000D5110000}"/>
    <cellStyle name="ReportNums 4 25" xfId="4657" xr:uid="{00000000-0005-0000-0000-0000D6110000}"/>
    <cellStyle name="ReportNums 4 26" xfId="4658" xr:uid="{00000000-0005-0000-0000-0000D7110000}"/>
    <cellStyle name="ReportNums 4 27" xfId="4659" xr:uid="{00000000-0005-0000-0000-0000D8110000}"/>
    <cellStyle name="ReportNums 4 28" xfId="4660" xr:uid="{00000000-0005-0000-0000-0000D9110000}"/>
    <cellStyle name="ReportNums 4 29" xfId="4661" xr:uid="{00000000-0005-0000-0000-0000DA110000}"/>
    <cellStyle name="ReportNums 4 3" xfId="4662" xr:uid="{00000000-0005-0000-0000-0000DB110000}"/>
    <cellStyle name="ReportNums 4 4" xfId="4663" xr:uid="{00000000-0005-0000-0000-0000DC110000}"/>
    <cellStyle name="ReportNums 4 5" xfId="4664" xr:uid="{00000000-0005-0000-0000-0000DD110000}"/>
    <cellStyle name="ReportNums 4 6" xfId="4665" xr:uid="{00000000-0005-0000-0000-0000DE110000}"/>
    <cellStyle name="ReportNums 4 7" xfId="4666" xr:uid="{00000000-0005-0000-0000-0000DF110000}"/>
    <cellStyle name="ReportNums 4 8" xfId="4667" xr:uid="{00000000-0005-0000-0000-0000E0110000}"/>
    <cellStyle name="ReportNums 4 9" xfId="4668" xr:uid="{00000000-0005-0000-0000-0000E1110000}"/>
    <cellStyle name="ReportNums 5" xfId="4669" xr:uid="{00000000-0005-0000-0000-0000E2110000}"/>
    <cellStyle name="ReportNums 5 10" xfId="4670" xr:uid="{00000000-0005-0000-0000-0000E3110000}"/>
    <cellStyle name="ReportNums 5 11" xfId="4671" xr:uid="{00000000-0005-0000-0000-0000E4110000}"/>
    <cellStyle name="ReportNums 5 12" xfId="4672" xr:uid="{00000000-0005-0000-0000-0000E5110000}"/>
    <cellStyle name="ReportNums 5 13" xfId="4673" xr:uid="{00000000-0005-0000-0000-0000E6110000}"/>
    <cellStyle name="ReportNums 5 14" xfId="4674" xr:uid="{00000000-0005-0000-0000-0000E7110000}"/>
    <cellStyle name="ReportNums 5 15" xfId="4675" xr:uid="{00000000-0005-0000-0000-0000E8110000}"/>
    <cellStyle name="ReportNums 5 16" xfId="4677" xr:uid="{00000000-0005-0000-0000-0000E9110000}"/>
    <cellStyle name="ReportNums 5 17" xfId="4679" xr:uid="{00000000-0005-0000-0000-0000EA110000}"/>
    <cellStyle name="ReportNums 5 18" xfId="886" xr:uid="{00000000-0005-0000-0000-0000EB110000}"/>
    <cellStyle name="ReportNums 5 19" xfId="4681" xr:uid="{00000000-0005-0000-0000-0000EC110000}"/>
    <cellStyle name="ReportNums 5 2" xfId="4683" xr:uid="{00000000-0005-0000-0000-0000ED110000}"/>
    <cellStyle name="ReportNums 5 20" xfId="4676" xr:uid="{00000000-0005-0000-0000-0000EE110000}"/>
    <cellStyle name="ReportNums 5 21" xfId="4678" xr:uid="{00000000-0005-0000-0000-0000EF110000}"/>
    <cellStyle name="ReportNums 5 22" xfId="4680" xr:uid="{00000000-0005-0000-0000-0000F0110000}"/>
    <cellStyle name="ReportNums 5 23" xfId="885" xr:uid="{00000000-0005-0000-0000-0000F1110000}"/>
    <cellStyle name="ReportNums 5 24" xfId="4682" xr:uid="{00000000-0005-0000-0000-0000F2110000}"/>
    <cellStyle name="ReportNums 5 25" xfId="4684" xr:uid="{00000000-0005-0000-0000-0000F3110000}"/>
    <cellStyle name="ReportNums 5 26" xfId="4685" xr:uid="{00000000-0005-0000-0000-0000F4110000}"/>
    <cellStyle name="ReportNums 5 27" xfId="4686" xr:uid="{00000000-0005-0000-0000-0000F5110000}"/>
    <cellStyle name="ReportNums 5 28" xfId="4687" xr:uid="{00000000-0005-0000-0000-0000F6110000}"/>
    <cellStyle name="ReportNums 5 29" xfId="4688" xr:uid="{00000000-0005-0000-0000-0000F7110000}"/>
    <cellStyle name="ReportNums 5 3" xfId="4689" xr:uid="{00000000-0005-0000-0000-0000F8110000}"/>
    <cellStyle name="ReportNums 5 4" xfId="4690" xr:uid="{00000000-0005-0000-0000-0000F9110000}"/>
    <cellStyle name="ReportNums 5 5" xfId="4691" xr:uid="{00000000-0005-0000-0000-0000FA110000}"/>
    <cellStyle name="ReportNums 5 6" xfId="4692" xr:uid="{00000000-0005-0000-0000-0000FB110000}"/>
    <cellStyle name="ReportNums 5 7" xfId="1733" xr:uid="{00000000-0005-0000-0000-0000FC110000}"/>
    <cellStyle name="ReportNums 5 8" xfId="4693" xr:uid="{00000000-0005-0000-0000-0000FD110000}"/>
    <cellStyle name="ReportNums 5 9" xfId="4694" xr:uid="{00000000-0005-0000-0000-0000FE110000}"/>
    <cellStyle name="ReportNums 6" xfId="4695" xr:uid="{00000000-0005-0000-0000-0000FF110000}"/>
    <cellStyle name="ReportNums 6 10" xfId="4696" xr:uid="{00000000-0005-0000-0000-000000120000}"/>
    <cellStyle name="ReportNums 6 11" xfId="4697" xr:uid="{00000000-0005-0000-0000-000001120000}"/>
    <cellStyle name="ReportNums 6 12" xfId="4698" xr:uid="{00000000-0005-0000-0000-000002120000}"/>
    <cellStyle name="ReportNums 6 13" xfId="4699" xr:uid="{00000000-0005-0000-0000-000003120000}"/>
    <cellStyle name="ReportNums 6 14" xfId="4700" xr:uid="{00000000-0005-0000-0000-000004120000}"/>
    <cellStyle name="ReportNums 6 15" xfId="2595" xr:uid="{00000000-0005-0000-0000-000005120000}"/>
    <cellStyle name="ReportNums 6 16" xfId="4701" xr:uid="{00000000-0005-0000-0000-000006120000}"/>
    <cellStyle name="ReportNums 6 17" xfId="4703" xr:uid="{00000000-0005-0000-0000-000007120000}"/>
    <cellStyle name="ReportNums 6 18" xfId="4705" xr:uid="{00000000-0005-0000-0000-000008120000}"/>
    <cellStyle name="ReportNums 6 19" xfId="4707" xr:uid="{00000000-0005-0000-0000-000009120000}"/>
    <cellStyle name="ReportNums 6 2" xfId="4709" xr:uid="{00000000-0005-0000-0000-00000A120000}"/>
    <cellStyle name="ReportNums 6 20" xfId="2594" xr:uid="{00000000-0005-0000-0000-00000B120000}"/>
    <cellStyle name="ReportNums 6 21" xfId="4702" xr:uid="{00000000-0005-0000-0000-00000C120000}"/>
    <cellStyle name="ReportNums 6 22" xfId="4704" xr:uid="{00000000-0005-0000-0000-00000D120000}"/>
    <cellStyle name="ReportNums 6 23" xfId="4706" xr:uid="{00000000-0005-0000-0000-00000E120000}"/>
    <cellStyle name="ReportNums 6 24" xfId="4708" xr:uid="{00000000-0005-0000-0000-00000F120000}"/>
    <cellStyle name="ReportNums 6 25" xfId="4710" xr:uid="{00000000-0005-0000-0000-000010120000}"/>
    <cellStyle name="ReportNums 6 26" xfId="2800" xr:uid="{00000000-0005-0000-0000-000011120000}"/>
    <cellStyle name="ReportNums 6 27" xfId="4711" xr:uid="{00000000-0005-0000-0000-000012120000}"/>
    <cellStyle name="ReportNums 6 28" xfId="4712" xr:uid="{00000000-0005-0000-0000-000013120000}"/>
    <cellStyle name="ReportNums 6 29" xfId="4713" xr:uid="{00000000-0005-0000-0000-000014120000}"/>
    <cellStyle name="ReportNums 6 3" xfId="4714" xr:uid="{00000000-0005-0000-0000-000015120000}"/>
    <cellStyle name="ReportNums 6 4" xfId="4715" xr:uid="{00000000-0005-0000-0000-000016120000}"/>
    <cellStyle name="ReportNums 6 5" xfId="4716" xr:uid="{00000000-0005-0000-0000-000017120000}"/>
    <cellStyle name="ReportNums 6 6" xfId="4717" xr:uid="{00000000-0005-0000-0000-000018120000}"/>
    <cellStyle name="ReportNums 6 7" xfId="4718" xr:uid="{00000000-0005-0000-0000-000019120000}"/>
    <cellStyle name="ReportNums 6 8" xfId="4719" xr:uid="{00000000-0005-0000-0000-00001A120000}"/>
    <cellStyle name="ReportNums 6 9" xfId="4720" xr:uid="{00000000-0005-0000-0000-00001B120000}"/>
    <cellStyle name="ReportNums 7" xfId="4721" xr:uid="{00000000-0005-0000-0000-00001C120000}"/>
    <cellStyle name="ReportNums 7 10" xfId="4722" xr:uid="{00000000-0005-0000-0000-00001D120000}"/>
    <cellStyle name="ReportNums 7 11" xfId="4723" xr:uid="{00000000-0005-0000-0000-00001E120000}"/>
    <cellStyle name="ReportNums 7 12" xfId="4724" xr:uid="{00000000-0005-0000-0000-00001F120000}"/>
    <cellStyle name="ReportNums 7 13" xfId="4725" xr:uid="{00000000-0005-0000-0000-000020120000}"/>
    <cellStyle name="ReportNums 7 14" xfId="4726" xr:uid="{00000000-0005-0000-0000-000021120000}"/>
    <cellStyle name="ReportNums 7 15" xfId="4727" xr:uid="{00000000-0005-0000-0000-000022120000}"/>
    <cellStyle name="ReportNums 7 16" xfId="4729" xr:uid="{00000000-0005-0000-0000-000023120000}"/>
    <cellStyle name="ReportNums 7 17" xfId="4731" xr:uid="{00000000-0005-0000-0000-000024120000}"/>
    <cellStyle name="ReportNums 7 18" xfId="4733" xr:uid="{00000000-0005-0000-0000-000025120000}"/>
    <cellStyle name="ReportNums 7 19" xfId="4735" xr:uid="{00000000-0005-0000-0000-000026120000}"/>
    <cellStyle name="ReportNums 7 2" xfId="4180" xr:uid="{00000000-0005-0000-0000-000027120000}"/>
    <cellStyle name="ReportNums 7 20" xfId="4728" xr:uid="{00000000-0005-0000-0000-000028120000}"/>
    <cellStyle name="ReportNums 7 21" xfId="4730" xr:uid="{00000000-0005-0000-0000-000029120000}"/>
    <cellStyle name="ReportNums 7 22" xfId="4732" xr:uid="{00000000-0005-0000-0000-00002A120000}"/>
    <cellStyle name="ReportNums 7 23" xfId="4734" xr:uid="{00000000-0005-0000-0000-00002B120000}"/>
    <cellStyle name="ReportNums 7 24" xfId="4736" xr:uid="{00000000-0005-0000-0000-00002C120000}"/>
    <cellStyle name="ReportNums 7 25" xfId="4737" xr:uid="{00000000-0005-0000-0000-00002D120000}"/>
    <cellStyle name="ReportNums 7 26" xfId="4738" xr:uid="{00000000-0005-0000-0000-00002E120000}"/>
    <cellStyle name="ReportNums 7 27" xfId="4739" xr:uid="{00000000-0005-0000-0000-00002F120000}"/>
    <cellStyle name="ReportNums 7 28" xfId="4740" xr:uid="{00000000-0005-0000-0000-000030120000}"/>
    <cellStyle name="ReportNums 7 29" xfId="4741" xr:uid="{00000000-0005-0000-0000-000031120000}"/>
    <cellStyle name="ReportNums 7 3" xfId="4182" xr:uid="{00000000-0005-0000-0000-000032120000}"/>
    <cellStyle name="ReportNums 7 4" xfId="4742" xr:uid="{00000000-0005-0000-0000-000033120000}"/>
    <cellStyle name="ReportNums 7 5" xfId="4743" xr:uid="{00000000-0005-0000-0000-000034120000}"/>
    <cellStyle name="ReportNums 7 6" xfId="4744" xr:uid="{00000000-0005-0000-0000-000035120000}"/>
    <cellStyle name="ReportNums 7 7" xfId="4745" xr:uid="{00000000-0005-0000-0000-000036120000}"/>
    <cellStyle name="ReportNums 7 8" xfId="4746" xr:uid="{00000000-0005-0000-0000-000037120000}"/>
    <cellStyle name="ReportNums 7 9" xfId="4747" xr:uid="{00000000-0005-0000-0000-000038120000}"/>
    <cellStyle name="ReportNums 8" xfId="193" xr:uid="{00000000-0005-0000-0000-000039120000}"/>
    <cellStyle name="ReportNums 9" xfId="4748" xr:uid="{00000000-0005-0000-0000-00003A120000}"/>
    <cellStyle name="Reset  - Style4" xfId="4749" xr:uid="{00000000-0005-0000-0000-00003B120000}"/>
    <cellStyle name="Reset  - Style7" xfId="4750" xr:uid="{00000000-0005-0000-0000-00003C120000}"/>
    <cellStyle name="Reset range style to defaults" xfId="4751" xr:uid="{00000000-0005-0000-0000-00003D120000}"/>
    <cellStyle name="Restruct" xfId="4752" xr:uid="{00000000-0005-0000-0000-00003E120000}"/>
    <cellStyle name="Reuters Cells" xfId="4753" xr:uid="{00000000-0005-0000-0000-00003F120000}"/>
    <cellStyle name="Reuters Cells 2" xfId="4754" xr:uid="{00000000-0005-0000-0000-000040120000}"/>
    <cellStyle name="RevList" xfId="4755" xr:uid="{00000000-0005-0000-0000-000041120000}"/>
    <cellStyle name="RGM" xfId="4756" xr:uid="{00000000-0005-0000-0000-000042120000}"/>
    <cellStyle name="Row head" xfId="4757" xr:uid="{00000000-0005-0000-0000-000043120000}"/>
    <cellStyle name="Row Head bold" xfId="4758" xr:uid="{00000000-0005-0000-0000-000044120000}"/>
    <cellStyle name="Row head_Yuhe DD Model 2012 act updated" xfId="4759" xr:uid="{00000000-0005-0000-0000-000045120000}"/>
    <cellStyle name="Row title 1" xfId="4760" xr:uid="{00000000-0005-0000-0000-000046120000}"/>
    <cellStyle name="Row Title 3" xfId="4761" xr:uid="{00000000-0005-0000-0000-000047120000}"/>
    <cellStyle name="Salida" xfId="4762" xr:uid="{00000000-0005-0000-0000-000048120000}"/>
    <cellStyle name="Salida 10" xfId="4763" xr:uid="{00000000-0005-0000-0000-000049120000}"/>
    <cellStyle name="Salida 11" xfId="4764" xr:uid="{00000000-0005-0000-0000-00004A120000}"/>
    <cellStyle name="Salida 12" xfId="4765" xr:uid="{00000000-0005-0000-0000-00004B120000}"/>
    <cellStyle name="Salida 13" xfId="4766" xr:uid="{00000000-0005-0000-0000-00004C120000}"/>
    <cellStyle name="Salida 2" xfId="4767" xr:uid="{00000000-0005-0000-0000-00004D120000}"/>
    <cellStyle name="Salida 3" xfId="4768" xr:uid="{00000000-0005-0000-0000-00004E120000}"/>
    <cellStyle name="Salida 4" xfId="4769" xr:uid="{00000000-0005-0000-0000-00004F120000}"/>
    <cellStyle name="Salida 5" xfId="4770" xr:uid="{00000000-0005-0000-0000-000050120000}"/>
    <cellStyle name="Salida 6" xfId="4771" xr:uid="{00000000-0005-0000-0000-000051120000}"/>
    <cellStyle name="Salida 7" xfId="4772" xr:uid="{00000000-0005-0000-0000-000052120000}"/>
    <cellStyle name="Salida 8" xfId="4773" xr:uid="{00000000-0005-0000-0000-000053120000}"/>
    <cellStyle name="Salida 9" xfId="4774" xr:uid="{00000000-0005-0000-0000-000054120000}"/>
    <cellStyle name="Salomon Logo" xfId="4775" xr:uid="{00000000-0005-0000-0000-000055120000}"/>
    <cellStyle name="Salomon Logo 10" xfId="4776" xr:uid="{00000000-0005-0000-0000-000056120000}"/>
    <cellStyle name="Salomon Logo 11" xfId="4778" xr:uid="{00000000-0005-0000-0000-000057120000}"/>
    <cellStyle name="Salomon Logo 12" xfId="4780" xr:uid="{00000000-0005-0000-0000-000058120000}"/>
    <cellStyle name="Salomon Logo 2" xfId="4782" xr:uid="{00000000-0005-0000-0000-000059120000}"/>
    <cellStyle name="Salomon Logo 3" xfId="4783" xr:uid="{00000000-0005-0000-0000-00005A120000}"/>
    <cellStyle name="Salomon Logo 4" xfId="4784" xr:uid="{00000000-0005-0000-0000-00005B120000}"/>
    <cellStyle name="Salomon Logo 5" xfId="4785" xr:uid="{00000000-0005-0000-0000-00005C120000}"/>
    <cellStyle name="Salomon Logo 6" xfId="4786" xr:uid="{00000000-0005-0000-0000-00005D120000}"/>
    <cellStyle name="Salomon Logo 7" xfId="4787" xr:uid="{00000000-0005-0000-0000-00005E120000}"/>
    <cellStyle name="Salomon Logo 8" xfId="4788" xr:uid="{00000000-0005-0000-0000-00005F120000}"/>
    <cellStyle name="Salomon Logo 9" xfId="4789" xr:uid="{00000000-0005-0000-0000-000060120000}"/>
    <cellStyle name="SAPBEXaggDataEmph" xfId="4498" xr:uid="{00000000-0005-0000-0000-000061120000}"/>
    <cellStyle name="SAPBEXaggDataEmph 10" xfId="4790" xr:uid="{00000000-0005-0000-0000-000062120000}"/>
    <cellStyle name="SAPBEXaggDataEmph 11" xfId="4791" xr:uid="{00000000-0005-0000-0000-000063120000}"/>
    <cellStyle name="SAPBEXaggDataEmph 12" xfId="4792" xr:uid="{00000000-0005-0000-0000-000064120000}"/>
    <cellStyle name="SAPBEXaggDataEmph 13" xfId="4793" xr:uid="{00000000-0005-0000-0000-000065120000}"/>
    <cellStyle name="SAPBEXaggDataEmph 2" xfId="4794" xr:uid="{00000000-0005-0000-0000-000066120000}"/>
    <cellStyle name="SAPBEXaggDataEmph 3" xfId="4795" xr:uid="{00000000-0005-0000-0000-000067120000}"/>
    <cellStyle name="SAPBEXaggDataEmph 4" xfId="4796" xr:uid="{00000000-0005-0000-0000-000068120000}"/>
    <cellStyle name="SAPBEXaggDataEmph 5" xfId="4797" xr:uid="{00000000-0005-0000-0000-000069120000}"/>
    <cellStyle name="SAPBEXaggDataEmph 6" xfId="4798" xr:uid="{00000000-0005-0000-0000-00006A120000}"/>
    <cellStyle name="SAPBEXaggDataEmph 7" xfId="4799" xr:uid="{00000000-0005-0000-0000-00006B120000}"/>
    <cellStyle name="SAPBEXaggDataEmph 8" xfId="1900" xr:uid="{00000000-0005-0000-0000-00006C120000}"/>
    <cellStyle name="SAPBEXaggDataEmph 9" xfId="4800" xr:uid="{00000000-0005-0000-0000-00006D120000}"/>
    <cellStyle name="SAPBEXaggItemX" xfId="4801" xr:uid="{00000000-0005-0000-0000-00006E120000}"/>
    <cellStyle name="SAPBEXaggItemX 10" xfId="4802" xr:uid="{00000000-0005-0000-0000-00006F120000}"/>
    <cellStyle name="SAPBEXaggItemX 11" xfId="4803" xr:uid="{00000000-0005-0000-0000-000070120000}"/>
    <cellStyle name="SAPBEXaggItemX 12" xfId="4804" xr:uid="{00000000-0005-0000-0000-000071120000}"/>
    <cellStyle name="SAPBEXaggItemX 13" xfId="4805" xr:uid="{00000000-0005-0000-0000-000072120000}"/>
    <cellStyle name="SAPBEXaggItemX 2" xfId="4806" xr:uid="{00000000-0005-0000-0000-000073120000}"/>
    <cellStyle name="SAPBEXaggItemX 3" xfId="4807" xr:uid="{00000000-0005-0000-0000-000074120000}"/>
    <cellStyle name="SAPBEXaggItemX 4" xfId="4808" xr:uid="{00000000-0005-0000-0000-000075120000}"/>
    <cellStyle name="SAPBEXaggItemX 5" xfId="4809" xr:uid="{00000000-0005-0000-0000-000076120000}"/>
    <cellStyle name="SAPBEXaggItemX 6" xfId="4810" xr:uid="{00000000-0005-0000-0000-000077120000}"/>
    <cellStyle name="SAPBEXaggItemX 7" xfId="4811" xr:uid="{00000000-0005-0000-0000-000078120000}"/>
    <cellStyle name="SAPBEXaggItemX 8" xfId="4812" xr:uid="{00000000-0005-0000-0000-000079120000}"/>
    <cellStyle name="SAPBEXaggItemX 9" xfId="4813" xr:uid="{00000000-0005-0000-0000-00007A120000}"/>
    <cellStyle name="SAPBEXexcBad7" xfId="4078" xr:uid="{00000000-0005-0000-0000-00007B120000}"/>
    <cellStyle name="SAPBEXexcBad7 10" xfId="4814" xr:uid="{00000000-0005-0000-0000-00007C120000}"/>
    <cellStyle name="SAPBEXexcBad7 11" xfId="4815" xr:uid="{00000000-0005-0000-0000-00007D120000}"/>
    <cellStyle name="SAPBEXexcBad7 12" xfId="4816" xr:uid="{00000000-0005-0000-0000-00007E120000}"/>
    <cellStyle name="SAPBEXexcBad7 13" xfId="4817" xr:uid="{00000000-0005-0000-0000-00007F120000}"/>
    <cellStyle name="SAPBEXexcBad7 2" xfId="1021" xr:uid="{00000000-0005-0000-0000-000080120000}"/>
    <cellStyle name="SAPBEXexcBad7 3" xfId="4818" xr:uid="{00000000-0005-0000-0000-000081120000}"/>
    <cellStyle name="SAPBEXexcBad7 4" xfId="4819" xr:uid="{00000000-0005-0000-0000-000082120000}"/>
    <cellStyle name="SAPBEXexcBad7 5" xfId="4820" xr:uid="{00000000-0005-0000-0000-000083120000}"/>
    <cellStyle name="SAPBEXexcBad7 6" xfId="4821" xr:uid="{00000000-0005-0000-0000-000084120000}"/>
    <cellStyle name="SAPBEXexcBad7 7" xfId="4822" xr:uid="{00000000-0005-0000-0000-000085120000}"/>
    <cellStyle name="SAPBEXexcBad7 8" xfId="4823" xr:uid="{00000000-0005-0000-0000-000086120000}"/>
    <cellStyle name="SAPBEXexcBad7 9" xfId="4824" xr:uid="{00000000-0005-0000-0000-000087120000}"/>
    <cellStyle name="Section head" xfId="4825" xr:uid="{00000000-0005-0000-0000-000088120000}"/>
    <cellStyle name="Section head 2" xfId="4826" xr:uid="{00000000-0005-0000-0000-000089120000}"/>
    <cellStyle name="Section head 2 2" xfId="4827" xr:uid="{00000000-0005-0000-0000-00008A120000}"/>
    <cellStyle name="Section head 3" xfId="4828" xr:uid="{00000000-0005-0000-0000-00008B120000}"/>
    <cellStyle name="Separador de milhares [0]_Person" xfId="4829" xr:uid="{00000000-0005-0000-0000-00008C120000}"/>
    <cellStyle name="Separador de milhares_Person" xfId="4830" xr:uid="{00000000-0005-0000-0000-00008D120000}"/>
    <cellStyle name="Sheet Title" xfId="4831" xr:uid="{00000000-0005-0000-0000-00008E120000}"/>
    <cellStyle name="SHItems" xfId="4832" xr:uid="{00000000-0005-0000-0000-00008F120000}"/>
    <cellStyle name="SHItems 10" xfId="4833" xr:uid="{00000000-0005-0000-0000-000090120000}"/>
    <cellStyle name="SHItems 11" xfId="4834" xr:uid="{00000000-0005-0000-0000-000091120000}"/>
    <cellStyle name="SHItems 12" xfId="4835" xr:uid="{00000000-0005-0000-0000-000092120000}"/>
    <cellStyle name="SHItems 2" xfId="4836" xr:uid="{00000000-0005-0000-0000-000093120000}"/>
    <cellStyle name="SHItems 3" xfId="4837" xr:uid="{00000000-0005-0000-0000-000094120000}"/>
    <cellStyle name="SHItems 4" xfId="4838" xr:uid="{00000000-0005-0000-0000-000095120000}"/>
    <cellStyle name="SHItems 5" xfId="4839" xr:uid="{00000000-0005-0000-0000-000096120000}"/>
    <cellStyle name="SHItems 6" xfId="4840" xr:uid="{00000000-0005-0000-0000-000097120000}"/>
    <cellStyle name="SHItems 7" xfId="4841" xr:uid="{00000000-0005-0000-0000-000098120000}"/>
    <cellStyle name="SHItems 8" xfId="4842" xr:uid="{00000000-0005-0000-0000-000099120000}"/>
    <cellStyle name="SHItems 9" xfId="4843" xr:uid="{00000000-0005-0000-0000-00009A120000}"/>
    <cellStyle name="SHQuadro" xfId="4844" xr:uid="{00000000-0005-0000-0000-00009B120000}"/>
    <cellStyle name="Single Cell Column Heading" xfId="4845" xr:uid="{00000000-0005-0000-0000-00009C120000}"/>
    <cellStyle name="Single Cell Column Heading 2" xfId="4846" xr:uid="{00000000-0005-0000-0000-00009D120000}"/>
    <cellStyle name="Single Cell Column Heading 3" xfId="2803" xr:uid="{00000000-0005-0000-0000-00009E120000}"/>
    <cellStyle name="SPOl" xfId="4847" xr:uid="{00000000-0005-0000-0000-00009F120000}"/>
    <cellStyle name="Standard_7411" xfId="4848" xr:uid="{00000000-0005-0000-0000-0000A0120000}"/>
    <cellStyle name="step" xfId="4849" xr:uid="{00000000-0005-0000-0000-0000A1120000}"/>
    <cellStyle name="step 10" xfId="4850" xr:uid="{00000000-0005-0000-0000-0000A2120000}"/>
    <cellStyle name="step 11" xfId="4851" xr:uid="{00000000-0005-0000-0000-0000A3120000}"/>
    <cellStyle name="step 12" xfId="4852" xr:uid="{00000000-0005-0000-0000-0000A4120000}"/>
    <cellStyle name="step 13" xfId="4853" xr:uid="{00000000-0005-0000-0000-0000A5120000}"/>
    <cellStyle name="step 2" xfId="4854" xr:uid="{00000000-0005-0000-0000-0000A6120000}"/>
    <cellStyle name="step 3" xfId="4855" xr:uid="{00000000-0005-0000-0000-0000A7120000}"/>
    <cellStyle name="step 4" xfId="4856" xr:uid="{00000000-0005-0000-0000-0000A8120000}"/>
    <cellStyle name="step 5" xfId="4857" xr:uid="{00000000-0005-0000-0000-0000A9120000}"/>
    <cellStyle name="step 6" xfId="4858" xr:uid="{00000000-0005-0000-0000-0000AA120000}"/>
    <cellStyle name="step 7" xfId="4859" xr:uid="{00000000-0005-0000-0000-0000AB120000}"/>
    <cellStyle name="step 8" xfId="4860" xr:uid="{00000000-0005-0000-0000-0000AC120000}"/>
    <cellStyle name="step 9" xfId="4861" xr:uid="{00000000-0005-0000-0000-0000AD120000}"/>
    <cellStyle name="Style 1" xfId="4862" xr:uid="{00000000-0005-0000-0000-0000AE120000}"/>
    <cellStyle name="Style 1 2" xfId="4863" xr:uid="{00000000-0005-0000-0000-0000AF120000}"/>
    <cellStyle name="Style 1 2 2" xfId="4864" xr:uid="{00000000-0005-0000-0000-0000B0120000}"/>
    <cellStyle name="Style 1 2_Elsamex Analysis" xfId="2096" xr:uid="{00000000-0005-0000-0000-0000B1120000}"/>
    <cellStyle name="Style 1 3" xfId="1036" xr:uid="{00000000-0005-0000-0000-0000B2120000}"/>
    <cellStyle name="Style 1 4" xfId="4865" xr:uid="{00000000-0005-0000-0000-0000B3120000}"/>
    <cellStyle name="Style 1 5" xfId="4866" xr:uid="{00000000-0005-0000-0000-0000B4120000}"/>
    <cellStyle name="Style 1 6" xfId="4867" xr:uid="{00000000-0005-0000-0000-0000B5120000}"/>
    <cellStyle name="Style 1 7" xfId="4868" xr:uid="{00000000-0005-0000-0000-0000B6120000}"/>
    <cellStyle name="Style 1 8" xfId="4869" xr:uid="{00000000-0005-0000-0000-0000B7120000}"/>
    <cellStyle name="Style 2" xfId="4870" xr:uid="{00000000-0005-0000-0000-0000B8120000}"/>
    <cellStyle name="Style 41" xfId="4871" xr:uid="{00000000-0005-0000-0000-0000B9120000}"/>
    <cellStyle name="Style 42" xfId="4872" xr:uid="{00000000-0005-0000-0000-0000BA120000}"/>
    <cellStyle name="Style 43" xfId="4873" xr:uid="{00000000-0005-0000-0000-0000BB120000}"/>
    <cellStyle name="Style 44" xfId="4874" xr:uid="{00000000-0005-0000-0000-0000BC120000}"/>
    <cellStyle name="Style 45" xfId="4875" xr:uid="{00000000-0005-0000-0000-0000BD120000}"/>
    <cellStyle name="Style 46" xfId="4877" xr:uid="{00000000-0005-0000-0000-0000BE120000}"/>
    <cellStyle name="Style 47" xfId="4878" xr:uid="{00000000-0005-0000-0000-0000BF120000}"/>
    <cellStyle name="Style 48" xfId="4879" xr:uid="{00000000-0005-0000-0000-0000C0120000}"/>
    <cellStyle name="Style 49" xfId="44" xr:uid="{00000000-0005-0000-0000-0000C1120000}"/>
    <cellStyle name="Style 50" xfId="4876" xr:uid="{00000000-0005-0000-0000-0000C2120000}"/>
    <cellStyle name="Style 56" xfId="4880" xr:uid="{00000000-0005-0000-0000-0000C3120000}"/>
    <cellStyle name="Style 57" xfId="3734" xr:uid="{00000000-0005-0000-0000-0000C4120000}"/>
    <cellStyle name="Style 58" xfId="3886" xr:uid="{00000000-0005-0000-0000-0000C5120000}"/>
    <cellStyle name="Style 59" xfId="3889" xr:uid="{00000000-0005-0000-0000-0000C6120000}"/>
    <cellStyle name="Style 60" xfId="1881" xr:uid="{00000000-0005-0000-0000-0000C7120000}"/>
    <cellStyle name="Style 61" xfId="4881" xr:uid="{00000000-0005-0000-0000-0000C8120000}"/>
    <cellStyle name="Style 62" xfId="3733" xr:uid="{00000000-0005-0000-0000-0000C9120000}"/>
    <cellStyle name="Style 63" xfId="3885" xr:uid="{00000000-0005-0000-0000-0000CA120000}"/>
    <cellStyle name="Style 64" xfId="3888" xr:uid="{00000000-0005-0000-0000-0000CB120000}"/>
    <cellStyle name="Style 65" xfId="3891" xr:uid="{00000000-0005-0000-0000-0000CC120000}"/>
    <cellStyle name="Table" xfId="4882" xr:uid="{00000000-0005-0000-0000-0000CD120000}"/>
    <cellStyle name="Table  - Style5" xfId="4883" xr:uid="{00000000-0005-0000-0000-0000CE120000}"/>
    <cellStyle name="Table  - Style5 10" xfId="4884" xr:uid="{00000000-0005-0000-0000-0000CF120000}"/>
    <cellStyle name="Table  - Style5 11" xfId="464" xr:uid="{00000000-0005-0000-0000-0000D0120000}"/>
    <cellStyle name="Table  - Style5 12" xfId="4885" xr:uid="{00000000-0005-0000-0000-0000D1120000}"/>
    <cellStyle name="Table  - Style5 13" xfId="4886" xr:uid="{00000000-0005-0000-0000-0000D2120000}"/>
    <cellStyle name="Table  - Style5 14" xfId="4887" xr:uid="{00000000-0005-0000-0000-0000D3120000}"/>
    <cellStyle name="Table  - Style5 2" xfId="4888" xr:uid="{00000000-0005-0000-0000-0000D4120000}"/>
    <cellStyle name="Table  - Style5 3" xfId="4889" xr:uid="{00000000-0005-0000-0000-0000D5120000}"/>
    <cellStyle name="Table  - Style5 4" xfId="4890" xr:uid="{00000000-0005-0000-0000-0000D6120000}"/>
    <cellStyle name="Table  - Style5 5" xfId="4891" xr:uid="{00000000-0005-0000-0000-0000D7120000}"/>
    <cellStyle name="Table  - Style5 6" xfId="4892" xr:uid="{00000000-0005-0000-0000-0000D8120000}"/>
    <cellStyle name="Table  - Style5 7" xfId="4893" xr:uid="{00000000-0005-0000-0000-0000D9120000}"/>
    <cellStyle name="Table  - Style5 8" xfId="4894" xr:uid="{00000000-0005-0000-0000-0000DA120000}"/>
    <cellStyle name="Table  - Style5 9" xfId="4895" xr:uid="{00000000-0005-0000-0000-0000DB120000}"/>
    <cellStyle name="Table  - Style6" xfId="4896" xr:uid="{00000000-0005-0000-0000-0000DC120000}"/>
    <cellStyle name="Table  - Style6 10" xfId="4897" xr:uid="{00000000-0005-0000-0000-0000DD120000}"/>
    <cellStyle name="Table  - Style6 11" xfId="4898" xr:uid="{00000000-0005-0000-0000-0000DE120000}"/>
    <cellStyle name="Table  - Style6 12" xfId="4900" xr:uid="{00000000-0005-0000-0000-0000DF120000}"/>
    <cellStyle name="Table  - Style6 13" xfId="4902" xr:uid="{00000000-0005-0000-0000-0000E0120000}"/>
    <cellStyle name="Table  - Style6 14" xfId="335" xr:uid="{00000000-0005-0000-0000-0000E1120000}"/>
    <cellStyle name="Table  - Style6 2" xfId="4904" xr:uid="{00000000-0005-0000-0000-0000E2120000}"/>
    <cellStyle name="Table  - Style6 3" xfId="4905" xr:uid="{00000000-0005-0000-0000-0000E3120000}"/>
    <cellStyle name="Table  - Style6 4" xfId="4906" xr:uid="{00000000-0005-0000-0000-0000E4120000}"/>
    <cellStyle name="Table  - Style6 5" xfId="4907" xr:uid="{00000000-0005-0000-0000-0000E5120000}"/>
    <cellStyle name="Table  - Style6 6" xfId="4908" xr:uid="{00000000-0005-0000-0000-0000E6120000}"/>
    <cellStyle name="Table  - Style6 7" xfId="4909" xr:uid="{00000000-0005-0000-0000-0000E7120000}"/>
    <cellStyle name="Table  - Style6 8" xfId="4910" xr:uid="{00000000-0005-0000-0000-0000E8120000}"/>
    <cellStyle name="Table  - Style6 9" xfId="4911" xr:uid="{00000000-0005-0000-0000-0000E9120000}"/>
    <cellStyle name="Table 2" xfId="4912" xr:uid="{00000000-0005-0000-0000-0000EA120000}"/>
    <cellStyle name="Table 3" xfId="4913" xr:uid="{00000000-0005-0000-0000-0000EB120000}"/>
    <cellStyle name="Table 4" xfId="4914" xr:uid="{00000000-0005-0000-0000-0000EC120000}"/>
    <cellStyle name="Table 5" xfId="4915" xr:uid="{00000000-0005-0000-0000-0000ED120000}"/>
    <cellStyle name="Table 6" xfId="4916" xr:uid="{00000000-0005-0000-0000-0000EE120000}"/>
    <cellStyle name="Table 7" xfId="4917" xr:uid="{00000000-0005-0000-0000-0000EF120000}"/>
    <cellStyle name="Table body" xfId="4918" xr:uid="{00000000-0005-0000-0000-0000F0120000}"/>
    <cellStyle name="Table subhead" xfId="4919" xr:uid="{00000000-0005-0000-0000-0000F1120000}"/>
    <cellStyle name="Table Title" xfId="4920" xr:uid="{00000000-0005-0000-0000-0000F2120000}"/>
    <cellStyle name="table_head1" xfId="4921" xr:uid="{00000000-0005-0000-0000-0000F3120000}"/>
    <cellStyle name="test" xfId="4922" xr:uid="{00000000-0005-0000-0000-0000F4120000}"/>
    <cellStyle name="test 2" xfId="4899" xr:uid="{00000000-0005-0000-0000-0000F5120000}"/>
    <cellStyle name="test 3" xfId="4901" xr:uid="{00000000-0005-0000-0000-0000F6120000}"/>
    <cellStyle name="test 4" xfId="4903" xr:uid="{00000000-0005-0000-0000-0000F7120000}"/>
    <cellStyle name="test 5" xfId="336" xr:uid="{00000000-0005-0000-0000-0000F8120000}"/>
    <cellStyle name="test 6" xfId="4923" xr:uid="{00000000-0005-0000-0000-0000F9120000}"/>
    <cellStyle name="test 7" xfId="4924" xr:uid="{00000000-0005-0000-0000-0000FA120000}"/>
    <cellStyle name="Text Indent A" xfId="4925" xr:uid="{00000000-0005-0000-0000-0000FB120000}"/>
    <cellStyle name="Text Indent B" xfId="4926" xr:uid="{00000000-0005-0000-0000-0000FC120000}"/>
    <cellStyle name="Text Indent C" xfId="4927" xr:uid="{00000000-0005-0000-0000-0000FD120000}"/>
    <cellStyle name="Text Level 1" xfId="467" xr:uid="{00000000-0005-0000-0000-0000FE120000}"/>
    <cellStyle name="Text Level 2" xfId="4207" xr:uid="{00000000-0005-0000-0000-0000FF120000}"/>
    <cellStyle name="Text Level 2 2" xfId="4928" xr:uid="{00000000-0005-0000-0000-000000130000}"/>
    <cellStyle name="Text Level 3" xfId="4929" xr:uid="{00000000-0005-0000-0000-000001130000}"/>
    <cellStyle name="Text Level 4" xfId="4541" xr:uid="{00000000-0005-0000-0000-000002130000}"/>
    <cellStyle name="Texto de advertencia" xfId="4930" xr:uid="{00000000-0005-0000-0000-000003130000}"/>
    <cellStyle name="Texto explicativo" xfId="4931" xr:uid="{00000000-0005-0000-0000-000004130000}"/>
    <cellStyle name="TFCF" xfId="4932" xr:uid="{00000000-0005-0000-0000-000005130000}"/>
    <cellStyle name="Tickmark" xfId="4933" xr:uid="{00000000-0005-0000-0000-000006130000}"/>
    <cellStyle name="Times New Roman" xfId="4934" xr:uid="{00000000-0005-0000-0000-000007130000}"/>
    <cellStyle name="Title  - Style1" xfId="4935" xr:uid="{00000000-0005-0000-0000-000008130000}"/>
    <cellStyle name="Title  - Style6" xfId="489" xr:uid="{00000000-0005-0000-0000-000009130000}"/>
    <cellStyle name="Title 2" xfId="4936" xr:uid="{00000000-0005-0000-0000-00000A130000}"/>
    <cellStyle name="Title 2 2" xfId="4937" xr:uid="{00000000-0005-0000-0000-00000B130000}"/>
    <cellStyle name="Title 2_12 Dec 2012 Yuhe Financials Year 2012 Audit" xfId="4938" xr:uid="{00000000-0005-0000-0000-00000C130000}"/>
    <cellStyle name="Title 3" xfId="4939" xr:uid="{00000000-0005-0000-0000-00000D130000}"/>
    <cellStyle name="Title 4" xfId="41" xr:uid="{00000000-0005-0000-0000-00000E130000}"/>
    <cellStyle name="Title 5" xfId="4940" xr:uid="{00000000-0005-0000-0000-00000F130000}"/>
    <cellStyle name="Title 6" xfId="4941" xr:uid="{00000000-0005-0000-0000-000010130000}"/>
    <cellStyle name="Title 7" xfId="4942" xr:uid="{00000000-0005-0000-0000-000011130000}"/>
    <cellStyle name="Title 8" xfId="4943" xr:uid="{00000000-0005-0000-0000-000012130000}"/>
    <cellStyle name="Tittel" xfId="4944" xr:uid="{00000000-0005-0000-0000-000013130000}"/>
    <cellStyle name="Título" xfId="4945" xr:uid="{00000000-0005-0000-0000-000014130000}"/>
    <cellStyle name="Título 1" xfId="4947" xr:uid="{00000000-0005-0000-0000-000015130000}"/>
    <cellStyle name="Título 2" xfId="4948" xr:uid="{00000000-0005-0000-0000-000016130000}"/>
    <cellStyle name="Título 3" xfId="4949" xr:uid="{00000000-0005-0000-0000-000017130000}"/>
    <cellStyle name="TopCaption" xfId="4950" xr:uid="{00000000-0005-0000-0000-000018130000}"/>
    <cellStyle name="Total 10" xfId="4951" xr:uid="{00000000-0005-0000-0000-000019130000}"/>
    <cellStyle name="Total 2" xfId="4952" xr:uid="{00000000-0005-0000-0000-00001A130000}"/>
    <cellStyle name="Total 2 10" xfId="4953" xr:uid="{00000000-0005-0000-0000-00001B130000}"/>
    <cellStyle name="Total 2 11" xfId="629" xr:uid="{00000000-0005-0000-0000-00001C130000}"/>
    <cellStyle name="Total 2 12" xfId="3250" xr:uid="{00000000-0005-0000-0000-00001D130000}"/>
    <cellStyle name="Total 2 13" xfId="4954" xr:uid="{00000000-0005-0000-0000-00001E130000}"/>
    <cellStyle name="Total 2 14" xfId="4955" xr:uid="{00000000-0005-0000-0000-00001F130000}"/>
    <cellStyle name="Total 2 2" xfId="4956" xr:uid="{00000000-0005-0000-0000-000020130000}"/>
    <cellStyle name="Total 2 2 10" xfId="4957" xr:uid="{00000000-0005-0000-0000-000021130000}"/>
    <cellStyle name="Total 2 2 11" xfId="4958" xr:uid="{00000000-0005-0000-0000-000022130000}"/>
    <cellStyle name="Total 2 2 12" xfId="4959" xr:uid="{00000000-0005-0000-0000-000023130000}"/>
    <cellStyle name="Total 2 2 13" xfId="4960" xr:uid="{00000000-0005-0000-0000-000024130000}"/>
    <cellStyle name="Total 2 2 2" xfId="4961" xr:uid="{00000000-0005-0000-0000-000025130000}"/>
    <cellStyle name="Total 2 2 3" xfId="4962" xr:uid="{00000000-0005-0000-0000-000026130000}"/>
    <cellStyle name="Total 2 2 4" xfId="4963" xr:uid="{00000000-0005-0000-0000-000027130000}"/>
    <cellStyle name="Total 2 2 5" xfId="4964" xr:uid="{00000000-0005-0000-0000-000028130000}"/>
    <cellStyle name="Total 2 2 6" xfId="4965" xr:uid="{00000000-0005-0000-0000-000029130000}"/>
    <cellStyle name="Total 2 2 7" xfId="4966" xr:uid="{00000000-0005-0000-0000-00002A130000}"/>
    <cellStyle name="Total 2 2 8" xfId="4967" xr:uid="{00000000-0005-0000-0000-00002B130000}"/>
    <cellStyle name="Total 2 2 9" xfId="4968" xr:uid="{00000000-0005-0000-0000-00002C130000}"/>
    <cellStyle name="Total 2 3" xfId="4969" xr:uid="{00000000-0005-0000-0000-00002D130000}"/>
    <cellStyle name="Total 2 4" xfId="4970" xr:uid="{00000000-0005-0000-0000-00002E130000}"/>
    <cellStyle name="Total 2 5" xfId="4971" xr:uid="{00000000-0005-0000-0000-00002F130000}"/>
    <cellStyle name="Total 2 6" xfId="4972" xr:uid="{00000000-0005-0000-0000-000030130000}"/>
    <cellStyle name="Total 2 7" xfId="4973" xr:uid="{00000000-0005-0000-0000-000031130000}"/>
    <cellStyle name="Total 2 8" xfId="4974" xr:uid="{00000000-0005-0000-0000-000032130000}"/>
    <cellStyle name="Total 2 9" xfId="4975" xr:uid="{00000000-0005-0000-0000-000033130000}"/>
    <cellStyle name="Total 2_Completion Const%" xfId="4976" xr:uid="{00000000-0005-0000-0000-000034130000}"/>
    <cellStyle name="Total 3" xfId="4977" xr:uid="{00000000-0005-0000-0000-000035130000}"/>
    <cellStyle name="Total 3 10" xfId="4978" xr:uid="{00000000-0005-0000-0000-000036130000}"/>
    <cellStyle name="Total 3 11" xfId="4979" xr:uid="{00000000-0005-0000-0000-000037130000}"/>
    <cellStyle name="Total 3 12" xfId="4980" xr:uid="{00000000-0005-0000-0000-000038130000}"/>
    <cellStyle name="Total 3 13" xfId="4981" xr:uid="{00000000-0005-0000-0000-000039130000}"/>
    <cellStyle name="Total 3 2" xfId="4982" xr:uid="{00000000-0005-0000-0000-00003A130000}"/>
    <cellStyle name="Total 3 3" xfId="4983" xr:uid="{00000000-0005-0000-0000-00003B130000}"/>
    <cellStyle name="Total 3 4" xfId="4984" xr:uid="{00000000-0005-0000-0000-00003C130000}"/>
    <cellStyle name="Total 3 5" xfId="4985" xr:uid="{00000000-0005-0000-0000-00003D130000}"/>
    <cellStyle name="Total 3 6" xfId="4986" xr:uid="{00000000-0005-0000-0000-00003E130000}"/>
    <cellStyle name="Total 3 7" xfId="4987" xr:uid="{00000000-0005-0000-0000-00003F130000}"/>
    <cellStyle name="Total 3 8" xfId="4988" xr:uid="{00000000-0005-0000-0000-000040130000}"/>
    <cellStyle name="Total 3 9" xfId="4989" xr:uid="{00000000-0005-0000-0000-000041130000}"/>
    <cellStyle name="Total 4" xfId="4990" xr:uid="{00000000-0005-0000-0000-000042130000}"/>
    <cellStyle name="Total 4 10" xfId="4991" xr:uid="{00000000-0005-0000-0000-000043130000}"/>
    <cellStyle name="Total 4 11" xfId="4992" xr:uid="{00000000-0005-0000-0000-000044130000}"/>
    <cellStyle name="Total 4 12" xfId="4993" xr:uid="{00000000-0005-0000-0000-000045130000}"/>
    <cellStyle name="Total 4 13" xfId="4994" xr:uid="{00000000-0005-0000-0000-000046130000}"/>
    <cellStyle name="Total 4 2" xfId="4995" xr:uid="{00000000-0005-0000-0000-000047130000}"/>
    <cellStyle name="Total 4 3" xfId="679" xr:uid="{00000000-0005-0000-0000-000048130000}"/>
    <cellStyle name="Total 4 4" xfId="4996" xr:uid="{00000000-0005-0000-0000-000049130000}"/>
    <cellStyle name="Total 4 5" xfId="4997" xr:uid="{00000000-0005-0000-0000-00004A130000}"/>
    <cellStyle name="Total 4 6" xfId="4998" xr:uid="{00000000-0005-0000-0000-00004B130000}"/>
    <cellStyle name="Total 4 7" xfId="4999" xr:uid="{00000000-0005-0000-0000-00004C130000}"/>
    <cellStyle name="Total 4 8" xfId="5000" xr:uid="{00000000-0005-0000-0000-00004D130000}"/>
    <cellStyle name="Total 4 9" xfId="5001" xr:uid="{00000000-0005-0000-0000-00004E130000}"/>
    <cellStyle name="Total 5" xfId="5002" xr:uid="{00000000-0005-0000-0000-00004F130000}"/>
    <cellStyle name="Total 5 10" xfId="5003" xr:uid="{00000000-0005-0000-0000-000050130000}"/>
    <cellStyle name="Total 5 11" xfId="5004" xr:uid="{00000000-0005-0000-0000-000051130000}"/>
    <cellStyle name="Total 5 12" xfId="5005" xr:uid="{00000000-0005-0000-0000-000052130000}"/>
    <cellStyle name="Total 5 13" xfId="5006" xr:uid="{00000000-0005-0000-0000-000053130000}"/>
    <cellStyle name="Total 5 2" xfId="5007" xr:uid="{00000000-0005-0000-0000-000054130000}"/>
    <cellStyle name="Total 5 3" xfId="5008" xr:uid="{00000000-0005-0000-0000-000055130000}"/>
    <cellStyle name="Total 5 4" xfId="5009" xr:uid="{00000000-0005-0000-0000-000056130000}"/>
    <cellStyle name="Total 5 5" xfId="5010" xr:uid="{00000000-0005-0000-0000-000057130000}"/>
    <cellStyle name="Total 5 6" xfId="5011" xr:uid="{00000000-0005-0000-0000-000058130000}"/>
    <cellStyle name="Total 5 7" xfId="475" xr:uid="{00000000-0005-0000-0000-000059130000}"/>
    <cellStyle name="Total 5 8" xfId="5012" xr:uid="{00000000-0005-0000-0000-00005A130000}"/>
    <cellStyle name="Total 5 9" xfId="5013" xr:uid="{00000000-0005-0000-0000-00005B130000}"/>
    <cellStyle name="Total 6" xfId="5014" xr:uid="{00000000-0005-0000-0000-00005C130000}"/>
    <cellStyle name="Total 6 10" xfId="5015" xr:uid="{00000000-0005-0000-0000-00005D130000}"/>
    <cellStyle name="Total 6 11" xfId="5016" xr:uid="{00000000-0005-0000-0000-00005E130000}"/>
    <cellStyle name="Total 6 12" xfId="5017" xr:uid="{00000000-0005-0000-0000-00005F130000}"/>
    <cellStyle name="Total 6 13" xfId="5018" xr:uid="{00000000-0005-0000-0000-000060130000}"/>
    <cellStyle name="Total 6 2" xfId="5019" xr:uid="{00000000-0005-0000-0000-000061130000}"/>
    <cellStyle name="Total 6 3" xfId="5020" xr:uid="{00000000-0005-0000-0000-000062130000}"/>
    <cellStyle name="Total 6 4" xfId="5021" xr:uid="{00000000-0005-0000-0000-000063130000}"/>
    <cellStyle name="Total 6 5" xfId="5022" xr:uid="{00000000-0005-0000-0000-000064130000}"/>
    <cellStyle name="Total 6 6" xfId="5023" xr:uid="{00000000-0005-0000-0000-000065130000}"/>
    <cellStyle name="Total 6 7" xfId="5024" xr:uid="{00000000-0005-0000-0000-000066130000}"/>
    <cellStyle name="Total 6 8" xfId="5025" xr:uid="{00000000-0005-0000-0000-000067130000}"/>
    <cellStyle name="Total 6 9" xfId="5026" xr:uid="{00000000-0005-0000-0000-000068130000}"/>
    <cellStyle name="Total 7" xfId="5027" xr:uid="{00000000-0005-0000-0000-000069130000}"/>
    <cellStyle name="Total 7 10" xfId="5028" xr:uid="{00000000-0005-0000-0000-00006A130000}"/>
    <cellStyle name="Total 7 11" xfId="5029" xr:uid="{00000000-0005-0000-0000-00006B130000}"/>
    <cellStyle name="Total 7 12" xfId="5030" xr:uid="{00000000-0005-0000-0000-00006C130000}"/>
    <cellStyle name="Total 7 13" xfId="5031" xr:uid="{00000000-0005-0000-0000-00006D130000}"/>
    <cellStyle name="Total 7 2" xfId="5032" xr:uid="{00000000-0005-0000-0000-00006E130000}"/>
    <cellStyle name="Total 7 3" xfId="5033" xr:uid="{00000000-0005-0000-0000-00006F130000}"/>
    <cellStyle name="Total 7 4" xfId="5034" xr:uid="{00000000-0005-0000-0000-000070130000}"/>
    <cellStyle name="Total 7 5" xfId="5035" xr:uid="{00000000-0005-0000-0000-000071130000}"/>
    <cellStyle name="Total 7 6" xfId="5036" xr:uid="{00000000-0005-0000-0000-000072130000}"/>
    <cellStyle name="Total 7 7" xfId="5037" xr:uid="{00000000-0005-0000-0000-000073130000}"/>
    <cellStyle name="Total 7 8" xfId="5038" xr:uid="{00000000-0005-0000-0000-000074130000}"/>
    <cellStyle name="Total 7 9" xfId="5039" xr:uid="{00000000-0005-0000-0000-000075130000}"/>
    <cellStyle name="Total 8" xfId="5040" xr:uid="{00000000-0005-0000-0000-000076130000}"/>
    <cellStyle name="Total 8 10" xfId="5041" xr:uid="{00000000-0005-0000-0000-000077130000}"/>
    <cellStyle name="Total 8 11" xfId="5042" xr:uid="{00000000-0005-0000-0000-000078130000}"/>
    <cellStyle name="Total 8 12" xfId="5043" xr:uid="{00000000-0005-0000-0000-000079130000}"/>
    <cellStyle name="Total 8 13" xfId="5044" xr:uid="{00000000-0005-0000-0000-00007A130000}"/>
    <cellStyle name="Total 8 2" xfId="5045" xr:uid="{00000000-0005-0000-0000-00007B130000}"/>
    <cellStyle name="Total 8 3" xfId="5046" xr:uid="{00000000-0005-0000-0000-00007C130000}"/>
    <cellStyle name="Total 8 4" xfId="5047" xr:uid="{00000000-0005-0000-0000-00007D130000}"/>
    <cellStyle name="Total 8 5" xfId="5048" xr:uid="{00000000-0005-0000-0000-00007E130000}"/>
    <cellStyle name="Total 8 6" xfId="5049" xr:uid="{00000000-0005-0000-0000-00007F130000}"/>
    <cellStyle name="Total 8 7" xfId="5050" xr:uid="{00000000-0005-0000-0000-000080130000}"/>
    <cellStyle name="Total 8 8" xfId="5051" xr:uid="{00000000-0005-0000-0000-000081130000}"/>
    <cellStyle name="Total 8 9" xfId="5052" xr:uid="{00000000-0005-0000-0000-000082130000}"/>
    <cellStyle name="Total 9" xfId="5053" xr:uid="{00000000-0005-0000-0000-000083130000}"/>
    <cellStyle name="Totalt" xfId="5054" xr:uid="{00000000-0005-0000-0000-000084130000}"/>
    <cellStyle name="Totalt 10" xfId="5055" xr:uid="{00000000-0005-0000-0000-000085130000}"/>
    <cellStyle name="Totalt 11" xfId="5056" xr:uid="{00000000-0005-0000-0000-000086130000}"/>
    <cellStyle name="Totalt 12" xfId="5057" xr:uid="{00000000-0005-0000-0000-000087130000}"/>
    <cellStyle name="Totalt 13" xfId="5058" xr:uid="{00000000-0005-0000-0000-000088130000}"/>
    <cellStyle name="Totalt 2" xfId="5059" xr:uid="{00000000-0005-0000-0000-000089130000}"/>
    <cellStyle name="Totalt 3" xfId="5060" xr:uid="{00000000-0005-0000-0000-00008A130000}"/>
    <cellStyle name="Totalt 4" xfId="5061" xr:uid="{00000000-0005-0000-0000-00008B130000}"/>
    <cellStyle name="Totalt 5" xfId="5062" xr:uid="{00000000-0005-0000-0000-00008C130000}"/>
    <cellStyle name="Totalt 6" xfId="5063" xr:uid="{00000000-0005-0000-0000-00008D130000}"/>
    <cellStyle name="Totalt 7" xfId="5064" xr:uid="{00000000-0005-0000-0000-00008E130000}"/>
    <cellStyle name="Totalt 8" xfId="5065" xr:uid="{00000000-0005-0000-0000-00008F130000}"/>
    <cellStyle name="Totalt 9" xfId="5066" xr:uid="{00000000-0005-0000-0000-000090130000}"/>
    <cellStyle name="TotCol - Style5" xfId="5067" xr:uid="{00000000-0005-0000-0000-000091130000}"/>
    <cellStyle name="TotCol - Style7" xfId="5068" xr:uid="{00000000-0005-0000-0000-000092130000}"/>
    <cellStyle name="TotRow - Style4" xfId="5069" xr:uid="{00000000-0005-0000-0000-000093130000}"/>
    <cellStyle name="TotRow - Style4 10" xfId="5070" xr:uid="{00000000-0005-0000-0000-000094130000}"/>
    <cellStyle name="TotRow - Style4 11" xfId="5071" xr:uid="{00000000-0005-0000-0000-000095130000}"/>
    <cellStyle name="TotRow - Style4 12" xfId="5072" xr:uid="{00000000-0005-0000-0000-000096130000}"/>
    <cellStyle name="TotRow - Style4 13" xfId="5073" xr:uid="{00000000-0005-0000-0000-000097130000}"/>
    <cellStyle name="TotRow - Style4 14" xfId="5074" xr:uid="{00000000-0005-0000-0000-000098130000}"/>
    <cellStyle name="TotRow - Style4 2" xfId="3721" xr:uid="{00000000-0005-0000-0000-000099130000}"/>
    <cellStyle name="TotRow - Style4 3" xfId="3724" xr:uid="{00000000-0005-0000-0000-00009A130000}"/>
    <cellStyle name="TotRow - Style4 4" xfId="3726" xr:uid="{00000000-0005-0000-0000-00009B130000}"/>
    <cellStyle name="TotRow - Style4 5" xfId="3728" xr:uid="{00000000-0005-0000-0000-00009C130000}"/>
    <cellStyle name="TotRow - Style4 6" xfId="561" xr:uid="{00000000-0005-0000-0000-00009D130000}"/>
    <cellStyle name="TotRow - Style4 7" xfId="834" xr:uid="{00000000-0005-0000-0000-00009E130000}"/>
    <cellStyle name="TotRow - Style4 8" xfId="5075" xr:uid="{00000000-0005-0000-0000-00009F130000}"/>
    <cellStyle name="TotRow - Style4 9" xfId="5076" xr:uid="{00000000-0005-0000-0000-0000A0130000}"/>
    <cellStyle name="TotRow - Style8" xfId="5077" xr:uid="{00000000-0005-0000-0000-0000A1130000}"/>
    <cellStyle name="TotRow - Style8 10" xfId="5078" xr:uid="{00000000-0005-0000-0000-0000A2130000}"/>
    <cellStyle name="TotRow - Style8 11" xfId="5079" xr:uid="{00000000-0005-0000-0000-0000A3130000}"/>
    <cellStyle name="TotRow - Style8 12" xfId="5080" xr:uid="{00000000-0005-0000-0000-0000A4130000}"/>
    <cellStyle name="TotRow - Style8 13" xfId="5081" xr:uid="{00000000-0005-0000-0000-0000A5130000}"/>
    <cellStyle name="TotRow - Style8 14" xfId="5082" xr:uid="{00000000-0005-0000-0000-0000A6130000}"/>
    <cellStyle name="TotRow - Style8 2" xfId="5083" xr:uid="{00000000-0005-0000-0000-0000A7130000}"/>
    <cellStyle name="TotRow - Style8 3" xfId="5084" xr:uid="{00000000-0005-0000-0000-0000A8130000}"/>
    <cellStyle name="TotRow - Style8 4" xfId="5085" xr:uid="{00000000-0005-0000-0000-0000A9130000}"/>
    <cellStyle name="TotRow - Style8 5" xfId="5086" xr:uid="{00000000-0005-0000-0000-0000AA130000}"/>
    <cellStyle name="TotRow - Style8 6" xfId="5087" xr:uid="{00000000-0005-0000-0000-0000AB130000}"/>
    <cellStyle name="TotRow - Style8 7" xfId="5088" xr:uid="{00000000-0005-0000-0000-0000AC130000}"/>
    <cellStyle name="TotRow - Style8 8" xfId="5089" xr:uid="{00000000-0005-0000-0000-0000AD130000}"/>
    <cellStyle name="TotRow - Style8 9" xfId="5090" xr:uid="{00000000-0005-0000-0000-0000AE130000}"/>
    <cellStyle name="Tusental (0)_pldt" xfId="1139" xr:uid="{00000000-0005-0000-0000-0000AF130000}"/>
    <cellStyle name="Tusental_pldt" xfId="5091" xr:uid="{00000000-0005-0000-0000-0000B0130000}"/>
    <cellStyle name="ubordinated Debt" xfId="5092" xr:uid="{00000000-0005-0000-0000-0000B1130000}"/>
    <cellStyle name="UI Background" xfId="962" xr:uid="{00000000-0005-0000-0000-0000B2130000}"/>
    <cellStyle name="UI Background 2" xfId="5093" xr:uid="{00000000-0005-0000-0000-0000B3130000}"/>
    <cellStyle name="UI Background 3" xfId="5094" xr:uid="{00000000-0005-0000-0000-0000B4130000}"/>
    <cellStyle name="UI Background 4" xfId="5095" xr:uid="{00000000-0005-0000-0000-0000B5130000}"/>
    <cellStyle name="UI Background 5" xfId="5096" xr:uid="{00000000-0005-0000-0000-0000B6130000}"/>
    <cellStyle name="UI Background 6" xfId="5097" xr:uid="{00000000-0005-0000-0000-0000B7130000}"/>
    <cellStyle name="UI Background 7" xfId="5098" xr:uid="{00000000-0005-0000-0000-0000B8130000}"/>
    <cellStyle name="UIScreenText" xfId="2457" xr:uid="{00000000-0005-0000-0000-0000B9130000}"/>
    <cellStyle name="USCurrency(1)" xfId="5099" xr:uid="{00000000-0005-0000-0000-0000BA130000}"/>
    <cellStyle name="USCurrency(2)" xfId="5100" xr:uid="{00000000-0005-0000-0000-0000BB130000}"/>
    <cellStyle name="Utdata" xfId="3058" xr:uid="{00000000-0005-0000-0000-0000BC130000}"/>
    <cellStyle name="Utdata 10" xfId="5101" xr:uid="{00000000-0005-0000-0000-0000BD130000}"/>
    <cellStyle name="Utdata 11" xfId="5102" xr:uid="{00000000-0005-0000-0000-0000BE130000}"/>
    <cellStyle name="Utdata 12" xfId="5103" xr:uid="{00000000-0005-0000-0000-0000BF130000}"/>
    <cellStyle name="Utdata 13" xfId="5104" xr:uid="{00000000-0005-0000-0000-0000C0130000}"/>
    <cellStyle name="Utdata 2" xfId="5105" xr:uid="{00000000-0005-0000-0000-0000C1130000}"/>
    <cellStyle name="Utdata 3" xfId="5106" xr:uid="{00000000-0005-0000-0000-0000C2130000}"/>
    <cellStyle name="Utdata 4" xfId="5107" xr:uid="{00000000-0005-0000-0000-0000C3130000}"/>
    <cellStyle name="Utdata 5" xfId="5108" xr:uid="{00000000-0005-0000-0000-0000C4130000}"/>
    <cellStyle name="Utdata 6" xfId="5109" xr:uid="{00000000-0005-0000-0000-0000C5130000}"/>
    <cellStyle name="Utdata 7" xfId="5110" xr:uid="{00000000-0005-0000-0000-0000C6130000}"/>
    <cellStyle name="Utdata 8" xfId="5111" xr:uid="{00000000-0005-0000-0000-0000C7130000}"/>
    <cellStyle name="Utdata 9" xfId="5112" xr:uid="{00000000-0005-0000-0000-0000C8130000}"/>
    <cellStyle name="Uthevingsfarge1" xfId="4777" xr:uid="{00000000-0005-0000-0000-0000C9130000}"/>
    <cellStyle name="Uthevingsfarge2" xfId="4779" xr:uid="{00000000-0005-0000-0000-0000CA130000}"/>
    <cellStyle name="Uthevingsfarge3" xfId="4781" xr:uid="{00000000-0005-0000-0000-0000CB130000}"/>
    <cellStyle name="Uthevingsfarge4" xfId="5113" xr:uid="{00000000-0005-0000-0000-0000CC130000}"/>
    <cellStyle name="Uthevingsfarge5" xfId="5114" xr:uid="{00000000-0005-0000-0000-0000CD130000}"/>
    <cellStyle name="Uthevingsfarge6" xfId="5115" xr:uid="{00000000-0005-0000-0000-0000CE130000}"/>
    <cellStyle name="Valuta (0)_pldt" xfId="5116" xr:uid="{00000000-0005-0000-0000-0000CF130000}"/>
    <cellStyle name="Valuta [0]_CM_DATA_TRAXIS" xfId="5117" xr:uid="{00000000-0005-0000-0000-0000D0130000}"/>
    <cellStyle name="Valuta_CM_DATA_TRAXIS" xfId="5118" xr:uid="{00000000-0005-0000-0000-0000D1130000}"/>
    <cellStyle name="Variables" xfId="5119" xr:uid="{00000000-0005-0000-0000-0000D2130000}"/>
    <cellStyle name="Varseltekst" xfId="5120" xr:uid="{00000000-0005-0000-0000-0000D3130000}"/>
    <cellStyle name="Währung [0]_BB Financial Summary Template" xfId="5121" xr:uid="{00000000-0005-0000-0000-0000D4130000}"/>
    <cellStyle name="Währung_2.1.1 WA RATP Rev2_22032002" xfId="4569" xr:uid="{00000000-0005-0000-0000-0000D5130000}"/>
    <cellStyle name="Warning Text 10" xfId="5122" xr:uid="{00000000-0005-0000-0000-0000D6130000}"/>
    <cellStyle name="Warning Text 2" xfId="5123" xr:uid="{00000000-0005-0000-0000-0000D7130000}"/>
    <cellStyle name="Warning Text 2 2" xfId="867" xr:uid="{00000000-0005-0000-0000-0000D8130000}"/>
    <cellStyle name="Warning Text 2_PDF" xfId="5124" xr:uid="{00000000-0005-0000-0000-0000D9130000}"/>
    <cellStyle name="Warning Text 3" xfId="5125" xr:uid="{00000000-0005-0000-0000-0000DA130000}"/>
    <cellStyle name="Warning Text 4" xfId="5126" xr:uid="{00000000-0005-0000-0000-0000DB130000}"/>
    <cellStyle name="Warning Text 5" xfId="5127" xr:uid="{00000000-0005-0000-0000-0000DC130000}"/>
    <cellStyle name="Warning Text 6" xfId="5128" xr:uid="{00000000-0005-0000-0000-0000DD130000}"/>
    <cellStyle name="Warning Text 7" xfId="5129" xr:uid="{00000000-0005-0000-0000-0000DE130000}"/>
    <cellStyle name="Warning Text 8" xfId="5130" xr:uid="{00000000-0005-0000-0000-0000DF130000}"/>
    <cellStyle name="Warning Text 9" xfId="5131" xr:uid="{00000000-0005-0000-0000-0000E0130000}"/>
    <cellStyle name="WBSHeading" xfId="5132" xr:uid="{00000000-0005-0000-0000-0000E1130000}"/>
    <cellStyle name="White" xfId="5133" xr:uid="{00000000-0005-0000-0000-0000E2130000}"/>
    <cellStyle name="WrappedBold" xfId="5134" xr:uid="{00000000-0005-0000-0000-0000E3130000}"/>
    <cellStyle name="Yen" xfId="5135" xr:uid="{00000000-0005-0000-0000-0000E4130000}"/>
    <cellStyle name="Žd–óform" xfId="4580" xr:uid="{00000000-0005-0000-0000-0000E5130000}"/>
    <cellStyle name="ハイパーリンク" xfId="5136" xr:uid="{00000000-0005-0000-0000-0000E6130000}"/>
    <cellStyle name="ﾛｯｸ" xfId="5137" xr:uid="{00000000-0005-0000-0000-0000E7130000}"/>
    <cellStyle name="똿뗦먛귟 [0.00]_PRODUCT DETAIL Q1" xfId="4506" xr:uid="{00000000-0005-0000-0000-0000E8130000}"/>
    <cellStyle name="똿뗦먛귟_PRODUCT DETAIL Q1" xfId="5138" xr:uid="{00000000-0005-0000-0000-0000E9130000}"/>
    <cellStyle name="믅됞 [0.00]_PRODUCT DETAIL Q1" xfId="5139" xr:uid="{00000000-0005-0000-0000-0000EA130000}"/>
    <cellStyle name="믅됞_PRODUCT DETAIL Q1" xfId="587" xr:uid="{00000000-0005-0000-0000-0000EB130000}"/>
    <cellStyle name="백분율_HOBONG" xfId="5140" xr:uid="{00000000-0005-0000-0000-0000EC130000}"/>
    <cellStyle name="뷭?_BOOKSHIP" xfId="5141" xr:uid="{00000000-0005-0000-0000-0000ED130000}"/>
    <cellStyle name="콤마 [0]_1202" xfId="5142" xr:uid="{00000000-0005-0000-0000-0000EE130000}"/>
    <cellStyle name="콤마_1202" xfId="5143" xr:uid="{00000000-0005-0000-0000-0000EF130000}"/>
    <cellStyle name="통화 [0]_1202" xfId="5144" xr:uid="{00000000-0005-0000-0000-0000F0130000}"/>
    <cellStyle name="통화_1202" xfId="5145" xr:uid="{00000000-0005-0000-0000-0000F1130000}"/>
    <cellStyle name="표준_(정보부문)월별인원계획" xfId="1647" xr:uid="{00000000-0005-0000-0000-0000F2130000}"/>
    <cellStyle name="一般_BS_Tokyo_200512" xfId="5146" xr:uid="{00000000-0005-0000-0000-0000F3130000}"/>
    <cellStyle name="仕撲form" xfId="5147" xr:uid="{00000000-0005-0000-0000-0000F4130000}"/>
    <cellStyle name="仕訳form" xfId="1523" xr:uid="{00000000-0005-0000-0000-0000F5130000}"/>
    <cellStyle name="千位分隔 2" xfId="5148" xr:uid="{00000000-0005-0000-0000-0000F6130000}"/>
    <cellStyle name="千位分隔 3" xfId="5149" xr:uid="{00000000-0005-0000-0000-0000F7130000}"/>
    <cellStyle name="千位分隔 4" xfId="5150" xr:uid="{00000000-0005-0000-0000-0000F8130000}"/>
    <cellStyle name="千位分隔 5" xfId="5151" xr:uid="{00000000-0005-0000-0000-0000F9130000}"/>
    <cellStyle name="千位分隔[0] 2" xfId="411" xr:uid="{00000000-0005-0000-0000-0000FA130000}"/>
    <cellStyle name="千位分隔[0] 3" xfId="5152" xr:uid="{00000000-0005-0000-0000-0000FB130000}"/>
    <cellStyle name="千位分隔_2010年12月麦斯朗程财务报表" xfId="5153" xr:uid="{00000000-0005-0000-0000-0000FC130000}"/>
    <cellStyle name="好" xfId="5154" xr:uid="{00000000-0005-0000-0000-0000FD130000}"/>
    <cellStyle name="好_12 Dec 2012 Yuhe Financials Year 2012 Audit" xfId="5155" xr:uid="{00000000-0005-0000-0000-0000FE130000}"/>
    <cellStyle name="好_2010年12月麦斯朗程财务报表" xfId="5156" xr:uid="{00000000-0005-0000-0000-0000FF130000}"/>
    <cellStyle name="好_2012 Qtr Budget" xfId="5157" xr:uid="{00000000-0005-0000-0000-000000140000}"/>
    <cellStyle name="好_Book1" xfId="5158" xr:uid="{00000000-0005-0000-0000-000001140000}"/>
    <cellStyle name="好_cash balance" xfId="5159" xr:uid="{00000000-0005-0000-0000-000002140000}"/>
    <cellStyle name="好_Dep%20Calculation(1)" xfId="5160" xr:uid="{00000000-0005-0000-0000-000003140000}"/>
    <cellStyle name="好_Depreciation Workings New 13.10.2012" xfId="5161" xr:uid="{00000000-0005-0000-0000-000004140000}"/>
    <cellStyle name="好_Depreciation Workings New 13.10.2012 Final" xfId="5162" xr:uid="{00000000-0005-0000-0000-000005140000}"/>
    <cellStyle name="好_Forecast 2012" xfId="5163" xr:uid="{00000000-0005-0000-0000-000006140000}"/>
    <cellStyle name="好_Overlay calculation process" xfId="5164" xr:uid="{00000000-0005-0000-0000-000007140000}"/>
    <cellStyle name="好_P&amp;L(1)" xfId="1742" xr:uid="{00000000-0005-0000-0000-000008140000}"/>
    <cellStyle name="好_Sheet1" xfId="5165" xr:uid="{00000000-0005-0000-0000-000009140000}"/>
    <cellStyle name="好_Yuhe DD Model 2012 act updated" xfId="5166" xr:uid="{00000000-0005-0000-0000-00000A140000}"/>
    <cellStyle name="好_YuHe_Model Final" xfId="5167" xr:uid="{00000000-0005-0000-0000-00000B140000}"/>
    <cellStyle name="好_印方模型" xfId="5168" xr:uid="{00000000-0005-0000-0000-00000C140000}"/>
    <cellStyle name="好_合并报表" xfId="5169" xr:uid="{00000000-0005-0000-0000-00000D140000}"/>
    <cellStyle name="好_合并损益表" xfId="1391" xr:uid="{00000000-0005-0000-0000-00000E140000}"/>
    <cellStyle name="好_合并资产负债表" xfId="5170" xr:uid="{00000000-0005-0000-0000-00000F140000}"/>
    <cellStyle name="好_新建 Microsoft Office Excel 工作表" xfId="5171" xr:uid="{00000000-0005-0000-0000-000010140000}"/>
    <cellStyle name="好_长摊折旧年限改变(1)" xfId="5172" xr:uid="{00000000-0005-0000-0000-000011140000}"/>
    <cellStyle name="差" xfId="5173" xr:uid="{00000000-0005-0000-0000-000012140000}"/>
    <cellStyle name="差_12 Dec 2012 Yuhe Financials Year 2012 Audit" xfId="5174" xr:uid="{00000000-0005-0000-0000-000013140000}"/>
    <cellStyle name="差_2010年12月麦斯朗程财务报表" xfId="5175" xr:uid="{00000000-0005-0000-0000-000014140000}"/>
    <cellStyle name="差_2012 Qtr Budget" xfId="5176" xr:uid="{00000000-0005-0000-0000-000015140000}"/>
    <cellStyle name="差_Book1" xfId="5177" xr:uid="{00000000-0005-0000-0000-000016140000}"/>
    <cellStyle name="差_cash balance" xfId="5178" xr:uid="{00000000-0005-0000-0000-000017140000}"/>
    <cellStyle name="差_Dep%20Calculation(1)" xfId="5179" xr:uid="{00000000-0005-0000-0000-000018140000}"/>
    <cellStyle name="差_Depreciation Workings New 13.10.2012" xfId="2522" xr:uid="{00000000-0005-0000-0000-000019140000}"/>
    <cellStyle name="差_Depreciation Workings New 13.10.2012 Final" xfId="5180" xr:uid="{00000000-0005-0000-0000-00001A140000}"/>
    <cellStyle name="差_Forecast 2012" xfId="5181" xr:uid="{00000000-0005-0000-0000-00001B140000}"/>
    <cellStyle name="差_Overlay calculation process" xfId="5182" xr:uid="{00000000-0005-0000-0000-00001C140000}"/>
    <cellStyle name="差_P&amp;L(1)" xfId="1577" xr:uid="{00000000-0005-0000-0000-00001D140000}"/>
    <cellStyle name="差_Sheet1" xfId="5183" xr:uid="{00000000-0005-0000-0000-00001E140000}"/>
    <cellStyle name="差_Yuhe DD Model 2012 act updated" xfId="5184" xr:uid="{00000000-0005-0000-0000-00001F140000}"/>
    <cellStyle name="差_YuHe_Model Final" xfId="3679" xr:uid="{00000000-0005-0000-0000-000020140000}"/>
    <cellStyle name="差_印方模型" xfId="5185" xr:uid="{00000000-0005-0000-0000-000021140000}"/>
    <cellStyle name="差_合并报表" xfId="5186" xr:uid="{00000000-0005-0000-0000-000022140000}"/>
    <cellStyle name="差_合并损益表" xfId="5187" xr:uid="{00000000-0005-0000-0000-000023140000}"/>
    <cellStyle name="差_合并资产负债表" xfId="5188" xr:uid="{00000000-0005-0000-0000-000024140000}"/>
    <cellStyle name="差_新建 Microsoft Office Excel 工作表" xfId="5189" xr:uid="{00000000-0005-0000-0000-000025140000}"/>
    <cellStyle name="差_长摊折旧年限改变(1)" xfId="5190" xr:uid="{00000000-0005-0000-0000-000026140000}"/>
    <cellStyle name="常规 2" xfId="3148" xr:uid="{00000000-0005-0000-0000-000027140000}"/>
    <cellStyle name="常规 2 2" xfId="5191" xr:uid="{00000000-0005-0000-0000-000028140000}"/>
    <cellStyle name="常规 2 2 2" xfId="5192" xr:uid="{00000000-0005-0000-0000-000029140000}"/>
    <cellStyle name="常规 2 3" xfId="5193" xr:uid="{00000000-0005-0000-0000-00002A140000}"/>
    <cellStyle name="常规 2 4" xfId="5194" xr:uid="{00000000-0005-0000-0000-00002B140000}"/>
    <cellStyle name="常规 2 5" xfId="5195" xr:uid="{00000000-0005-0000-0000-00002C140000}"/>
    <cellStyle name="常规 2_12 Dec 2012 Yuhe Financials Year 2012 Audit" xfId="5196" xr:uid="{00000000-0005-0000-0000-00002D140000}"/>
    <cellStyle name="常规 3" xfId="3151" xr:uid="{00000000-0005-0000-0000-00002E140000}"/>
    <cellStyle name="常规 3 2" xfId="956" xr:uid="{00000000-0005-0000-0000-00002F140000}"/>
    <cellStyle name="常规 3_12 Dec 2012 Yuhe Financials Year 2012 Audit" xfId="5197" xr:uid="{00000000-0005-0000-0000-000030140000}"/>
    <cellStyle name="常规 4" xfId="3799" xr:uid="{00000000-0005-0000-0000-000031140000}"/>
    <cellStyle name="常规 5" xfId="3801" xr:uid="{00000000-0005-0000-0000-000032140000}"/>
    <cellStyle name="常规 7" xfId="5198" xr:uid="{00000000-0005-0000-0000-000033140000}"/>
    <cellStyle name="常规_（）年（单位）集团专项计划表" xfId="5199" xr:uid="{00000000-0005-0000-0000-000034140000}"/>
    <cellStyle name="强调文字颜色 1" xfId="5200" xr:uid="{00000000-0005-0000-0000-000035140000}"/>
    <cellStyle name="强调文字颜色 2" xfId="2645" xr:uid="{00000000-0005-0000-0000-000036140000}"/>
    <cellStyle name="强调文字颜色 3" xfId="3200" xr:uid="{00000000-0005-0000-0000-000037140000}"/>
    <cellStyle name="强调文字颜色 4" xfId="4165" xr:uid="{00000000-0005-0000-0000-000038140000}"/>
    <cellStyle name="强调文字颜色 5" xfId="3832" xr:uid="{00000000-0005-0000-0000-000039140000}"/>
    <cellStyle name="强调文字颜色 6" xfId="5201" xr:uid="{00000000-0005-0000-0000-00003A140000}"/>
    <cellStyle name="普通_活用表_亿元表" xfId="5202" xr:uid="{00000000-0005-0000-0000-00003B140000}"/>
    <cellStyle name="标题" xfId="5203" xr:uid="{00000000-0005-0000-0000-00003C140000}"/>
    <cellStyle name="标题 1" xfId="5204" xr:uid="{00000000-0005-0000-0000-00003D140000}"/>
    <cellStyle name="标题 2" xfId="3542" xr:uid="{00000000-0005-0000-0000-00003E140000}"/>
    <cellStyle name="标题 3" xfId="5205" xr:uid="{00000000-0005-0000-0000-00003F140000}"/>
    <cellStyle name="标题 4" xfId="5206" xr:uid="{00000000-0005-0000-0000-000040140000}"/>
    <cellStyle name="标题_12 Dec 2012 Yuhe Financials Year 2012 Audit" xfId="5207" xr:uid="{00000000-0005-0000-0000-000041140000}"/>
    <cellStyle name="样式 1" xfId="5208" xr:uid="{00000000-0005-0000-0000-000042140000}"/>
    <cellStyle name="桁蟻唇Ｆ [0.00]_Sheet1" xfId="5209" xr:uid="{00000000-0005-0000-0000-000043140000}"/>
    <cellStyle name="桁蟻唇Ｆ_4Qtr (2)" xfId="5210" xr:uid="{00000000-0005-0000-0000-000044140000}"/>
    <cellStyle name="检查单元格" xfId="5211" xr:uid="{00000000-0005-0000-0000-000045140000}"/>
    <cellStyle name="標?_(1) 茄子" xfId="5212" xr:uid="{00000000-0005-0000-0000-000046140000}"/>
    <cellStyle name="標準_0703事業計画書" xfId="4475" xr:uid="{00000000-0005-0000-0000-000047140000}"/>
    <cellStyle name="汇总" xfId="5213" xr:uid="{00000000-0005-0000-0000-000048140000}"/>
    <cellStyle name="汇总 10" xfId="2395" xr:uid="{00000000-0005-0000-0000-000049140000}"/>
    <cellStyle name="汇总 11" xfId="2400" xr:uid="{00000000-0005-0000-0000-00004A140000}"/>
    <cellStyle name="汇总 12" xfId="2405" xr:uid="{00000000-0005-0000-0000-00004B140000}"/>
    <cellStyle name="汇总 13" xfId="2410" xr:uid="{00000000-0005-0000-0000-00004C140000}"/>
    <cellStyle name="汇总 14" xfId="2415" xr:uid="{00000000-0005-0000-0000-00004D140000}"/>
    <cellStyle name="汇总 2" xfId="2429" xr:uid="{00000000-0005-0000-0000-00004E140000}"/>
    <cellStyle name="汇总 2 10" xfId="3804" xr:uid="{00000000-0005-0000-0000-00004F140000}"/>
    <cellStyle name="汇总 2 11" xfId="4000" xr:uid="{00000000-0005-0000-0000-000050140000}"/>
    <cellStyle name="汇总 2 12" xfId="846" xr:uid="{00000000-0005-0000-0000-000051140000}"/>
    <cellStyle name="汇总 2 13" xfId="5214" xr:uid="{00000000-0005-0000-0000-000052140000}"/>
    <cellStyle name="汇总 2 2" xfId="1997" xr:uid="{00000000-0005-0000-0000-000053140000}"/>
    <cellStyle name="汇总 2 3" xfId="83" xr:uid="{00000000-0005-0000-0000-000054140000}"/>
    <cellStyle name="汇总 2 4" xfId="739" xr:uid="{00000000-0005-0000-0000-000055140000}"/>
    <cellStyle name="汇总 2 5" xfId="5215" xr:uid="{00000000-0005-0000-0000-000056140000}"/>
    <cellStyle name="汇总 2 6" xfId="5216" xr:uid="{00000000-0005-0000-0000-000057140000}"/>
    <cellStyle name="汇总 2 7" xfId="5217" xr:uid="{00000000-0005-0000-0000-000058140000}"/>
    <cellStyle name="汇总 2 8" xfId="5218" xr:uid="{00000000-0005-0000-0000-000059140000}"/>
    <cellStyle name="汇总 2 9" xfId="5219" xr:uid="{00000000-0005-0000-0000-00005A140000}"/>
    <cellStyle name="汇总 3" xfId="2432" xr:uid="{00000000-0005-0000-0000-00005B140000}"/>
    <cellStyle name="汇总 4" xfId="2435" xr:uid="{00000000-0005-0000-0000-00005C140000}"/>
    <cellStyle name="汇总 5" xfId="259" xr:uid="{00000000-0005-0000-0000-00005D140000}"/>
    <cellStyle name="汇总 6" xfId="2438" xr:uid="{00000000-0005-0000-0000-00005E140000}"/>
    <cellStyle name="汇总 7" xfId="2531" xr:uid="{00000000-0005-0000-0000-00005F140000}"/>
    <cellStyle name="汇总 8" xfId="2533" xr:uid="{00000000-0005-0000-0000-000060140000}"/>
    <cellStyle name="汇总 9" xfId="5220" xr:uid="{00000000-0005-0000-0000-000061140000}"/>
    <cellStyle name="汇总_12 Dec 2012 Yuhe Financials Year 2012 Audit" xfId="5221" xr:uid="{00000000-0005-0000-0000-000062140000}"/>
    <cellStyle name="注释" xfId="5222" xr:uid="{00000000-0005-0000-0000-000063140000}"/>
    <cellStyle name="注释 10" xfId="5223" xr:uid="{00000000-0005-0000-0000-000064140000}"/>
    <cellStyle name="注释 11" xfId="5224" xr:uid="{00000000-0005-0000-0000-000065140000}"/>
    <cellStyle name="注释 12" xfId="5225" xr:uid="{00000000-0005-0000-0000-000066140000}"/>
    <cellStyle name="注释 13" xfId="5226" xr:uid="{00000000-0005-0000-0000-000067140000}"/>
    <cellStyle name="注释 14" xfId="5227" xr:uid="{00000000-0005-0000-0000-000068140000}"/>
    <cellStyle name="注释 2" xfId="5228" xr:uid="{00000000-0005-0000-0000-000069140000}"/>
    <cellStyle name="注释 2 10" xfId="5229" xr:uid="{00000000-0005-0000-0000-00006A140000}"/>
    <cellStyle name="注释 2 11" xfId="5230" xr:uid="{00000000-0005-0000-0000-00006B140000}"/>
    <cellStyle name="注释 2 12" xfId="5231" xr:uid="{00000000-0005-0000-0000-00006C140000}"/>
    <cellStyle name="注释 2 13" xfId="5232" xr:uid="{00000000-0005-0000-0000-00006D140000}"/>
    <cellStyle name="注释 2 2" xfId="5233" xr:uid="{00000000-0005-0000-0000-00006E140000}"/>
    <cellStyle name="注释 2 3" xfId="1041" xr:uid="{00000000-0005-0000-0000-00006F140000}"/>
    <cellStyle name="注释 2 4" xfId="5234" xr:uid="{00000000-0005-0000-0000-000070140000}"/>
    <cellStyle name="注释 2 5" xfId="5235" xr:uid="{00000000-0005-0000-0000-000071140000}"/>
    <cellStyle name="注释 2 6" xfId="5236" xr:uid="{00000000-0005-0000-0000-000072140000}"/>
    <cellStyle name="注释 2 7" xfId="5237" xr:uid="{00000000-0005-0000-0000-000073140000}"/>
    <cellStyle name="注释 2 8" xfId="4481" xr:uid="{00000000-0005-0000-0000-000074140000}"/>
    <cellStyle name="注释 2 9" xfId="5238" xr:uid="{00000000-0005-0000-0000-000075140000}"/>
    <cellStyle name="注释 3" xfId="5239" xr:uid="{00000000-0005-0000-0000-000076140000}"/>
    <cellStyle name="注释 4" xfId="5240" xr:uid="{00000000-0005-0000-0000-000077140000}"/>
    <cellStyle name="注释 5" xfId="5241" xr:uid="{00000000-0005-0000-0000-000078140000}"/>
    <cellStyle name="注释 6" xfId="5242" xr:uid="{00000000-0005-0000-0000-000079140000}"/>
    <cellStyle name="注释 7" xfId="5243" xr:uid="{00000000-0005-0000-0000-00007A140000}"/>
    <cellStyle name="注释 8" xfId="5244" xr:uid="{00000000-0005-0000-0000-00007B140000}"/>
    <cellStyle name="注释 9" xfId="5245" xr:uid="{00000000-0005-0000-0000-00007C140000}"/>
    <cellStyle name="注释_12 Dec 2012 Yuhe Financials Year 2012 Audit" xfId="5246" xr:uid="{00000000-0005-0000-0000-00007D140000}"/>
    <cellStyle name="百分比 2" xfId="5247" xr:uid="{00000000-0005-0000-0000-00007E140000}"/>
    <cellStyle name="百分比 2 2" xfId="5248" xr:uid="{00000000-0005-0000-0000-00007F140000}"/>
    <cellStyle name="脚注資料" xfId="5249" xr:uid="{00000000-0005-0000-0000-000080140000}"/>
    <cellStyle name="脱浦 [0.00]_Sheet1" xfId="5250" xr:uid="{00000000-0005-0000-0000-000081140000}"/>
    <cellStyle name="脱浦_Sheet1" xfId="5251" xr:uid="{00000000-0005-0000-0000-000082140000}"/>
    <cellStyle name="表示済みのハイパーリンク" xfId="5252" xr:uid="{00000000-0005-0000-0000-000083140000}"/>
    <cellStyle name="解释性文本" xfId="5253" xr:uid="{00000000-0005-0000-0000-000084140000}"/>
    <cellStyle name="計画" xfId="5254" xr:uid="{00000000-0005-0000-0000-000085140000}"/>
    <cellStyle name="警告文本" xfId="5255" xr:uid="{00000000-0005-0000-0000-000086140000}"/>
    <cellStyle name="计算" xfId="5256" xr:uid="{00000000-0005-0000-0000-000087140000}"/>
    <cellStyle name="计算 10" xfId="5257" xr:uid="{00000000-0005-0000-0000-000088140000}"/>
    <cellStyle name="计算 11" xfId="5258" xr:uid="{00000000-0005-0000-0000-000089140000}"/>
    <cellStyle name="计算 12" xfId="5259" xr:uid="{00000000-0005-0000-0000-00008A140000}"/>
    <cellStyle name="计算 13" xfId="5260" xr:uid="{00000000-0005-0000-0000-00008B140000}"/>
    <cellStyle name="计算 14" xfId="5261" xr:uid="{00000000-0005-0000-0000-00008C140000}"/>
    <cellStyle name="计算 2" xfId="5262" xr:uid="{00000000-0005-0000-0000-00008D140000}"/>
    <cellStyle name="计算 2 10" xfId="5263" xr:uid="{00000000-0005-0000-0000-00008E140000}"/>
    <cellStyle name="计算 2 11" xfId="5264" xr:uid="{00000000-0005-0000-0000-00008F140000}"/>
    <cellStyle name="计算 2 12" xfId="5265" xr:uid="{00000000-0005-0000-0000-000090140000}"/>
    <cellStyle name="计算 2 13" xfId="5266" xr:uid="{00000000-0005-0000-0000-000091140000}"/>
    <cellStyle name="计算 2 2" xfId="5267" xr:uid="{00000000-0005-0000-0000-000092140000}"/>
    <cellStyle name="计算 2 3" xfId="5268" xr:uid="{00000000-0005-0000-0000-000093140000}"/>
    <cellStyle name="计算 2 4" xfId="5269" xr:uid="{00000000-0005-0000-0000-000094140000}"/>
    <cellStyle name="计算 2 5" xfId="5270" xr:uid="{00000000-0005-0000-0000-000095140000}"/>
    <cellStyle name="计算 2 6" xfId="5271" xr:uid="{00000000-0005-0000-0000-000096140000}"/>
    <cellStyle name="计算 2 7" xfId="5272" xr:uid="{00000000-0005-0000-0000-000097140000}"/>
    <cellStyle name="计算 2 8" xfId="5273" xr:uid="{00000000-0005-0000-0000-000098140000}"/>
    <cellStyle name="计算 2 9" xfId="5274" xr:uid="{00000000-0005-0000-0000-000099140000}"/>
    <cellStyle name="计算 3" xfId="5275" xr:uid="{00000000-0005-0000-0000-00009A140000}"/>
    <cellStyle name="计算 4" xfId="5276" xr:uid="{00000000-0005-0000-0000-00009B140000}"/>
    <cellStyle name="计算 5" xfId="5277" xr:uid="{00000000-0005-0000-0000-00009C140000}"/>
    <cellStyle name="计算 6" xfId="5278" xr:uid="{00000000-0005-0000-0000-00009D140000}"/>
    <cellStyle name="计算 7" xfId="5279" xr:uid="{00000000-0005-0000-0000-00009E140000}"/>
    <cellStyle name="计算 8" xfId="5280" xr:uid="{00000000-0005-0000-0000-00009F140000}"/>
    <cellStyle name="计算 9" xfId="5281" xr:uid="{00000000-0005-0000-0000-0000A0140000}"/>
    <cellStyle name="计算_12 Dec 2012 Yuhe Financials Year 2012 Audit" xfId="3963" xr:uid="{00000000-0005-0000-0000-0000A1140000}"/>
    <cellStyle name="超链接 2" xfId="5282" xr:uid="{00000000-0005-0000-0000-0000A2140000}"/>
    <cellStyle name="输入" xfId="5283" xr:uid="{00000000-0005-0000-0000-0000A3140000}"/>
    <cellStyle name="输入 10" xfId="5284" xr:uid="{00000000-0005-0000-0000-0000A4140000}"/>
    <cellStyle name="输入 11" xfId="5285" xr:uid="{00000000-0005-0000-0000-0000A5140000}"/>
    <cellStyle name="输入 12" xfId="5286" xr:uid="{00000000-0005-0000-0000-0000A6140000}"/>
    <cellStyle name="输入 13" xfId="240" xr:uid="{00000000-0005-0000-0000-0000A7140000}"/>
    <cellStyle name="输入 14" xfId="5287" xr:uid="{00000000-0005-0000-0000-0000A8140000}"/>
    <cellStyle name="输入 2" xfId="5288" xr:uid="{00000000-0005-0000-0000-0000A9140000}"/>
    <cellStyle name="输入 2 10" xfId="3468" xr:uid="{00000000-0005-0000-0000-0000AA140000}"/>
    <cellStyle name="输入 2 11" xfId="3470" xr:uid="{00000000-0005-0000-0000-0000AB140000}"/>
    <cellStyle name="输入 2 12" xfId="3472" xr:uid="{00000000-0005-0000-0000-0000AC140000}"/>
    <cellStyle name="输入 2 13" xfId="3474" xr:uid="{00000000-0005-0000-0000-0000AD140000}"/>
    <cellStyle name="输入 2 2" xfId="5289" xr:uid="{00000000-0005-0000-0000-0000AE140000}"/>
    <cellStyle name="输入 2 3" xfId="5290" xr:uid="{00000000-0005-0000-0000-0000AF140000}"/>
    <cellStyle name="输入 2 4" xfId="5291" xr:uid="{00000000-0005-0000-0000-0000B0140000}"/>
    <cellStyle name="输入 2 5" xfId="5292" xr:uid="{00000000-0005-0000-0000-0000B1140000}"/>
    <cellStyle name="输入 2 6" xfId="5293" xr:uid="{00000000-0005-0000-0000-0000B2140000}"/>
    <cellStyle name="输入 2 7" xfId="5294" xr:uid="{00000000-0005-0000-0000-0000B3140000}"/>
    <cellStyle name="输入 2 8" xfId="5295" xr:uid="{00000000-0005-0000-0000-0000B4140000}"/>
    <cellStyle name="输入 2 9" xfId="5296" xr:uid="{00000000-0005-0000-0000-0000B5140000}"/>
    <cellStyle name="输入 3" xfId="5297" xr:uid="{00000000-0005-0000-0000-0000B6140000}"/>
    <cellStyle name="输入 4" xfId="5298" xr:uid="{00000000-0005-0000-0000-0000B7140000}"/>
    <cellStyle name="输入 5" xfId="5299" xr:uid="{00000000-0005-0000-0000-0000B8140000}"/>
    <cellStyle name="输入 6" xfId="5300" xr:uid="{00000000-0005-0000-0000-0000B9140000}"/>
    <cellStyle name="输入 7" xfId="5301" xr:uid="{00000000-0005-0000-0000-0000BA140000}"/>
    <cellStyle name="输入 8" xfId="5302" xr:uid="{00000000-0005-0000-0000-0000BB140000}"/>
    <cellStyle name="输入 9" xfId="5303" xr:uid="{00000000-0005-0000-0000-0000BC140000}"/>
    <cellStyle name="输入_12 Dec 2012 Yuhe Financials Year 2012 Audit" xfId="5304" xr:uid="{00000000-0005-0000-0000-0000BD140000}"/>
    <cellStyle name="输出" xfId="5305" xr:uid="{00000000-0005-0000-0000-0000BE140000}"/>
    <cellStyle name="输出 10" xfId="5306" xr:uid="{00000000-0005-0000-0000-0000BF140000}"/>
    <cellStyle name="输出 11" xfId="196" xr:uid="{00000000-0005-0000-0000-0000C0140000}"/>
    <cellStyle name="输出 12" xfId="5307" xr:uid="{00000000-0005-0000-0000-0000C1140000}"/>
    <cellStyle name="输出 13" xfId="4946" xr:uid="{00000000-0005-0000-0000-0000C2140000}"/>
    <cellStyle name="输出 14" xfId="5308" xr:uid="{00000000-0005-0000-0000-0000C3140000}"/>
    <cellStyle name="输出 2" xfId="1696" xr:uid="{00000000-0005-0000-0000-0000C4140000}"/>
    <cellStyle name="输出 2 10" xfId="5309" xr:uid="{00000000-0005-0000-0000-0000C5140000}"/>
    <cellStyle name="输出 2 11" xfId="5310" xr:uid="{00000000-0005-0000-0000-0000C6140000}"/>
    <cellStyle name="输出 2 12" xfId="5311" xr:uid="{00000000-0005-0000-0000-0000C7140000}"/>
    <cellStyle name="输出 2 13" xfId="5312" xr:uid="{00000000-0005-0000-0000-0000C8140000}"/>
    <cellStyle name="输出 2 2" xfId="1699" xr:uid="{00000000-0005-0000-0000-0000C9140000}"/>
    <cellStyle name="输出 2 3" xfId="5313" xr:uid="{00000000-0005-0000-0000-0000CA140000}"/>
    <cellStyle name="输出 2 4" xfId="5314" xr:uid="{00000000-0005-0000-0000-0000CB140000}"/>
    <cellStyle name="输出 2 5" xfId="5315" xr:uid="{00000000-0005-0000-0000-0000CC140000}"/>
    <cellStyle name="输出 2 6" xfId="5316" xr:uid="{00000000-0005-0000-0000-0000CD140000}"/>
    <cellStyle name="输出 2 7" xfId="5317" xr:uid="{00000000-0005-0000-0000-0000CE140000}"/>
    <cellStyle name="输出 2 8" xfId="5318" xr:uid="{00000000-0005-0000-0000-0000CF140000}"/>
    <cellStyle name="输出 2 9" xfId="5319" xr:uid="{00000000-0005-0000-0000-0000D0140000}"/>
    <cellStyle name="输出 3" xfId="5320" xr:uid="{00000000-0005-0000-0000-0000D1140000}"/>
    <cellStyle name="输出 4" xfId="5321" xr:uid="{00000000-0005-0000-0000-0000D2140000}"/>
    <cellStyle name="输出 5" xfId="5322" xr:uid="{00000000-0005-0000-0000-0000D3140000}"/>
    <cellStyle name="输出 6" xfId="5323" xr:uid="{00000000-0005-0000-0000-0000D4140000}"/>
    <cellStyle name="输出 7" xfId="5324" xr:uid="{00000000-0005-0000-0000-0000D5140000}"/>
    <cellStyle name="输出 8" xfId="5325" xr:uid="{00000000-0005-0000-0000-0000D6140000}"/>
    <cellStyle name="输出 9" xfId="5326" xr:uid="{00000000-0005-0000-0000-0000D7140000}"/>
    <cellStyle name="输出_12 Dec 2012 Yuhe Financials Year 2012 Audit" xfId="5327" xr:uid="{00000000-0005-0000-0000-0000D8140000}"/>
    <cellStyle name="适中" xfId="5328" xr:uid="{00000000-0005-0000-0000-0000D9140000}"/>
    <cellStyle name="部門別" xfId="5329" xr:uid="{00000000-0005-0000-0000-0000DA140000}"/>
    <cellStyle name="部門別部別" xfId="5330" xr:uid="{00000000-0005-0000-0000-0000DB140000}"/>
    <cellStyle name="链接单元格" xfId="5331" xr:uid="{00000000-0005-0000-0000-0000DC1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4.xml"/><Relationship Id="rId299" Type="http://schemas.openxmlformats.org/officeDocument/2006/relationships/externalLink" Target="externalLinks/externalLink276.xml"/><Relationship Id="rId21" Type="http://schemas.openxmlformats.org/officeDocument/2006/relationships/worksheet" Target="worksheets/sheet21.xml"/><Relationship Id="rId63" Type="http://schemas.openxmlformats.org/officeDocument/2006/relationships/externalLink" Target="externalLinks/externalLink40.xml"/><Relationship Id="rId159" Type="http://schemas.openxmlformats.org/officeDocument/2006/relationships/externalLink" Target="externalLinks/externalLink136.xml"/><Relationship Id="rId324" Type="http://schemas.openxmlformats.org/officeDocument/2006/relationships/externalLink" Target="externalLinks/externalLink301.xml"/><Relationship Id="rId366" Type="http://schemas.openxmlformats.org/officeDocument/2006/relationships/externalLink" Target="externalLinks/externalLink343.xml"/><Relationship Id="rId170" Type="http://schemas.openxmlformats.org/officeDocument/2006/relationships/externalLink" Target="externalLinks/externalLink147.xml"/><Relationship Id="rId226" Type="http://schemas.openxmlformats.org/officeDocument/2006/relationships/externalLink" Target="externalLinks/externalLink203.xml"/><Relationship Id="rId433" Type="http://schemas.openxmlformats.org/officeDocument/2006/relationships/externalLink" Target="externalLinks/externalLink410.xml"/><Relationship Id="rId268" Type="http://schemas.openxmlformats.org/officeDocument/2006/relationships/externalLink" Target="externalLinks/externalLink245.xml"/><Relationship Id="rId32" Type="http://schemas.openxmlformats.org/officeDocument/2006/relationships/externalLink" Target="externalLinks/externalLink9.xml"/><Relationship Id="rId74" Type="http://schemas.openxmlformats.org/officeDocument/2006/relationships/externalLink" Target="externalLinks/externalLink51.xml"/><Relationship Id="rId128" Type="http://schemas.openxmlformats.org/officeDocument/2006/relationships/externalLink" Target="externalLinks/externalLink105.xml"/><Relationship Id="rId335" Type="http://schemas.openxmlformats.org/officeDocument/2006/relationships/externalLink" Target="externalLinks/externalLink312.xml"/><Relationship Id="rId377" Type="http://schemas.openxmlformats.org/officeDocument/2006/relationships/externalLink" Target="externalLinks/externalLink354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58.xml"/><Relationship Id="rId237" Type="http://schemas.openxmlformats.org/officeDocument/2006/relationships/externalLink" Target="externalLinks/externalLink214.xml"/><Relationship Id="rId402" Type="http://schemas.openxmlformats.org/officeDocument/2006/relationships/externalLink" Target="externalLinks/externalLink379.xml"/><Relationship Id="rId279" Type="http://schemas.openxmlformats.org/officeDocument/2006/relationships/externalLink" Target="externalLinks/externalLink256.xml"/><Relationship Id="rId43" Type="http://schemas.openxmlformats.org/officeDocument/2006/relationships/externalLink" Target="externalLinks/externalLink20.xml"/><Relationship Id="rId139" Type="http://schemas.openxmlformats.org/officeDocument/2006/relationships/externalLink" Target="externalLinks/externalLink116.xml"/><Relationship Id="rId290" Type="http://schemas.openxmlformats.org/officeDocument/2006/relationships/externalLink" Target="externalLinks/externalLink267.xml"/><Relationship Id="rId304" Type="http://schemas.openxmlformats.org/officeDocument/2006/relationships/externalLink" Target="externalLinks/externalLink281.xml"/><Relationship Id="rId346" Type="http://schemas.openxmlformats.org/officeDocument/2006/relationships/externalLink" Target="externalLinks/externalLink323.xml"/><Relationship Id="rId388" Type="http://schemas.openxmlformats.org/officeDocument/2006/relationships/externalLink" Target="externalLinks/externalLink365.xml"/><Relationship Id="rId85" Type="http://schemas.openxmlformats.org/officeDocument/2006/relationships/externalLink" Target="externalLinks/externalLink62.xml"/><Relationship Id="rId150" Type="http://schemas.openxmlformats.org/officeDocument/2006/relationships/externalLink" Target="externalLinks/externalLink127.xml"/><Relationship Id="rId192" Type="http://schemas.openxmlformats.org/officeDocument/2006/relationships/externalLink" Target="externalLinks/externalLink169.xml"/><Relationship Id="rId206" Type="http://schemas.openxmlformats.org/officeDocument/2006/relationships/externalLink" Target="externalLinks/externalLink183.xml"/><Relationship Id="rId413" Type="http://schemas.openxmlformats.org/officeDocument/2006/relationships/externalLink" Target="externalLinks/externalLink390.xml"/><Relationship Id="rId248" Type="http://schemas.openxmlformats.org/officeDocument/2006/relationships/externalLink" Target="externalLinks/externalLink225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0.xml"/><Relationship Id="rId108" Type="http://schemas.openxmlformats.org/officeDocument/2006/relationships/externalLink" Target="externalLinks/externalLink85.xml"/><Relationship Id="rId129" Type="http://schemas.openxmlformats.org/officeDocument/2006/relationships/externalLink" Target="externalLinks/externalLink106.xml"/><Relationship Id="rId280" Type="http://schemas.openxmlformats.org/officeDocument/2006/relationships/externalLink" Target="externalLinks/externalLink257.xml"/><Relationship Id="rId315" Type="http://schemas.openxmlformats.org/officeDocument/2006/relationships/externalLink" Target="externalLinks/externalLink292.xml"/><Relationship Id="rId336" Type="http://schemas.openxmlformats.org/officeDocument/2006/relationships/externalLink" Target="externalLinks/externalLink313.xml"/><Relationship Id="rId357" Type="http://schemas.openxmlformats.org/officeDocument/2006/relationships/externalLink" Target="externalLinks/externalLink334.xml"/><Relationship Id="rId54" Type="http://schemas.openxmlformats.org/officeDocument/2006/relationships/externalLink" Target="externalLinks/externalLink31.xml"/><Relationship Id="rId75" Type="http://schemas.openxmlformats.org/officeDocument/2006/relationships/externalLink" Target="externalLinks/externalLink52.xml"/><Relationship Id="rId96" Type="http://schemas.openxmlformats.org/officeDocument/2006/relationships/externalLink" Target="externalLinks/externalLink73.xml"/><Relationship Id="rId140" Type="http://schemas.openxmlformats.org/officeDocument/2006/relationships/externalLink" Target="externalLinks/externalLink117.xml"/><Relationship Id="rId161" Type="http://schemas.openxmlformats.org/officeDocument/2006/relationships/externalLink" Target="externalLinks/externalLink138.xml"/><Relationship Id="rId182" Type="http://schemas.openxmlformats.org/officeDocument/2006/relationships/externalLink" Target="externalLinks/externalLink159.xml"/><Relationship Id="rId217" Type="http://schemas.openxmlformats.org/officeDocument/2006/relationships/externalLink" Target="externalLinks/externalLink194.xml"/><Relationship Id="rId378" Type="http://schemas.openxmlformats.org/officeDocument/2006/relationships/externalLink" Target="externalLinks/externalLink355.xml"/><Relationship Id="rId399" Type="http://schemas.openxmlformats.org/officeDocument/2006/relationships/externalLink" Target="externalLinks/externalLink376.xml"/><Relationship Id="rId403" Type="http://schemas.openxmlformats.org/officeDocument/2006/relationships/externalLink" Target="externalLinks/externalLink380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15.xml"/><Relationship Id="rId259" Type="http://schemas.openxmlformats.org/officeDocument/2006/relationships/externalLink" Target="externalLinks/externalLink236.xml"/><Relationship Id="rId424" Type="http://schemas.openxmlformats.org/officeDocument/2006/relationships/externalLink" Target="externalLinks/externalLink401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96.xml"/><Relationship Id="rId270" Type="http://schemas.openxmlformats.org/officeDocument/2006/relationships/externalLink" Target="externalLinks/externalLink247.xml"/><Relationship Id="rId291" Type="http://schemas.openxmlformats.org/officeDocument/2006/relationships/externalLink" Target="externalLinks/externalLink268.xml"/><Relationship Id="rId305" Type="http://schemas.openxmlformats.org/officeDocument/2006/relationships/externalLink" Target="externalLinks/externalLink282.xml"/><Relationship Id="rId326" Type="http://schemas.openxmlformats.org/officeDocument/2006/relationships/externalLink" Target="externalLinks/externalLink303.xml"/><Relationship Id="rId347" Type="http://schemas.openxmlformats.org/officeDocument/2006/relationships/externalLink" Target="externalLinks/externalLink324.xml"/><Relationship Id="rId44" Type="http://schemas.openxmlformats.org/officeDocument/2006/relationships/externalLink" Target="externalLinks/externalLink21.xml"/><Relationship Id="rId65" Type="http://schemas.openxmlformats.org/officeDocument/2006/relationships/externalLink" Target="externalLinks/externalLink42.xml"/><Relationship Id="rId86" Type="http://schemas.openxmlformats.org/officeDocument/2006/relationships/externalLink" Target="externalLinks/externalLink63.xml"/><Relationship Id="rId130" Type="http://schemas.openxmlformats.org/officeDocument/2006/relationships/externalLink" Target="externalLinks/externalLink107.xml"/><Relationship Id="rId151" Type="http://schemas.openxmlformats.org/officeDocument/2006/relationships/externalLink" Target="externalLinks/externalLink128.xml"/><Relationship Id="rId368" Type="http://schemas.openxmlformats.org/officeDocument/2006/relationships/externalLink" Target="externalLinks/externalLink345.xml"/><Relationship Id="rId389" Type="http://schemas.openxmlformats.org/officeDocument/2006/relationships/externalLink" Target="externalLinks/externalLink366.xml"/><Relationship Id="rId172" Type="http://schemas.openxmlformats.org/officeDocument/2006/relationships/externalLink" Target="externalLinks/externalLink149.xml"/><Relationship Id="rId193" Type="http://schemas.openxmlformats.org/officeDocument/2006/relationships/externalLink" Target="externalLinks/externalLink170.xml"/><Relationship Id="rId207" Type="http://schemas.openxmlformats.org/officeDocument/2006/relationships/externalLink" Target="externalLinks/externalLink184.xml"/><Relationship Id="rId228" Type="http://schemas.openxmlformats.org/officeDocument/2006/relationships/externalLink" Target="externalLinks/externalLink205.xml"/><Relationship Id="rId249" Type="http://schemas.openxmlformats.org/officeDocument/2006/relationships/externalLink" Target="externalLinks/externalLink226.xml"/><Relationship Id="rId414" Type="http://schemas.openxmlformats.org/officeDocument/2006/relationships/externalLink" Target="externalLinks/externalLink391.xml"/><Relationship Id="rId435" Type="http://schemas.openxmlformats.org/officeDocument/2006/relationships/externalLink" Target="externalLinks/externalLink412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86.xml"/><Relationship Id="rId260" Type="http://schemas.openxmlformats.org/officeDocument/2006/relationships/externalLink" Target="externalLinks/externalLink237.xml"/><Relationship Id="rId281" Type="http://schemas.openxmlformats.org/officeDocument/2006/relationships/externalLink" Target="externalLinks/externalLink258.xml"/><Relationship Id="rId316" Type="http://schemas.openxmlformats.org/officeDocument/2006/relationships/externalLink" Target="externalLinks/externalLink293.xml"/><Relationship Id="rId337" Type="http://schemas.openxmlformats.org/officeDocument/2006/relationships/externalLink" Target="externalLinks/externalLink314.xml"/><Relationship Id="rId34" Type="http://schemas.openxmlformats.org/officeDocument/2006/relationships/externalLink" Target="externalLinks/externalLink11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20" Type="http://schemas.openxmlformats.org/officeDocument/2006/relationships/externalLink" Target="externalLinks/externalLink97.xml"/><Relationship Id="rId141" Type="http://schemas.openxmlformats.org/officeDocument/2006/relationships/externalLink" Target="externalLinks/externalLink118.xml"/><Relationship Id="rId358" Type="http://schemas.openxmlformats.org/officeDocument/2006/relationships/externalLink" Target="externalLinks/externalLink335.xml"/><Relationship Id="rId379" Type="http://schemas.openxmlformats.org/officeDocument/2006/relationships/externalLink" Target="externalLinks/externalLink35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39.xml"/><Relationship Id="rId183" Type="http://schemas.openxmlformats.org/officeDocument/2006/relationships/externalLink" Target="externalLinks/externalLink160.xml"/><Relationship Id="rId218" Type="http://schemas.openxmlformats.org/officeDocument/2006/relationships/externalLink" Target="externalLinks/externalLink195.xml"/><Relationship Id="rId239" Type="http://schemas.openxmlformats.org/officeDocument/2006/relationships/externalLink" Target="externalLinks/externalLink216.xml"/><Relationship Id="rId390" Type="http://schemas.openxmlformats.org/officeDocument/2006/relationships/externalLink" Target="externalLinks/externalLink367.xml"/><Relationship Id="rId404" Type="http://schemas.openxmlformats.org/officeDocument/2006/relationships/externalLink" Target="externalLinks/externalLink381.xml"/><Relationship Id="rId425" Type="http://schemas.openxmlformats.org/officeDocument/2006/relationships/externalLink" Target="externalLinks/externalLink402.xml"/><Relationship Id="rId250" Type="http://schemas.openxmlformats.org/officeDocument/2006/relationships/externalLink" Target="externalLinks/externalLink227.xml"/><Relationship Id="rId271" Type="http://schemas.openxmlformats.org/officeDocument/2006/relationships/externalLink" Target="externalLinks/externalLink248.xml"/><Relationship Id="rId292" Type="http://schemas.openxmlformats.org/officeDocument/2006/relationships/externalLink" Target="externalLinks/externalLink269.xml"/><Relationship Id="rId306" Type="http://schemas.openxmlformats.org/officeDocument/2006/relationships/externalLink" Target="externalLinks/externalLink283.xml"/><Relationship Id="rId24" Type="http://schemas.openxmlformats.org/officeDocument/2006/relationships/externalLink" Target="externalLinks/externalLink1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31" Type="http://schemas.openxmlformats.org/officeDocument/2006/relationships/externalLink" Target="externalLinks/externalLink108.xml"/><Relationship Id="rId327" Type="http://schemas.openxmlformats.org/officeDocument/2006/relationships/externalLink" Target="externalLinks/externalLink304.xml"/><Relationship Id="rId348" Type="http://schemas.openxmlformats.org/officeDocument/2006/relationships/externalLink" Target="externalLinks/externalLink325.xml"/><Relationship Id="rId369" Type="http://schemas.openxmlformats.org/officeDocument/2006/relationships/externalLink" Target="externalLinks/externalLink346.xml"/><Relationship Id="rId152" Type="http://schemas.openxmlformats.org/officeDocument/2006/relationships/externalLink" Target="externalLinks/externalLink129.xml"/><Relationship Id="rId173" Type="http://schemas.openxmlformats.org/officeDocument/2006/relationships/externalLink" Target="externalLinks/externalLink150.xml"/><Relationship Id="rId194" Type="http://schemas.openxmlformats.org/officeDocument/2006/relationships/externalLink" Target="externalLinks/externalLink171.xml"/><Relationship Id="rId208" Type="http://schemas.openxmlformats.org/officeDocument/2006/relationships/externalLink" Target="externalLinks/externalLink185.xml"/><Relationship Id="rId229" Type="http://schemas.openxmlformats.org/officeDocument/2006/relationships/externalLink" Target="externalLinks/externalLink206.xml"/><Relationship Id="rId380" Type="http://schemas.openxmlformats.org/officeDocument/2006/relationships/externalLink" Target="externalLinks/externalLink357.xml"/><Relationship Id="rId415" Type="http://schemas.openxmlformats.org/officeDocument/2006/relationships/externalLink" Target="externalLinks/externalLink392.xml"/><Relationship Id="rId436" Type="http://schemas.openxmlformats.org/officeDocument/2006/relationships/theme" Target="theme/theme1.xml"/><Relationship Id="rId240" Type="http://schemas.openxmlformats.org/officeDocument/2006/relationships/externalLink" Target="externalLinks/externalLink217.xml"/><Relationship Id="rId261" Type="http://schemas.openxmlformats.org/officeDocument/2006/relationships/externalLink" Target="externalLinks/externalLink238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282" Type="http://schemas.openxmlformats.org/officeDocument/2006/relationships/externalLink" Target="externalLinks/externalLink259.xml"/><Relationship Id="rId317" Type="http://schemas.openxmlformats.org/officeDocument/2006/relationships/externalLink" Target="externalLinks/externalLink294.xml"/><Relationship Id="rId338" Type="http://schemas.openxmlformats.org/officeDocument/2006/relationships/externalLink" Target="externalLinks/externalLink315.xml"/><Relationship Id="rId359" Type="http://schemas.openxmlformats.org/officeDocument/2006/relationships/externalLink" Target="externalLinks/externalLink336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142" Type="http://schemas.openxmlformats.org/officeDocument/2006/relationships/externalLink" Target="externalLinks/externalLink119.xml"/><Relationship Id="rId163" Type="http://schemas.openxmlformats.org/officeDocument/2006/relationships/externalLink" Target="externalLinks/externalLink140.xml"/><Relationship Id="rId184" Type="http://schemas.openxmlformats.org/officeDocument/2006/relationships/externalLink" Target="externalLinks/externalLink161.xml"/><Relationship Id="rId219" Type="http://schemas.openxmlformats.org/officeDocument/2006/relationships/externalLink" Target="externalLinks/externalLink196.xml"/><Relationship Id="rId370" Type="http://schemas.openxmlformats.org/officeDocument/2006/relationships/externalLink" Target="externalLinks/externalLink347.xml"/><Relationship Id="rId391" Type="http://schemas.openxmlformats.org/officeDocument/2006/relationships/externalLink" Target="externalLinks/externalLink368.xml"/><Relationship Id="rId405" Type="http://schemas.openxmlformats.org/officeDocument/2006/relationships/externalLink" Target="externalLinks/externalLink382.xml"/><Relationship Id="rId426" Type="http://schemas.openxmlformats.org/officeDocument/2006/relationships/externalLink" Target="externalLinks/externalLink403.xml"/><Relationship Id="rId230" Type="http://schemas.openxmlformats.org/officeDocument/2006/relationships/externalLink" Target="externalLinks/externalLink207.xml"/><Relationship Id="rId251" Type="http://schemas.openxmlformats.org/officeDocument/2006/relationships/externalLink" Target="externalLinks/externalLink228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272" Type="http://schemas.openxmlformats.org/officeDocument/2006/relationships/externalLink" Target="externalLinks/externalLink249.xml"/><Relationship Id="rId293" Type="http://schemas.openxmlformats.org/officeDocument/2006/relationships/externalLink" Target="externalLinks/externalLink270.xml"/><Relationship Id="rId307" Type="http://schemas.openxmlformats.org/officeDocument/2006/relationships/externalLink" Target="externalLinks/externalLink284.xml"/><Relationship Id="rId328" Type="http://schemas.openxmlformats.org/officeDocument/2006/relationships/externalLink" Target="externalLinks/externalLink305.xml"/><Relationship Id="rId349" Type="http://schemas.openxmlformats.org/officeDocument/2006/relationships/externalLink" Target="externalLinks/externalLink326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32" Type="http://schemas.openxmlformats.org/officeDocument/2006/relationships/externalLink" Target="externalLinks/externalLink109.xml"/><Relationship Id="rId153" Type="http://schemas.openxmlformats.org/officeDocument/2006/relationships/externalLink" Target="externalLinks/externalLink130.xml"/><Relationship Id="rId174" Type="http://schemas.openxmlformats.org/officeDocument/2006/relationships/externalLink" Target="externalLinks/externalLink151.xml"/><Relationship Id="rId195" Type="http://schemas.openxmlformats.org/officeDocument/2006/relationships/externalLink" Target="externalLinks/externalLink172.xml"/><Relationship Id="rId209" Type="http://schemas.openxmlformats.org/officeDocument/2006/relationships/externalLink" Target="externalLinks/externalLink186.xml"/><Relationship Id="rId360" Type="http://schemas.openxmlformats.org/officeDocument/2006/relationships/externalLink" Target="externalLinks/externalLink337.xml"/><Relationship Id="rId381" Type="http://schemas.openxmlformats.org/officeDocument/2006/relationships/externalLink" Target="externalLinks/externalLink358.xml"/><Relationship Id="rId416" Type="http://schemas.openxmlformats.org/officeDocument/2006/relationships/externalLink" Target="externalLinks/externalLink393.xml"/><Relationship Id="rId220" Type="http://schemas.openxmlformats.org/officeDocument/2006/relationships/externalLink" Target="externalLinks/externalLink197.xml"/><Relationship Id="rId241" Type="http://schemas.openxmlformats.org/officeDocument/2006/relationships/externalLink" Target="externalLinks/externalLink218.xml"/><Relationship Id="rId437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262" Type="http://schemas.openxmlformats.org/officeDocument/2006/relationships/externalLink" Target="externalLinks/externalLink239.xml"/><Relationship Id="rId283" Type="http://schemas.openxmlformats.org/officeDocument/2006/relationships/externalLink" Target="externalLinks/externalLink260.xml"/><Relationship Id="rId318" Type="http://schemas.openxmlformats.org/officeDocument/2006/relationships/externalLink" Target="externalLinks/externalLink295.xml"/><Relationship Id="rId339" Type="http://schemas.openxmlformats.org/officeDocument/2006/relationships/externalLink" Target="externalLinks/externalLink316.xml"/><Relationship Id="rId78" Type="http://schemas.openxmlformats.org/officeDocument/2006/relationships/externalLink" Target="externalLinks/externalLink55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143" Type="http://schemas.openxmlformats.org/officeDocument/2006/relationships/externalLink" Target="externalLinks/externalLink120.xml"/><Relationship Id="rId164" Type="http://schemas.openxmlformats.org/officeDocument/2006/relationships/externalLink" Target="externalLinks/externalLink141.xml"/><Relationship Id="rId185" Type="http://schemas.openxmlformats.org/officeDocument/2006/relationships/externalLink" Target="externalLinks/externalLink162.xml"/><Relationship Id="rId350" Type="http://schemas.openxmlformats.org/officeDocument/2006/relationships/externalLink" Target="externalLinks/externalLink327.xml"/><Relationship Id="rId371" Type="http://schemas.openxmlformats.org/officeDocument/2006/relationships/externalLink" Target="externalLinks/externalLink348.xml"/><Relationship Id="rId406" Type="http://schemas.openxmlformats.org/officeDocument/2006/relationships/externalLink" Target="externalLinks/externalLink383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87.xml"/><Relationship Id="rId392" Type="http://schemas.openxmlformats.org/officeDocument/2006/relationships/externalLink" Target="externalLinks/externalLink369.xml"/><Relationship Id="rId427" Type="http://schemas.openxmlformats.org/officeDocument/2006/relationships/externalLink" Target="externalLinks/externalLink404.xml"/><Relationship Id="rId26" Type="http://schemas.openxmlformats.org/officeDocument/2006/relationships/externalLink" Target="externalLinks/externalLink3.xml"/><Relationship Id="rId231" Type="http://schemas.openxmlformats.org/officeDocument/2006/relationships/externalLink" Target="externalLinks/externalLink208.xml"/><Relationship Id="rId252" Type="http://schemas.openxmlformats.org/officeDocument/2006/relationships/externalLink" Target="externalLinks/externalLink229.xml"/><Relationship Id="rId273" Type="http://schemas.openxmlformats.org/officeDocument/2006/relationships/externalLink" Target="externalLinks/externalLink250.xml"/><Relationship Id="rId294" Type="http://schemas.openxmlformats.org/officeDocument/2006/relationships/externalLink" Target="externalLinks/externalLink271.xml"/><Relationship Id="rId308" Type="http://schemas.openxmlformats.org/officeDocument/2006/relationships/externalLink" Target="externalLinks/externalLink285.xml"/><Relationship Id="rId329" Type="http://schemas.openxmlformats.org/officeDocument/2006/relationships/externalLink" Target="externalLinks/externalLink306.xml"/><Relationship Id="rId47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45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33" Type="http://schemas.openxmlformats.org/officeDocument/2006/relationships/externalLink" Target="externalLinks/externalLink110.xml"/><Relationship Id="rId154" Type="http://schemas.openxmlformats.org/officeDocument/2006/relationships/externalLink" Target="externalLinks/externalLink131.xml"/><Relationship Id="rId175" Type="http://schemas.openxmlformats.org/officeDocument/2006/relationships/externalLink" Target="externalLinks/externalLink152.xml"/><Relationship Id="rId340" Type="http://schemas.openxmlformats.org/officeDocument/2006/relationships/externalLink" Target="externalLinks/externalLink317.xml"/><Relationship Id="rId361" Type="http://schemas.openxmlformats.org/officeDocument/2006/relationships/externalLink" Target="externalLinks/externalLink338.xml"/><Relationship Id="rId196" Type="http://schemas.openxmlformats.org/officeDocument/2006/relationships/externalLink" Target="externalLinks/externalLink173.xml"/><Relationship Id="rId200" Type="http://schemas.openxmlformats.org/officeDocument/2006/relationships/externalLink" Target="externalLinks/externalLink177.xml"/><Relationship Id="rId382" Type="http://schemas.openxmlformats.org/officeDocument/2006/relationships/externalLink" Target="externalLinks/externalLink359.xml"/><Relationship Id="rId417" Type="http://schemas.openxmlformats.org/officeDocument/2006/relationships/externalLink" Target="externalLinks/externalLink394.xml"/><Relationship Id="rId438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98.xml"/><Relationship Id="rId242" Type="http://schemas.openxmlformats.org/officeDocument/2006/relationships/externalLink" Target="externalLinks/externalLink219.xml"/><Relationship Id="rId263" Type="http://schemas.openxmlformats.org/officeDocument/2006/relationships/externalLink" Target="externalLinks/externalLink240.xml"/><Relationship Id="rId284" Type="http://schemas.openxmlformats.org/officeDocument/2006/relationships/externalLink" Target="externalLinks/externalLink261.xml"/><Relationship Id="rId319" Type="http://schemas.openxmlformats.org/officeDocument/2006/relationships/externalLink" Target="externalLinks/externalLink296.xml"/><Relationship Id="rId37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35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144" Type="http://schemas.openxmlformats.org/officeDocument/2006/relationships/externalLink" Target="externalLinks/externalLink121.xml"/><Relationship Id="rId330" Type="http://schemas.openxmlformats.org/officeDocument/2006/relationships/externalLink" Target="externalLinks/externalLink307.xml"/><Relationship Id="rId90" Type="http://schemas.openxmlformats.org/officeDocument/2006/relationships/externalLink" Target="externalLinks/externalLink67.xml"/><Relationship Id="rId165" Type="http://schemas.openxmlformats.org/officeDocument/2006/relationships/externalLink" Target="externalLinks/externalLink142.xml"/><Relationship Id="rId186" Type="http://schemas.openxmlformats.org/officeDocument/2006/relationships/externalLink" Target="externalLinks/externalLink163.xml"/><Relationship Id="rId351" Type="http://schemas.openxmlformats.org/officeDocument/2006/relationships/externalLink" Target="externalLinks/externalLink328.xml"/><Relationship Id="rId372" Type="http://schemas.openxmlformats.org/officeDocument/2006/relationships/externalLink" Target="externalLinks/externalLink349.xml"/><Relationship Id="rId393" Type="http://schemas.openxmlformats.org/officeDocument/2006/relationships/externalLink" Target="externalLinks/externalLink370.xml"/><Relationship Id="rId407" Type="http://schemas.openxmlformats.org/officeDocument/2006/relationships/externalLink" Target="externalLinks/externalLink384.xml"/><Relationship Id="rId428" Type="http://schemas.openxmlformats.org/officeDocument/2006/relationships/externalLink" Target="externalLinks/externalLink405.xml"/><Relationship Id="rId211" Type="http://schemas.openxmlformats.org/officeDocument/2006/relationships/externalLink" Target="externalLinks/externalLink188.xml"/><Relationship Id="rId232" Type="http://schemas.openxmlformats.org/officeDocument/2006/relationships/externalLink" Target="externalLinks/externalLink209.xml"/><Relationship Id="rId253" Type="http://schemas.openxmlformats.org/officeDocument/2006/relationships/externalLink" Target="externalLinks/externalLink230.xml"/><Relationship Id="rId274" Type="http://schemas.openxmlformats.org/officeDocument/2006/relationships/externalLink" Target="externalLinks/externalLink251.xml"/><Relationship Id="rId295" Type="http://schemas.openxmlformats.org/officeDocument/2006/relationships/externalLink" Target="externalLinks/externalLink272.xml"/><Relationship Id="rId309" Type="http://schemas.openxmlformats.org/officeDocument/2006/relationships/externalLink" Target="externalLinks/externalLink286.xml"/><Relationship Id="rId27" Type="http://schemas.openxmlformats.org/officeDocument/2006/relationships/externalLink" Target="externalLinks/externalLink4.xml"/><Relationship Id="rId48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34" Type="http://schemas.openxmlformats.org/officeDocument/2006/relationships/externalLink" Target="externalLinks/externalLink111.xml"/><Relationship Id="rId320" Type="http://schemas.openxmlformats.org/officeDocument/2006/relationships/externalLink" Target="externalLinks/externalLink297.xml"/><Relationship Id="rId80" Type="http://schemas.openxmlformats.org/officeDocument/2006/relationships/externalLink" Target="externalLinks/externalLink57.xml"/><Relationship Id="rId155" Type="http://schemas.openxmlformats.org/officeDocument/2006/relationships/externalLink" Target="externalLinks/externalLink132.xml"/><Relationship Id="rId176" Type="http://schemas.openxmlformats.org/officeDocument/2006/relationships/externalLink" Target="externalLinks/externalLink153.xml"/><Relationship Id="rId197" Type="http://schemas.openxmlformats.org/officeDocument/2006/relationships/externalLink" Target="externalLinks/externalLink174.xml"/><Relationship Id="rId341" Type="http://schemas.openxmlformats.org/officeDocument/2006/relationships/externalLink" Target="externalLinks/externalLink318.xml"/><Relationship Id="rId362" Type="http://schemas.openxmlformats.org/officeDocument/2006/relationships/externalLink" Target="externalLinks/externalLink339.xml"/><Relationship Id="rId383" Type="http://schemas.openxmlformats.org/officeDocument/2006/relationships/externalLink" Target="externalLinks/externalLink360.xml"/><Relationship Id="rId418" Type="http://schemas.openxmlformats.org/officeDocument/2006/relationships/externalLink" Target="externalLinks/externalLink395.xml"/><Relationship Id="rId439" Type="http://schemas.openxmlformats.org/officeDocument/2006/relationships/calcChain" Target="calcChain.xml"/><Relationship Id="rId201" Type="http://schemas.openxmlformats.org/officeDocument/2006/relationships/externalLink" Target="externalLinks/externalLink178.xml"/><Relationship Id="rId222" Type="http://schemas.openxmlformats.org/officeDocument/2006/relationships/externalLink" Target="externalLinks/externalLink199.xml"/><Relationship Id="rId243" Type="http://schemas.openxmlformats.org/officeDocument/2006/relationships/externalLink" Target="externalLinks/externalLink220.xml"/><Relationship Id="rId264" Type="http://schemas.openxmlformats.org/officeDocument/2006/relationships/externalLink" Target="externalLinks/externalLink241.xml"/><Relationship Id="rId285" Type="http://schemas.openxmlformats.org/officeDocument/2006/relationships/externalLink" Target="externalLinks/externalLink262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24" Type="http://schemas.openxmlformats.org/officeDocument/2006/relationships/externalLink" Target="externalLinks/externalLink101.xml"/><Relationship Id="rId310" Type="http://schemas.openxmlformats.org/officeDocument/2006/relationships/externalLink" Target="externalLinks/externalLink287.xml"/><Relationship Id="rId70" Type="http://schemas.openxmlformats.org/officeDocument/2006/relationships/externalLink" Target="externalLinks/externalLink47.xml"/><Relationship Id="rId91" Type="http://schemas.openxmlformats.org/officeDocument/2006/relationships/externalLink" Target="externalLinks/externalLink68.xml"/><Relationship Id="rId145" Type="http://schemas.openxmlformats.org/officeDocument/2006/relationships/externalLink" Target="externalLinks/externalLink122.xml"/><Relationship Id="rId166" Type="http://schemas.openxmlformats.org/officeDocument/2006/relationships/externalLink" Target="externalLinks/externalLink143.xml"/><Relationship Id="rId187" Type="http://schemas.openxmlformats.org/officeDocument/2006/relationships/externalLink" Target="externalLinks/externalLink164.xml"/><Relationship Id="rId331" Type="http://schemas.openxmlformats.org/officeDocument/2006/relationships/externalLink" Target="externalLinks/externalLink308.xml"/><Relationship Id="rId352" Type="http://schemas.openxmlformats.org/officeDocument/2006/relationships/externalLink" Target="externalLinks/externalLink329.xml"/><Relationship Id="rId373" Type="http://schemas.openxmlformats.org/officeDocument/2006/relationships/externalLink" Target="externalLinks/externalLink350.xml"/><Relationship Id="rId394" Type="http://schemas.openxmlformats.org/officeDocument/2006/relationships/externalLink" Target="externalLinks/externalLink371.xml"/><Relationship Id="rId408" Type="http://schemas.openxmlformats.org/officeDocument/2006/relationships/externalLink" Target="externalLinks/externalLink385.xml"/><Relationship Id="rId429" Type="http://schemas.openxmlformats.org/officeDocument/2006/relationships/externalLink" Target="externalLinks/externalLink40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89.xml"/><Relationship Id="rId233" Type="http://schemas.openxmlformats.org/officeDocument/2006/relationships/externalLink" Target="externalLinks/externalLink210.xml"/><Relationship Id="rId254" Type="http://schemas.openxmlformats.org/officeDocument/2006/relationships/externalLink" Target="externalLinks/externalLink231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275" Type="http://schemas.openxmlformats.org/officeDocument/2006/relationships/externalLink" Target="externalLinks/externalLink252.xml"/><Relationship Id="rId296" Type="http://schemas.openxmlformats.org/officeDocument/2006/relationships/externalLink" Target="externalLinks/externalLink273.xml"/><Relationship Id="rId300" Type="http://schemas.openxmlformats.org/officeDocument/2006/relationships/externalLink" Target="externalLinks/externalLink277.xml"/><Relationship Id="rId60" Type="http://schemas.openxmlformats.org/officeDocument/2006/relationships/externalLink" Target="externalLinks/externalLink37.xml"/><Relationship Id="rId81" Type="http://schemas.openxmlformats.org/officeDocument/2006/relationships/externalLink" Target="externalLinks/externalLink58.xml"/><Relationship Id="rId135" Type="http://schemas.openxmlformats.org/officeDocument/2006/relationships/externalLink" Target="externalLinks/externalLink112.xml"/><Relationship Id="rId156" Type="http://schemas.openxmlformats.org/officeDocument/2006/relationships/externalLink" Target="externalLinks/externalLink133.xml"/><Relationship Id="rId177" Type="http://schemas.openxmlformats.org/officeDocument/2006/relationships/externalLink" Target="externalLinks/externalLink154.xml"/><Relationship Id="rId198" Type="http://schemas.openxmlformats.org/officeDocument/2006/relationships/externalLink" Target="externalLinks/externalLink175.xml"/><Relationship Id="rId321" Type="http://schemas.openxmlformats.org/officeDocument/2006/relationships/externalLink" Target="externalLinks/externalLink298.xml"/><Relationship Id="rId342" Type="http://schemas.openxmlformats.org/officeDocument/2006/relationships/externalLink" Target="externalLinks/externalLink319.xml"/><Relationship Id="rId363" Type="http://schemas.openxmlformats.org/officeDocument/2006/relationships/externalLink" Target="externalLinks/externalLink340.xml"/><Relationship Id="rId384" Type="http://schemas.openxmlformats.org/officeDocument/2006/relationships/externalLink" Target="externalLinks/externalLink361.xml"/><Relationship Id="rId419" Type="http://schemas.openxmlformats.org/officeDocument/2006/relationships/externalLink" Target="externalLinks/externalLink396.xml"/><Relationship Id="rId202" Type="http://schemas.openxmlformats.org/officeDocument/2006/relationships/externalLink" Target="externalLinks/externalLink179.xml"/><Relationship Id="rId223" Type="http://schemas.openxmlformats.org/officeDocument/2006/relationships/externalLink" Target="externalLinks/externalLink200.xml"/><Relationship Id="rId244" Type="http://schemas.openxmlformats.org/officeDocument/2006/relationships/externalLink" Target="externalLinks/externalLink221.xml"/><Relationship Id="rId430" Type="http://schemas.openxmlformats.org/officeDocument/2006/relationships/externalLink" Target="externalLinks/externalLink407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265" Type="http://schemas.openxmlformats.org/officeDocument/2006/relationships/externalLink" Target="externalLinks/externalLink242.xml"/><Relationship Id="rId286" Type="http://schemas.openxmlformats.org/officeDocument/2006/relationships/externalLink" Target="externalLinks/externalLink263.xml"/><Relationship Id="rId50" Type="http://schemas.openxmlformats.org/officeDocument/2006/relationships/externalLink" Target="externalLinks/externalLink27.xml"/><Relationship Id="rId104" Type="http://schemas.openxmlformats.org/officeDocument/2006/relationships/externalLink" Target="externalLinks/externalLink81.xml"/><Relationship Id="rId125" Type="http://schemas.openxmlformats.org/officeDocument/2006/relationships/externalLink" Target="externalLinks/externalLink102.xml"/><Relationship Id="rId146" Type="http://schemas.openxmlformats.org/officeDocument/2006/relationships/externalLink" Target="externalLinks/externalLink123.xml"/><Relationship Id="rId167" Type="http://schemas.openxmlformats.org/officeDocument/2006/relationships/externalLink" Target="externalLinks/externalLink144.xml"/><Relationship Id="rId188" Type="http://schemas.openxmlformats.org/officeDocument/2006/relationships/externalLink" Target="externalLinks/externalLink165.xml"/><Relationship Id="rId311" Type="http://schemas.openxmlformats.org/officeDocument/2006/relationships/externalLink" Target="externalLinks/externalLink288.xml"/><Relationship Id="rId332" Type="http://schemas.openxmlformats.org/officeDocument/2006/relationships/externalLink" Target="externalLinks/externalLink309.xml"/><Relationship Id="rId353" Type="http://schemas.openxmlformats.org/officeDocument/2006/relationships/externalLink" Target="externalLinks/externalLink330.xml"/><Relationship Id="rId374" Type="http://schemas.openxmlformats.org/officeDocument/2006/relationships/externalLink" Target="externalLinks/externalLink351.xml"/><Relationship Id="rId395" Type="http://schemas.openxmlformats.org/officeDocument/2006/relationships/externalLink" Target="externalLinks/externalLink372.xml"/><Relationship Id="rId409" Type="http://schemas.openxmlformats.org/officeDocument/2006/relationships/externalLink" Target="externalLinks/externalLink386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213" Type="http://schemas.openxmlformats.org/officeDocument/2006/relationships/externalLink" Target="externalLinks/externalLink190.xml"/><Relationship Id="rId234" Type="http://schemas.openxmlformats.org/officeDocument/2006/relationships/externalLink" Target="externalLinks/externalLink211.xml"/><Relationship Id="rId420" Type="http://schemas.openxmlformats.org/officeDocument/2006/relationships/externalLink" Target="externalLinks/externalLink39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55" Type="http://schemas.openxmlformats.org/officeDocument/2006/relationships/externalLink" Target="externalLinks/externalLink232.xml"/><Relationship Id="rId276" Type="http://schemas.openxmlformats.org/officeDocument/2006/relationships/externalLink" Target="externalLinks/externalLink253.xml"/><Relationship Id="rId297" Type="http://schemas.openxmlformats.org/officeDocument/2006/relationships/externalLink" Target="externalLinks/externalLink274.xml"/><Relationship Id="rId40" Type="http://schemas.openxmlformats.org/officeDocument/2006/relationships/externalLink" Target="externalLinks/externalLink17.xml"/><Relationship Id="rId115" Type="http://schemas.openxmlformats.org/officeDocument/2006/relationships/externalLink" Target="externalLinks/externalLink92.xml"/><Relationship Id="rId136" Type="http://schemas.openxmlformats.org/officeDocument/2006/relationships/externalLink" Target="externalLinks/externalLink113.xml"/><Relationship Id="rId157" Type="http://schemas.openxmlformats.org/officeDocument/2006/relationships/externalLink" Target="externalLinks/externalLink134.xml"/><Relationship Id="rId178" Type="http://schemas.openxmlformats.org/officeDocument/2006/relationships/externalLink" Target="externalLinks/externalLink155.xml"/><Relationship Id="rId301" Type="http://schemas.openxmlformats.org/officeDocument/2006/relationships/externalLink" Target="externalLinks/externalLink278.xml"/><Relationship Id="rId322" Type="http://schemas.openxmlformats.org/officeDocument/2006/relationships/externalLink" Target="externalLinks/externalLink299.xml"/><Relationship Id="rId343" Type="http://schemas.openxmlformats.org/officeDocument/2006/relationships/externalLink" Target="externalLinks/externalLink320.xml"/><Relationship Id="rId364" Type="http://schemas.openxmlformats.org/officeDocument/2006/relationships/externalLink" Target="externalLinks/externalLink341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99" Type="http://schemas.openxmlformats.org/officeDocument/2006/relationships/externalLink" Target="externalLinks/externalLink176.xml"/><Relationship Id="rId203" Type="http://schemas.openxmlformats.org/officeDocument/2006/relationships/externalLink" Target="externalLinks/externalLink180.xml"/><Relationship Id="rId385" Type="http://schemas.openxmlformats.org/officeDocument/2006/relationships/externalLink" Target="externalLinks/externalLink362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201.xml"/><Relationship Id="rId245" Type="http://schemas.openxmlformats.org/officeDocument/2006/relationships/externalLink" Target="externalLinks/externalLink222.xml"/><Relationship Id="rId266" Type="http://schemas.openxmlformats.org/officeDocument/2006/relationships/externalLink" Target="externalLinks/externalLink243.xml"/><Relationship Id="rId287" Type="http://schemas.openxmlformats.org/officeDocument/2006/relationships/externalLink" Target="externalLinks/externalLink264.xml"/><Relationship Id="rId410" Type="http://schemas.openxmlformats.org/officeDocument/2006/relationships/externalLink" Target="externalLinks/externalLink387.xml"/><Relationship Id="rId431" Type="http://schemas.openxmlformats.org/officeDocument/2006/relationships/externalLink" Target="externalLinks/externalLink408.xml"/><Relationship Id="rId30" Type="http://schemas.openxmlformats.org/officeDocument/2006/relationships/externalLink" Target="externalLinks/externalLink7.xml"/><Relationship Id="rId105" Type="http://schemas.openxmlformats.org/officeDocument/2006/relationships/externalLink" Target="externalLinks/externalLink82.xml"/><Relationship Id="rId126" Type="http://schemas.openxmlformats.org/officeDocument/2006/relationships/externalLink" Target="externalLinks/externalLink103.xml"/><Relationship Id="rId147" Type="http://schemas.openxmlformats.org/officeDocument/2006/relationships/externalLink" Target="externalLinks/externalLink124.xml"/><Relationship Id="rId168" Type="http://schemas.openxmlformats.org/officeDocument/2006/relationships/externalLink" Target="externalLinks/externalLink145.xml"/><Relationship Id="rId312" Type="http://schemas.openxmlformats.org/officeDocument/2006/relationships/externalLink" Target="externalLinks/externalLink289.xml"/><Relationship Id="rId333" Type="http://schemas.openxmlformats.org/officeDocument/2006/relationships/externalLink" Target="externalLinks/externalLink310.xml"/><Relationship Id="rId354" Type="http://schemas.openxmlformats.org/officeDocument/2006/relationships/externalLink" Target="externalLinks/externalLink331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189" Type="http://schemas.openxmlformats.org/officeDocument/2006/relationships/externalLink" Target="externalLinks/externalLink166.xml"/><Relationship Id="rId375" Type="http://schemas.openxmlformats.org/officeDocument/2006/relationships/externalLink" Target="externalLinks/externalLink352.xml"/><Relationship Id="rId396" Type="http://schemas.openxmlformats.org/officeDocument/2006/relationships/externalLink" Target="externalLinks/externalLink373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1.xml"/><Relationship Id="rId235" Type="http://schemas.openxmlformats.org/officeDocument/2006/relationships/externalLink" Target="externalLinks/externalLink212.xml"/><Relationship Id="rId256" Type="http://schemas.openxmlformats.org/officeDocument/2006/relationships/externalLink" Target="externalLinks/externalLink233.xml"/><Relationship Id="rId277" Type="http://schemas.openxmlformats.org/officeDocument/2006/relationships/externalLink" Target="externalLinks/externalLink254.xml"/><Relationship Id="rId298" Type="http://schemas.openxmlformats.org/officeDocument/2006/relationships/externalLink" Target="externalLinks/externalLink275.xml"/><Relationship Id="rId400" Type="http://schemas.openxmlformats.org/officeDocument/2006/relationships/externalLink" Target="externalLinks/externalLink377.xml"/><Relationship Id="rId421" Type="http://schemas.openxmlformats.org/officeDocument/2006/relationships/externalLink" Target="externalLinks/externalLink398.xml"/><Relationship Id="rId116" Type="http://schemas.openxmlformats.org/officeDocument/2006/relationships/externalLink" Target="externalLinks/externalLink93.xml"/><Relationship Id="rId137" Type="http://schemas.openxmlformats.org/officeDocument/2006/relationships/externalLink" Target="externalLinks/externalLink114.xml"/><Relationship Id="rId158" Type="http://schemas.openxmlformats.org/officeDocument/2006/relationships/externalLink" Target="externalLinks/externalLink135.xml"/><Relationship Id="rId302" Type="http://schemas.openxmlformats.org/officeDocument/2006/relationships/externalLink" Target="externalLinks/externalLink279.xml"/><Relationship Id="rId323" Type="http://schemas.openxmlformats.org/officeDocument/2006/relationships/externalLink" Target="externalLinks/externalLink300.xml"/><Relationship Id="rId344" Type="http://schemas.openxmlformats.org/officeDocument/2006/relationships/externalLink" Target="externalLinks/externalLink32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179" Type="http://schemas.openxmlformats.org/officeDocument/2006/relationships/externalLink" Target="externalLinks/externalLink156.xml"/><Relationship Id="rId365" Type="http://schemas.openxmlformats.org/officeDocument/2006/relationships/externalLink" Target="externalLinks/externalLink342.xml"/><Relationship Id="rId386" Type="http://schemas.openxmlformats.org/officeDocument/2006/relationships/externalLink" Target="externalLinks/externalLink363.xml"/><Relationship Id="rId190" Type="http://schemas.openxmlformats.org/officeDocument/2006/relationships/externalLink" Target="externalLinks/externalLink167.xml"/><Relationship Id="rId204" Type="http://schemas.openxmlformats.org/officeDocument/2006/relationships/externalLink" Target="externalLinks/externalLink181.xml"/><Relationship Id="rId225" Type="http://schemas.openxmlformats.org/officeDocument/2006/relationships/externalLink" Target="externalLinks/externalLink202.xml"/><Relationship Id="rId246" Type="http://schemas.openxmlformats.org/officeDocument/2006/relationships/externalLink" Target="externalLinks/externalLink223.xml"/><Relationship Id="rId267" Type="http://schemas.openxmlformats.org/officeDocument/2006/relationships/externalLink" Target="externalLinks/externalLink244.xml"/><Relationship Id="rId288" Type="http://schemas.openxmlformats.org/officeDocument/2006/relationships/externalLink" Target="externalLinks/externalLink265.xml"/><Relationship Id="rId411" Type="http://schemas.openxmlformats.org/officeDocument/2006/relationships/externalLink" Target="externalLinks/externalLink388.xml"/><Relationship Id="rId432" Type="http://schemas.openxmlformats.org/officeDocument/2006/relationships/externalLink" Target="externalLinks/externalLink409.xml"/><Relationship Id="rId106" Type="http://schemas.openxmlformats.org/officeDocument/2006/relationships/externalLink" Target="externalLinks/externalLink83.xml"/><Relationship Id="rId127" Type="http://schemas.openxmlformats.org/officeDocument/2006/relationships/externalLink" Target="externalLinks/externalLink104.xml"/><Relationship Id="rId313" Type="http://schemas.openxmlformats.org/officeDocument/2006/relationships/externalLink" Target="externalLinks/externalLink29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94" Type="http://schemas.openxmlformats.org/officeDocument/2006/relationships/externalLink" Target="externalLinks/externalLink71.xml"/><Relationship Id="rId148" Type="http://schemas.openxmlformats.org/officeDocument/2006/relationships/externalLink" Target="externalLinks/externalLink125.xml"/><Relationship Id="rId169" Type="http://schemas.openxmlformats.org/officeDocument/2006/relationships/externalLink" Target="externalLinks/externalLink146.xml"/><Relationship Id="rId334" Type="http://schemas.openxmlformats.org/officeDocument/2006/relationships/externalLink" Target="externalLinks/externalLink311.xml"/><Relationship Id="rId355" Type="http://schemas.openxmlformats.org/officeDocument/2006/relationships/externalLink" Target="externalLinks/externalLink332.xml"/><Relationship Id="rId376" Type="http://schemas.openxmlformats.org/officeDocument/2006/relationships/externalLink" Target="externalLinks/externalLink353.xml"/><Relationship Id="rId397" Type="http://schemas.openxmlformats.org/officeDocument/2006/relationships/externalLink" Target="externalLinks/externalLink374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57.xml"/><Relationship Id="rId215" Type="http://schemas.openxmlformats.org/officeDocument/2006/relationships/externalLink" Target="externalLinks/externalLink192.xml"/><Relationship Id="rId236" Type="http://schemas.openxmlformats.org/officeDocument/2006/relationships/externalLink" Target="externalLinks/externalLink213.xml"/><Relationship Id="rId257" Type="http://schemas.openxmlformats.org/officeDocument/2006/relationships/externalLink" Target="externalLinks/externalLink234.xml"/><Relationship Id="rId278" Type="http://schemas.openxmlformats.org/officeDocument/2006/relationships/externalLink" Target="externalLinks/externalLink255.xml"/><Relationship Id="rId401" Type="http://schemas.openxmlformats.org/officeDocument/2006/relationships/externalLink" Target="externalLinks/externalLink378.xml"/><Relationship Id="rId422" Type="http://schemas.openxmlformats.org/officeDocument/2006/relationships/externalLink" Target="externalLinks/externalLink399.xml"/><Relationship Id="rId303" Type="http://schemas.openxmlformats.org/officeDocument/2006/relationships/externalLink" Target="externalLinks/externalLink280.xml"/><Relationship Id="rId42" Type="http://schemas.openxmlformats.org/officeDocument/2006/relationships/externalLink" Target="externalLinks/externalLink19.xml"/><Relationship Id="rId84" Type="http://schemas.openxmlformats.org/officeDocument/2006/relationships/externalLink" Target="externalLinks/externalLink61.xml"/><Relationship Id="rId138" Type="http://schemas.openxmlformats.org/officeDocument/2006/relationships/externalLink" Target="externalLinks/externalLink115.xml"/><Relationship Id="rId345" Type="http://schemas.openxmlformats.org/officeDocument/2006/relationships/externalLink" Target="externalLinks/externalLink322.xml"/><Relationship Id="rId387" Type="http://schemas.openxmlformats.org/officeDocument/2006/relationships/externalLink" Target="externalLinks/externalLink364.xml"/><Relationship Id="rId191" Type="http://schemas.openxmlformats.org/officeDocument/2006/relationships/externalLink" Target="externalLinks/externalLink168.xml"/><Relationship Id="rId205" Type="http://schemas.openxmlformats.org/officeDocument/2006/relationships/externalLink" Target="externalLinks/externalLink182.xml"/><Relationship Id="rId247" Type="http://schemas.openxmlformats.org/officeDocument/2006/relationships/externalLink" Target="externalLinks/externalLink224.xml"/><Relationship Id="rId412" Type="http://schemas.openxmlformats.org/officeDocument/2006/relationships/externalLink" Target="externalLinks/externalLink389.xml"/><Relationship Id="rId107" Type="http://schemas.openxmlformats.org/officeDocument/2006/relationships/externalLink" Target="externalLinks/externalLink84.xml"/><Relationship Id="rId289" Type="http://schemas.openxmlformats.org/officeDocument/2006/relationships/externalLink" Target="externalLinks/externalLink266.xml"/><Relationship Id="rId11" Type="http://schemas.openxmlformats.org/officeDocument/2006/relationships/worksheet" Target="worksheets/sheet11.xml"/><Relationship Id="rId53" Type="http://schemas.openxmlformats.org/officeDocument/2006/relationships/externalLink" Target="externalLinks/externalLink30.xml"/><Relationship Id="rId149" Type="http://schemas.openxmlformats.org/officeDocument/2006/relationships/externalLink" Target="externalLinks/externalLink126.xml"/><Relationship Id="rId314" Type="http://schemas.openxmlformats.org/officeDocument/2006/relationships/externalLink" Target="externalLinks/externalLink291.xml"/><Relationship Id="rId356" Type="http://schemas.openxmlformats.org/officeDocument/2006/relationships/externalLink" Target="externalLinks/externalLink333.xml"/><Relationship Id="rId398" Type="http://schemas.openxmlformats.org/officeDocument/2006/relationships/externalLink" Target="externalLinks/externalLink375.xml"/><Relationship Id="rId95" Type="http://schemas.openxmlformats.org/officeDocument/2006/relationships/externalLink" Target="externalLinks/externalLink72.xml"/><Relationship Id="rId160" Type="http://schemas.openxmlformats.org/officeDocument/2006/relationships/externalLink" Target="externalLinks/externalLink137.xml"/><Relationship Id="rId216" Type="http://schemas.openxmlformats.org/officeDocument/2006/relationships/externalLink" Target="externalLinks/externalLink193.xml"/><Relationship Id="rId423" Type="http://schemas.openxmlformats.org/officeDocument/2006/relationships/externalLink" Target="externalLinks/externalLink400.xml"/><Relationship Id="rId258" Type="http://schemas.openxmlformats.org/officeDocument/2006/relationships/externalLink" Target="externalLinks/externalLink235.xml"/><Relationship Id="rId22" Type="http://schemas.openxmlformats.org/officeDocument/2006/relationships/worksheet" Target="worksheets/sheet22.xml"/><Relationship Id="rId64" Type="http://schemas.openxmlformats.org/officeDocument/2006/relationships/externalLink" Target="externalLinks/externalLink41.xml"/><Relationship Id="rId118" Type="http://schemas.openxmlformats.org/officeDocument/2006/relationships/externalLink" Target="externalLinks/externalLink95.xml"/><Relationship Id="rId325" Type="http://schemas.openxmlformats.org/officeDocument/2006/relationships/externalLink" Target="externalLinks/externalLink302.xml"/><Relationship Id="rId367" Type="http://schemas.openxmlformats.org/officeDocument/2006/relationships/externalLink" Target="externalLinks/externalLink344.xml"/><Relationship Id="rId171" Type="http://schemas.openxmlformats.org/officeDocument/2006/relationships/externalLink" Target="externalLinks/externalLink148.xml"/><Relationship Id="rId227" Type="http://schemas.openxmlformats.org/officeDocument/2006/relationships/externalLink" Target="externalLinks/externalLink204.xml"/><Relationship Id="rId269" Type="http://schemas.openxmlformats.org/officeDocument/2006/relationships/externalLink" Target="externalLinks/externalLink246.xml"/><Relationship Id="rId434" Type="http://schemas.openxmlformats.org/officeDocument/2006/relationships/externalLink" Target="externalLinks/externalLink4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Projected!$D$29</c:f>
              <c:strCache>
                <c:ptCount val="1"/>
                <c:pt idx="0">
                  <c:v>EBITDA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strRef>
              <c:f>Projected!$E$2:$V$2</c:f>
              <c:strCache>
                <c:ptCount val="18"/>
                <c:pt idx="0">
                  <c:v>FY-24</c:v>
                </c:pt>
                <c:pt idx="1">
                  <c:v>FY-25</c:v>
                </c:pt>
                <c:pt idx="2">
                  <c:v>FY-26</c:v>
                </c:pt>
                <c:pt idx="3">
                  <c:v>FY-27</c:v>
                </c:pt>
                <c:pt idx="4">
                  <c:v>FY-28</c:v>
                </c:pt>
                <c:pt idx="5">
                  <c:v>FY-29</c:v>
                </c:pt>
                <c:pt idx="6">
                  <c:v>FY-30</c:v>
                </c:pt>
                <c:pt idx="7">
                  <c:v>FY-31</c:v>
                </c:pt>
                <c:pt idx="8">
                  <c:v>FY-32</c:v>
                </c:pt>
                <c:pt idx="9">
                  <c:v>FY-33</c:v>
                </c:pt>
                <c:pt idx="10">
                  <c:v>FY-34</c:v>
                </c:pt>
                <c:pt idx="11">
                  <c:v>FY-35</c:v>
                </c:pt>
                <c:pt idx="12">
                  <c:v>FY-36</c:v>
                </c:pt>
                <c:pt idx="13">
                  <c:v>FY-37</c:v>
                </c:pt>
                <c:pt idx="14">
                  <c:v>FY-38</c:v>
                </c:pt>
                <c:pt idx="15">
                  <c:v>FY-39</c:v>
                </c:pt>
                <c:pt idx="16">
                  <c:v>FY-40</c:v>
                </c:pt>
                <c:pt idx="17">
                  <c:v>FY-41</c:v>
                </c:pt>
              </c:strCache>
            </c:strRef>
          </c:cat>
          <c:val>
            <c:numRef>
              <c:f>Projected!$E$29:$V$29</c:f>
              <c:numCache>
                <c:formatCode>0.00%</c:formatCode>
                <c:ptCount val="18"/>
                <c:pt idx="0">
                  <c:v>0.1210390881664169</c:v>
                </c:pt>
                <c:pt idx="1">
                  <c:v>0.11763060707494248</c:v>
                </c:pt>
                <c:pt idx="2">
                  <c:v>0.11423713742868961</c:v>
                </c:pt>
                <c:pt idx="3">
                  <c:v>0.11583591183183464</c:v>
                </c:pt>
                <c:pt idx="4">
                  <c:v>0.11255256341407273</c:v>
                </c:pt>
                <c:pt idx="5">
                  <c:v>0.1134149997505976</c:v>
                </c:pt>
                <c:pt idx="6">
                  <c:v>0.11184315063918475</c:v>
                </c:pt>
                <c:pt idx="7">
                  <c:v>0.11120524854270851</c:v>
                </c:pt>
                <c:pt idx="8">
                  <c:v>0.10770365165025408</c:v>
                </c:pt>
                <c:pt idx="9">
                  <c:v>0.10881592077775061</c:v>
                </c:pt>
                <c:pt idx="10">
                  <c:v>0.10669275587913182</c:v>
                </c:pt>
                <c:pt idx="11">
                  <c:v>0.10577244423055421</c:v>
                </c:pt>
                <c:pt idx="12">
                  <c:v>0.10424612775558711</c:v>
                </c:pt>
                <c:pt idx="13">
                  <c:v>0.10164761031241468</c:v>
                </c:pt>
                <c:pt idx="14">
                  <c:v>9.8604733224578966E-2</c:v>
                </c:pt>
                <c:pt idx="15">
                  <c:v>9.8604733224579078E-2</c:v>
                </c:pt>
                <c:pt idx="16">
                  <c:v>8.1525187841215985E-2</c:v>
                </c:pt>
                <c:pt idx="17">
                  <c:v>-3.8901606777013861E-2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F-42DA-8184-9E7298F7AD6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88432"/>
        <c:axId val="368086472"/>
      </c:barChart>
      <c:catAx>
        <c:axId val="36808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86472"/>
        <c:crosses val="autoZero"/>
        <c:auto val="1"/>
        <c:lblAlgn val="ctr"/>
        <c:lblOffset val="100"/>
        <c:noMultiLvlLbl val="0"/>
      </c:catAx>
      <c:valAx>
        <c:axId val="368086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i="1">
                    <a:solidFill>
                      <a:sysClr val="windowText" lastClr="000000"/>
                    </a:solidFill>
                  </a:rPr>
                  <a:t>EBITDA MARGIN%</a:t>
                </a:r>
              </a:p>
            </c:rich>
          </c:tx>
          <c:layout>
            <c:manualLayout>
              <c:xMode val="edge"/>
              <c:yMode val="edge"/>
              <c:x val="1.6033347342523176E-2"/>
              <c:y val="0.31057292671378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8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CA" b="0"/>
              <a:t>PV of Terminal Value Comparison</a:t>
            </a:r>
            <a:endParaRPr lang="en-IN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'Valuation Summary '!$R$104</c:f>
              <c:strCache>
                <c:ptCount val="1"/>
                <c:pt idx="0">
                  <c:v>#DIV/0!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'Valuation Summary '!$S$102:$U$102</c:f>
              <c:numCache>
                <c:formatCode>0.00%</c:formatCode>
                <c:ptCount val="3"/>
                <c:pt idx="0">
                  <c:v>2.7500000000000004E-2</c:v>
                </c:pt>
                <c:pt idx="1">
                  <c:v>3.5000000000000003E-2</c:v>
                </c:pt>
                <c:pt idx="2">
                  <c:v>4.2500000000000003E-2</c:v>
                </c:pt>
              </c:numCache>
            </c:numRef>
          </c:cat>
          <c:val>
            <c:numRef>
              <c:f>'Valuation Summary '!$S$104:$U$104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6-4054-B28F-9E86B22C050B}"/>
            </c:ext>
          </c:extLst>
        </c:ser>
        <c:ser>
          <c:idx val="1"/>
          <c:order val="1"/>
          <c:tx>
            <c:strRef>
              <c:f>'Valuation Summary '!$R$105</c:f>
              <c:strCache>
                <c:ptCount val="1"/>
                <c:pt idx="0">
                  <c:v>#DIV/0!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'Valuation Summary '!$S$102:$U$102</c:f>
              <c:numCache>
                <c:formatCode>0.00%</c:formatCode>
                <c:ptCount val="3"/>
                <c:pt idx="0">
                  <c:v>2.7500000000000004E-2</c:v>
                </c:pt>
                <c:pt idx="1">
                  <c:v>3.5000000000000003E-2</c:v>
                </c:pt>
                <c:pt idx="2">
                  <c:v>4.2500000000000003E-2</c:v>
                </c:pt>
              </c:numCache>
            </c:numRef>
          </c:cat>
          <c:val>
            <c:numRef>
              <c:f>'Valuation Summary '!$S$105:$U$105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6-4054-B28F-9E86B22C050B}"/>
            </c:ext>
          </c:extLst>
        </c:ser>
        <c:ser>
          <c:idx val="2"/>
          <c:order val="2"/>
          <c:tx>
            <c:strRef>
              <c:f>'Valuation Summary '!$R$106</c:f>
              <c:strCache>
                <c:ptCount val="1"/>
                <c:pt idx="0">
                  <c:v>#DIV/0!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'Valuation Summary '!$S$102:$U$102</c:f>
              <c:numCache>
                <c:formatCode>0.00%</c:formatCode>
                <c:ptCount val="3"/>
                <c:pt idx="0">
                  <c:v>2.7500000000000004E-2</c:v>
                </c:pt>
                <c:pt idx="1">
                  <c:v>3.5000000000000003E-2</c:v>
                </c:pt>
                <c:pt idx="2">
                  <c:v>4.2500000000000003E-2</c:v>
                </c:pt>
              </c:numCache>
            </c:numRef>
          </c:cat>
          <c:val>
            <c:numRef>
              <c:f>'Valuation Summary '!$S$106:$U$106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16-4054-B28F-9E86B22C0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68068048"/>
        <c:axId val="368066480"/>
      </c:barChart>
      <c:catAx>
        <c:axId val="368068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6480"/>
        <c:crosses val="autoZero"/>
        <c:auto val="1"/>
        <c:lblAlgn val="ctr"/>
        <c:lblOffset val="100"/>
        <c:noMultiLvlLbl val="0"/>
      </c:catAx>
      <c:valAx>
        <c:axId val="36806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8048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CA"/>
              <a:t>Terminal Value Comparison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'Valuation Summary '!$I$104</c:f>
              <c:strCache>
                <c:ptCount val="1"/>
                <c:pt idx="0">
                  <c:v>#DIV/0!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'Valuation Summary '!$J$102:$L$102</c:f>
              <c:numCache>
                <c:formatCode>0.00%</c:formatCode>
                <c:ptCount val="3"/>
                <c:pt idx="0">
                  <c:v>2.7500000000000004E-2</c:v>
                </c:pt>
                <c:pt idx="1">
                  <c:v>3.5000000000000003E-2</c:v>
                </c:pt>
                <c:pt idx="2">
                  <c:v>4.2500000000000003E-2</c:v>
                </c:pt>
              </c:numCache>
            </c:numRef>
          </c:cat>
          <c:val>
            <c:numRef>
              <c:f>'Valuation Summary '!$J$104:$L$104</c:f>
              <c:numCache>
                <c:formatCode>General</c:formatCode>
                <c:ptCount val="3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5-448C-A726-B2C2DF36A257}"/>
            </c:ext>
          </c:extLst>
        </c:ser>
        <c:ser>
          <c:idx val="1"/>
          <c:order val="1"/>
          <c:tx>
            <c:strRef>
              <c:f>'Valuation Summary '!$I$105</c:f>
              <c:strCache>
                <c:ptCount val="1"/>
                <c:pt idx="0">
                  <c:v>#DIV/0!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'Valuation Summary '!$J$102:$L$102</c:f>
              <c:numCache>
                <c:formatCode>0.00%</c:formatCode>
                <c:ptCount val="3"/>
                <c:pt idx="0">
                  <c:v>2.7500000000000004E-2</c:v>
                </c:pt>
                <c:pt idx="1">
                  <c:v>3.5000000000000003E-2</c:v>
                </c:pt>
                <c:pt idx="2">
                  <c:v>4.2500000000000003E-2</c:v>
                </c:pt>
              </c:numCache>
            </c:numRef>
          </c:cat>
          <c:val>
            <c:numRef>
              <c:f>'Valuation Summary '!$J$105:$L$105</c:f>
              <c:numCache>
                <c:formatCode>General</c:formatCode>
                <c:ptCount val="3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5-448C-A726-B2C2DF36A257}"/>
            </c:ext>
          </c:extLst>
        </c:ser>
        <c:ser>
          <c:idx val="2"/>
          <c:order val="2"/>
          <c:tx>
            <c:strRef>
              <c:f>'Valuation Summary '!$I$106</c:f>
              <c:strCache>
                <c:ptCount val="1"/>
                <c:pt idx="0">
                  <c:v>#DIV/0!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'Valuation Summary '!$J$102:$L$102</c:f>
              <c:numCache>
                <c:formatCode>0.00%</c:formatCode>
                <c:ptCount val="3"/>
                <c:pt idx="0">
                  <c:v>2.7500000000000004E-2</c:v>
                </c:pt>
                <c:pt idx="1">
                  <c:v>3.5000000000000003E-2</c:v>
                </c:pt>
                <c:pt idx="2">
                  <c:v>4.2500000000000003E-2</c:v>
                </c:pt>
              </c:numCache>
            </c:numRef>
          </c:cat>
          <c:val>
            <c:numRef>
              <c:f>'Valuation Summary '!$J$106:$L$106</c:f>
              <c:numCache>
                <c:formatCode>General</c:formatCode>
                <c:ptCount val="3"/>
                <c:pt idx="0" formatCode="0.0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A5-448C-A726-B2C2DF36A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68071184"/>
        <c:axId val="368071576"/>
      </c:barChart>
      <c:catAx>
        <c:axId val="36807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71576"/>
        <c:crosses val="autoZero"/>
        <c:auto val="1"/>
        <c:lblAlgn val="ctr"/>
        <c:lblOffset val="100"/>
        <c:noMultiLvlLbl val="0"/>
      </c:catAx>
      <c:valAx>
        <c:axId val="368071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71184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CA" b="0"/>
              <a:t>EBITDA Multiple Comparison</a:t>
            </a:r>
            <a:endParaRPr lang="en-IN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'Valuation Summary '!$I$114</c:f>
              <c:strCache>
                <c:ptCount val="1"/>
                <c:pt idx="0">
                  <c:v>#DIV/0!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'Valuation Summary '!$I$114:$I$116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'Valuation Summary '!$J$114:$L$114</c:f>
              <c:numCache>
                <c:formatCode>0.0\x_);"nm"_);\-??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E-464E-A59E-208D807D35B7}"/>
            </c:ext>
          </c:extLst>
        </c:ser>
        <c:ser>
          <c:idx val="1"/>
          <c:order val="1"/>
          <c:tx>
            <c:strRef>
              <c:f>'Valuation Summary '!$I$115</c:f>
              <c:strCache>
                <c:ptCount val="1"/>
                <c:pt idx="0">
                  <c:v>#DIV/0!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'Valuation Summary '!$I$114:$I$116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'Valuation Summary '!$J$115:$L$115</c:f>
              <c:numCache>
                <c:formatCode>0.0\x_);"nm"_);\-??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E-464E-A59E-208D807D35B7}"/>
            </c:ext>
          </c:extLst>
        </c:ser>
        <c:ser>
          <c:idx val="2"/>
          <c:order val="2"/>
          <c:tx>
            <c:strRef>
              <c:f>'Valuation Summary '!$I$116</c:f>
              <c:strCache>
                <c:ptCount val="1"/>
                <c:pt idx="0">
                  <c:v>#DIV/0!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'Valuation Summary '!$I$114:$I$116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'Valuation Summary '!$J$116:$L$116</c:f>
              <c:numCache>
                <c:formatCode>0.0\x_);"nm"_);\-??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2E-464E-A59E-208D807D3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68065696"/>
        <c:axId val="368071968"/>
      </c:barChart>
      <c:catAx>
        <c:axId val="368065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71968"/>
        <c:crosses val="autoZero"/>
        <c:auto val="1"/>
        <c:lblAlgn val="ctr"/>
        <c:lblOffset val="100"/>
        <c:noMultiLvlLbl val="0"/>
      </c:catAx>
      <c:valAx>
        <c:axId val="36807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x_);&quot;nm&quot;_);\-??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5696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Projected!$D$31</c:f>
              <c:strCache>
                <c:ptCount val="1"/>
                <c:pt idx="0">
                  <c:v>Net Profit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Projected!$E$2:$V$2</c:f>
              <c:strCache>
                <c:ptCount val="18"/>
                <c:pt idx="0">
                  <c:v>FY-24</c:v>
                </c:pt>
                <c:pt idx="1">
                  <c:v>FY-25</c:v>
                </c:pt>
                <c:pt idx="2">
                  <c:v>FY-26</c:v>
                </c:pt>
                <c:pt idx="3">
                  <c:v>FY-27</c:v>
                </c:pt>
                <c:pt idx="4">
                  <c:v>FY-28</c:v>
                </c:pt>
                <c:pt idx="5">
                  <c:v>FY-29</c:v>
                </c:pt>
                <c:pt idx="6">
                  <c:v>FY-30</c:v>
                </c:pt>
                <c:pt idx="7">
                  <c:v>FY-31</c:v>
                </c:pt>
                <c:pt idx="8">
                  <c:v>FY-32</c:v>
                </c:pt>
                <c:pt idx="9">
                  <c:v>FY-33</c:v>
                </c:pt>
                <c:pt idx="10">
                  <c:v>FY-34</c:v>
                </c:pt>
                <c:pt idx="11">
                  <c:v>FY-35</c:v>
                </c:pt>
                <c:pt idx="12">
                  <c:v>FY-36</c:v>
                </c:pt>
                <c:pt idx="13">
                  <c:v>FY-37</c:v>
                </c:pt>
                <c:pt idx="14">
                  <c:v>FY-38</c:v>
                </c:pt>
                <c:pt idx="15">
                  <c:v>FY-39</c:v>
                </c:pt>
                <c:pt idx="16">
                  <c:v>FY-40</c:v>
                </c:pt>
                <c:pt idx="17">
                  <c:v>FY-41</c:v>
                </c:pt>
              </c:strCache>
            </c:strRef>
          </c:cat>
          <c:val>
            <c:numRef>
              <c:f>Projected!$E$31:$V$31</c:f>
              <c:numCache>
                <c:formatCode>0.00%</c:formatCode>
                <c:ptCount val="18"/>
                <c:pt idx="0">
                  <c:v>2.4902357598698327E-2</c:v>
                </c:pt>
                <c:pt idx="1">
                  <c:v>-0.28763115735004713</c:v>
                </c:pt>
                <c:pt idx="2">
                  <c:v>-0.27292100743973191</c:v>
                </c:pt>
                <c:pt idx="3">
                  <c:v>-0.22770368644844363</c:v>
                </c:pt>
                <c:pt idx="4">
                  <c:v>-0.21318439843892473</c:v>
                </c:pt>
                <c:pt idx="5">
                  <c:v>-0.17731708756698755</c:v>
                </c:pt>
                <c:pt idx="6">
                  <c:v>-0.15572427596938671</c:v>
                </c:pt>
                <c:pt idx="7">
                  <c:v>-0.13099096101527188</c:v>
                </c:pt>
                <c:pt idx="8">
                  <c:v>-0.11907238914011464</c:v>
                </c:pt>
                <c:pt idx="9">
                  <c:v>-9.0194628476796782E-2</c:v>
                </c:pt>
                <c:pt idx="10">
                  <c:v>-7.4522109466331393E-2</c:v>
                </c:pt>
                <c:pt idx="11">
                  <c:v>-5.5870556264170632E-2</c:v>
                </c:pt>
                <c:pt idx="12">
                  <c:v>-3.9932802270294832E-2</c:v>
                </c:pt>
                <c:pt idx="13">
                  <c:v>-2.7572782783627941E-2</c:v>
                </c:pt>
                <c:pt idx="14">
                  <c:v>-1.663116569227014E-2</c:v>
                </c:pt>
                <c:pt idx="15">
                  <c:v>6.0156805332057476E-4</c:v>
                </c:pt>
                <c:pt idx="16">
                  <c:v>-1.6911280151940072E-2</c:v>
                </c:pt>
                <c:pt idx="17">
                  <c:v>-0.21387571391914953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46-4804-8C7F-7920DC53A4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89216"/>
        <c:axId val="368090392"/>
      </c:barChart>
      <c:catAx>
        <c:axId val="368089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90392"/>
        <c:crosses val="autoZero"/>
        <c:auto val="1"/>
        <c:lblAlgn val="ctr"/>
        <c:lblOffset val="100"/>
        <c:noMultiLvlLbl val="0"/>
      </c:catAx>
      <c:valAx>
        <c:axId val="368090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>
                    <a:solidFill>
                      <a:sysClr val="windowText" lastClr="000000"/>
                    </a:solidFill>
                  </a:rPr>
                  <a:t>PAT Margin</a:t>
                </a:r>
                <a:r>
                  <a:rPr lang="en-IN" b="1" i="1" baseline="0">
                    <a:solidFill>
                      <a:sysClr val="windowText" lastClr="000000"/>
                    </a:solidFill>
                  </a:rPr>
                  <a:t>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89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chemeClr val="tx2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Projected!$D$30</c:f>
              <c:strCache>
                <c:ptCount val="1"/>
                <c:pt idx="0">
                  <c:v>EBIT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Projected!$E$2:$V$2</c:f>
              <c:strCache>
                <c:ptCount val="18"/>
                <c:pt idx="0">
                  <c:v>FY-24</c:v>
                </c:pt>
                <c:pt idx="1">
                  <c:v>FY-25</c:v>
                </c:pt>
                <c:pt idx="2">
                  <c:v>FY-26</c:v>
                </c:pt>
                <c:pt idx="3">
                  <c:v>FY-27</c:v>
                </c:pt>
                <c:pt idx="4">
                  <c:v>FY-28</c:v>
                </c:pt>
                <c:pt idx="5">
                  <c:v>FY-29</c:v>
                </c:pt>
                <c:pt idx="6">
                  <c:v>FY-30</c:v>
                </c:pt>
                <c:pt idx="7">
                  <c:v>FY-31</c:v>
                </c:pt>
                <c:pt idx="8">
                  <c:v>FY-32</c:v>
                </c:pt>
                <c:pt idx="9">
                  <c:v>FY-33</c:v>
                </c:pt>
                <c:pt idx="10">
                  <c:v>FY-34</c:v>
                </c:pt>
                <c:pt idx="11">
                  <c:v>FY-35</c:v>
                </c:pt>
                <c:pt idx="12">
                  <c:v>FY-36</c:v>
                </c:pt>
                <c:pt idx="13">
                  <c:v>FY-37</c:v>
                </c:pt>
                <c:pt idx="14">
                  <c:v>FY-38</c:v>
                </c:pt>
                <c:pt idx="15">
                  <c:v>FY-39</c:v>
                </c:pt>
                <c:pt idx="16">
                  <c:v>FY-40</c:v>
                </c:pt>
                <c:pt idx="17">
                  <c:v>FY-41</c:v>
                </c:pt>
              </c:strCache>
            </c:strRef>
          </c:cat>
          <c:val>
            <c:numRef>
              <c:f>Projected!$E$30:$V$30</c:f>
              <c:numCache>
                <c:formatCode>0.00%</c:formatCode>
                <c:ptCount val="18"/>
                <c:pt idx="0">
                  <c:v>2.4902357598698327E-2</c:v>
                </c:pt>
                <c:pt idx="1">
                  <c:v>2.1143348525936818E-2</c:v>
                </c:pt>
                <c:pt idx="2">
                  <c:v>1.7690292208252967E-2</c:v>
                </c:pt>
                <c:pt idx="3">
                  <c:v>2.5949409473659535E-2</c:v>
                </c:pt>
                <c:pt idx="4">
                  <c:v>2.2911652592395367E-2</c:v>
                </c:pt>
                <c:pt idx="5">
                  <c:v>2.9006846358696773E-2</c:v>
                </c:pt>
                <c:pt idx="6">
                  <c:v>2.9614563091828094E-2</c:v>
                </c:pt>
                <c:pt idx="7">
                  <c:v>3.2214082040081908E-2</c:v>
                </c:pt>
                <c:pt idx="8">
                  <c:v>2.8890454166403293E-2</c:v>
                </c:pt>
                <c:pt idx="9">
                  <c:v>3.4817420532313521E-2</c:v>
                </c:pt>
                <c:pt idx="10">
                  <c:v>3.4238337917614381E-2</c:v>
                </c:pt>
                <c:pt idx="11">
                  <c:v>3.5821571059114495E-2</c:v>
                </c:pt>
                <c:pt idx="12">
                  <c:v>3.6350867426851993E-2</c:v>
                </c:pt>
                <c:pt idx="13">
                  <c:v>3.4905978267625891E-2</c:v>
                </c:pt>
                <c:pt idx="14">
                  <c:v>3.2699136255840526E-2</c:v>
                </c:pt>
                <c:pt idx="15">
                  <c:v>3.5837498016256748E-2</c:v>
                </c:pt>
                <c:pt idx="16">
                  <c:v>9.8580314798885661E-3</c:v>
                </c:pt>
                <c:pt idx="17">
                  <c:v>-0.18636412164124422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C-4945-A6E9-896682F1CE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91568"/>
        <c:axId val="368091960"/>
      </c:barChart>
      <c:catAx>
        <c:axId val="3680915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91960"/>
        <c:crosses val="autoZero"/>
        <c:auto val="1"/>
        <c:lblAlgn val="ctr"/>
        <c:lblOffset val="100"/>
        <c:noMultiLvlLbl val="0"/>
      </c:catAx>
      <c:valAx>
        <c:axId val="36809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>
                    <a:solidFill>
                      <a:sysClr val="windowText" lastClr="000000"/>
                    </a:solidFill>
                  </a:rPr>
                  <a:t>EBIT MARGIN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9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Projected!$D$32</c:f>
              <c:strCache>
                <c:ptCount val="1"/>
                <c:pt idx="0">
                  <c:v>Revenue Growth Rate (Y.O.Y.)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Projected!$E$2:$V$2</c:f>
              <c:strCache>
                <c:ptCount val="18"/>
                <c:pt idx="0">
                  <c:v>FY-24</c:v>
                </c:pt>
                <c:pt idx="1">
                  <c:v>FY-25</c:v>
                </c:pt>
                <c:pt idx="2">
                  <c:v>FY-26</c:v>
                </c:pt>
                <c:pt idx="3">
                  <c:v>FY-27</c:v>
                </c:pt>
                <c:pt idx="4">
                  <c:v>FY-28</c:v>
                </c:pt>
                <c:pt idx="5">
                  <c:v>FY-29</c:v>
                </c:pt>
                <c:pt idx="6">
                  <c:v>FY-30</c:v>
                </c:pt>
                <c:pt idx="7">
                  <c:v>FY-31</c:v>
                </c:pt>
                <c:pt idx="8">
                  <c:v>FY-32</c:v>
                </c:pt>
                <c:pt idx="9">
                  <c:v>FY-33</c:v>
                </c:pt>
                <c:pt idx="10">
                  <c:v>FY-34</c:v>
                </c:pt>
                <c:pt idx="11">
                  <c:v>FY-35</c:v>
                </c:pt>
                <c:pt idx="12">
                  <c:v>FY-36</c:v>
                </c:pt>
                <c:pt idx="13">
                  <c:v>FY-37</c:v>
                </c:pt>
                <c:pt idx="14">
                  <c:v>FY-38</c:v>
                </c:pt>
                <c:pt idx="15">
                  <c:v>FY-39</c:v>
                </c:pt>
                <c:pt idx="16">
                  <c:v>FY-40</c:v>
                </c:pt>
                <c:pt idx="17">
                  <c:v>FY-41</c:v>
                </c:pt>
              </c:strCache>
            </c:strRef>
          </c:cat>
          <c:val>
            <c:numRef>
              <c:f>Projected!$E$32:$V$32</c:f>
              <c:numCache>
                <c:formatCode>0.00%</c:formatCode>
                <c:ptCount val="18"/>
                <c:pt idx="1">
                  <c:v>-2.732240437158362E-3</c:v>
                </c:pt>
                <c:pt idx="2">
                  <c:v>0</c:v>
                </c:pt>
                <c:pt idx="3">
                  <c:v>7.4097252507631772E-2</c:v>
                </c:pt>
                <c:pt idx="4">
                  <c:v>2.739726027397138E-3</c:v>
                </c:pt>
                <c:pt idx="5">
                  <c:v>6.2562365959883293E-2</c:v>
                </c:pt>
                <c:pt idx="6">
                  <c:v>2.7592829705505695E-2</c:v>
                </c:pt>
                <c:pt idx="7">
                  <c:v>4.0984595975328553E-2</c:v>
                </c:pt>
                <c:pt idx="8">
                  <c:v>2.73972602739736E-3</c:v>
                </c:pt>
                <c:pt idx="9">
                  <c:v>6.5229792099172457E-2</c:v>
                </c:pt>
                <c:pt idx="10">
                  <c:v>2.1711697719939194E-2</c:v>
                </c:pt>
                <c:pt idx="11">
                  <c:v>3.7879633061860263E-2</c:v>
                </c:pt>
                <c:pt idx="12">
                  <c:v>3.0276234787991463E-2</c:v>
                </c:pt>
                <c:pt idx="13">
                  <c:v>1.7461352914369455E-2</c:v>
                </c:pt>
                <c:pt idx="14">
                  <c:v>1.3231358153431794E-2</c:v>
                </c:pt>
                <c:pt idx="15">
                  <c:v>5.0000000000000044E-2</c:v>
                </c:pt>
                <c:pt idx="16">
                  <c:v>-0.12247949075535891</c:v>
                </c:pt>
                <c:pt idx="17">
                  <c:v>-0.51349032507058623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2-4F1B-A428-D716CCBC52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3344"/>
        <c:axId val="368063736"/>
      </c:barChart>
      <c:catAx>
        <c:axId val="368063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3736"/>
        <c:crosses val="autoZero"/>
        <c:auto val="1"/>
        <c:lblAlgn val="ctr"/>
        <c:lblOffset val="100"/>
        <c:noMultiLvlLbl val="0"/>
      </c:catAx>
      <c:valAx>
        <c:axId val="368063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>
                    <a:solidFill>
                      <a:sysClr val="windowText" lastClr="000000"/>
                    </a:solidFill>
                  </a:rPr>
                  <a:t>Revenue Growth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chemeClr val="tx2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Historical!$C$29</c:f>
              <c:strCache>
                <c:ptCount val="1"/>
                <c:pt idx="0">
                  <c:v>EBITDA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2.7777777777778798E-3"/>
                  <c:y val="0.10648148148148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51-41C3-AA1D-438F04D30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Historical!$D$2:$I$2</c:f>
              <c:numCache>
                <c:formatCode>"FY"\ 0\ "A"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Historical!$D$29:$I$29</c:f>
              <c:numCache>
                <c:formatCode>0.00%</c:formatCode>
                <c:ptCount val="6"/>
                <c:pt idx="0">
                  <c:v>0.27134445534838086</c:v>
                </c:pt>
                <c:pt idx="1">
                  <c:v>0.18566007614679461</c:v>
                </c:pt>
                <c:pt idx="2">
                  <c:v>0.1424432641236118</c:v>
                </c:pt>
                <c:pt idx="3">
                  <c:v>0.46214942184905161</c:v>
                </c:pt>
                <c:pt idx="4">
                  <c:v>0.12859701867778486</c:v>
                </c:pt>
                <c:pt idx="5">
                  <c:v>-1.1161100990639342E-2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1-41C3-AA1D-438F04D309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6088"/>
        <c:axId val="368061776"/>
      </c:barChart>
      <c:catAx>
        <c:axId val="368066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1776"/>
        <c:crosses val="autoZero"/>
        <c:auto val="1"/>
        <c:lblAlgn val="ctr"/>
        <c:lblOffset val="100"/>
        <c:noMultiLvlLbl val="0"/>
      </c:catAx>
      <c:valAx>
        <c:axId val="36806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>
                    <a:solidFill>
                      <a:sysClr val="windowText" lastClr="000000"/>
                    </a:solidFill>
                  </a:rPr>
                  <a:t>EBITDA</a:t>
                </a:r>
                <a:r>
                  <a:rPr lang="en-IN" b="1" i="1" baseline="0">
                    <a:solidFill>
                      <a:sysClr val="windowText" lastClr="000000"/>
                    </a:solidFill>
                  </a:rPr>
                  <a:t> Margin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chemeClr val="tx2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Historical!$C$30</c:f>
              <c:strCache>
                <c:ptCount val="1"/>
                <c:pt idx="0">
                  <c:v>EBIT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0185067526415994E-16"/>
                  <c:y val="0.236111475648877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B6-4045-A025-3D5516875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Historical!$D$2:$I$2</c:f>
              <c:numCache>
                <c:formatCode>"FY"\ 0\ "A"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Historical!$D$30:$I$30</c:f>
              <c:numCache>
                <c:formatCode>0.00%</c:formatCode>
                <c:ptCount val="6"/>
                <c:pt idx="0">
                  <c:v>0.166762366107782</c:v>
                </c:pt>
                <c:pt idx="1">
                  <c:v>5.7965322166825921E-2</c:v>
                </c:pt>
                <c:pt idx="2">
                  <c:v>1.4873313171872253E-2</c:v>
                </c:pt>
                <c:pt idx="3">
                  <c:v>0.35884555478766761</c:v>
                </c:pt>
                <c:pt idx="4">
                  <c:v>-8.0650736950167903E-2</c:v>
                </c:pt>
                <c:pt idx="5">
                  <c:v>-0.11693956941039334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B6-4045-A025-3D55168755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9224"/>
        <c:axId val="368060600"/>
      </c:barChart>
      <c:catAx>
        <c:axId val="368069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0600"/>
        <c:crosses val="autoZero"/>
        <c:auto val="1"/>
        <c:lblAlgn val="ctr"/>
        <c:lblOffset val="100"/>
        <c:noMultiLvlLbl val="0"/>
      </c:catAx>
      <c:valAx>
        <c:axId val="36806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>
                    <a:solidFill>
                      <a:sysClr val="windowText" lastClr="000000"/>
                    </a:solidFill>
                  </a:rPr>
                  <a:t>EBIT</a:t>
                </a:r>
                <a:r>
                  <a:rPr lang="en-IN" b="1" i="1" baseline="0">
                    <a:solidFill>
                      <a:sysClr val="windowText" lastClr="000000"/>
                    </a:solidFill>
                  </a:rPr>
                  <a:t> Margin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9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chemeClr val="tx2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Historical!$C$31</c:f>
              <c:strCache>
                <c:ptCount val="1"/>
                <c:pt idx="0">
                  <c:v>Net Profit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2.7777777777778798E-3"/>
                  <c:y val="0.10648148148148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C6-40C0-B715-89F43EEA4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Historical!$D$2:$I$2</c:f>
              <c:numCache>
                <c:formatCode>"FY"\ 0\ "A"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Historical!$D$31:$I$31</c:f>
              <c:numCache>
                <c:formatCode>0.00%</c:formatCode>
                <c:ptCount val="6"/>
                <c:pt idx="0">
                  <c:v>-0.34201240264756844</c:v>
                </c:pt>
                <c:pt idx="1">
                  <c:v>-0.62626620970143121</c:v>
                </c:pt>
                <c:pt idx="2">
                  <c:v>-0.18227909222597777</c:v>
                </c:pt>
                <c:pt idx="3">
                  <c:v>0.2693017834486886</c:v>
                </c:pt>
                <c:pt idx="4">
                  <c:v>-6.250720189396694E-2</c:v>
                </c:pt>
                <c:pt idx="5">
                  <c:v>-3.9142600652026453E-2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C6-40C0-B715-89F43EEA4B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64912"/>
        <c:axId val="368069616"/>
      </c:barChart>
      <c:catAx>
        <c:axId val="368064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9616"/>
        <c:crosses val="autoZero"/>
        <c:auto val="1"/>
        <c:lblAlgn val="ctr"/>
        <c:lblOffset val="100"/>
        <c:noMultiLvlLbl val="0"/>
      </c:catAx>
      <c:valAx>
        <c:axId val="36806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>
                    <a:solidFill>
                      <a:sysClr val="windowText" lastClr="000000"/>
                    </a:solidFill>
                  </a:rPr>
                  <a:t>PAT Margin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4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chemeClr val="tx2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Historical!$C$32</c:f>
              <c:strCache>
                <c:ptCount val="1"/>
                <c:pt idx="0">
                  <c:v>Revenue Growth Rate (Y.O.Y.)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0925337632079971E-17"/>
                  <c:y val="9.7222222222222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B-4318-B7EA-80EE6212173E}"/>
                </c:ext>
              </c:extLst>
            </c:dLbl>
            <c:dLbl>
              <c:idx val="5"/>
              <c:layout>
                <c:manualLayout>
                  <c:x val="-2.7777777777777779E-3"/>
                  <c:y val="-9.25925925925928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DB-4318-B7EA-80EE621217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Historical!$D$2:$I$2</c:f>
              <c:numCache>
                <c:formatCode>"FY"\ 0\ "A"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Historical!$D$32:$I$32</c:f>
              <c:numCache>
                <c:formatCode>0.00%</c:formatCode>
                <c:ptCount val="6"/>
                <c:pt idx="1">
                  <c:v>-0.17601215208903187</c:v>
                </c:pt>
                <c:pt idx="2">
                  <c:v>-2.8950986043977389E-3</c:v>
                </c:pt>
                <c:pt idx="3">
                  <c:v>0.23188645200640434</c:v>
                </c:pt>
                <c:pt idx="4">
                  <c:v>-0.50766398135063495</c:v>
                </c:pt>
                <c:pt idx="5">
                  <c:v>0.99540126334314527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DB-4318-B7EA-80EE621217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8070400"/>
        <c:axId val="368070792"/>
      </c:barChart>
      <c:catAx>
        <c:axId val="36807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1" u="none" strike="noStrike" kern="1200" baseline="0">
                    <a:solidFill>
                      <a:sysClr val="windowText" lastClr="000000"/>
                    </a:solidFill>
                  </a:rPr>
                  <a:t>Financial Year</a:t>
                </a:r>
              </a:p>
            </c:rich>
          </c:tx>
          <c:layout>
            <c:manualLayout>
              <c:xMode val="edge"/>
              <c:yMode val="edge"/>
              <c:x val="0.4394225721784776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70792"/>
        <c:crosses val="autoZero"/>
        <c:auto val="1"/>
        <c:lblAlgn val="ctr"/>
        <c:lblOffset val="100"/>
        <c:noMultiLvlLbl val="0"/>
      </c:catAx>
      <c:valAx>
        <c:axId val="368070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>
                    <a:solidFill>
                      <a:sysClr val="windowText" lastClr="000000"/>
                    </a:solidFill>
                  </a:rPr>
                  <a:t>Revenue</a:t>
                </a:r>
                <a:r>
                  <a:rPr lang="en-IN" b="1" i="1" baseline="0">
                    <a:solidFill>
                      <a:sysClr val="windowText" lastClr="000000"/>
                    </a:solidFill>
                  </a:rPr>
                  <a:t> Growth Rate </a:t>
                </a:r>
                <a:r>
                  <a:rPr lang="en-IN" b="1" i="1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7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Key Performance</a:t>
            </a:r>
            <a:r>
              <a:rPr lang="en-IN" baseline="0"/>
              <a:t> Indicator Comparison Chart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'Valuation Summary '!$B$10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'Valuation Summary '!$C$3:$Z$3</c:f>
              <c:numCache>
                <c:formatCode>[$-409]d\-mmm\-yy;@</c:formatCode>
                <c:ptCount val="24"/>
                <c:pt idx="0">
                  <c:v>43190</c:v>
                </c:pt>
                <c:pt idx="1">
                  <c:v>43555</c:v>
                </c:pt>
                <c:pt idx="2">
                  <c:v>43921</c:v>
                </c:pt>
                <c:pt idx="3">
                  <c:v>44286</c:v>
                </c:pt>
                <c:pt idx="4">
                  <c:v>44651</c:v>
                </c:pt>
                <c:pt idx="5">
                  <c:v>45016</c:v>
                </c:pt>
                <c:pt idx="6">
                  <c:v>45382</c:v>
                </c:pt>
                <c:pt idx="7">
                  <c:v>45747</c:v>
                </c:pt>
                <c:pt idx="8">
                  <c:v>46112</c:v>
                </c:pt>
                <c:pt idx="9">
                  <c:v>46477</c:v>
                </c:pt>
                <c:pt idx="10">
                  <c:v>46843</c:v>
                </c:pt>
                <c:pt idx="11">
                  <c:v>47208</c:v>
                </c:pt>
                <c:pt idx="12">
                  <c:v>47573</c:v>
                </c:pt>
                <c:pt idx="13">
                  <c:v>47938</c:v>
                </c:pt>
                <c:pt idx="14">
                  <c:v>48304</c:v>
                </c:pt>
                <c:pt idx="15">
                  <c:v>48669</c:v>
                </c:pt>
                <c:pt idx="16">
                  <c:v>49034</c:v>
                </c:pt>
                <c:pt idx="17">
                  <c:v>49399</c:v>
                </c:pt>
                <c:pt idx="18">
                  <c:v>49765</c:v>
                </c:pt>
                <c:pt idx="19">
                  <c:v>50130</c:v>
                </c:pt>
                <c:pt idx="20">
                  <c:v>50495</c:v>
                </c:pt>
                <c:pt idx="21">
                  <c:v>50860</c:v>
                </c:pt>
                <c:pt idx="22">
                  <c:v>51226</c:v>
                </c:pt>
                <c:pt idx="23">
                  <c:v>51591</c:v>
                </c:pt>
              </c:numCache>
            </c:numRef>
          </c:cat>
          <c:val>
            <c:numRef>
              <c:f>'Valuation Summary '!$C$10:$Z$10</c:f>
              <c:numCache>
                <c:formatCode>0.00_ </c:formatCode>
                <c:ptCount val="24"/>
                <c:pt idx="0">
                  <c:v>519.82000000000016</c:v>
                </c:pt>
                <c:pt idx="1">
                  <c:v>293.06999999999971</c:v>
                </c:pt>
                <c:pt idx="2">
                  <c:v>224.20000000000005</c:v>
                </c:pt>
                <c:pt idx="3">
                  <c:v>896.08000000000015</c:v>
                </c:pt>
                <c:pt idx="4">
                  <c:v>122.76000000000022</c:v>
                </c:pt>
                <c:pt idx="5">
                  <c:v>-21.259999999999536</c:v>
                </c:pt>
                <c:pt idx="6">
                  <c:v>-1002.2541599804199</c:v>
                </c:pt>
                <c:pt idx="7">
                  <c:v>-1083.9764287410603</c:v>
                </c:pt>
                <c:pt idx="8">
                  <c:v>-1169.443825245105</c:v>
                </c:pt>
                <c:pt idx="9">
                  <c:v>-1209.1619027183124</c:v>
                </c:pt>
                <c:pt idx="10">
                  <c:v>-1304.9835973211939</c:v>
                </c:pt>
                <c:pt idx="11">
                  <c:v>-1369.5893939640373</c:v>
                </c:pt>
                <c:pt idx="12">
                  <c:v>-1371.758286506787</c:v>
                </c:pt>
                <c:pt idx="13">
                  <c:v>-1525.0926086174609</c:v>
                </c:pt>
                <c:pt idx="14">
                  <c:v>-1638.9456836098661</c:v>
                </c:pt>
                <c:pt idx="15">
                  <c:v>-1695.4587354656505</c:v>
                </c:pt>
                <c:pt idx="16">
                  <c:v>-1726.0624767775098</c:v>
                </c:pt>
                <c:pt idx="17">
                  <c:v>-1907.7490730390609</c:v>
                </c:pt>
                <c:pt idx="18">
                  <c:v>-1922.1556881505203</c:v>
                </c:pt>
                <c:pt idx="19">
                  <c:v>-2099.2335661002417</c:v>
                </c:pt>
                <c:pt idx="20">
                  <c:v>-2272.3430886752139</c:v>
                </c:pt>
                <c:pt idx="21">
                  <c:v>-2172.3016356996031</c:v>
                </c:pt>
                <c:pt idx="22">
                  <c:v>-1905.6631538349902</c:v>
                </c:pt>
                <c:pt idx="23">
                  <c:v>-813.05145619662153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9-4C52-86AB-B3250D27B567}"/>
            </c:ext>
          </c:extLst>
        </c:ser>
        <c:ser>
          <c:idx val="1"/>
          <c:order val="1"/>
          <c:tx>
            <c:strRef>
              <c:f>'Valuation Summary '!$B$18</c:f>
              <c:strCache>
                <c:ptCount val="1"/>
                <c:pt idx="0">
                  <c:v>NOPAT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'Valuation Summary '!$C$3:$Z$3</c:f>
              <c:numCache>
                <c:formatCode>[$-409]d\-mmm\-yy;@</c:formatCode>
                <c:ptCount val="24"/>
                <c:pt idx="0">
                  <c:v>43190</c:v>
                </c:pt>
                <c:pt idx="1">
                  <c:v>43555</c:v>
                </c:pt>
                <c:pt idx="2">
                  <c:v>43921</c:v>
                </c:pt>
                <c:pt idx="3">
                  <c:v>44286</c:v>
                </c:pt>
                <c:pt idx="4">
                  <c:v>44651</c:v>
                </c:pt>
                <c:pt idx="5">
                  <c:v>45016</c:v>
                </c:pt>
                <c:pt idx="6">
                  <c:v>45382</c:v>
                </c:pt>
                <c:pt idx="7">
                  <c:v>45747</c:v>
                </c:pt>
                <c:pt idx="8">
                  <c:v>46112</c:v>
                </c:pt>
                <c:pt idx="9">
                  <c:v>46477</c:v>
                </c:pt>
                <c:pt idx="10">
                  <c:v>46843</c:v>
                </c:pt>
                <c:pt idx="11">
                  <c:v>47208</c:v>
                </c:pt>
                <c:pt idx="12">
                  <c:v>47573</c:v>
                </c:pt>
                <c:pt idx="13">
                  <c:v>47938</c:v>
                </c:pt>
                <c:pt idx="14">
                  <c:v>48304</c:v>
                </c:pt>
                <c:pt idx="15">
                  <c:v>48669</c:v>
                </c:pt>
                <c:pt idx="16">
                  <c:v>49034</c:v>
                </c:pt>
                <c:pt idx="17">
                  <c:v>49399</c:v>
                </c:pt>
                <c:pt idx="18">
                  <c:v>49765</c:v>
                </c:pt>
                <c:pt idx="19">
                  <c:v>50130</c:v>
                </c:pt>
                <c:pt idx="20">
                  <c:v>50495</c:v>
                </c:pt>
                <c:pt idx="21">
                  <c:v>50860</c:v>
                </c:pt>
                <c:pt idx="22">
                  <c:v>51226</c:v>
                </c:pt>
                <c:pt idx="23">
                  <c:v>51591</c:v>
                </c:pt>
              </c:numCache>
            </c:numRef>
          </c:cat>
          <c:val>
            <c:numRef>
              <c:f>'Valuation Summary '!$C$18:$Z$18</c:f>
              <c:numCache>
                <c:formatCode>0.00_);[Red]\(0.00\)</c:formatCode>
                <c:ptCount val="24"/>
                <c:pt idx="0">
                  <c:v>319.47000000000014</c:v>
                </c:pt>
                <c:pt idx="1">
                  <c:v>91.499999999999716</c:v>
                </c:pt>
                <c:pt idx="2">
                  <c:v>23.410000000000053</c:v>
                </c:pt>
                <c:pt idx="3">
                  <c:v>526.46000000000026</c:v>
                </c:pt>
                <c:pt idx="4">
                  <c:v>-57.449999999999783</c:v>
                </c:pt>
                <c:pt idx="5">
                  <c:v>-72.969999999999544</c:v>
                </c:pt>
                <c:pt idx="6">
                  <c:v>-1296.0240900626118</c:v>
                </c:pt>
                <c:pt idx="7">
                  <c:v>-1376.9437087410604</c:v>
                </c:pt>
                <c:pt idx="8">
                  <c:v>-1462.4111052451051</c:v>
                </c:pt>
                <c:pt idx="9">
                  <c:v>-1502.1291827183124</c:v>
                </c:pt>
                <c:pt idx="10">
                  <c:v>-1598.7535274033858</c:v>
                </c:pt>
                <c:pt idx="11">
                  <c:v>-1662.5566739640374</c:v>
                </c:pt>
                <c:pt idx="12">
                  <c:v>-1664.7255665067871</c:v>
                </c:pt>
                <c:pt idx="13">
                  <c:v>-1818.059888617461</c:v>
                </c:pt>
                <c:pt idx="14">
                  <c:v>-1932.715613692058</c:v>
                </c:pt>
                <c:pt idx="15">
                  <c:v>-1988.4260154656506</c:v>
                </c:pt>
                <c:pt idx="16">
                  <c:v>-2019.0297567775099</c:v>
                </c:pt>
                <c:pt idx="17">
                  <c:v>-2200.7163530390608</c:v>
                </c:pt>
                <c:pt idx="18">
                  <c:v>-2215.9256182327122</c:v>
                </c:pt>
                <c:pt idx="19">
                  <c:v>-2392.2008461002415</c:v>
                </c:pt>
                <c:pt idx="20">
                  <c:v>-2565.3103686752138</c:v>
                </c:pt>
                <c:pt idx="21">
                  <c:v>-2465.268915699603</c:v>
                </c:pt>
                <c:pt idx="22">
                  <c:v>-2199.4330839171821</c:v>
                </c:pt>
                <c:pt idx="23">
                  <c:v>-1106.0187361966216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9-4C52-86AB-B3250D27B567}"/>
            </c:ext>
          </c:extLst>
        </c:ser>
        <c:ser>
          <c:idx val="2"/>
          <c:order val="2"/>
          <c:tx>
            <c:strRef>
              <c:f>'Valuation Summary '!$B$30</c:f>
              <c:strCache>
                <c:ptCount val="1"/>
                <c:pt idx="0">
                  <c:v>Free Cash Flow to the Firm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'Valuation Summary '!$C$3:$Z$3</c:f>
              <c:numCache>
                <c:formatCode>[$-409]d\-mmm\-yy;@</c:formatCode>
                <c:ptCount val="24"/>
                <c:pt idx="0">
                  <c:v>43190</c:v>
                </c:pt>
                <c:pt idx="1">
                  <c:v>43555</c:v>
                </c:pt>
                <c:pt idx="2">
                  <c:v>43921</c:v>
                </c:pt>
                <c:pt idx="3">
                  <c:v>44286</c:v>
                </c:pt>
                <c:pt idx="4">
                  <c:v>44651</c:v>
                </c:pt>
                <c:pt idx="5">
                  <c:v>45016</c:v>
                </c:pt>
                <c:pt idx="6">
                  <c:v>45382</c:v>
                </c:pt>
                <c:pt idx="7">
                  <c:v>45747</c:v>
                </c:pt>
                <c:pt idx="8">
                  <c:v>46112</c:v>
                </c:pt>
                <c:pt idx="9">
                  <c:v>46477</c:v>
                </c:pt>
                <c:pt idx="10">
                  <c:v>46843</c:v>
                </c:pt>
                <c:pt idx="11">
                  <c:v>47208</c:v>
                </c:pt>
                <c:pt idx="12">
                  <c:v>47573</c:v>
                </c:pt>
                <c:pt idx="13">
                  <c:v>47938</c:v>
                </c:pt>
                <c:pt idx="14">
                  <c:v>48304</c:v>
                </c:pt>
                <c:pt idx="15">
                  <c:v>48669</c:v>
                </c:pt>
                <c:pt idx="16">
                  <c:v>49034</c:v>
                </c:pt>
                <c:pt idx="17">
                  <c:v>49399</c:v>
                </c:pt>
                <c:pt idx="18">
                  <c:v>49765</c:v>
                </c:pt>
                <c:pt idx="19">
                  <c:v>50130</c:v>
                </c:pt>
                <c:pt idx="20">
                  <c:v>50495</c:v>
                </c:pt>
                <c:pt idx="21">
                  <c:v>50860</c:v>
                </c:pt>
                <c:pt idx="22">
                  <c:v>51226</c:v>
                </c:pt>
                <c:pt idx="23">
                  <c:v>51591</c:v>
                </c:pt>
              </c:numCache>
            </c:numRef>
          </c:cat>
          <c:val>
            <c:numRef>
              <c:f>'Valuation Summary '!$C$30:$Z$30</c:f>
              <c:numCache>
                <c:formatCode>0.00;[Red]0.00</c:formatCode>
                <c:ptCount val="24"/>
                <c:pt idx="0">
                  <c:v>558.90623024000024</c:v>
                </c:pt>
                <c:pt idx="1">
                  <c:v>293.06999999999971</c:v>
                </c:pt>
                <c:pt idx="2">
                  <c:v>224.2000000000001</c:v>
                </c:pt>
                <c:pt idx="3">
                  <c:v>726.76000000000045</c:v>
                </c:pt>
                <c:pt idx="4">
                  <c:v>142.30000000000021</c:v>
                </c:pt>
                <c:pt idx="5">
                  <c:v>128.52000000000046</c:v>
                </c:pt>
                <c:pt idx="6">
                  <c:v>-1002.2541599804199</c:v>
                </c:pt>
                <c:pt idx="7">
                  <c:v>-1083.9764287410601</c:v>
                </c:pt>
                <c:pt idx="8">
                  <c:v>-1169.4438252451052</c:v>
                </c:pt>
                <c:pt idx="9">
                  <c:v>-1209.1619027183124</c:v>
                </c:pt>
                <c:pt idx="10">
                  <c:v>-1304.9835973211939</c:v>
                </c:pt>
                <c:pt idx="11">
                  <c:v>-1369.5893939640373</c:v>
                </c:pt>
                <c:pt idx="12">
                  <c:v>-1371.7582865067873</c:v>
                </c:pt>
                <c:pt idx="13">
                  <c:v>-1525.0926086174609</c:v>
                </c:pt>
                <c:pt idx="14">
                  <c:v>-1638.9456836098659</c:v>
                </c:pt>
                <c:pt idx="15">
                  <c:v>-1695.4587354656501</c:v>
                </c:pt>
                <c:pt idx="16">
                  <c:v>-1726.06247677751</c:v>
                </c:pt>
                <c:pt idx="17">
                  <c:v>-1907.7490730390609</c:v>
                </c:pt>
                <c:pt idx="18">
                  <c:v>-1922.1556881505203</c:v>
                </c:pt>
                <c:pt idx="19">
                  <c:v>-2099.2335661002417</c:v>
                </c:pt>
                <c:pt idx="20">
                  <c:v>-2272.3430886752139</c:v>
                </c:pt>
                <c:pt idx="21">
                  <c:v>-2172.3016356996031</c:v>
                </c:pt>
                <c:pt idx="22">
                  <c:v>-1905.6631538349902</c:v>
                </c:pt>
                <c:pt idx="23">
                  <c:v>-813.05145619662153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F9-4C52-86AB-B3250D27B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067656"/>
        <c:axId val="368060992"/>
      </c:barChart>
      <c:dateAx>
        <c:axId val="368067656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0992"/>
        <c:crosses val="autoZero"/>
        <c:auto val="1"/>
        <c:lblOffset val="100"/>
        <c:baseTimeUnit val="years"/>
      </c:dateAx>
      <c:valAx>
        <c:axId val="368060992"/>
        <c:scaling>
          <c:orientation val="minMax"/>
          <c:max val="1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067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13334</xdr:colOff>
      <xdr:row>35</xdr:row>
      <xdr:rowOff>7620</xdr:rowOff>
    </xdr:from>
    <xdr:to>
      <xdr:col>11</xdr:col>
      <xdr:colOff>9525</xdr:colOff>
      <xdr:row>53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897D6B-638C-40A8-B358-08663F2F4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9524</xdr:colOff>
      <xdr:row>34</xdr:row>
      <xdr:rowOff>190499</xdr:rowOff>
    </xdr:from>
    <xdr:to>
      <xdr:col>24</xdr:col>
      <xdr:colOff>600075</xdr:colOff>
      <xdr:row>52</xdr:row>
      <xdr:rowOff>180974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0BD184-72E9-454D-AA6E-B5373B532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598169</xdr:colOff>
      <xdr:row>53</xdr:row>
      <xdr:rowOff>188594</xdr:rowOff>
    </xdr:from>
    <xdr:to>
      <xdr:col>11</xdr:col>
      <xdr:colOff>9525</xdr:colOff>
      <xdr:row>72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29768E4-2EDF-4B37-BA5E-D1743EC6F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628649</xdr:colOff>
      <xdr:row>53</xdr:row>
      <xdr:rowOff>180975</xdr:rowOff>
    </xdr:from>
    <xdr:to>
      <xdr:col>24</xdr:col>
      <xdr:colOff>600075</xdr:colOff>
      <xdr:row>71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C9D66D-EBAB-4E7F-BF44-293A96801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35</xdr:row>
      <xdr:rowOff>9525</xdr:rowOff>
    </xdr:from>
    <xdr:to>
      <xdr:col>6</xdr:col>
      <xdr:colOff>190500</xdr:colOff>
      <xdr:row>51</xdr:row>
      <xdr:rowOff>121920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34808DC-7FB8-38D8-CB0C-39987B678E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259079</xdr:colOff>
      <xdr:row>34</xdr:row>
      <xdr:rowOff>180974</xdr:rowOff>
    </xdr:from>
    <xdr:to>
      <xdr:col>13</xdr:col>
      <xdr:colOff>600074</xdr:colOff>
      <xdr:row>51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A46ACC6-AE10-4306-8E58-982538432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45720</xdr:colOff>
      <xdr:row>53</xdr:row>
      <xdr:rowOff>45720</xdr:rowOff>
    </xdr:from>
    <xdr:to>
      <xdr:col>6</xdr:col>
      <xdr:colOff>175260</xdr:colOff>
      <xdr:row>70</xdr:row>
      <xdr:rowOff>57150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313A4CB-B3FA-4E06-8E51-E4F14CC8D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291465</xdr:colOff>
      <xdr:row>53</xdr:row>
      <xdr:rowOff>57150</xdr:rowOff>
    </xdr:from>
    <xdr:to>
      <xdr:col>14</xdr:col>
      <xdr:colOff>9525</xdr:colOff>
      <xdr:row>70</xdr:row>
      <xdr:rowOff>57150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AA7D8E6-819E-492B-B9F3-6A1DC5E7B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1545771</xdr:colOff>
      <xdr:row>46</xdr:row>
      <xdr:rowOff>108859</xdr:rowOff>
    </xdr:from>
    <xdr:to>
      <xdr:col>15</xdr:col>
      <xdr:colOff>10885</xdr:colOff>
      <xdr:row>73</xdr:row>
      <xdr:rowOff>97972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84117</xdr:colOff>
      <xdr:row>120</xdr:row>
      <xdr:rowOff>66799</xdr:rowOff>
    </xdr:from>
    <xdr:to>
      <xdr:col>31</xdr:col>
      <xdr:colOff>181099</xdr:colOff>
      <xdr:row>141</xdr:row>
      <xdr:rowOff>13854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969819</xdr:colOff>
      <xdr:row>119</xdr:row>
      <xdr:rowOff>143987</xdr:rowOff>
    </xdr:from>
    <xdr:to>
      <xdr:col>8</xdr:col>
      <xdr:colOff>704602</xdr:colOff>
      <xdr:row>140</xdr:row>
      <xdr:rowOff>152399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83127</xdr:colOff>
      <xdr:row>120</xdr:row>
      <xdr:rowOff>11379</xdr:rowOff>
    </xdr:from>
    <xdr:to>
      <xdr:col>19</xdr:col>
      <xdr:colOff>678873</xdr:colOff>
      <xdr:row>140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gnesh\share_c\My%20Documents\MYDOCU\Hps_chawla\Closing%20December%202003\HO%20Final%20Files%20Dec%202003\CURRAC03-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NKETU/&#20250;&#31038;&#21029;/SFAS131/2004.06/&#21942;&#26989;&#21454;&#30410;Hyperio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ulkit.bhandari/AppData/Local/Microsoft/Windows/INetCache/Content.Outlook/PNRDYNUG/Draft_LPGCL_170614%20(5)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HSA\PROJECTS\CONTROLLED%20ACCOUNTS\Lalitpur%20Power\2.Appraisal\PFSBU%20Analysis\Financial%20Model\Final%20model%20with%20PFSBU%20shee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0%20Stock%20analysi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0019606/AppData/Local/Microsoft/Windows/INetCache/Content.Outlook/667CYF7V/ATL%20Model%20Final%20Fitch%20review%20RN%20sheet%201-Feb-17%20v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bhi/Business%20Development/Ethnic%20City/Ethnic%20City%20Margin%20Model%20ver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Startup" Target="RE/Jan%20Low/Investing/Grand%20Slam/Grand%20Slam%20Model%20(Revised)%20v2%20(case%205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Actpro%2099\clients\House%20of%20Coffees\Benchmarking\Peer%20Ratios%20&amp;%20Graph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akshit/My%20Documents/HNG/IT%20Prov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4/Documents%20and%20Settings/MUKESHKT/Local%20Settings/Temporary%20Internet%20Files/OLK111/format-upload-sheet-branch%20(1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5/Documents%20and%20Settings/MUKESHKT/Local%20Settings/Temporary%20Internet%20Files/OLK111/format-upload-sheet-branch%20(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NKETU\&#20250;&#31038;&#21029;\SFAS131\2004.06\&#21942;&#26989;&#21454;&#30410;Hyper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5/MARCH-2004/Documents%20and%20Settings/MUKESHKT/Local%20Settings/Temporary%20Internet%20Files/OLK111/format-upload-sheet-branch%20(1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9A6066\format-upload-sheet-branch%20(1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RENKETU/Secapp/&#31185;&#30446;&#20998;&#26512;&#12539;&#20316;&#25104;&#36039;&#26009;/&#25345;&#20998;&#27861;/&#25345;&#20998;&#27861;0503&#26399;/&#25345;&#20998;&#27861;0412/SECAFFI&#20869;&#35379;0412-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NKETU\Secapp\&#31185;&#30446;&#20998;&#26512;&#12539;&#20316;&#25104;&#36039;&#26009;\&#25345;&#20998;&#27861;\&#25345;&#20998;&#27861;0503&#26399;\&#25345;&#20998;&#27861;0412\SECAFFI&#20869;&#35379;0412-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.71.78\c\Documents%20and%20Settings\sivaguru\Local%20Settings\Temporary%20Internet%20Files\Content.IE5\OFXNYAJL\PP_Master%20Template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pshah/AppData/Local/Microsoft/Windows/Temporary%20Internet%20Files/Content.Outlook/0IEUW41V/Users/nssharma/Documents/HNGIL%20Projection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pshah/AppData/Local/Microsoft/Windows/Temporary%20Internet%20Files/Content.Outlook/0IEUW41V/Users/ptibrewal/AppData/Local/Microsoft/Windows/Temporary%20Internet%20Files/Content.Outlook/VHQTUSVC/HNGFL%20Projections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pshah/AppData/Local/Microsoft/Windows/Temporary%20Internet%20Files/Content.Outlook/0IEUW41V/Documents%20and%20Settings/suda/Local%20Settings/Temporary%20Internet%20Files/OLK6/100722%20Surya%20-%20Financial%20model_USD%20v13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ID%20Energy/Work/MSPGCL%20True%20Up%20Fy%202010-11/Earlier%20Orders/EXCEL%20MODELS%20FINAL/PwC_MSPGCL_20.12.201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rupdesh.cheema/Desktop/Adani%20Solar/Adani%20Solar%20-%20Tamil%20Nadu-%20Documents%20Set/3.%20KREL/2.%20SBI%20Appraisal%20Note%20&amp;%20Financial%20Model/FM%20-%20KREL_72%20MW%20-%20FINAL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Joshua%20Lu\China%20Retail\COMP%2020071016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SFSO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working/E-tailing/FBIL%20Financials%202007%20v3%20Fina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nodG/Local%20Settings/Temp/wze347/Anshul/Work/Workspace/Future%20Group/Working/B-Plans/Mini/SFSO/SFSO%20Financ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ema.agarwal/AppData/Local/Microsoft/Windows/INetCache/Content.Outlook/4B8T612P/Adani%20Solar/Adani%20Solar%20-%20Tamil%20Nadu-%20Documents%20Set/3.%20KREL/2.%20SBI%20Appraisal%20Note%20&amp;%20Financial%20Model/FM%20-%20KREL_72%20MW%20-%20FINAL.xlsm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udit/2003/KPR/Tax%20Audit%20AY%202001-02%20Sd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DOCUME~1\ADMINI~1\LOCALS~1\Temp\C.Lotus.Notes.Data\~916217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-270-05E5\SYS3\M&amp;A\KELLEY\TECHNOGR\MODEL\PROFORMA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Rating/International/ATL%20Rating/ATL%20Prefinal%20-%20locked%20for%20final%20audit%20report%20SPV%20Equity%20Value%20(KG%20Mar-16)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Enterprise%20Commercial\Opex\BP_july%203%202002_rev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1999\SEPTM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tarajan.h/AppData/Local/Microsoft/Windows/Temporary%20Internet%20Files/Content.Outlook/UVO1UE0I/MSOFF/EXCEL/MIS0304/FBM2205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office97\TEMP\COMMON\AIELLO\DYNASTY\NEW\HAN888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Copy%20of%20AAsamt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_NT15\PROJECTFINAN\WINDOWS\TEMP\RCPL%20-%20biz%20plan%20May%207%20ver%201.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Documents%20and%20Settings\venkater\My%20Documents\2002\DEC\YTD%20Billing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ngapore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&#37096;&#38272;&#21029;EXCEL\&#21942;&#26989;&#36039;&#29987;\listbox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Control\Integration\NSS\MOB\MOBPLAN\STR_PLAN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MARCH-2005\Documents%20and%20Settings\MUKESHKT\Local%20Settings\Temporary%20Internet%20Files\OLK111\format-upload-sheet-branch%20(1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Rohan/MIS/MIS%202008/Quarter%204/MIS%20March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han\MIS\MIS%202008\Quarter%204\MIS%20Marc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atarajan.h\AppData\Local\Microsoft\Windows\Temporary%20Internet%20Files\Content.Outlook\UVO1UE0I\MSOFF\EXCEL\MIS0304\FBM22054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i-756\backup_qi-756\Documents%20and%20Settings\qi_0707\Desktop\Audit%2004-05\consol%2004-05\Consol%20Fin-%20Changed%20-%20Oct%2015,%202004%2003-04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-ddc\c\Emails\Dipak\CarbonblackMis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principl\Sotoloff\JPMC%20NPL%20Portfolio%20-%20Project%20King\Rollu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Documents%20and%20Settings\auditors\My%20Documents\E&amp;Y\FA%20Register%20as%20at%2031.3.2003%2020aug03%20ver7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54.61\Share%20PC%20Data\WINDOWS\TEMP\C.Lotus.Notes.Data\InterimFinancial%20statements30090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SrghillAtlREonly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btps%20temp%20data\EFFY\Effy-Cost%20DD\Yearly%20data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Apurva\expansion\DOCUME~1\u003119\LOCALS~1\Temp\c.data.u003119.notes_cdi\projects\Projects\titan\comps\Titan_Chemical%20Trading%20comps_03072004v5a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canja/Local%20Settings/Temporary%20Internet%20Files/OLK5B/Commercials%20-%20MIT%20version%20draft%20(2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laptop%20backup\data%20backup\Neha\Neha\enterprise\Wireline\154%20BANs\DOCUME~1\UTTAM~1.JHU\LOCALS~1\Temp\C.Lotus.Notes.Data\BP_july%203%202002_rev1.1.citywi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ohan\Capital%20Adequacy\Mar-06\Capital%20Adequecy%20March%20Tentative%20WITHOUT%20gtricl%20as%20NBF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m1.vsnl.net/attach/CORP-FIN-SHARE/Jaideep/Hyatt/ENJAY1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Program%20Files\WinFin\Report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h\D\DOCUME~1\RAJESH~1\LOCALS~1\Temp\kp\excel\finalac\tbsep2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valeriey/Desktop/Yip%20-%20RE/Investing/Paliburg/Model/Paliburg%20Model_05072004%20(Final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InvestentAnalysi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ect\InvestentAnalysi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dan\Indivision%20Investment\2006-07\invoice1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pul\vl(vg)\vl\Taxaudit\Ay-9899\Taudit98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istrator/Desktop/Schdules%20to%20Fixed%20Asset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rik/AppData/Local/Microsoft/Windows/Temporary%20Internet%20Files/Content.Outlook/ESKJ501G/Glaze/HNGIL/Glaze/110915%20Project%20Glaze-%20HNGIL%20model%20v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Praveen\Desktop\FINANCIALS%20-%20APR02-MAR03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atik.panwala/AppData/Local/Microsoft/Windows/INetCache/Content.Outlook/XUFUF6EU/BSC40115%20Tata%20Power%20Model%2017053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Power%20Research/ADWEA/JP%20Power/Model/07%20Baspa%20&amp;%20KW%20Model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ower%20Research\ADWEA\JP%20Power\Model\07%20Baspa%20&amp;%20KW%20Model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ari33c\6k00\WINDOWS\DESKTOP\AllFibre%20Duct\Citibuilder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l%20Drafts\Debt%20schedule-JKI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DOCUME~1\SudhirK\LOCALS~1\Temp\C.Notes.Data\IM\247%20MCN%20It%20infra%20master%20ver%201.6%201206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Office%20data%203/1%20Valuation%20Business/Amit%20Maloo/wrap2earn/report%20w2efinancials%20Projection/Warp2earn%20Financial%20Aug%202019%20RV%20-%20V2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dalal/Desktop/Client/TAGIC/Fixed%20Assets/Industry%20Workbooks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ndalal\Desktop\Client\TAGIC\Fixed%20Assets\Industry%20Workbooks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WINDOWS\TEMP\QuickPlace\Infrastructure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SHVAL\XIUS\Swap10%25\SWAP10%2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dannys\AppData\Roaming\Microsoft\Excel\GRICL\RIDCOR-IFIN-model-06-Jan-11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345;&#20998;&#27861;99.9/SEC/SECEQ&#28023;&#22806;%20990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5345;&#20998;&#27861;99.9\SEC\SECEQ&#28023;&#22806;%20990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santa\epco\WINDOWS\TEMP\PostOrdSta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WIN98\TEMP\Walkair_models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AAsamtel\Copy%20of%20AAsamtel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Coastal%20Financial%20Model%202023%20-%20V1%20without%20FGD%20Capex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Mar%202005%20files%20for%20audit/Detailed%20Workings%20for%20subs%20and%20associates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ar%202005%20files%20for%20audit\Detailed%20Workings%20for%20subs%20and%20associates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ddrivebkp/Amit/CAPAD/2004-03/Capad%20Esti%2003-2004_10-03-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REETA~1/LOCALS~1/Temp/notesE1EF34/Final%20lender%20model_021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drivebkp\Amit\CAPAD\2004-03\Capad%20Esti%2003-2004_10-03-2004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1.249\mca\Users\cpdaudit\Desktop\Sec.%2043B%20workings%20(Sch.10%20to%203CD)%20-%20FINA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-india\d1\d1\Audit%2007-08%20-%20MCA\BGR\Statutory%20dues\FBT\Audit\Fbt%20SANDEEP.xlsx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nts%20and%20Settings\anilbhu\My%20Documents\MIS\MIS%202009-10\Aug%2009\Sundry%20Debtors%20Ageing%20as%20on%2031%2008%202009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Startup" Target="RE/Yip/Investing/Chekiang%20Bank/Models/CFB%20Bldg%20Model%20-%2025%20November%202003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r80965/Local%20Settings/Temporary%20Internet%20Files/OLK36A/GVK%20-%20Full%20model%20+%20Cashflow%20Tranching%20-%20ver%208%20(Investors)%20(4)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nr80965\Local%20Settings\Temporary%20Internet%20Files\OLK36A\GVK%20-%20Full%20model%20+%20Cashflow%20Tranching%20-%20ver%208%20(Investors)%20(4)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hirek/Downloads/SPJIMR%20MBA/Cluster%205/Corporate%20Valuation/Group7_TataGlobalBeverages_250612_0335.xlsx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2008-2009/Rishra%20BSPL%202008-2009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rupdesh.cheema/Desktop/Master%20Folder/1.%20Adani%20Projects/2.%20Solar%20-%20Karnataka%20-%20350%20MW/1.%20Common%20Documents/1.%20Financial%20Model/March%202017/02032017/02032017_WSMPL%20-%20Final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PREETA~1\LOCALS~1\Temp\notesE1EF34\Final%20lender%20model_0212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Users\skedia\Documents\MSPGCL%20FY12%20ARR%20Petition%20and%20Model%2031Mar11\ARR%20formats%20SM%2029Mar1940_old.xlsx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araf2/Desktop/HNGIL%20CMA/Projections_17%2011%202014.xlsx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ACKUP/DEEPAK%20JAIN/FSD/BGFL%20financial%20stat%20Marchr%202008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KS%203P%20Business%20Plan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vr-value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sudesh/Desktop/TB%20aa/Financial%20for%20AA.xlsx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MNLY%20ACS%202002/AUGUST%202002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rupdesh.cheema/Desktop/Master%20Folder/1.%20Adani%20Projects/2.%20Solar%20-%20Karnataka%20-%20350%20MW/05.01.2016%20-%20FM%20and%20IM/23.12.2016%20-%20Karnataka%20350%20MW_IM.xlsm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LESHVIKAMSEY\Data\DATA\EXCEL\ST\ST99\GAUTAM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udit/2003/Working/Network/Apr-Netherlands%20(Final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IL%20to%20DHS/IndiaIdeas%20Accounts%20-%20Final%2006-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rima.gogia/Desktop/Aesthetic%20BS%20Final%20F.Y%202011-12%20Modified/Audit%20Reqd(BANK%20RECO%20AESTHETIC%20%20TILL%2031.03.12)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Bangalore%20Labs\March%202000\BS-2000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resh\Power\MSEB\MSEB%2001-02\Data\Dispatch%202.0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pul\vl(vg)\vl\Taxaudit\AY-9900\TA99revised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M\VOL1\WINDOWS\TEMP\Changes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HoldCo/International%20Issuance%20ATL/S&amp;P/Copy%20of%20ATL%20Prefinal%20-%20locked%20for%20final%20audit%20report.xlsx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xl2\bussines%20plan\Documents%20and%20Settings\kamleshm\Desktop\Welspun%20-%20Tax%20Audit%202005\2004-05\DTA\Clause%2012%20(b)-%20DTA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105.159\Amit%20Kataria\DOCUME~1\ADMINI~1\LOCALS~1\Temp\C.Lotus.Notes.Data\LMDS_COMPLETE_04.03.03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fl\data1\user\manish\june2003qtrly\deftax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/manish/December%2004/Dec03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554509/AppData/Local/Temp/7zO497D77F2/BSC40857%20Power%20Distribution%20Trading%20Comps%2017071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y2002-2003\ROI2002-2003\Branch%20Address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handra/APPRESIAL%20FY%2012-13/MASTER%20SALARY%20%20FY%2013-14.xlsx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il-hyperion\d\WINDOWS\Temporary%20Internet%20Files\OLK80A6\RAJNI01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BU-DOM9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26\perf\Performance\PERFORMANCE\CE_FILE\Erai_dam\Water%20_balance_Dec0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Users\skedia\Desktop\MSPGCL%20Main%20Folder\Revised%20True-up%20&amp;%20APR\Workings\Annexure%202_revised.xlsx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1007687/Documents/MIS/2013-14/Accounts/May13/Documents%20and%20Settings/41007687/My%20Documents/MIS/2012-13/Accounts-12-13/Sept%2012/Documents%20and%20Settings/41007687/My%20Documents/MIS/2011-12/Accounts/Feb%201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has.advant\budgets\user\SRA\budgets\BUDSLDE9\lrp9900\ANALYST\BUDSLDE9\OUTLK199\PRESFMS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p\Data%20revenue%20plan%2010th%20August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vyas/Desktop/2nd%20December-%20FINAL%20FINANCIALS/Sept-09/Management%20Accounts/April%2008/George/Financials%2030.04.08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vyas\Desktop\2nd%20December-%20FINAL%20FINANCIALS\Sept-09\Management%20Accounts\April%2008\George\Financials%2030.04.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04%20Operation%20&amp;%20maintenance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kesh\SharedFolders\eReturn-Mta\eReturn_Form1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nys/AppData/Roaming/Microsoft/Excel/GRICL/RIDCOR-IFIN-model-06-Jan-1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Chirag\TEMP\weekly-rpt-latest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pul\vl(vg)\SUBS%20&amp;%20ASSO%20CO\taxprov99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WINDOWS\DEPRE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Documents%20and%20Settings\pconill\Desktop\JPM%20Macro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SHVAL\avendus\adamya\DHS-adamya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amail.deloitte.com/exchange/vikhandelwal/Inbox/Fw:%20US%20GAAP-%20Final%20set%20-%20ASAL.EML/Disclosure%20Req%20and%20Formats.xls/C58EA28C-18C0-4a97-9AF2-036E93DDAFB3/New%20Folder/SEPT.00%20BS/CAPITALISATION-BHO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%20Team4\PROJECTS\CONTROLLED%20ACCOUNTS\Lalitpur%20Power\3.Sanction\Subsequent%20Sanctions\By%20Board-Committees\Cost%20overrun\S-Format\Final\Post%20ECCB\LPGCL_Financial%20Model_Final%20ARTL.XLSM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\C\Pratibha\My%20Documents\Machine4\GODREJ%20Stuff\1Foods\Measurement\Model%201copy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Milie/Quarterly%20Reports/Loan%20Classfication/January%202006/December%202005/November%202005/August%202005/Loan%20classification%20as%20on%20August%2031,%202005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Vipin%20Dagar\Enterprise%20Valuation\Ratan%20India\RKA%20Model%20and%20Report\RIPL%20Final.xlsx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Power%20Research/Sterlite/1.%20May%202014%20Sell%20Side%20Pitch/11.%20Model/48%20SGL%20Operating%20Assets%20Financial%20Model.xlsx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ower%20Research\Sterlite\1.%20May%202014%20Sell%20Side%20Pitch\11.%20Model\48%20SGL%20Operating%20Assets%20Financial%20Model.xlsx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erAspire/My%20Documents/SKumar/Rev.Mis/WINDOWS/Temporary%20Internet%20Files/Content.IE5/OPQRSTUV/MIS-2001-2002/permay01/PERF/perfbot98-99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microsoft.com/office/2006/relationships/xlExternalLinkPath/xlStartup" Target="Sonia/Work/MSR%20Investing/Projects/No.133%20Leighton%20Road/Model/Financing%20Model%202-09-04%20(Promote)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105.159\Amit%20Kataria\Offers_2002\Reliance%20LMDS\offer%2009.01.03\Offer_09.01.03_4%20configurations_revised%20offer_interface%20cards_5k-25kLinks1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345;&#20998;&#27861;0006/SECAFFI&#20869;&#35379;0006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5345;&#20998;&#27861;0006\SECAFFI&#20869;&#35379;0006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ENBK0019\aws\Monish\Trillium\TDS-Accounts%20March%202001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/SHVAL/Backwaters%202/JH&amp;GBsMar03(Draft1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ilie\Quarterly%20Reports\Loan%20Classfication\January%202006\December%202005\November%202005\August%202005\Loan%20classification%20as%20on%20August%2031,%202005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VAL\Backwaters%202\JH&amp;GBsMar03(Draft1)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02003~1/LOCALS~1/Temp/&#26989;&#31278;&#21029;&#20998;&#26512;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C02003~1\LOCALS~1\Temp\&#26989;&#31278;&#21029;&#20998;&#26512;0409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5.02.03\windows\TEMP\C.Lotus.Notes.Data\MEHTA\basf2001\01basf02-NEW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USERS\SUZUKI\EXCEL\&#37197;&#36070;EX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basish-fin\sept03\program%20files\qualcomm\eudora%20mail\attach\program%20files\qualcomm\eudora%20mail\attach\Internal\Clients\Godrej\SBU-Consumer%20Products\Incentives\CPD%20EI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-04REL-Final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nmq68zl99v8mv\Yogesh\Offers_2002\Reliance%20LMDS\oct2002\offer%203\Offer_22.10.02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basish-fin\sept03\program%20files\qualcomm\eudora%20mail\attach\program%20files\qualcomm\eudora%20mail\attach\My%20Document\Ram\Capital%20Budgeting\For%20presentation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/Expenses/8301%20Mum%20Operating%20Expenses%20Leadshee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potdarsp/Local%20Settings/Temporary%20Internet%20Files/OLK1/633/Accts/Sajukumar/MIS%20and%20Accounts/WINDOWS/Temporary%20Internet%20Files/Content.IE5/OPQRSTUV/MIS-2001-2002/permay01/PERF/perfbot98-99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ulkarni\c\Shilpa%20Shetye\Jan-01\MIS%20NEW\Financial%20Nov00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cer1/Desktop/Niranjan/Home%20Solutions/Projections%20for%20CMA%20-%20Feb07_Rev%20NM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i-cea-f110\PKG\My%20Documents\Saraswat\2010\Offer\L&amp;T-MUMBAI-HGU%20BATHINDA-%20NIKHIL%2008-04-010\L&amp;T%20Mumbai%20HGU-%20LTC\Insulation%20work%20volume_LTC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ol.wakle/AppData/Local/Microsoft/Windows/INetCache/Content.Outlook/GL41N4P8/HNPCL_SBI_LLMS%20-%20UBI.xlsm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bank/1-Projects%20In%20Hand/DFID/ARR%202003-04/Arr%20Petition%202003-04/For%20Submission/ARR%20Forms%20For%20Submission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run_b\WINDOWS\TEMP\BS98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11.28\vsj\Documents%20and%20Settings\ffcs\Desktop\SkoryDove-eReturn_Form1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potdarsp/Local%20Settings/Temporary%20Internet%20Files/OLK1/633/Accts/SKumar/Rev.Mis/WINDOWS/Temporary%20Internet%20Files/Content.IE5/OPQRSTUV/MIS-2001-2002/permay01/PERF/perfbot98-99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Property%20Combined%20Leadsheet%202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@@EQ&#65305;&#65304;&#65297;&#65298;/Affiliates4Q/EQ&#2280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Backup\Balance%20Sheet%202006-07\WINDOWS\Temporary%20Internet%20Files\OLKB086\P_SEG_CF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@@EQ&#65305;&#65304;&#65297;&#65298;\Affiliates4Q\EQ&#22806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Copy%20of%20Modsam4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002%20Non%20Convertible%20Debentures%20Combined%20Leadsheet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andorkar/My%20Documents/transparent%20CONSOLIDATED-MAY%202/FREQUENT%20JLU%202/Investment%20Bank%20relationships/SBI%20CAPS-SOFT%20BANK/SBI%20CAPS-SOFT%20BANK/Ghanekar/Sagar%20sugar%20-%20profitability%20-%20valuations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Chandorkar\My%20Documents\transparent%20CONSOLIDATED-MAY%202\FREQUENT%20JLU%202\Investment%20Bank%20relationships\SBI%20CAPS-SOFT%20BANK\SBI%20CAPS-SOFT%20BANK\Ghanekar\Sagar%20sugar%20-%20profitability%20-%20valuations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ishal/Local%20Settings/Temporary%20Internet%20Files/Content.IE5/JZMFU5UX/Bank%20Statement/Metro%20Hyderabad/Mytas%20Metro%20Line_121208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vishal\Local%20Settings\Temporary%20Internet%20Files\Content.IE5\JZMFU5UX\Bank%20Statement\Metro%20Hyderabad\Mytas%20Metro%20Line_121208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istrator/Local%20Settings/Temporary%20Internet%20Files/Content.IE5/WX2JK92Z/DEC%2018%20SALES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ilesh.rao/My%20Documents/Completed%20Assignments/JNPT%20Assignment/Deliverables/Models/Container%20Terminal%20Final_v17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l158af\c$\DOCUME~1\JSRING~1.FIS\LOCALS~1\TEMP\Trade%20Receivables-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7.176\RENKETU\&#20250;&#31038;&#21029;\SFAS131\2004.06\&#21942;&#26989;&#21454;&#30410;Hyperion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L1\SYS\LOTUS\MIS9900\MIS2003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/Essar%20Ports/Copy%20of%20Essar%20Ports%20Model.xlsm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ssar%20Ports\Copy%20of%20Essar%20Ports%20Model.xlsm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zard\c$\NSS\MOB\MOBPLAN\PPG_MOB2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us\c\SEED04-05\MB51ALLMVTSEP04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ORX-FILE\BMN\&#36009;&#31649;&#36027;\&#36035;&#20511;2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MNLY%20ACS%202003/CONSO%20SEPTEMBER%202003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gt9900_GE%20(1)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windows\TEMP\01-Master_Price_List_1-1-01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kta.Mehra/AppData/Roaming/Microsoft/Excel/Model%20Versions/Ekta/Assignments/HMEL/HMEL%20ECB%20Sub%20Debt/HMEL_4-6-12_3%20yr%20avg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SP\DEPN\01\Other%20FA_0301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Ekta.Mehra\AppData\Roaming\Microsoft\Excel\Model%20Versions\Ekta\Assignments\HMEL\HMEL%20ECB%20Sub%20Debt\HMEL_4-6-12_3%20yr%20avg.xlsm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WINDOWS\Profiles\sotoloff\Desktop\principl\Hochfelder\Raven\Model\Raven%20Model_03.11B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t-old\d\Audit\Tax%20Audit%202006\P&amp;%20Q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2.41.192\Yogesh\Yogesh\LMDS\Vendors\Alvarion\Offer_07.04.02_Ril_rev2_RTTB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40.03%20%20%20Property%20(Fixed%20Assets)%20-%20Substantive%20Testing%20%20December%2007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DEPRE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ksomani.RSR/AppData/Local/Microsoft/Windows/Temporary%20Internet%20Files/Content.IE5/QNJ6WIYU/Details%20of%20assets/Details%20of%20assets/cwip%202009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2.41.192\Yogesh\Yogesh\LMDS\Vendors\Marconi\MDMS_Config_protected_10.5G_16_7_2002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ORX-FILE\BMN\&#36009;&#31649;&#36027;\EXLSGAA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s/Bergesen/BEAFleet-Steelvalue-May10-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erAspire/My%20Documents/Sajukumar/MIS%20and%20Accounts/WINDOWS/Temporary%20Internet%20Files/Content.IE5/OPQRSTUV/MIS-2001-2002/permay01/PERF/perfbot98-99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ect\Projects\Bergesen\BEAFleet-Steelvalue-May10-03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/Vipul/securitisation/CFIL/Program/Issue%201/final%20pool%20files/Main-pool%20-%20cfil%20on%20tap-%20june%2002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Vipul\securitisation\CFIL\Program\Issue%201\final%20pool%20files\Main-pool%20-%20cfil%20on%20tap-%20june%2002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-cost-jays\jays\KSP\July%20Plan\oct%20plan%2099_rev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/rishi/ddrive/Backup_Rishi_Nov%2008/Desktop/Model%20runs/Price%20forecasting_APR_2012/Outputs_Base%20Case/Master%20Supply_Updating_27th%20April%2012%20(Final%20-%20Base%20gas%20+%20others)_11.30%20AM_Captive_Last_final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ritoshthakur/Desktop/Paritosh%20data/KPMG%20WORK/TATA%20POWER%20POWER%20MARKET%20STUDY/FINAL%20EXCELS/PLANT%20LIST%20TATA%20POWER/Copy%20of%20List%20of%20Projects_tata%20power_July%206%202015_Revised.xlsx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Documents%20and%20Settings\QI_0534\Local%20Settings\Temporary%20Internet%20Files\OLKD93\Copy%20of%20Cons-310305%20(2)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nodG/Local%20Settings/Temporary%20Internet%20Files/OLK5B/SFSO%20Financial%20model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B12312\STOCKSEC145A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ADMINI~1\LOCALS~1\Temp\C.Lotus.Notes.Data\DOCUME~1\RamanB\LOCALS~1\Temp\BUDG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IIL%20to%20DHS\IndiaIdeas%20Accounts%20-%20Final%2006-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3CD%20annex(Bhosari-SEMIfINAL)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WINDOWS\Profiles\sotoloff\Desktop\principl\Yanagi\Rock\Model\Rock%20Model%2006-12-02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tul%20Data/Personal/Old%20Data/Wireless%20Market%20in%20India,%20Asia,%20Global%20June%202005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wari\accounts\Final%20accounts%201998-99\Fixed%20Asset%20Register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WINDOWS\TEMP\WEEKLY%2021MAY'99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microsoft.com/office/2006/relationships/xlExternalLinkPath/xlStartup" Target="projects/Real%20Estate%20PE/Projects/Makers/MSREF%20Model/Project%20Magic%20Model_29-July-05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/jags/Dec02/dec02/BS10-13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jags\Dec02\dec02\BS10-13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40%20Revenue%20ITNL%20-%2031.03.2008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Documents%20and%20Settings\auditors\My%20Documents\E&amp;Y\Depn%20day%20basis%20-%20SoCrates%20-%20Co.%20Act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Expenses%20Workbook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/Local%20Settings/Temporary%20Internet%20Files/Content.Outlook/8V1N8PDF/08-09/Financials/IVFinancials(3)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-%20Leadsheet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20%20Inventory%20-%20Workbook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9\Users\Research%20Data\LALITA\Weekly%20REPORTS\MISRMASL%20Trading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arnika%20Dayal/AppData/Local/Microsoft/Windows/Temporary%20Internet%20Files/Content.Outlook/ZT8D9CZT/Master%20Valuation-%20Updated-%2017%2007%20(2).xlsx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SHVAL\infocom\infocom\RCL_dec25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hnh\My%20Documents\2001\Asia%20Pacific\Plan\5Y_v2.14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\kdocicai$\SHAILENDRA%20Dwivedi\block\Annual%20Report\2006-2007\NUVO\New%20Folder\BS%20March06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microsoft.com/office/2006/relationships/xlExternalLinkPath/xlStartup" Target="unzipped/Core%20Financing%202003%2012%2004%20v2/Retail_Model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pan.28/Desktop/BULLET/Accounts/ATIL%20Financials_June%2015.xlsx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/ddrivebkp/Amit/MIS/2004-03/MIS%20FY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\D\BACKUP%20OF%20SANJAY%20SIR%20AS%20ON%2019-7-06\My%20Documents\BS%202005-2006\Lucky\Audits\Par%20Computer%20Sciences%20Ltd%20New\Par%20Computer%20Sciences%20Ltd\Capital%20Gain%20Sheet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drivebkp\Amit\MIS\2004-03\MIS%20FY%202004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in-007\c\All\Lalith\DEFF%20TAX(From%20Jig)\UTV%20Balance%20Sheet%20Post%20Consolidation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/navin%20kedia/DOT/Documents%20and%20Settings/DLF/My%20Documents/MY%20FOLDER/DAL/New%20rent%20roll/Updated%20changes%20after%2020%20nov%20final/Amit_Data/DOT/Business%20&amp;%20Properties/Business%20and%20Properties-Ver-7-11.5m-19.09.2007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navin%20kedia\DOT\Documents%20and%20Settings\DLF\My%20Documents\MY%20FOLDER\DAL\New%20rent%20roll\Updated%20changes%20after%2020%20nov%20final\Amit_Data\DOT\Business%20&amp;%20Properties\Business%20and%20Properties-Ver-7-11.5m-19.09.2007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/SunilTData/ddrivebkp/SUNIL/MIS/FY%202005/2005-03/MIS%20FY%202005%20-%20FINAL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unilTData\ddrivebkp\SUNIL\MIS\FY%202005\2005-03\MIS%20FY%202005%20-%20FINAL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lius\c\SEED04-05\allmvtdepotsep04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ssignments%20-%20Dhiren/FSSL/FSSL%20model/Balance%20Sheet%2023rd%20March.xlsx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ERS/AppData/Local/Temp/Rar$DI00.986/Dheeraj-MRG%2027%20Feb/PNL%20for%20DLF%2022%20Dec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IERS\AppData\Local\Temp\Rar$DI00.986\Dheeraj-MRG%2027%20Feb\PNL%20for%20DLF%2022%20De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uation%20-%20Daurala%20Sugar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/AmitTData/ddrivebkp/SUNIL/MIS/2004-10/Estimates%20October%202004-new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mitTData\ddrivebkp\SUNIL\MIS\2004-10\Estimates%20October%202004-new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_NT15\PROJECTFINAN\WINDOWS\TEMP\~0003888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/Sameer's%20folder/MSEB/Tariff%20Filing%202003-04/Outputs/Models/Working%20Models/old/Dispatch%202.0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/Imports/LC/LC-CAL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Imports\LC\LC-CAL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AS-21\RCPL%20&amp;%20RGNL\2004-05\Quarter%204\March%202005\RIC%20&amp;%20RCIL%20Consolidated%20-March%202005%20%20%20%20%20%20%20%20%20%20%20%20%20%20%208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Documents%20and%20Settings\venkater\Local%20Settings\Temporary%20Internet%20Files\OLK19\EPST%20Project%20Billing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pul\vl(vg)\VIPUL\vfbl\ROI9899HP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microsoft.com/office/2006/relationships/xlExternalLinkPath/xlStartup" Target="RE/Yip/Model%20Templates/Models/Apollo-Model-2001121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al\new%20folder\SUMIT\Sumit%20SKACA\AUDIT\MYND%202005-06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-cost-jays\jays\KSP\July%20Plan\WIL-Rev%20Annexures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135\vsj\VSJ\EXCEL\I.Tax%20A.Y.2005-06\IT%20Return\REL\80IA%20working%20&amp;%20Computation%20TOR-AY%2005-06-Revised%202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vang\suneil\mss\Fortnightly%20progress%20reports\NLDO%20Ph%201A\13_GIS%20INTEGRATION0809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hony\finalisation\00-01\Final%20BS%20for%2000-01_CHANGED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hony\finalisation\My%20Documents\AMG_Workings\Projections_BS_mar03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nil\c\2002\BASIC%20SAL%20CALCULATION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31.1%20Bank%20Reconcilation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bagve/Desktop/Book2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abagve\Desktop\Book2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ijay%20Kini/kini/FFC/AUG%202007/6520%20Deferred%20Tax%20Workin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sra01\c\Msoffice\Excel\ATK\31-03-2001\Intercopybl2133_reval_Dec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Vijay%20Kini\kini\FFC\AUG%202007\6520%20Deferred%20Tax%20Working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ADMINI~1\LOCALS~1\Temp\C.Lotus.Notes.Data\DOCUME~1\ADMINI~1\LOCALS~1\Temp\42mtr_VPT_Budget_CBS%20w%20A.L.%200722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Control\Integration\Planning\INSTRUMENTATION\Instprof0828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%20Substantive%20Analytical%20Review%20-%20Disaggregated%20Pop.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/HSA/PROJECTS/CONTROLLED%20ACCOUNTS/Lalitpur%20Power/2.Appraisal/PFSBU%20Analysis/Financial%20Model/Final%20model%20with%20PFSBU%20sheet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obility/MIS/MAPA/May%202003/Forecast/Mobility%20Business%20Plan%202003-04%20-%20Ver%204.5%20-%20Final%20-%20KPIs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Actpro%2099\clients\Baylabs\Calculations\Annual\EVA%20Annual%20Calculation%20Template%20-%2019%20Oct%2099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ExcelEVA%20Model-Samtel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ho\Amrstaff\Apurva\expansion\DOCUME~1\u003119\LOCALS~1\Temp\c.data.u003119.notes_cdi\Shireesh\Exxon_Qenos\Trading%20Comps\Qenos%20-%20Trading%20comps1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ADMINI~1\LOCALS~1\Temp\C.Lotus.Notes.Data\~309371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ash\c\My%20Documents\Ms%20Office\Excel\ATK\31.03.2001\Intercopybl2133_reval_Dec.xls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/vms/transfer/vms/WO_Issued&amp;Paid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vms\transfer\vms\WO_Issued&amp;Paid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hmehta/Desktop/NKEL/Documents%20and%20Settings/jchande/Desktop/NKEL%20March%2005/Fixed%20Assets/Fixed%20Assets%20Sold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bhmehta\Desktop\NKEL\Documents%20and%20Settings\jchande\Desktop\NKEL%20March%2005\Fixed%20Assets\Fixed%20Assets%20Sold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OPQRSTUV\MIS-2001-2002\permay01\PERF\perfbot98-99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TBailey\Rolling%20Budget\Indy%20Airport%20RB%20-%202000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My%20Documents\Clients\Taj%20Hotels\Bharti\Modsam6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FA%20IT%20March-2006%20for%20TAX%20Audit%202005-06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41%20fixed%20asset%20additions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40%20Secured%20&amp;%20Unsecured%20Borrowings%20&amp;%20Interest%20Payable%20-%20AMRP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Audit%20March%202003/RMCFinalsets/My%20Documents/RMC%20310301/STOCKSEC145A.xls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vyas/AppData/Local/Microsoft/Windows/Temporary%20Internet%20Files/Content.Outlook/ZRDZS483/GRICL%20Requirement%20check%20list-March%202009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vyas\AppData\Local\Microsoft\Windows\Temporary%20Internet%20Files\Content.Outlook\ZRDZS483\GRICL%20Requirement%20check%20list-March%202009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.1%20FA%20of%20ITNL%20%20-%20New%20Format%20-%2031%201%20.03.06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8440%20%20Payroll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/Mar%2015/Head%20Office/Debtors%20Netting%20off%20as%20on%2031%2003%202015.xls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kesh\AUDIT%20FY2006\Rakesh\Income%20Tax\Asst.%20Yr.2005-06\Final%203CD%20&amp;%20Annexures\1006%20TAX-AUDIT-SCHEDULES--2004-05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matthew/Desktop/STUFF%20TO%20PRINT/FA.xlsx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kalra/Desktop/KEC%20Finalization/KEC%20dec'10/Fixed%20Assets/5601%20FIXED%20ASSETS%20APRIL-Dec-10(BUB)%2031-12-2010(consolidated)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%20(TOP%20SHEET)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/Bhavik/Audit/IETS%20-%20All%20files/IETS%20-%20March%202007/Fixed%20Assets/5611%20Fixed%20Asset%20(TOP%20SHEET)%20as%20on%2031%20March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BS10-13.XLS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havik\Audit\IETS%20-%20All%20files\IETS%20-%20March%202007\Fixed%20Assets\5611%20Fixed%20Asset%20(TOP%20SHEET)%20as%20on%2031%20March%202007.xls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3070065/Local%20Settings/Temporary%20Internet%20Files/Content.Outlook/BQUOPY05/3CD%201%20Form%203CD%20F-11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30.1.a%20Fixed%20Asset%20%20%20Depreciation%20Calculation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.2%20Debtors%20Schedule%20FINAL%2031%2003%202012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.1%20Fixed%20Assets%20Top%20Sheet%20-%20March%202008%20-%20VHRP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schedule%20and%20Calculation%20of%20Depreciation%20-%20VHRP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register,%20deprn%20,profit%20and%20loss%20calcn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.FBT%20FBT%20Working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Property%20CombinedPY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hmehta/Desktop/NKEL/Documents%20and%20Settings/jchande/Desktop/FA_LAST%20YE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DOWS\TEMP\BS10-13.XLS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bhmehta\Desktop\NKEL\Documents%20and%20Settings\jchande\Desktop\FA_LAST%20YEAR.xls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2002-03%20AUDIT%20SCHE\FINANCIALS%20-%20APR02-MAR03INCL%20&amp;%20EXC.xls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PERFORMANCE\ocm\Yearly_perf\OCMJAN2000.xls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awa\c\Ravi%20Neer\Ravi\Mfgcost\Mfg%20Cost%202000\March%202000\Mfg%20Cost%20March%202k.xls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THAR\PROJECT%20SCOP\NSS\MOB\MOBPLAN\STR_PLAN2.xls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/RENKETU/Secapp/&#31185;&#30446;&#20998;&#26512;&#12539;&#20316;&#25104;&#36039;&#26009;/&#36024;&#20184;&#37329;/&#31192;&#23494;&#12288;&#19968;&#30007;&#12501;&#12457;&#12523;&#12480;/&#36024;&#20184;&#37329;&#65286;&#36024;&#20498;/SEC&#36024;&#20498;/SFAS#114\&#20206;&#12405;&#12435;2003-08\&#12405;&#12435;&#12393;&#12375;0308.xls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NKETU\Secapp\&#31185;&#30446;&#20998;&#26512;&#12539;&#20316;&#25104;&#36039;&#26009;\&#36024;&#20184;&#37329;\&#31192;&#23494;&#12288;&#19968;&#30007;&#12501;&#12457;&#12523;&#12480;\&#36024;&#20184;&#37329;&#65286;&#36024;&#20498;\SEC&#36024;&#20498;\SFAS#114\&#20206;&#12405;&#12435;2003-08\&#12405;&#12435;&#12393;&#12375;0308.xls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001008010/My%20Documents/&#21033;&#30410;&#35336;&#30011;G&#20250;&#31038;/&#31532;5&#26399;/&#65406;&#65400;&#65438;&#65426;&#65437;&#65412;/0&#35336;&#30011;&#36899;&#32080;.xls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C001008010\My%20Documents\&#21033;&#30410;&#35336;&#30011;G&#20250;&#31038;\&#31532;5&#26399;\&#65406;&#65400;&#65438;&#65426;&#65437;&#65412;\0&#35336;&#30011;&#36899;&#32080;.xls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BUMON\&#35336;&#30011;\43(200603)\0&#35336;&#30011;&#36899;&#3208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MK123\VOL1\ACCOUNTS\DBSLEAS\97\BAL969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Shantaram/Borrowing%20-%20Vipul/Demerger%20Scheme%20Data%20for%20Borrowing/Demerged%20Financials%20in%20Shedule%20IV%20FORMAT.xls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/RENKETU/Secapp/&#31185;&#30446;&#20998;&#26512;&#12539;&#20316;&#25104;&#36039;&#26009;/&#26377;&#20385;&#35388;&#21048;/3%202004-3q/200312&#21253;&#25324;&#21033;&#30410;.xls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NKETU\Secapp\&#31185;&#30446;&#20998;&#26512;&#12539;&#20316;&#25104;&#36039;&#26009;\&#26377;&#20385;&#35388;&#21048;\3%202004-3q\200312&#21253;&#25324;&#21033;&#30410;.xls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65411;&#65438;&#65405;&#65400;&#65412;&#65391;&#65420;&#65439;/&#38306;&#20418;&#20250;&#31038;&#26126;&#32048;.xls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DOWS\&#65411;&#65438;&#65405;&#65400;&#65412;&#65391;&#65420;&#65439;\&#38306;&#20418;&#20250;&#31038;&#26126;&#32048;.xls" TargetMode="External"/></Relationships>
</file>

<file path=xl/externalLinks/_rels/externalLink404.xml.rels><?xml version="1.0" encoding="UTF-8" standalone="yes"?>
<Relationships xmlns="http://schemas.openxmlformats.org/package/2006/relationships"><Relationship Id="rId1" Type="http://schemas.openxmlformats.org/officeDocument/2006/relationships/externalLinkPath" Target="/RENKETU/Secapp/Package/#Fy2001.3&#26399;&#12288;&#65305;&#26376;\D009%20&#65393;&#65433;&#65420;&#65383;\&#12288;&#30330;&#36865;&#36039;&#26009;&#12288;&#12288;&#65305;&#65305;&#24180;&#65299;&#26376;&#26399;\@&#30330;&#36865;99.3.4Q\&#23713;&#26412;&#20462;&#27491;&#24460;fy99pkg.xls" TargetMode="External"/></Relationships>
</file>

<file path=xl/externalLinks/_rels/externalLink4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NKETU\Secapp\Package\#Fy2001.3&#26399;&#12288;&#65305;&#26376;\D009%20&#65393;&#65433;&#65420;&#65383;\&#12288;&#30330;&#36865;&#36039;&#26009;&#12288;&#12288;&#65305;&#65305;&#24180;&#65299;&#26376;&#26399;\@&#30330;&#36865;99.3.4Q\&#23713;&#26412;&#20462;&#27491;&#24460;fy99pkg.xls" TargetMode="External"/></Relationships>
</file>

<file path=xl/externalLinks/_rels/externalLink40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184141010/My%20Documents/SEC&#23455;&#36074;&#36002;&#29486;&#21033;&#30410;/2003&#24180;3&#26376;&#26399;&#31532;&#65300;&#65329;/FIN200204.xls" TargetMode="External"/></Relationships>
</file>

<file path=xl/externalLinks/_rels/externalLink4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C184141010\My%20Documents\SEC&#23455;&#36074;&#36002;&#29486;&#21033;&#30410;\2003&#24180;3&#26376;&#26399;&#31532;&#65300;&#65329;\FIN200204.xls" TargetMode="External"/></Relationships>
</file>

<file path=xl/externalLinks/_rels/externalLink408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65422;&#65438;&#65431;&#65411;&#65384;&#65432;&#65411;&#65384;/vol.200409.xls" TargetMode="External"/></Relationships>
</file>

<file path=xl/externalLinks/_rels/externalLink4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9733;&#65422;&#65438;&#65431;&#65411;&#65384;&#65432;&#65411;&#65384;\vol.20040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antaram\Borrowing%20-%20Vipul\Demerger%20Scheme%20Data%20for%20Borrowing\Demerged%20Financials%20in%20Shedule%20IV%20FORMAT.xls" TargetMode="External"/></Relationships>
</file>

<file path=xl/externalLinks/_rels/externalLink4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BUMON\&#35336;&#30011;\43(200603)\&#21462;&#24341;&#21029;&#36039;&#26009;\SGA\&#36899;&#32080;&#38598;&#35336;\200703&#35336;&#30011;&#20154;&#21729;SGA&#38598;&#35336;&#30446;&#27161;&#20250;&#35696;&#24460;&#65288;01-23&#65289;.xls" TargetMode="External"/></Relationships>
</file>

<file path=xl/externalLinks/_rels/externalLink4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020S20\a011\&#37096;&#38272;&#21029;\haifuadd.xls" TargetMode="External"/></Relationships>
</file>

<file path=xl/externalLinks/_rels/externalLink4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2/Desktop/Rachit%20Personal/Projects/EV/PFS/RK%20Working%202023-24/RK%20Working%20NVEPL%20Final%20Excel%20Sheets%202021-22/Operational%20Companies%20_May%202023/V3/NRPPL%20Final%20RK%20Working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.71.78\c\Documents%20and%20Settings\Praveen\Desktop\FINANCIALS%20-%20APR02-MAR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7.176\DOCUME~1\PREETA~1\LOCALS~1\Temp\notesE1EF34\Final%20lender%20model_021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sudesh/Desktop/TB%20aa/BS%20of%20ARL(V8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54.61\Share%20PC%20Data\Q1%202003-04\InterimFinancial%20statements3006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MILIND\March%202012\March%2012%20-%20VEL%202012_ITR6_PR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87\vsj\VSJ\EXCEL\I.Tax%20A.Y.2005-06\IT%20Return\REL\80IA%20working%20&amp;%20Computation%20TOR-AY%2005-06-Revised%2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HDFC/March%2006/Windermere/BS%20(Sachin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upta-vibhuti/Desktop/Project%20DOT%20Financial%20Model_Bond_v_7%20(%2023.2.09%20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-04REL-Fin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gupta-vibhuti\Desktop\Project%20DOT%20Financial%20Model_Bond_v_7%20(%2023.2.09%20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il\share_c\ANIL\CEP9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g%20VALUATIO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VAIBHAV\wks\KOMET\ED148630\WKS\OKS\Bechem%20return%20FY99-200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Navin%20Gupta\BASF%20-%20Mar%2006\Audit%20-%20Trial%20Balance%2005-06%20Cummulativ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deepakjain\Desktop\FSD\BGFL%20financial%20stat%20Marchr%2020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olddata/tram/My%20Documents/taxaudit&amp;return/acyr9899/return/TXRTN99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lddata\tram\My%20Documents\taxaudit&amp;return\acyr9899\return\TXRTN9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principl\Khanna\Righa%20Royal\Minuteman\Model\Boston.09.25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inalisation07/ABNL%2007/BGFL%20financial%20stat%20March%20200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FINDRDEC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inalisation07/ABNL%2007/BSHEETMarch%2007%20(Worli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53.133\idcpmg\ProjectControl\Integration\NSS\MOB\MOBPLAN\PPG_MOB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ffice/AppData/Local/Temp/Rar$DI00.070/AUDIT%20SCHEDULES%202005-06/CHARAN/REVISED%20MIS%20REPORT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serv\users-backup\Documents%20and%20Settings\DTA4041\My%20Documents\MIS%20FOR%202006-07\AUG-06\Balance%20Sheet%20(Aug06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Rohan/Rating%20Agencies/Mar%2006/CARE/10052007/MIS%20March%20Final%20to%20be%20Cicula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han\Rating%20Agencies\Mar%2006\CARE\10052007\MIS%20March%20Final%20to%20be%20Ciculate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shroff.HNGGROUP/Desktop/Projections%2012082014/Feb%202015/Consolidated_MIS_Dec'14_final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hanand\PUR\Purchase%20Orders\PO%20Details\05-06\PO%20Details%2005-06%20(Master%20File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Property%20(Fixed%20Assets)%20-%20Substantive%20Testing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o-9001\C\E&amp;Y%20Latest\C\FA_MARCH_2002_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administrator\Local%20Settings\Temporary%20Internet%20Files\Content.IE5\7C88GHDK\march2002-tax%20account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valeriey/Desktop/Yip%20-%20RE/Vicwood%20Plaza/Vicwood%20Model%20(Completion)%20-%2031%20July%20200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ravanan.Iyer/AppData/Local/Microsoft/Windows/INetCache/Content.Outlook/MDSAS1I0/CGPL_FM_26Jul%20for%20Pass%20through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ssignments%20-%20Dhiren/FSSL/DCF%20Detailed/FG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0\c\WINDOWS\Desktop\Latest%20revised%20Cost%20Estimates%20for%20Substatio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VBR_New\Under%20Process\HMEL\Financial%20Model\Final%20SBI%20model_20122012\HMEL_20_12_2012_sbi_finalwith%20sensitivities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6720DD8\MSREF_V_Profitability_Analysis%20(Individual%20Investment)%206.13.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ERS/Desktop/Final%20Models/Bank%20Statement_23th%20Feb%20201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IERS\Desktop\Final%20Models\Bank%20Statement_23th%20Feb%20201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0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ny0025542f/Desktop/Pools%20Selected/CFIL%20Pool%20july%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1\EMAIL\Performance\PERFORMANCE\ocm\Yearly_perf\OCMJAN200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iny0025542f\Desktop\Pools%20Selected\CFIL%20Pool%20july%200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s-lalit\lalith\Internal\Clients\Godrej\SBU-Chemicals\Incentives\June%201st\29May%20ICP%20meet,%20v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Cvg40J/4&#31038;_&#20840;&#31038;&#36899;&#32080;&#24115;&#31080;&#65288;6&#26376;&#65289;/from&#12356;&#12426;&#12360;/990329/&#12521;&#12480;&#12540;/&#21336;&#65431;&#65408;&#65438;&#65392;&#37329;.xlw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vg40J\4&#31038;_&#20840;&#31038;&#36899;&#32080;&#24115;&#31080;&#65288;6&#26376;&#65289;\from&#12356;&#12426;&#12360;\990329\&#12521;&#12480;&#12540;\&#21336;&#65431;&#65408;&#65438;&#65392;&#37329;.xlw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cvg40j/&#36899;&#32080;/&#20986;&#21147;&#24115;&#31080;/&#36899;&#65431;&#65408;&#65438;&#65392;&#37329;.xlw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vg40j\&#36899;&#32080;\&#20986;&#21147;&#24115;&#31080;\&#36899;&#65431;&#65408;&#65438;&#65392;&#37329;.xlw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Cvg40J/4&#31038;_&#20840;&#31038;&#36899;&#32080;&#24115;&#31080;&#65288;6&#26376;&#65289;/&#21336;&#20307;&#23550;&#39015;/&#20986;&#21147;&#24115;&#31080;/&#21336;&#65431;&#65408;&#65438;&#65392;&#37329;.xlw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vg40J\4&#31038;_&#20840;&#31038;&#36899;&#32080;&#24115;&#31080;&#65288;6&#26376;&#65289;\&#21336;&#20307;&#23550;&#39015;\&#20986;&#21147;&#24115;&#31080;\&#21336;&#65431;&#65408;&#65438;&#65392;&#37329;.xlw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drivebkp/Amit/MIS/September/MIS2003-Au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fl\DATA1\Audit-F.Y.2003-04\24a%20&amp;%2024b%20-%20Site%20-%2014.08.0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drivebkp\Amit\MIS\September\MIS2003-Au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n00038784/Local%20Settings/Temporary%20Internet%20Files/OLK38B/CFIL%20Nov%2003/CFIL%20Pool%20Nov%202003%20with%20cashflow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in00038784\Local%20Settings\Temporary%20Internet%20Files\OLK38B\CFIL%20Nov%2003\CFIL%20Pool%20Nov%202003%20with%20cashflow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Startup" Target="ConsPro%20Financials/FS-Mum-Projections-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SHVAL/euro/New/workings-28Apri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VAL\euro\New\workings-28Apri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SS11230\WKS\Novo\Nnas\Corporate%20tax%20return-nna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DOCUME~1\gkemp\LOCALS~1\Temp\1998\1KEMP\HOMES\20PINNAC\PAY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SHVAL/euro/jisco-Projection-021104-fordelloitt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VAL\euro\jisco-Projection-021104-fordelloit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H.O"/>
      <sheetName val="R&amp;D BLR"/>
      <sheetName val="BELAPUR"/>
      <sheetName val="DERABASSI"/>
      <sheetName val="HOWRAH"/>
      <sheetName val="BLR PROD"/>
      <sheetName val="AKOLA"/>
      <sheetName val="LOTE"/>
      <sheetName val="IPPCO BHOPAL"/>
      <sheetName val="S BAD PROD"/>
      <sheetName val="LUCKNOW"/>
      <sheetName val="AHMEDABAD"/>
      <sheetName val="RANCHI"/>
      <sheetName val="PUNE"/>
      <sheetName val="DELHI"/>
      <sheetName val="CALCUTTA"/>
      <sheetName val="S BAD"/>
      <sheetName val="BANGLORE "/>
      <sheetName val="VIJAYW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"/>
    </sheetNames>
    <sheetDataSet>
      <sheetData sheetId="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Phasing+ Int"/>
      <sheetName val="UPERC Tariff Calc"/>
      <sheetName val="Depreciation"/>
      <sheetName val="Working Capital"/>
      <sheetName val="PFSBU"/>
      <sheetName val="Financials"/>
      <sheetName val="Table"/>
      <sheetName val="Ratios"/>
      <sheetName val="Sensitivity"/>
      <sheetName val="Project Cost_New"/>
      <sheetName val="C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Phasing+ Int"/>
      <sheetName val="UPERC Tariff Calc"/>
      <sheetName val="Depreciation"/>
      <sheetName val="Working Capital"/>
      <sheetName val="PFSBU"/>
      <sheetName val="Financials"/>
      <sheetName val="Table"/>
      <sheetName val="Ratios"/>
      <sheetName val="Sensitivity"/>
      <sheetName val="Project Cost_New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Queries"/>
      <sheetName val="Inventories_Leadsheet"/>
      <sheetName val="Stockchange_Leadsheet"/>
      <sheetName val="Finished Goods"/>
      <sheetName val="Stock in Process"/>
      <sheetName val="Excise Duty"/>
      <sheetName val="Sheet2"/>
      <sheetName val="FG Variance"/>
      <sheetName val="Components"/>
      <sheetName val="Valuation"/>
      <sheetName val="Stock-Process"/>
      <sheetName val="ByeProduct_Gain"/>
      <sheetName val="Allocation{PBC}"/>
      <sheetName val="Stock-RM"/>
      <sheetName val="SALT{PBC}"/>
      <sheetName val="FUEL{PBC}"/>
      <sheetName val="CHEM{PBC}"/>
      <sheetName val="Gross Profit Analysis"/>
      <sheetName val="Cost Allocation {PBC}"/>
      <sheetName val="Note"/>
      <sheetName val="XREF"/>
      <sheetName val="Tickmarks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PPT Inputs"/>
      <sheetName val="Reco"/>
      <sheetName val="Consol Summary -&gt;"/>
      <sheetName val="Core Assumptions"/>
      <sheetName val="ATL Consol Financials (USD)"/>
      <sheetName val="ATL"/>
      <sheetName val="ATL-Standalone"/>
      <sheetName val="Ratios"/>
      <sheetName val="Ratios-XNPV"/>
      <sheetName val="NEW SPV"/>
      <sheetName val="Debt Workings"/>
      <sheetName val="ICD Mechanics"/>
      <sheetName val="Financials -&gt;"/>
      <sheetName val="CHECKs"/>
      <sheetName val="ATL Standalone"/>
      <sheetName val="ATIL"/>
      <sheetName val="MEGPTCL"/>
      <sheetName val="ATL (Original OG)"/>
      <sheetName val="Summary Financials RN "/>
      <sheetName val="Old Summary Sheet"/>
      <sheetName val="Financial_ATL RA submtd obligor"/>
      <sheetName val="ATL Consol Financials"/>
      <sheetName val="Tariff Workings -&gt;"/>
      <sheetName val="Tariff_M2M"/>
      <sheetName val="Tariff_M2D"/>
      <sheetName val="Tariff_T2W"/>
      <sheetName val="Tariff_T2A"/>
      <sheetName val="Tariff Summary"/>
      <sheetName val="Tariff_Aravali"/>
      <sheetName val="Tariff_Maru"/>
      <sheetName val="Tariff_WRTM"/>
      <sheetName val="Tariff_WRTG"/>
      <sheetName val="Tariff_PKTCL"/>
      <sheetName val="Tx Line Configuration -&gt;"/>
      <sheetName val="Mundra-Mohindergarh"/>
      <sheetName val="Mundra-Dahegam"/>
      <sheetName val="Tiroda-Aurangabad"/>
      <sheetName val="Tiroda-Warora"/>
      <sheetName val="Aravali"/>
      <sheetName val="Maru"/>
      <sheetName val="WRTM"/>
      <sheetName val="WRTG"/>
      <sheetName val="PKTCL Configuration"/>
      <sheetName val="Tx Line Financials -&gt;"/>
      <sheetName val="Financials_M2M"/>
      <sheetName val="Financials_M2D"/>
      <sheetName val="Financials_T2W"/>
      <sheetName val="Financials_T2A"/>
      <sheetName val="New Lines (Combine Accts)"/>
      <sheetName val="Financials_Aravali"/>
      <sheetName val="Financials_Maru"/>
      <sheetName val="Financials_WRTM"/>
      <sheetName val="Financials_WRTG"/>
      <sheetName val="Financials_PKTCL"/>
      <sheetName val="Tx Line_MoF -&gt;"/>
      <sheetName val="MoF_M2M"/>
      <sheetName val="MoF_M2D"/>
      <sheetName val="MoF_T2W"/>
      <sheetName val="MoF_T2A"/>
      <sheetName val="MoF_Aravali"/>
      <sheetName val="MoF_Maru"/>
      <sheetName val="MoF_WRTM"/>
      <sheetName val="MoF_WRTG"/>
      <sheetName val="MoF_PKTCL"/>
      <sheetName val="Tariff_CWR"/>
      <sheetName val="C_WR"/>
      <sheetName val="Tariff_RRW"/>
      <sheetName val="RR_W"/>
      <sheetName val="Tariff_SBR"/>
      <sheetName val="S_BR"/>
      <sheetName val="Tariff_NKTL "/>
      <sheetName val="NK_TL"/>
      <sheetName val="Tariff_ATRL"/>
      <sheetName val="AT_RL"/>
    </sheetNames>
    <sheetDataSet>
      <sheetData sheetId="0"/>
      <sheetData sheetId="1">
        <row r="1">
          <cell r="C1">
            <v>66.5</v>
          </cell>
        </row>
        <row r="27">
          <cell r="C27">
            <v>0.995</v>
          </cell>
        </row>
        <row r="28">
          <cell r="C28">
            <v>0.995</v>
          </cell>
        </row>
        <row r="35">
          <cell r="C35">
            <v>9.2999999999999999E-2</v>
          </cell>
        </row>
      </sheetData>
      <sheetData sheetId="2"/>
      <sheetData sheetId="3"/>
      <sheetData sheetId="4">
        <row r="51">
          <cell r="D51">
            <v>0.21341600000000002</v>
          </cell>
          <cell r="E51">
            <v>0.34608000000000005</v>
          </cell>
        </row>
        <row r="139">
          <cell r="H139">
            <v>41729</v>
          </cell>
          <cell r="I139">
            <v>42094</v>
          </cell>
          <cell r="J139">
            <v>42460</v>
          </cell>
          <cell r="K139">
            <v>42825</v>
          </cell>
          <cell r="L139">
            <v>0</v>
          </cell>
          <cell r="M139">
            <v>43190</v>
          </cell>
          <cell r="N139">
            <v>43555</v>
          </cell>
          <cell r="O139">
            <v>43921</v>
          </cell>
          <cell r="P139">
            <v>44286</v>
          </cell>
          <cell r="Q139">
            <v>44651</v>
          </cell>
          <cell r="R139">
            <v>45016</v>
          </cell>
          <cell r="S139">
            <v>45382</v>
          </cell>
          <cell r="T139">
            <v>45747</v>
          </cell>
          <cell r="U139">
            <v>46112</v>
          </cell>
          <cell r="V139">
            <v>46477</v>
          </cell>
          <cell r="W139">
            <v>46843</v>
          </cell>
          <cell r="X139">
            <v>47208</v>
          </cell>
          <cell r="Y139">
            <v>47573</v>
          </cell>
          <cell r="Z139">
            <v>47938</v>
          </cell>
          <cell r="AA139">
            <v>48304</v>
          </cell>
          <cell r="AB139">
            <v>48669</v>
          </cell>
          <cell r="AC139">
            <v>49034</v>
          </cell>
          <cell r="AD139">
            <v>49399</v>
          </cell>
          <cell r="AE139">
            <v>49765</v>
          </cell>
          <cell r="AF139">
            <v>50130</v>
          </cell>
          <cell r="AG139">
            <v>50495</v>
          </cell>
          <cell r="AH139">
            <v>50860</v>
          </cell>
          <cell r="AI139">
            <v>51226</v>
          </cell>
          <cell r="AJ139">
            <v>51591</v>
          </cell>
          <cell r="AK139">
            <v>51956</v>
          </cell>
          <cell r="AL139">
            <v>52321</v>
          </cell>
          <cell r="AM139">
            <v>52687</v>
          </cell>
          <cell r="AN139">
            <v>53052</v>
          </cell>
          <cell r="AO139">
            <v>53417</v>
          </cell>
          <cell r="AP139">
            <v>53782</v>
          </cell>
          <cell r="AQ139">
            <v>54148</v>
          </cell>
          <cell r="AR139">
            <v>54513</v>
          </cell>
          <cell r="AS139">
            <v>54878</v>
          </cell>
        </row>
        <row r="140">
          <cell r="H140">
            <v>7</v>
          </cell>
          <cell r="I140">
            <v>8</v>
          </cell>
          <cell r="J140">
            <v>9</v>
          </cell>
          <cell r="K140">
            <v>10</v>
          </cell>
          <cell r="L140">
            <v>0</v>
          </cell>
          <cell r="M140">
            <v>11</v>
          </cell>
          <cell r="N140">
            <v>12</v>
          </cell>
          <cell r="O140">
            <v>13</v>
          </cell>
          <cell r="P140">
            <v>14</v>
          </cell>
          <cell r="Q140">
            <v>15</v>
          </cell>
          <cell r="R140">
            <v>16</v>
          </cell>
          <cell r="S140">
            <v>17</v>
          </cell>
          <cell r="T140">
            <v>18</v>
          </cell>
          <cell r="U140">
            <v>19</v>
          </cell>
          <cell r="V140">
            <v>20</v>
          </cell>
          <cell r="W140">
            <v>21</v>
          </cell>
          <cell r="X140">
            <v>22</v>
          </cell>
          <cell r="Y140">
            <v>23</v>
          </cell>
          <cell r="Z140">
            <v>24</v>
          </cell>
          <cell r="AA140">
            <v>25</v>
          </cell>
          <cell r="AB140">
            <v>26</v>
          </cell>
          <cell r="AC140">
            <v>27</v>
          </cell>
          <cell r="AD140">
            <v>28</v>
          </cell>
          <cell r="AE140">
            <v>29</v>
          </cell>
          <cell r="AF140">
            <v>30</v>
          </cell>
          <cell r="AG140">
            <v>31</v>
          </cell>
          <cell r="AH140">
            <v>32</v>
          </cell>
          <cell r="AI140">
            <v>33</v>
          </cell>
          <cell r="AJ140">
            <v>34</v>
          </cell>
          <cell r="AK140">
            <v>35</v>
          </cell>
          <cell r="AL140">
            <v>36</v>
          </cell>
          <cell r="AM140">
            <v>37</v>
          </cell>
          <cell r="AN140">
            <v>38</v>
          </cell>
          <cell r="AO140">
            <v>39</v>
          </cell>
          <cell r="AP140">
            <v>40</v>
          </cell>
          <cell r="AQ140">
            <v>41</v>
          </cell>
          <cell r="AR140">
            <v>42</v>
          </cell>
          <cell r="AS140">
            <v>43</v>
          </cell>
        </row>
        <row r="141"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</row>
        <row r="142">
          <cell r="C142" t="str">
            <v>400KV</v>
          </cell>
          <cell r="D142">
            <v>1</v>
          </cell>
          <cell r="E142">
            <v>4</v>
          </cell>
          <cell r="H142">
            <v>65.459999999999994</v>
          </cell>
          <cell r="I142">
            <v>60.3</v>
          </cell>
          <cell r="J142">
            <v>62.3</v>
          </cell>
          <cell r="K142">
            <v>64.37</v>
          </cell>
          <cell r="L142">
            <v>0</v>
          </cell>
          <cell r="M142">
            <v>66.510000000000005</v>
          </cell>
          <cell r="N142">
            <v>68.709999999999994</v>
          </cell>
          <cell r="O142">
            <v>70.991171999999992</v>
          </cell>
          <cell r="P142">
            <v>73.348078910399991</v>
          </cell>
          <cell r="Q142">
            <v>75.783235130225265</v>
          </cell>
          <cell r="R142">
            <v>78.299238536548742</v>
          </cell>
          <cell r="S142">
            <v>80.898773255962155</v>
          </cell>
          <cell r="T142">
            <v>83.584612528060092</v>
          </cell>
          <cell r="U142">
            <v>86.359621663991675</v>
          </cell>
          <cell r="V142">
            <v>89.226761103236186</v>
          </cell>
          <cell r="W142">
            <v>92.189089571863619</v>
          </cell>
          <cell r="X142">
            <v>95.249767345649488</v>
          </cell>
          <cell r="Y142">
            <v>98.412059621525046</v>
          </cell>
          <cell r="Z142">
            <v>101.67934000095967</v>
          </cell>
          <cell r="AA142">
            <v>105.05509408899152</v>
          </cell>
          <cell r="AB142">
            <v>108.54292321274603</v>
          </cell>
          <cell r="AC142">
            <v>112.14654826340919</v>
          </cell>
          <cell r="AD142">
            <v>115.86981366575436</v>
          </cell>
          <cell r="AE142">
            <v>119.7166914794574</v>
          </cell>
          <cell r="AF142">
            <v>123.69128563657537</v>
          </cell>
          <cell r="AG142">
            <v>127.79783631970966</v>
          </cell>
          <cell r="AH142">
            <v>132.04072448552401</v>
          </cell>
          <cell r="AI142">
            <v>136.4244765384434</v>
          </cell>
          <cell r="AJ142">
            <v>140.95376915951971</v>
          </cell>
          <cell r="AK142">
            <v>145.63343429561576</v>
          </cell>
          <cell r="AL142">
            <v>150.46846431423018</v>
          </cell>
          <cell r="AM142">
            <v>155.46401732946259</v>
          </cell>
          <cell r="AN142">
            <v>160.62542270480074</v>
          </cell>
          <cell r="AO142">
            <v>165.95818673860012</v>
          </cell>
          <cell r="AP142">
            <v>171.46799853832164</v>
          </cell>
          <cell r="AQ142">
            <v>177.16073608979389</v>
          </cell>
          <cell r="AR142">
            <v>183.04247252797504</v>
          </cell>
          <cell r="AS142">
            <v>189.11948261590379</v>
          </cell>
        </row>
        <row r="143">
          <cell r="C143" t="str">
            <v>765KV</v>
          </cell>
          <cell r="D143">
            <v>1.4</v>
          </cell>
          <cell r="E143">
            <v>5</v>
          </cell>
          <cell r="H143">
            <v>91.643999999999991</v>
          </cell>
          <cell r="I143">
            <v>84.419999999999987</v>
          </cell>
          <cell r="J143">
            <v>87.219999999999985</v>
          </cell>
          <cell r="K143">
            <v>90.117999999999995</v>
          </cell>
          <cell r="L143">
            <v>0</v>
          </cell>
          <cell r="M143">
            <v>93.114000000000004</v>
          </cell>
          <cell r="N143">
            <v>96.193999999999988</v>
          </cell>
          <cell r="O143">
            <v>99.387640799999986</v>
          </cell>
          <cell r="P143">
            <v>102.68731047455998</v>
          </cell>
          <cell r="Q143">
            <v>106.09652918231536</v>
          </cell>
          <cell r="R143">
            <v>109.61893395116823</v>
          </cell>
          <cell r="S143">
            <v>113.25828255834701</v>
          </cell>
          <cell r="T143">
            <v>117.01845753928411</v>
          </cell>
          <cell r="U143">
            <v>120.90347032958833</v>
          </cell>
          <cell r="V143">
            <v>124.91746554453066</v>
          </cell>
          <cell r="W143">
            <v>129.06472540060906</v>
          </cell>
          <cell r="X143">
            <v>133.34967428390928</v>
          </cell>
          <cell r="Y143">
            <v>137.77688347013506</v>
          </cell>
          <cell r="Z143">
            <v>142.35107600134353</v>
          </cell>
          <cell r="AA143">
            <v>147.07713172458813</v>
          </cell>
          <cell r="AB143">
            <v>151.96009249784444</v>
          </cell>
          <cell r="AC143">
            <v>157.00516756877286</v>
          </cell>
          <cell r="AD143">
            <v>162.2177391320561</v>
          </cell>
          <cell r="AE143">
            <v>167.60336807124034</v>
          </cell>
          <cell r="AF143">
            <v>173.1677998912055</v>
          </cell>
          <cell r="AG143">
            <v>178.91697084759352</v>
          </cell>
          <cell r="AH143">
            <v>184.85701427973359</v>
          </cell>
          <cell r="AI143">
            <v>190.99426715382074</v>
          </cell>
          <cell r="AJ143">
            <v>197.33527682332758</v>
          </cell>
          <cell r="AK143">
            <v>203.88680801386204</v>
          </cell>
          <cell r="AL143">
            <v>210.65585003992223</v>
          </cell>
          <cell r="AM143">
            <v>217.64962426124762</v>
          </cell>
          <cell r="AN143">
            <v>224.87559178672103</v>
          </cell>
          <cell r="AO143">
            <v>232.34146143404016</v>
          </cell>
          <cell r="AP143">
            <v>240.05519795365026</v>
          </cell>
          <cell r="AQ143">
            <v>248.02503052571143</v>
          </cell>
          <cell r="AR143">
            <v>256.25946153916504</v>
          </cell>
          <cell r="AS143">
            <v>264.76727566226532</v>
          </cell>
        </row>
        <row r="144">
          <cell r="C144" t="str">
            <v>220KV</v>
          </cell>
          <cell r="D144">
            <v>0.7</v>
          </cell>
          <cell r="E144">
            <v>6</v>
          </cell>
          <cell r="H144">
            <v>45.821999999999996</v>
          </cell>
          <cell r="I144">
            <v>42.209999999999994</v>
          </cell>
          <cell r="J144">
            <v>43.609999999999992</v>
          </cell>
          <cell r="K144">
            <v>45.058999999999997</v>
          </cell>
          <cell r="L144">
            <v>0</v>
          </cell>
          <cell r="M144">
            <v>46.557000000000002</v>
          </cell>
          <cell r="N144">
            <v>48.096999999999994</v>
          </cell>
          <cell r="O144">
            <v>49.693820399999993</v>
          </cell>
          <cell r="P144">
            <v>51.343655237279989</v>
          </cell>
          <cell r="Q144">
            <v>53.048264591157682</v>
          </cell>
          <cell r="R144">
            <v>54.809466975584115</v>
          </cell>
          <cell r="S144">
            <v>56.629141279173503</v>
          </cell>
          <cell r="T144">
            <v>58.509228769642057</v>
          </cell>
          <cell r="U144">
            <v>60.451735164794165</v>
          </cell>
          <cell r="V144">
            <v>62.458732772265328</v>
          </cell>
          <cell r="W144">
            <v>64.532362700304532</v>
          </cell>
          <cell r="X144">
            <v>66.67483714195464</v>
          </cell>
          <cell r="Y144">
            <v>68.888441735067531</v>
          </cell>
          <cell r="Z144">
            <v>71.175538000671764</v>
          </cell>
          <cell r="AA144">
            <v>73.538565862294064</v>
          </cell>
          <cell r="AB144">
            <v>75.980046248922221</v>
          </cell>
          <cell r="AC144">
            <v>78.502583784386431</v>
          </cell>
          <cell r="AD144">
            <v>81.108869566028048</v>
          </cell>
          <cell r="AE144">
            <v>83.80168403562017</v>
          </cell>
          <cell r="AF144">
            <v>86.583899945602752</v>
          </cell>
          <cell r="AG144">
            <v>89.458485423796759</v>
          </cell>
          <cell r="AH144">
            <v>92.428507139866795</v>
          </cell>
          <cell r="AI144">
            <v>95.497133576910372</v>
          </cell>
          <cell r="AJ144">
            <v>98.667638411663788</v>
          </cell>
          <cell r="AK144">
            <v>101.94340400693102</v>
          </cell>
          <cell r="AL144">
            <v>105.32792501996111</v>
          </cell>
          <cell r="AM144">
            <v>108.82481213062381</v>
          </cell>
          <cell r="AN144">
            <v>112.43779589336052</v>
          </cell>
          <cell r="AO144">
            <v>116.17073071702008</v>
          </cell>
          <cell r="AP144">
            <v>120.02759897682513</v>
          </cell>
          <cell r="AQ144">
            <v>124.01251526285571</v>
          </cell>
          <cell r="AR144">
            <v>128.12973076958252</v>
          </cell>
          <cell r="AS144">
            <v>132.38363783113266</v>
          </cell>
        </row>
        <row r="145">
          <cell r="C145" t="str">
            <v>132KV</v>
          </cell>
          <cell r="D145">
            <v>0.5</v>
          </cell>
          <cell r="E145">
            <v>7</v>
          </cell>
          <cell r="H145">
            <v>32.729999999999997</v>
          </cell>
          <cell r="I145">
            <v>30.15</v>
          </cell>
          <cell r="J145">
            <v>31.15</v>
          </cell>
          <cell r="K145">
            <v>32.185000000000002</v>
          </cell>
          <cell r="L145">
            <v>0</v>
          </cell>
          <cell r="M145">
            <v>33.255000000000003</v>
          </cell>
          <cell r="N145">
            <v>34.354999999999997</v>
          </cell>
          <cell r="O145">
            <v>35.495585999999996</v>
          </cell>
          <cell r="P145">
            <v>36.674039455199996</v>
          </cell>
          <cell r="Q145">
            <v>37.891617565112632</v>
          </cell>
          <cell r="R145">
            <v>39.149619268274371</v>
          </cell>
          <cell r="S145">
            <v>40.449386627981077</v>
          </cell>
          <cell r="T145">
            <v>41.792306264030046</v>
          </cell>
          <cell r="U145">
            <v>43.179810831995837</v>
          </cell>
          <cell r="V145">
            <v>44.613380551618093</v>
          </cell>
          <cell r="W145">
            <v>46.094544785931809</v>
          </cell>
          <cell r="X145">
            <v>47.624883672824744</v>
          </cell>
          <cell r="Y145">
            <v>49.206029810762523</v>
          </cell>
          <cell r="Z145">
            <v>50.839670000479835</v>
          </cell>
          <cell r="AA145">
            <v>52.527547044495762</v>
          </cell>
          <cell r="AB145">
            <v>54.271461606373016</v>
          </cell>
          <cell r="AC145">
            <v>56.073274131704594</v>
          </cell>
          <cell r="AD145">
            <v>57.934906832877182</v>
          </cell>
          <cell r="AE145">
            <v>59.858345739728698</v>
          </cell>
          <cell r="AF145">
            <v>61.845642818287686</v>
          </cell>
          <cell r="AG145">
            <v>63.89891815985483</v>
          </cell>
          <cell r="AH145">
            <v>66.020362242762005</v>
          </cell>
          <cell r="AI145">
            <v>68.2122382692217</v>
          </cell>
          <cell r="AJ145">
            <v>70.476884579759854</v>
          </cell>
          <cell r="AK145">
            <v>72.816717147807879</v>
          </cell>
          <cell r="AL145">
            <v>75.234232157115088</v>
          </cell>
          <cell r="AM145">
            <v>77.732008664731296</v>
          </cell>
          <cell r="AN145">
            <v>80.31271135240037</v>
          </cell>
          <cell r="AO145">
            <v>82.97909336930006</v>
          </cell>
          <cell r="AP145">
            <v>85.733999269160819</v>
          </cell>
          <cell r="AQ145">
            <v>88.580368044896943</v>
          </cell>
          <cell r="AR145">
            <v>91.521236263987518</v>
          </cell>
          <cell r="AS145">
            <v>94.559741307951896</v>
          </cell>
        </row>
        <row r="146">
          <cell r="C146">
            <v>0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</row>
        <row r="147">
          <cell r="C147" t="str">
            <v>Single Ckt (Single)</v>
          </cell>
          <cell r="D147">
            <v>0.5</v>
          </cell>
          <cell r="E147">
            <v>9</v>
          </cell>
          <cell r="H147">
            <v>0.2235</v>
          </cell>
          <cell r="I147">
            <v>0.20200000000000001</v>
          </cell>
          <cell r="J147">
            <v>0.20899999999999999</v>
          </cell>
          <cell r="K147">
            <v>0.216</v>
          </cell>
          <cell r="L147">
            <v>0</v>
          </cell>
          <cell r="M147">
            <v>0.223</v>
          </cell>
          <cell r="N147">
            <v>0.23050000000000001</v>
          </cell>
          <cell r="O147">
            <v>0.23815259999999999</v>
          </cell>
          <cell r="P147">
            <v>0.24605926631999997</v>
          </cell>
          <cell r="Q147">
            <v>0.25422843396182393</v>
          </cell>
          <cell r="R147">
            <v>0.26266881796935648</v>
          </cell>
          <cell r="S147">
            <v>0.27138942272593908</v>
          </cell>
          <cell r="T147">
            <v>0.28039955156044022</v>
          </cell>
          <cell r="U147">
            <v>0.28970881667224679</v>
          </cell>
          <cell r="V147">
            <v>0.29932714938576538</v>
          </cell>
          <cell r="W147">
            <v>0.30926481074537276</v>
          </cell>
          <cell r="X147">
            <v>0.31953240246211911</v>
          </cell>
          <cell r="Y147">
            <v>0.33014087822386146</v>
          </cell>
          <cell r="Z147">
            <v>0.3411015553808936</v>
          </cell>
          <cell r="AA147">
            <v>0.35242612701953924</v>
          </cell>
          <cell r="AB147">
            <v>0.36412667443658792</v>
          </cell>
          <cell r="AC147">
            <v>0.37621568002788258</v>
          </cell>
          <cell r="AD147">
            <v>0.38870604060480823</v>
          </cell>
          <cell r="AE147">
            <v>0.40161108115288785</v>
          </cell>
          <cell r="AF147">
            <v>0.4149445690471637</v>
          </cell>
          <cell r="AG147">
            <v>0.42872072873952949</v>
          </cell>
          <cell r="AH147">
            <v>0.44295425693368184</v>
          </cell>
          <cell r="AI147">
            <v>0.45766033826388003</v>
          </cell>
          <cell r="AJ147">
            <v>0.47285466149424082</v>
          </cell>
          <cell r="AK147">
            <v>0.48855343625584957</v>
          </cell>
          <cell r="AL147">
            <v>0.5047734103395437</v>
          </cell>
          <cell r="AM147">
            <v>0.52153188756281654</v>
          </cell>
          <cell r="AN147">
            <v>0.53884674622990203</v>
          </cell>
          <cell r="AO147">
            <v>0.55673645820473472</v>
          </cell>
          <cell r="AP147">
            <v>0.57522010861713191</v>
          </cell>
          <cell r="AQ147">
            <v>0.59431741622322065</v>
          </cell>
          <cell r="AR147">
            <v>0.61404875444183149</v>
          </cell>
          <cell r="AS147">
            <v>0.6344351730893002</v>
          </cell>
        </row>
        <row r="148">
          <cell r="C148" t="str">
            <v>Single Ckt (Twin)</v>
          </cell>
          <cell r="D148">
            <v>1</v>
          </cell>
          <cell r="E148">
            <v>10</v>
          </cell>
          <cell r="H148">
            <v>0.44700000000000001</v>
          </cell>
          <cell r="I148">
            <v>0.40400000000000003</v>
          </cell>
          <cell r="J148">
            <v>0.41799999999999998</v>
          </cell>
          <cell r="K148">
            <v>0.432</v>
          </cell>
          <cell r="L148">
            <v>0</v>
          </cell>
          <cell r="M148">
            <v>0.44600000000000001</v>
          </cell>
          <cell r="N148">
            <v>0.46100000000000002</v>
          </cell>
          <cell r="O148">
            <v>0.47630519999999998</v>
          </cell>
          <cell r="P148">
            <v>0.49211853263999994</v>
          </cell>
          <cell r="Q148">
            <v>0.50845686792364786</v>
          </cell>
          <cell r="R148">
            <v>0.52533763593871297</v>
          </cell>
          <cell r="S148">
            <v>0.54277884545187816</v>
          </cell>
          <cell r="T148">
            <v>0.56079910312088044</v>
          </cell>
          <cell r="U148">
            <v>0.57941763334449359</v>
          </cell>
          <cell r="V148">
            <v>0.59865429877153076</v>
          </cell>
          <cell r="W148">
            <v>0.61852962149074553</v>
          </cell>
          <cell r="X148">
            <v>0.63906480492423823</v>
          </cell>
          <cell r="Y148">
            <v>0.66028175644772291</v>
          </cell>
          <cell r="Z148">
            <v>0.68220311076178719</v>
          </cell>
          <cell r="AA148">
            <v>0.70485225403907847</v>
          </cell>
          <cell r="AB148">
            <v>0.72825334887317583</v>
          </cell>
          <cell r="AC148">
            <v>0.75243136005576516</v>
          </cell>
          <cell r="AD148">
            <v>0.77741208120961647</v>
          </cell>
          <cell r="AE148">
            <v>0.8032221623057757</v>
          </cell>
          <cell r="AF148">
            <v>0.82988913809432741</v>
          </cell>
          <cell r="AG148">
            <v>0.85744145747905898</v>
          </cell>
          <cell r="AH148">
            <v>0.88590851386736369</v>
          </cell>
          <cell r="AI148">
            <v>0.91532067652776006</v>
          </cell>
          <cell r="AJ148">
            <v>0.94570932298848165</v>
          </cell>
          <cell r="AK148">
            <v>0.97710687251169914</v>
          </cell>
          <cell r="AL148">
            <v>1.0095468206790874</v>
          </cell>
          <cell r="AM148">
            <v>1.0430637751256331</v>
          </cell>
          <cell r="AN148">
            <v>1.0776934924598041</v>
          </cell>
          <cell r="AO148">
            <v>1.1134729164094694</v>
          </cell>
          <cell r="AP148">
            <v>1.1504402172342638</v>
          </cell>
          <cell r="AQ148">
            <v>1.1886348324464413</v>
          </cell>
          <cell r="AR148">
            <v>1.228097508883663</v>
          </cell>
          <cell r="AS148">
            <v>1.2688703461786004</v>
          </cell>
        </row>
        <row r="149">
          <cell r="C149" t="str">
            <v>Single Ckt (Triple)</v>
          </cell>
          <cell r="D149">
            <v>1</v>
          </cell>
          <cell r="E149">
            <v>11</v>
          </cell>
          <cell r="H149">
            <v>0.44700000000000001</v>
          </cell>
          <cell r="I149">
            <v>0.40400000000000003</v>
          </cell>
          <cell r="J149">
            <v>0.41799999999999998</v>
          </cell>
          <cell r="K149">
            <v>0.432</v>
          </cell>
          <cell r="L149">
            <v>0</v>
          </cell>
          <cell r="M149">
            <v>0.44600000000000001</v>
          </cell>
          <cell r="N149">
            <v>0.46100000000000002</v>
          </cell>
          <cell r="O149">
            <v>0.47630519999999998</v>
          </cell>
          <cell r="P149">
            <v>0.49211853263999994</v>
          </cell>
          <cell r="Q149">
            <v>0.50845686792364786</v>
          </cell>
          <cell r="R149">
            <v>0.52533763593871297</v>
          </cell>
          <cell r="S149">
            <v>0.54277884545187816</v>
          </cell>
          <cell r="T149">
            <v>0.56079910312088044</v>
          </cell>
          <cell r="U149">
            <v>0.57941763334449359</v>
          </cell>
          <cell r="V149">
            <v>0.59865429877153076</v>
          </cell>
          <cell r="W149">
            <v>0.61852962149074553</v>
          </cell>
          <cell r="X149">
            <v>0.63906480492423823</v>
          </cell>
          <cell r="Y149">
            <v>0.66028175644772291</v>
          </cell>
          <cell r="Z149">
            <v>0.68220311076178719</v>
          </cell>
          <cell r="AA149">
            <v>0.70485225403907847</v>
          </cell>
          <cell r="AB149">
            <v>0.72825334887317583</v>
          </cell>
          <cell r="AC149">
            <v>0.75243136005576516</v>
          </cell>
          <cell r="AD149">
            <v>0.77741208120961647</v>
          </cell>
          <cell r="AE149">
            <v>0.8032221623057757</v>
          </cell>
          <cell r="AF149">
            <v>0.82988913809432741</v>
          </cell>
          <cell r="AG149">
            <v>0.85744145747905898</v>
          </cell>
          <cell r="AH149">
            <v>0.88590851386736369</v>
          </cell>
          <cell r="AI149">
            <v>0.91532067652776006</v>
          </cell>
          <cell r="AJ149">
            <v>0.94570932298848165</v>
          </cell>
          <cell r="AK149">
            <v>0.97710687251169914</v>
          </cell>
          <cell r="AL149">
            <v>1.0095468206790874</v>
          </cell>
          <cell r="AM149">
            <v>1.0430637751256331</v>
          </cell>
          <cell r="AN149">
            <v>1.0776934924598041</v>
          </cell>
          <cell r="AO149">
            <v>1.1134729164094694</v>
          </cell>
          <cell r="AP149">
            <v>1.1504402172342638</v>
          </cell>
          <cell r="AQ149">
            <v>1.1886348324464413</v>
          </cell>
          <cell r="AR149">
            <v>1.228097508883663</v>
          </cell>
          <cell r="AS149">
            <v>1.2688703461786004</v>
          </cell>
        </row>
        <row r="150">
          <cell r="C150" t="str">
            <v>Single Ckt (Quad)</v>
          </cell>
          <cell r="D150">
            <v>1.5</v>
          </cell>
          <cell r="E150">
            <v>12</v>
          </cell>
          <cell r="H150">
            <v>0.67049999999999998</v>
          </cell>
          <cell r="I150">
            <v>0.60600000000000009</v>
          </cell>
          <cell r="J150">
            <v>0.627</v>
          </cell>
          <cell r="K150">
            <v>0.64800000000000002</v>
          </cell>
          <cell r="L150">
            <v>0</v>
          </cell>
          <cell r="M150">
            <v>0.66900000000000004</v>
          </cell>
          <cell r="N150">
            <v>0.6915</v>
          </cell>
          <cell r="O150">
            <v>0.71445779999999992</v>
          </cell>
          <cell r="P150">
            <v>0.73817779895999991</v>
          </cell>
          <cell r="Q150">
            <v>0.76268530188547179</v>
          </cell>
          <cell r="R150">
            <v>0.78800645390806945</v>
          </cell>
          <cell r="S150">
            <v>0.81416826817781729</v>
          </cell>
          <cell r="T150">
            <v>0.8411986546813206</v>
          </cell>
          <cell r="U150">
            <v>0.86912645001674038</v>
          </cell>
          <cell r="V150">
            <v>0.89798144815729608</v>
          </cell>
          <cell r="W150">
            <v>0.92779443223611824</v>
          </cell>
          <cell r="X150">
            <v>0.95859720738635734</v>
          </cell>
          <cell r="Y150">
            <v>0.99042263467158431</v>
          </cell>
          <cell r="Z150">
            <v>1.0233046661426808</v>
          </cell>
          <cell r="AA150">
            <v>1.0572783810586177</v>
          </cell>
          <cell r="AB150">
            <v>1.0923800233097638</v>
          </cell>
          <cell r="AC150">
            <v>1.1286470400836477</v>
          </cell>
          <cell r="AD150">
            <v>1.1661181218144248</v>
          </cell>
          <cell r="AE150">
            <v>1.2048332434586635</v>
          </cell>
          <cell r="AF150">
            <v>1.244833707141491</v>
          </cell>
          <cell r="AG150">
            <v>1.2861621862185886</v>
          </cell>
          <cell r="AH150">
            <v>1.3288627708010456</v>
          </cell>
          <cell r="AI150">
            <v>1.3729810147916401</v>
          </cell>
          <cell r="AJ150">
            <v>1.4185639844827225</v>
          </cell>
          <cell r="AK150">
            <v>1.4656603087675486</v>
          </cell>
          <cell r="AL150">
            <v>1.514320231018631</v>
          </cell>
          <cell r="AM150">
            <v>1.5645956626884496</v>
          </cell>
          <cell r="AN150">
            <v>1.6165402386897061</v>
          </cell>
          <cell r="AO150">
            <v>1.6702093746142042</v>
          </cell>
          <cell r="AP150">
            <v>1.7256603258513956</v>
          </cell>
          <cell r="AQ150">
            <v>1.7829522486696621</v>
          </cell>
          <cell r="AR150">
            <v>1.8421462633254944</v>
          </cell>
          <cell r="AS150">
            <v>1.9033055192679007</v>
          </cell>
        </row>
        <row r="151">
          <cell r="C151" t="str">
            <v>Double Ckt (Single)</v>
          </cell>
          <cell r="D151">
            <v>0.75</v>
          </cell>
          <cell r="E151">
            <v>13</v>
          </cell>
          <cell r="H151">
            <v>0.33524999999999999</v>
          </cell>
          <cell r="I151">
            <v>0.30300000000000005</v>
          </cell>
          <cell r="J151">
            <v>0.3135</v>
          </cell>
          <cell r="K151">
            <v>0.32400000000000001</v>
          </cell>
          <cell r="L151">
            <v>0</v>
          </cell>
          <cell r="M151">
            <v>0.33450000000000002</v>
          </cell>
          <cell r="N151">
            <v>0.34575</v>
          </cell>
          <cell r="O151">
            <v>0.35722889999999996</v>
          </cell>
          <cell r="P151">
            <v>0.36908889947999995</v>
          </cell>
          <cell r="Q151">
            <v>0.38134265094273589</v>
          </cell>
          <cell r="R151">
            <v>0.39400322695403472</v>
          </cell>
          <cell r="S151">
            <v>0.40708413408890864</v>
          </cell>
          <cell r="T151">
            <v>0.4205993273406603</v>
          </cell>
          <cell r="U151">
            <v>0.43456322500837019</v>
          </cell>
          <cell r="V151">
            <v>0.44899072407864804</v>
          </cell>
          <cell r="W151">
            <v>0.46389721611805912</v>
          </cell>
          <cell r="X151">
            <v>0.47929860369317867</v>
          </cell>
          <cell r="Y151">
            <v>0.49521131733579216</v>
          </cell>
          <cell r="Z151">
            <v>0.51165233307134039</v>
          </cell>
          <cell r="AA151">
            <v>0.52863919052930886</v>
          </cell>
          <cell r="AB151">
            <v>0.5461900116548819</v>
          </cell>
          <cell r="AC151">
            <v>0.56432352004182385</v>
          </cell>
          <cell r="AD151">
            <v>0.58305906090721238</v>
          </cell>
          <cell r="AE151">
            <v>0.60241662172933175</v>
          </cell>
          <cell r="AF151">
            <v>0.6224168535707455</v>
          </cell>
          <cell r="AG151">
            <v>0.64308109310929429</v>
          </cell>
          <cell r="AH151">
            <v>0.66443138540052282</v>
          </cell>
          <cell r="AI151">
            <v>0.68649050739582007</v>
          </cell>
          <cell r="AJ151">
            <v>0.70928199224136124</v>
          </cell>
          <cell r="AK151">
            <v>0.7328301543837743</v>
          </cell>
          <cell r="AL151">
            <v>0.7571601155093155</v>
          </cell>
          <cell r="AM151">
            <v>0.78229783134422481</v>
          </cell>
          <cell r="AN151">
            <v>0.80827011934485304</v>
          </cell>
          <cell r="AO151">
            <v>0.83510468730710208</v>
          </cell>
          <cell r="AP151">
            <v>0.86283016292569781</v>
          </cell>
          <cell r="AQ151">
            <v>0.89147612433483103</v>
          </cell>
          <cell r="AR151">
            <v>0.92107313166274718</v>
          </cell>
          <cell r="AS151">
            <v>0.95165275963395035</v>
          </cell>
        </row>
        <row r="152">
          <cell r="C152" t="str">
            <v>Double Ckt (Twin)</v>
          </cell>
          <cell r="D152">
            <v>1.75</v>
          </cell>
          <cell r="E152">
            <v>14</v>
          </cell>
          <cell r="H152">
            <v>0.78225</v>
          </cell>
          <cell r="I152">
            <v>0.70700000000000007</v>
          </cell>
          <cell r="J152">
            <v>0.73149999999999993</v>
          </cell>
          <cell r="K152">
            <v>0.75600000000000001</v>
          </cell>
          <cell r="L152">
            <v>0</v>
          </cell>
          <cell r="M152">
            <v>0.78049999999999997</v>
          </cell>
          <cell r="N152">
            <v>0.80675000000000008</v>
          </cell>
          <cell r="O152">
            <v>0.83353409999999994</v>
          </cell>
          <cell r="P152">
            <v>0.86120743211999984</v>
          </cell>
          <cell r="Q152">
            <v>0.88979951886638375</v>
          </cell>
          <cell r="R152">
            <v>0.91934086289274775</v>
          </cell>
          <cell r="S152">
            <v>0.9498629795407868</v>
          </cell>
          <cell r="T152">
            <v>0.98139843046154074</v>
          </cell>
          <cell r="U152">
            <v>1.0139808583528638</v>
          </cell>
          <cell r="V152">
            <v>1.0476450228501788</v>
          </cell>
          <cell r="W152">
            <v>1.0824268376088046</v>
          </cell>
          <cell r="X152">
            <v>1.1183634086174168</v>
          </cell>
          <cell r="Y152">
            <v>1.1554930737835152</v>
          </cell>
          <cell r="Z152">
            <v>1.1938554438331277</v>
          </cell>
          <cell r="AA152">
            <v>1.2334914445683873</v>
          </cell>
          <cell r="AB152">
            <v>1.2744433605280576</v>
          </cell>
          <cell r="AC152">
            <v>1.316754880097589</v>
          </cell>
          <cell r="AD152">
            <v>1.3604711421168287</v>
          </cell>
          <cell r="AE152">
            <v>1.4056387840351074</v>
          </cell>
          <cell r="AF152">
            <v>1.4523059916650729</v>
          </cell>
          <cell r="AG152">
            <v>1.5005225505883533</v>
          </cell>
          <cell r="AH152">
            <v>1.5503398992678865</v>
          </cell>
          <cell r="AI152">
            <v>1.60181118392358</v>
          </cell>
          <cell r="AJ152">
            <v>1.654991315229843</v>
          </cell>
          <cell r="AK152">
            <v>1.7099370268954734</v>
          </cell>
          <cell r="AL152">
            <v>1.7667069361884029</v>
          </cell>
          <cell r="AM152">
            <v>1.8253616064698579</v>
          </cell>
          <cell r="AN152">
            <v>1.885963611804657</v>
          </cell>
          <cell r="AO152">
            <v>1.9485776037165716</v>
          </cell>
          <cell r="AP152">
            <v>2.0132703801599616</v>
          </cell>
          <cell r="AQ152">
            <v>2.0801109567812723</v>
          </cell>
          <cell r="AR152">
            <v>2.1491706405464104</v>
          </cell>
          <cell r="AS152">
            <v>2.2205231058125507</v>
          </cell>
        </row>
        <row r="153">
          <cell r="C153" t="str">
            <v>Double Ckt (Triple)</v>
          </cell>
          <cell r="D153">
            <v>1.75</v>
          </cell>
          <cell r="E153">
            <v>15</v>
          </cell>
          <cell r="H153">
            <v>0.78225</v>
          </cell>
          <cell r="I153">
            <v>0.70700000000000007</v>
          </cell>
          <cell r="J153">
            <v>0.73149999999999993</v>
          </cell>
          <cell r="K153">
            <v>0.75600000000000001</v>
          </cell>
          <cell r="L153">
            <v>0</v>
          </cell>
          <cell r="M153">
            <v>0.78049999999999997</v>
          </cell>
          <cell r="N153">
            <v>0.80675000000000008</v>
          </cell>
          <cell r="O153">
            <v>0.83353409999999994</v>
          </cell>
          <cell r="P153">
            <v>0.86120743211999984</v>
          </cell>
          <cell r="Q153">
            <v>0.88979951886638375</v>
          </cell>
          <cell r="R153">
            <v>0.91934086289274775</v>
          </cell>
          <cell r="S153">
            <v>0.9498629795407868</v>
          </cell>
          <cell r="T153">
            <v>0.98139843046154074</v>
          </cell>
          <cell r="U153">
            <v>1.0139808583528638</v>
          </cell>
          <cell r="V153">
            <v>1.0476450228501788</v>
          </cell>
          <cell r="W153">
            <v>1.0824268376088046</v>
          </cell>
          <cell r="X153">
            <v>1.1183634086174168</v>
          </cell>
          <cell r="Y153">
            <v>1.1554930737835152</v>
          </cell>
          <cell r="Z153">
            <v>1.1938554438331277</v>
          </cell>
          <cell r="AA153">
            <v>1.2334914445683873</v>
          </cell>
          <cell r="AB153">
            <v>1.2744433605280576</v>
          </cell>
          <cell r="AC153">
            <v>1.316754880097589</v>
          </cell>
          <cell r="AD153">
            <v>1.3604711421168287</v>
          </cell>
          <cell r="AE153">
            <v>1.4056387840351074</v>
          </cell>
          <cell r="AF153">
            <v>1.4523059916650729</v>
          </cell>
          <cell r="AG153">
            <v>1.5005225505883533</v>
          </cell>
          <cell r="AH153">
            <v>1.5503398992678865</v>
          </cell>
          <cell r="AI153">
            <v>1.60181118392358</v>
          </cell>
          <cell r="AJ153">
            <v>1.654991315229843</v>
          </cell>
          <cell r="AK153">
            <v>1.7099370268954734</v>
          </cell>
          <cell r="AL153">
            <v>1.7667069361884029</v>
          </cell>
          <cell r="AM153">
            <v>1.8253616064698579</v>
          </cell>
          <cell r="AN153">
            <v>1.885963611804657</v>
          </cell>
          <cell r="AO153">
            <v>1.9485776037165716</v>
          </cell>
          <cell r="AP153">
            <v>2.0132703801599616</v>
          </cell>
          <cell r="AQ153">
            <v>2.0801109567812723</v>
          </cell>
          <cell r="AR153">
            <v>2.1491706405464104</v>
          </cell>
          <cell r="AS153">
            <v>2.2205231058125507</v>
          </cell>
        </row>
        <row r="154">
          <cell r="C154" t="str">
            <v>Double Ckt (Quad)</v>
          </cell>
          <cell r="D154">
            <v>2.6286259999999997</v>
          </cell>
          <cell r="E154">
            <v>16</v>
          </cell>
          <cell r="H154">
            <v>1.1749958219999999</v>
          </cell>
          <cell r="I154">
            <v>1.0619649039999999</v>
          </cell>
          <cell r="J154">
            <v>1.0987656679999998</v>
          </cell>
          <cell r="K154">
            <v>1.1355664319999998</v>
          </cell>
          <cell r="L154">
            <v>0</v>
          </cell>
          <cell r="M154">
            <v>1.1723671959999999</v>
          </cell>
          <cell r="N154">
            <v>1.211796586</v>
          </cell>
          <cell r="O154">
            <v>1.2520282326551999</v>
          </cell>
          <cell r="P154">
            <v>1.2935955699793524</v>
          </cell>
          <cell r="Q154">
            <v>1.3365429429026665</v>
          </cell>
          <cell r="R154">
            <v>1.380916168607035</v>
          </cell>
          <cell r="S154">
            <v>1.4267625854047885</v>
          </cell>
          <cell r="T154">
            <v>1.4741311032402273</v>
          </cell>
          <cell r="U154">
            <v>1.5230722558678027</v>
          </cell>
          <cell r="V154">
            <v>1.5736382547626135</v>
          </cell>
          <cell r="W154">
            <v>1.6258830448207322</v>
          </cell>
          <cell r="X154">
            <v>1.6798623619087805</v>
          </cell>
          <cell r="Y154">
            <v>1.7356337923241518</v>
          </cell>
          <cell r="Z154">
            <v>1.7932568342293134</v>
          </cell>
          <cell r="AA154">
            <v>1.8527929611257266</v>
          </cell>
          <cell r="AB154">
            <v>1.9143056874351005</v>
          </cell>
          <cell r="AC154">
            <v>1.9778606362579456</v>
          </cell>
          <cell r="AD154">
            <v>2.0435256093817089</v>
          </cell>
          <cell r="AE154">
            <v>2.1113706596131818</v>
          </cell>
          <cell r="AF154">
            <v>2.1814681655123391</v>
          </cell>
          <cell r="AG154">
            <v>2.2538929086073485</v>
          </cell>
          <cell r="AH154">
            <v>2.3287221531731124</v>
          </cell>
          <cell r="AI154">
            <v>2.4060357286584595</v>
          </cell>
          <cell r="AJ154">
            <v>2.4859161148499203</v>
          </cell>
          <cell r="AK154">
            <v>2.5684485298629371</v>
          </cell>
          <cell r="AL154">
            <v>2.6537210210543867</v>
          </cell>
          <cell r="AM154">
            <v>2.7418245589533923</v>
          </cell>
          <cell r="AN154">
            <v>2.8328531343106444</v>
          </cell>
          <cell r="AO154">
            <v>2.9269038583697577</v>
          </cell>
          <cell r="AP154">
            <v>3.0240770664676337</v>
          </cell>
          <cell r="AQ154">
            <v>3.1244764250743589</v>
          </cell>
          <cell r="AR154">
            <v>3.228209042386827</v>
          </cell>
          <cell r="AS154">
            <v>3.335385582594069</v>
          </cell>
        </row>
        <row r="155">
          <cell r="C155" t="str">
            <v>500MW HVDC BTB</v>
          </cell>
          <cell r="D155">
            <v>0</v>
          </cell>
          <cell r="E155">
            <v>17</v>
          </cell>
          <cell r="H155">
            <v>553</v>
          </cell>
          <cell r="I155">
            <v>578</v>
          </cell>
          <cell r="J155">
            <v>627</v>
          </cell>
          <cell r="K155">
            <v>679</v>
          </cell>
          <cell r="L155">
            <v>0</v>
          </cell>
          <cell r="M155">
            <v>736</v>
          </cell>
          <cell r="N155">
            <v>797</v>
          </cell>
          <cell r="O155">
            <v>823.46039999999994</v>
          </cell>
          <cell r="P155">
            <v>850.79928527999982</v>
          </cell>
          <cell r="Q155">
            <v>879.04582155129572</v>
          </cell>
          <cell r="R155">
            <v>908.23014282679867</v>
          </cell>
          <cell r="S155">
            <v>938.38338356864824</v>
          </cell>
          <cell r="T155">
            <v>969.53771190312727</v>
          </cell>
          <cell r="U155">
            <v>1001.726363938311</v>
          </cell>
          <cell r="V155">
            <v>1034.9836792210629</v>
          </cell>
          <cell r="W155">
            <v>1069.3451373712021</v>
          </cell>
          <cell r="X155">
            <v>1104.8473959319258</v>
          </cell>
          <cell r="Y155">
            <v>1141.5283294768656</v>
          </cell>
          <cell r="Z155">
            <v>1179.4270700154973</v>
          </cell>
          <cell r="AA155">
            <v>1218.5840487400117</v>
          </cell>
          <cell r="AB155">
            <v>1259.04103915818</v>
          </cell>
          <cell r="AC155">
            <v>1300.8412016582315</v>
          </cell>
          <cell r="AD155">
            <v>1344.0291295532847</v>
          </cell>
          <cell r="AE155">
            <v>1388.6508966544536</v>
          </cell>
          <cell r="AF155">
            <v>1434.7541064233812</v>
          </cell>
          <cell r="AG155">
            <v>1482.3879427566374</v>
          </cell>
          <cell r="AH155">
            <v>1531.6032224561575</v>
          </cell>
          <cell r="AI155">
            <v>1582.4524494417017</v>
          </cell>
          <cell r="AJ155">
            <v>1634.989870763166</v>
          </cell>
          <cell r="AK155">
            <v>1689.2715344725029</v>
          </cell>
          <cell r="AL155">
            <v>1745.3553494169898</v>
          </cell>
          <cell r="AM155">
            <v>1803.3011470176336</v>
          </cell>
          <cell r="AN155">
            <v>1863.1707450986189</v>
          </cell>
          <cell r="AO155">
            <v>1925.0280138358928</v>
          </cell>
          <cell r="AP155">
            <v>1988.9389438952442</v>
          </cell>
          <cell r="AQ155">
            <v>2054.971716832566</v>
          </cell>
          <cell r="AR155">
            <v>2123.196777831407</v>
          </cell>
          <cell r="AS155">
            <v>2193.6869108554097</v>
          </cell>
        </row>
        <row r="156">
          <cell r="C156" t="str">
            <v>O&amp;M for Rihand-Dadri HVDC bipole scheme</v>
          </cell>
          <cell r="D156">
            <v>0</v>
          </cell>
          <cell r="E156">
            <v>18</v>
          </cell>
          <cell r="H156">
            <v>1811</v>
          </cell>
          <cell r="I156">
            <v>1511</v>
          </cell>
          <cell r="J156">
            <v>1637</v>
          </cell>
          <cell r="K156">
            <v>1774</v>
          </cell>
          <cell r="L156">
            <v>0</v>
          </cell>
          <cell r="M156">
            <v>1922</v>
          </cell>
          <cell r="N156">
            <v>2082</v>
          </cell>
          <cell r="O156">
            <v>2151.1223999999997</v>
          </cell>
          <cell r="P156">
            <v>2222.5396636799996</v>
          </cell>
          <cell r="Q156">
            <v>2296.3279805141756</v>
          </cell>
          <cell r="R156">
            <v>2372.5660694672461</v>
          </cell>
          <cell r="S156">
            <v>2451.3352629735582</v>
          </cell>
          <cell r="T156">
            <v>2532.7195937042802</v>
          </cell>
          <cell r="U156">
            <v>2616.8058842152623</v>
          </cell>
          <cell r="V156">
            <v>2703.6838395712089</v>
          </cell>
          <cell r="W156">
            <v>2793.4461430449728</v>
          </cell>
          <cell r="X156">
            <v>2886.1885549940657</v>
          </cell>
          <cell r="Y156">
            <v>2982.0100150198682</v>
          </cell>
          <cell r="Z156">
            <v>3081.0127475185277</v>
          </cell>
          <cell r="AA156">
            <v>3183.3023707361426</v>
          </cell>
          <cell r="AB156">
            <v>3288.9880094445821</v>
          </cell>
          <cell r="AC156">
            <v>3398.182411358142</v>
          </cell>
          <cell r="AD156">
            <v>3511.002067415232</v>
          </cell>
          <cell r="AE156">
            <v>3627.5673360534174</v>
          </cell>
          <cell r="AF156">
            <v>3748.0025716103905</v>
          </cell>
          <cell r="AG156">
            <v>3872.4362569878549</v>
          </cell>
          <cell r="AH156">
            <v>4001.0011407198513</v>
          </cell>
          <cell r="AI156">
            <v>4133.8343785917496</v>
          </cell>
          <cell r="AJ156">
            <v>4271.0776799609948</v>
          </cell>
          <cell r="AK156">
            <v>4412.877458935699</v>
          </cell>
          <cell r="AL156">
            <v>4559.3849905723637</v>
          </cell>
          <cell r="AM156">
            <v>4710.7565722593654</v>
          </cell>
          <cell r="AN156">
            <v>4867.1536904583754</v>
          </cell>
          <cell r="AO156">
            <v>5028.743192981593</v>
          </cell>
          <cell r="AP156">
            <v>5195.6974669885813</v>
          </cell>
          <cell r="AQ156">
            <v>5368.1946228926017</v>
          </cell>
          <cell r="AR156">
            <v>5546.4186843726357</v>
          </cell>
          <cell r="AS156">
            <v>5730.5597846938063</v>
          </cell>
        </row>
        <row r="157">
          <cell r="C157" t="str">
            <v>HVDC Bipole System</v>
          </cell>
          <cell r="D157" t="str">
            <v>2000 MWs</v>
          </cell>
          <cell r="E157">
            <v>19</v>
          </cell>
          <cell r="H157">
            <v>2122</v>
          </cell>
          <cell r="I157">
            <v>1173</v>
          </cell>
          <cell r="J157">
            <v>1271</v>
          </cell>
          <cell r="K157">
            <v>1378</v>
          </cell>
          <cell r="L157">
            <v>0</v>
          </cell>
          <cell r="M157">
            <v>1493</v>
          </cell>
          <cell r="N157">
            <v>1617</v>
          </cell>
          <cell r="O157">
            <v>1670.6843999999999</v>
          </cell>
          <cell r="P157">
            <v>1726.1511220799996</v>
          </cell>
          <cell r="Q157">
            <v>1783.4593393330554</v>
          </cell>
          <cell r="R157">
            <v>1842.6701893989127</v>
          </cell>
          <cell r="S157">
            <v>1903.8468396869564</v>
          </cell>
          <cell r="T157">
            <v>1967.0545547645631</v>
          </cell>
          <cell r="U157">
            <v>2032.3607659827464</v>
          </cell>
          <cell r="V157">
            <v>2099.8351434133733</v>
          </cell>
          <cell r="W157">
            <v>2169.549670174697</v>
          </cell>
          <cell r="X157">
            <v>2241.5787192244966</v>
          </cell>
          <cell r="Y157">
            <v>2315.9991327027496</v>
          </cell>
          <cell r="Z157">
            <v>2392.8903039084807</v>
          </cell>
          <cell r="AA157">
            <v>2472.3342619982423</v>
          </cell>
          <cell r="AB157">
            <v>2554.4157594965836</v>
          </cell>
          <cell r="AC157">
            <v>2639.2223627118701</v>
          </cell>
          <cell r="AD157">
            <v>2726.8445451539037</v>
          </cell>
          <cell r="AE157">
            <v>2817.3757840530129</v>
          </cell>
          <cell r="AF157">
            <v>2910.9126600835725</v>
          </cell>
          <cell r="AG157">
            <v>3007.5549603983468</v>
          </cell>
          <cell r="AH157">
            <v>3107.4057850835716</v>
          </cell>
          <cell r="AI157">
            <v>3210.5716571483458</v>
          </cell>
          <cell r="AJ157">
            <v>3317.1626361656704</v>
          </cell>
          <cell r="AK157">
            <v>3427.2924356863705</v>
          </cell>
          <cell r="AL157">
            <v>3541.0785445511578</v>
          </cell>
          <cell r="AM157">
            <v>3658.6423522302557</v>
          </cell>
          <cell r="AN157">
            <v>3780.1092783242998</v>
          </cell>
          <cell r="AO157">
            <v>3905.6089063646664</v>
          </cell>
          <cell r="AP157">
            <v>4035.275122055973</v>
          </cell>
          <cell r="AQ157">
            <v>4169.2462561082311</v>
          </cell>
          <cell r="AR157">
            <v>4307.6652318110237</v>
          </cell>
          <cell r="AS157">
            <v>4450.6797175071488</v>
          </cell>
        </row>
        <row r="161">
          <cell r="H161">
            <v>41729</v>
          </cell>
          <cell r="I161">
            <v>42094</v>
          </cell>
          <cell r="J161">
            <v>42460</v>
          </cell>
          <cell r="K161">
            <v>42825</v>
          </cell>
          <cell r="L161">
            <v>0</v>
          </cell>
          <cell r="M161">
            <v>43190</v>
          </cell>
          <cell r="N161">
            <v>43555</v>
          </cell>
          <cell r="O161">
            <v>43921</v>
          </cell>
          <cell r="P161">
            <v>44286</v>
          </cell>
          <cell r="Q161">
            <v>44651</v>
          </cell>
          <cell r="R161">
            <v>45016</v>
          </cell>
          <cell r="S161">
            <v>45382</v>
          </cell>
          <cell r="T161">
            <v>45747</v>
          </cell>
          <cell r="U161">
            <v>46112</v>
          </cell>
          <cell r="V161">
            <v>46477</v>
          </cell>
          <cell r="W161">
            <v>46843</v>
          </cell>
          <cell r="X161">
            <v>47208</v>
          </cell>
          <cell r="Y161">
            <v>47573</v>
          </cell>
          <cell r="Z161">
            <v>47938</v>
          </cell>
          <cell r="AA161">
            <v>48304</v>
          </cell>
          <cell r="AB161">
            <v>48669</v>
          </cell>
          <cell r="AC161">
            <v>49034</v>
          </cell>
          <cell r="AD161">
            <v>49399</v>
          </cell>
          <cell r="AE161">
            <v>49765</v>
          </cell>
          <cell r="AF161">
            <v>50130</v>
          </cell>
          <cell r="AG161">
            <v>50495</v>
          </cell>
          <cell r="AH161">
            <v>50860</v>
          </cell>
          <cell r="AI161">
            <v>51226</v>
          </cell>
          <cell r="AJ161">
            <v>51591</v>
          </cell>
          <cell r="AK161">
            <v>51956</v>
          </cell>
          <cell r="AL161">
            <v>52321</v>
          </cell>
          <cell r="AM161">
            <v>52687</v>
          </cell>
          <cell r="AN161">
            <v>53052</v>
          </cell>
          <cell r="AO161">
            <v>53417</v>
          </cell>
          <cell r="AP161">
            <v>53782</v>
          </cell>
          <cell r="AQ161">
            <v>54148</v>
          </cell>
          <cell r="AR161">
            <v>54513</v>
          </cell>
          <cell r="AS161">
            <v>54878</v>
          </cell>
        </row>
        <row r="162">
          <cell r="H162">
            <v>7</v>
          </cell>
          <cell r="I162">
            <v>8</v>
          </cell>
          <cell r="J162">
            <v>9</v>
          </cell>
          <cell r="K162">
            <v>10</v>
          </cell>
          <cell r="L162">
            <v>0</v>
          </cell>
          <cell r="M162">
            <v>11</v>
          </cell>
          <cell r="N162">
            <v>12</v>
          </cell>
          <cell r="O162">
            <v>13</v>
          </cell>
          <cell r="P162">
            <v>14</v>
          </cell>
          <cell r="Q162">
            <v>15</v>
          </cell>
          <cell r="R162">
            <v>16</v>
          </cell>
          <cell r="S162">
            <v>17</v>
          </cell>
          <cell r="T162">
            <v>18</v>
          </cell>
          <cell r="U162">
            <v>19</v>
          </cell>
          <cell r="V162">
            <v>20</v>
          </cell>
          <cell r="W162">
            <v>21</v>
          </cell>
          <cell r="X162">
            <v>22</v>
          </cell>
          <cell r="Y162">
            <v>23</v>
          </cell>
          <cell r="Z162">
            <v>24</v>
          </cell>
          <cell r="AA162">
            <v>25</v>
          </cell>
          <cell r="AB162">
            <v>26</v>
          </cell>
          <cell r="AC162">
            <v>27</v>
          </cell>
          <cell r="AD162">
            <v>28</v>
          </cell>
          <cell r="AE162">
            <v>29</v>
          </cell>
          <cell r="AF162">
            <v>30</v>
          </cell>
          <cell r="AG162">
            <v>31</v>
          </cell>
          <cell r="AH162">
            <v>32</v>
          </cell>
          <cell r="AI162">
            <v>33</v>
          </cell>
          <cell r="AJ162">
            <v>34</v>
          </cell>
          <cell r="AK162">
            <v>35</v>
          </cell>
          <cell r="AL162">
            <v>36</v>
          </cell>
          <cell r="AM162">
            <v>37</v>
          </cell>
          <cell r="AN162">
            <v>38</v>
          </cell>
          <cell r="AO162">
            <v>39</v>
          </cell>
          <cell r="AP162">
            <v>40</v>
          </cell>
          <cell r="AQ162">
            <v>41</v>
          </cell>
          <cell r="AR162">
            <v>42</v>
          </cell>
          <cell r="AS162">
            <v>43</v>
          </cell>
        </row>
        <row r="163">
          <cell r="C163" t="str">
            <v>HVDC</v>
          </cell>
          <cell r="D163">
            <v>0</v>
          </cell>
          <cell r="E163">
            <v>3</v>
          </cell>
          <cell r="H163">
            <v>1667</v>
          </cell>
          <cell r="I163">
            <v>1763</v>
          </cell>
          <cell r="J163">
            <v>1863</v>
          </cell>
          <cell r="K163">
            <v>1973.6621999999998</v>
          </cell>
          <cell r="L163">
            <v>0</v>
          </cell>
          <cell r="M163">
            <v>2090.8977346799998</v>
          </cell>
          <cell r="N163">
            <v>2215.0970601199915</v>
          </cell>
          <cell r="O163">
            <v>2346.6738254911188</v>
          </cell>
          <cell r="P163">
            <v>2486.066250725291</v>
          </cell>
          <cell r="Q163">
            <v>2633.7385860183731</v>
          </cell>
          <cell r="R163">
            <v>2790.1826580278644</v>
          </cell>
          <cell r="S163">
            <v>2955.9195079147194</v>
          </cell>
          <cell r="T163">
            <v>3131.5011266848533</v>
          </cell>
          <cell r="U163">
            <v>3317.5122936099333</v>
          </cell>
          <cell r="V163">
            <v>3514.5725238503628</v>
          </cell>
          <cell r="W163">
            <v>3723.3381317670742</v>
          </cell>
          <cell r="X163">
            <v>3944.5044167940382</v>
          </cell>
          <cell r="Y163">
            <v>4178.8079791516038</v>
          </cell>
          <cell r="Z163">
            <v>4427.0291731132083</v>
          </cell>
          <cell r="AA163">
            <v>4689.9947059961323</v>
          </cell>
          <cell r="AB163">
            <v>4968.5803915323022</v>
          </cell>
          <cell r="AC163">
            <v>5263.7140667893209</v>
          </cell>
          <cell r="AD163">
            <v>5576.3786823566061</v>
          </cell>
          <cell r="AE163">
            <v>5907.6155760885877</v>
          </cell>
          <cell r="AF163">
            <v>6258.527941308249</v>
          </cell>
          <cell r="AG163">
            <v>6630.284501021958</v>
          </cell>
          <cell r="AH163">
            <v>7024.1234003826612</v>
          </cell>
          <cell r="AI163">
            <v>7441.3563303653909</v>
          </cell>
          <cell r="AJ163">
            <v>7883.3728963890944</v>
          </cell>
          <cell r="AK163">
            <v>8351.6452464346057</v>
          </cell>
          <cell r="AL163">
            <v>8847.7329740728201</v>
          </cell>
          <cell r="AM163">
            <v>9373.2883127327441</v>
          </cell>
          <cell r="AN163">
            <v>9930.0616385090689</v>
          </cell>
          <cell r="AO163">
            <v>10519.907299836506</v>
          </cell>
          <cell r="AP163">
            <v>11144.789793446795</v>
          </cell>
          <cell r="AQ163">
            <v>11806.790307177533</v>
          </cell>
          <cell r="AR163">
            <v>12508.113651423877</v>
          </cell>
          <cell r="AS163">
            <v>13251.095602318454</v>
          </cell>
        </row>
        <row r="164">
          <cell r="C164" t="str">
            <v>765KV Line</v>
          </cell>
          <cell r="D164">
            <v>0</v>
          </cell>
          <cell r="E164">
            <v>4</v>
          </cell>
          <cell r="H164">
            <v>0.83</v>
          </cell>
          <cell r="I164">
            <v>0.88</v>
          </cell>
          <cell r="J164">
            <v>0.93</v>
          </cell>
          <cell r="K164">
            <v>0.98524199999999995</v>
          </cell>
          <cell r="L164">
            <v>0</v>
          </cell>
          <cell r="M164">
            <v>1.0437653747999998</v>
          </cell>
          <cell r="N164">
            <v>1.1057650380631197</v>
          </cell>
          <cell r="O164">
            <v>1.171447481324069</v>
          </cell>
          <cell r="P164">
            <v>1.2410314617147185</v>
          </cell>
          <cell r="Q164">
            <v>1.3147487305405725</v>
          </cell>
          <cell r="R164">
            <v>1.3928448051346825</v>
          </cell>
          <cell r="S164">
            <v>1.4755797865596825</v>
          </cell>
          <cell r="T164">
            <v>1.5632292258813274</v>
          </cell>
          <cell r="U164">
            <v>1.6560850418986781</v>
          </cell>
          <cell r="V164">
            <v>1.7544564933874593</v>
          </cell>
          <cell r="W164">
            <v>1.8586712090946742</v>
          </cell>
          <cell r="X164">
            <v>1.9690762789148977</v>
          </cell>
          <cell r="Y164">
            <v>2.0860394098824422</v>
          </cell>
          <cell r="Z164">
            <v>2.2099501508294592</v>
          </cell>
          <cell r="AA164">
            <v>2.3412211897887287</v>
          </cell>
          <cell r="AB164">
            <v>2.480289728462179</v>
          </cell>
          <cell r="AC164">
            <v>2.6276189383328323</v>
          </cell>
          <cell r="AD164">
            <v>2.7836995032698022</v>
          </cell>
          <cell r="AE164">
            <v>2.9490512537640283</v>
          </cell>
          <cell r="AF164">
            <v>3.1242248982376113</v>
          </cell>
          <cell r="AG164">
            <v>3.3098038571929251</v>
          </cell>
          <cell r="AH164">
            <v>3.5064062063101846</v>
          </cell>
          <cell r="AI164">
            <v>3.7146867349650092</v>
          </cell>
          <cell r="AJ164">
            <v>3.9353391270219302</v>
          </cell>
          <cell r="AK164">
            <v>4.1690982711670328</v>
          </cell>
          <cell r="AL164">
            <v>4.416742708474354</v>
          </cell>
          <cell r="AM164">
            <v>4.6790972253577303</v>
          </cell>
          <cell r="AN164">
            <v>4.9570356005439793</v>
          </cell>
          <cell r="AO164">
            <v>5.2514835152162913</v>
          </cell>
          <cell r="AP164">
            <v>5.5634216360201387</v>
          </cell>
          <cell r="AQ164">
            <v>5.8938888811997341</v>
          </cell>
          <cell r="AR164">
            <v>6.243985880742998</v>
          </cell>
          <cell r="AS164">
            <v>6.6148786420591312</v>
          </cell>
        </row>
        <row r="165">
          <cell r="C165" t="str">
            <v>400KV Line</v>
          </cell>
          <cell r="D165">
            <v>0</v>
          </cell>
          <cell r="E165">
            <v>5</v>
          </cell>
          <cell r="H165">
            <v>0.59</v>
          </cell>
          <cell r="I165">
            <v>0.63</v>
          </cell>
          <cell r="J165">
            <v>0.66</v>
          </cell>
          <cell r="K165">
            <v>0.69920399999999994</v>
          </cell>
          <cell r="L165">
            <v>0</v>
          </cell>
          <cell r="M165">
            <v>0.74073671759999982</v>
          </cell>
          <cell r="N165">
            <v>0.78473647862543972</v>
          </cell>
          <cell r="O165">
            <v>0.83134982545579073</v>
          </cell>
          <cell r="P165">
            <v>0.88073200508786464</v>
          </cell>
          <cell r="Q165">
            <v>0.93304748619008371</v>
          </cell>
          <cell r="R165">
            <v>0.98847050686977456</v>
          </cell>
          <cell r="S165">
            <v>1.0471856549778391</v>
          </cell>
          <cell r="T165">
            <v>1.1093884828835225</v>
          </cell>
          <cell r="U165">
            <v>1.1752861587668038</v>
          </cell>
          <cell r="V165">
            <v>1.2450981565975519</v>
          </cell>
          <cell r="W165">
            <v>1.3190569870994464</v>
          </cell>
          <cell r="X165">
            <v>1.3974089721331533</v>
          </cell>
          <cell r="Y165">
            <v>1.4804150650778625</v>
          </cell>
          <cell r="Z165">
            <v>1.5683517199434873</v>
          </cell>
          <cell r="AA165">
            <v>1.6615118121081303</v>
          </cell>
          <cell r="AB165">
            <v>1.760205613747353</v>
          </cell>
          <cell r="AC165">
            <v>1.8647618272039455</v>
          </cell>
          <cell r="AD165">
            <v>1.9755286797398597</v>
          </cell>
          <cell r="AE165">
            <v>2.0928750833164069</v>
          </cell>
          <cell r="AF165">
            <v>2.2171918632654011</v>
          </cell>
          <cell r="AG165">
            <v>2.3488930599433657</v>
          </cell>
          <cell r="AH165">
            <v>2.4884173077040015</v>
          </cell>
          <cell r="AI165">
            <v>2.6362292957816189</v>
          </cell>
          <cell r="AJ165">
            <v>2.7928213159510467</v>
          </cell>
          <cell r="AK165">
            <v>2.9587149021185386</v>
          </cell>
          <cell r="AL165">
            <v>3.1344625673043796</v>
          </cell>
          <cell r="AM165">
            <v>3.3206496438022595</v>
          </cell>
          <cell r="AN165">
            <v>3.5178962326441132</v>
          </cell>
          <cell r="AO165">
            <v>3.7268592688631732</v>
          </cell>
          <cell r="AP165">
            <v>3.9482347094336454</v>
          </cell>
          <cell r="AQ165">
            <v>4.1827598511740032</v>
          </cell>
          <cell r="AR165">
            <v>4.4312157863337385</v>
          </cell>
          <cell r="AS165">
            <v>4.694430004041962</v>
          </cell>
        </row>
        <row r="166">
          <cell r="C166" t="str">
            <v>66KV - 400KV Line</v>
          </cell>
          <cell r="D166">
            <v>0</v>
          </cell>
          <cell r="E166">
            <v>6</v>
          </cell>
          <cell r="H166">
            <v>0.24</v>
          </cell>
          <cell r="I166">
            <v>0.25</v>
          </cell>
          <cell r="J166">
            <v>0.26</v>
          </cell>
          <cell r="K166">
            <v>0.27544399999999997</v>
          </cell>
          <cell r="L166">
            <v>0</v>
          </cell>
          <cell r="M166">
            <v>0.29180537359999992</v>
          </cell>
          <cell r="N166">
            <v>0.30913861279183991</v>
          </cell>
          <cell r="O166">
            <v>0.32750144639167517</v>
          </cell>
          <cell r="P166">
            <v>0.34695503230734065</v>
          </cell>
          <cell r="Q166">
            <v>0.36756416122639662</v>
          </cell>
          <cell r="R166">
            <v>0.38939747240324457</v>
          </cell>
          <cell r="S166">
            <v>0.41252768226399728</v>
          </cell>
          <cell r="T166">
            <v>0.43703182659047868</v>
          </cell>
          <cell r="U166">
            <v>0.46299151708995306</v>
          </cell>
          <cell r="V166">
            <v>0.4904932132050962</v>
          </cell>
          <cell r="W166">
            <v>0.51962851006947886</v>
          </cell>
          <cell r="X166">
            <v>0.5504944435676058</v>
          </cell>
          <cell r="Y166">
            <v>0.58319381351552158</v>
          </cell>
          <cell r="Z166">
            <v>0.61783552603834346</v>
          </cell>
          <cell r="AA166">
            <v>0.65453495628502101</v>
          </cell>
          <cell r="AB166">
            <v>0.69341433268835118</v>
          </cell>
          <cell r="AC166">
            <v>0.73460314405003913</v>
          </cell>
          <cell r="AD166">
            <v>0.77823857080661141</v>
          </cell>
          <cell r="AE166">
            <v>0.82446594191252409</v>
          </cell>
          <cell r="AF166">
            <v>0.87343921886212794</v>
          </cell>
          <cell r="AG166">
            <v>0.92532150846253824</v>
          </cell>
          <cell r="AH166">
            <v>0.98028560606521287</v>
          </cell>
          <cell r="AI166">
            <v>1.0385145710654864</v>
          </cell>
          <cell r="AJ166">
            <v>1.1002023365867761</v>
          </cell>
          <cell r="AK166">
            <v>1.1655543553800305</v>
          </cell>
          <cell r="AL166">
            <v>1.2347882840896043</v>
          </cell>
          <cell r="AM166">
            <v>1.3081347081645267</v>
          </cell>
          <cell r="AN166">
            <v>1.3858379098294995</v>
          </cell>
          <cell r="AO166">
            <v>1.4681566816733715</v>
          </cell>
          <cell r="AP166">
            <v>1.5553651885647697</v>
          </cell>
          <cell r="AQ166">
            <v>1.6477538807655168</v>
          </cell>
          <cell r="AR166">
            <v>1.7456304612829883</v>
          </cell>
          <cell r="AS166">
            <v>1.8493209106831976</v>
          </cell>
        </row>
        <row r="167">
          <cell r="C167" t="str">
            <v>66KV- Line</v>
          </cell>
          <cell r="D167">
            <v>0</v>
          </cell>
          <cell r="E167">
            <v>7</v>
          </cell>
          <cell r="H167">
            <v>0.14000000000000001</v>
          </cell>
          <cell r="I167">
            <v>0.15</v>
          </cell>
          <cell r="J167">
            <v>0.16</v>
          </cell>
          <cell r="K167">
            <v>0.16950399999999999</v>
          </cell>
          <cell r="L167">
            <v>0</v>
          </cell>
          <cell r="M167">
            <v>0.17957253759999997</v>
          </cell>
          <cell r="N167">
            <v>0.19023914633343994</v>
          </cell>
          <cell r="O167">
            <v>0.20153935162564626</v>
          </cell>
          <cell r="P167">
            <v>0.21351078911220964</v>
          </cell>
          <cell r="Q167">
            <v>0.22619332998547487</v>
          </cell>
          <cell r="R167">
            <v>0.23962921378661206</v>
          </cell>
          <cell r="S167">
            <v>0.25386318908553679</v>
          </cell>
          <cell r="T167">
            <v>0.26894266251721766</v>
          </cell>
          <cell r="U167">
            <v>0.28491785667074038</v>
          </cell>
          <cell r="V167">
            <v>0.30184197735698232</v>
          </cell>
          <cell r="W167">
            <v>0.31977139081198702</v>
          </cell>
          <cell r="X167">
            <v>0.33876581142621903</v>
          </cell>
          <cell r="Y167">
            <v>0.35888850062493644</v>
          </cell>
          <cell r="Z167">
            <v>0.38020647756205761</v>
          </cell>
          <cell r="AA167">
            <v>0.40279074232924378</v>
          </cell>
          <cell r="AB167">
            <v>0.42671651242360081</v>
          </cell>
          <cell r="AC167">
            <v>0.45206347326156265</v>
          </cell>
          <cell r="AD167">
            <v>0.47891604357329942</v>
          </cell>
          <cell r="AE167">
            <v>0.50736365656155336</v>
          </cell>
          <cell r="AF167">
            <v>0.53750105776130952</v>
          </cell>
          <cell r="AG167">
            <v>0.56942862059233124</v>
          </cell>
          <cell r="AH167">
            <v>0.60325268065551563</v>
          </cell>
          <cell r="AI167">
            <v>0.63908588988645321</v>
          </cell>
          <cell r="AJ167">
            <v>0.6770475917457085</v>
          </cell>
          <cell r="AK167">
            <v>0.71726421869540347</v>
          </cell>
          <cell r="AL167">
            <v>0.75986971328591035</v>
          </cell>
          <cell r="AM167">
            <v>0.80500597425509335</v>
          </cell>
          <cell r="AN167">
            <v>0.8528233291258458</v>
          </cell>
          <cell r="AO167">
            <v>0.90348103487592091</v>
          </cell>
          <cell r="AP167">
            <v>0.95714780834755053</v>
          </cell>
          <cell r="AQ167">
            <v>1.0140023881633948</v>
          </cell>
          <cell r="AR167">
            <v>1.0742341300203004</v>
          </cell>
          <cell r="AS167">
            <v>1.1380436373435061</v>
          </cell>
        </row>
        <row r="168">
          <cell r="C168" t="str">
            <v>765KV (SS)</v>
          </cell>
          <cell r="D168">
            <v>0</v>
          </cell>
          <cell r="E168">
            <v>8</v>
          </cell>
          <cell r="H168">
            <v>146.68</v>
          </cell>
          <cell r="I168">
            <v>155.07</v>
          </cell>
          <cell r="J168">
            <v>163.94</v>
          </cell>
          <cell r="K168">
            <v>173.67803599999999</v>
          </cell>
          <cell r="L168">
            <v>0</v>
          </cell>
          <cell r="M168">
            <v>183.99451133839997</v>
          </cell>
          <cell r="N168">
            <v>194.9237853119009</v>
          </cell>
          <cell r="O168">
            <v>206.50225815942778</v>
          </cell>
          <cell r="P168">
            <v>218.76849229409777</v>
          </cell>
          <cell r="Q168">
            <v>231.76334073636716</v>
          </cell>
          <cell r="R168">
            <v>245.53008317610735</v>
          </cell>
          <cell r="S168">
            <v>260.11457011676811</v>
          </cell>
          <cell r="T168">
            <v>275.56537558170413</v>
          </cell>
          <cell r="U168">
            <v>291.9339588912573</v>
          </cell>
          <cell r="V168">
            <v>309.27483604939795</v>
          </cell>
          <cell r="W168">
            <v>327.64576131073215</v>
          </cell>
          <cell r="X168">
            <v>347.10791953258962</v>
          </cell>
          <cell r="Y168">
            <v>367.72612995282543</v>
          </cell>
          <cell r="Z168">
            <v>389.5690620720232</v>
          </cell>
          <cell r="AA168">
            <v>412.70946435910133</v>
          </cell>
          <cell r="AB168">
            <v>437.22440654203189</v>
          </cell>
          <cell r="AC168">
            <v>463.19553629062852</v>
          </cell>
          <cell r="AD168">
            <v>490.70935114629179</v>
          </cell>
          <cell r="AE168">
            <v>519.85748660438151</v>
          </cell>
          <cell r="AF168">
            <v>550.73702130868173</v>
          </cell>
          <cell r="AG168">
            <v>583.45080037441733</v>
          </cell>
          <cell r="AH168">
            <v>618.10777791665771</v>
          </cell>
          <cell r="AI168">
            <v>654.82337992490716</v>
          </cell>
          <cell r="AJ168">
            <v>693.7198886924466</v>
          </cell>
          <cell r="AK168">
            <v>734.92685008077785</v>
          </cell>
          <cell r="AL168">
            <v>778.58150497557597</v>
          </cell>
          <cell r="AM168">
            <v>824.82924637112512</v>
          </cell>
          <cell r="AN168">
            <v>873.82410360556992</v>
          </cell>
          <cell r="AO168">
            <v>925.7292553597407</v>
          </cell>
          <cell r="AP168">
            <v>980.71757312810917</v>
          </cell>
          <cell r="AQ168">
            <v>1038.9721969719187</v>
          </cell>
          <cell r="AR168">
            <v>1100.6871454720506</v>
          </cell>
          <cell r="AS168">
            <v>1166.0679619130904</v>
          </cell>
        </row>
        <row r="169">
          <cell r="C169" t="str">
            <v>400KV (SS)</v>
          </cell>
          <cell r="D169">
            <v>0</v>
          </cell>
          <cell r="E169">
            <v>9</v>
          </cell>
          <cell r="H169">
            <v>104.78</v>
          </cell>
          <cell r="I169">
            <v>110.78</v>
          </cell>
          <cell r="J169">
            <v>117.11</v>
          </cell>
          <cell r="K169">
            <v>124.06633399999998</v>
          </cell>
          <cell r="L169">
            <v>0</v>
          </cell>
          <cell r="M169">
            <v>131.43587423959997</v>
          </cell>
          <cell r="N169">
            <v>139.24316516943219</v>
          </cell>
          <cell r="O169">
            <v>147.51420918049644</v>
          </cell>
          <cell r="P169">
            <v>156.27655320581792</v>
          </cell>
          <cell r="Q169">
            <v>165.55938046624348</v>
          </cell>
          <cell r="R169">
            <v>175.39360766593833</v>
          </cell>
          <cell r="S169">
            <v>185.81198796129505</v>
          </cell>
          <cell r="T169">
            <v>196.84922004619594</v>
          </cell>
          <cell r="U169">
            <v>208.54206371693996</v>
          </cell>
          <cell r="V169">
            <v>220.92946230172618</v>
          </cell>
          <cell r="W169">
            <v>234.05267236244867</v>
          </cell>
          <cell r="X169">
            <v>247.95540110077809</v>
          </cell>
          <cell r="Y169">
            <v>262.6839519261643</v>
          </cell>
          <cell r="Z169">
            <v>278.28737867057845</v>
          </cell>
          <cell r="AA169">
            <v>294.81764896361079</v>
          </cell>
          <cell r="AB169">
            <v>312.32981731204927</v>
          </cell>
          <cell r="AC169">
            <v>330.88220846038496</v>
          </cell>
          <cell r="AD169">
            <v>350.5366116429318</v>
          </cell>
          <cell r="AE169">
            <v>371.35848637452193</v>
          </cell>
          <cell r="AF169">
            <v>393.41718046516849</v>
          </cell>
          <cell r="AG169">
            <v>416.78616098479944</v>
          </cell>
          <cell r="AH169">
            <v>441.54325894729647</v>
          </cell>
          <cell r="AI169">
            <v>467.77092852876581</v>
          </cell>
          <cell r="AJ169">
            <v>495.55652168337446</v>
          </cell>
          <cell r="AK169">
            <v>524.99257907136689</v>
          </cell>
          <cell r="AL169">
            <v>556.17713826820602</v>
          </cell>
          <cell r="AM169">
            <v>589.21406028133742</v>
          </cell>
          <cell r="AN169">
            <v>624.21337546204882</v>
          </cell>
          <cell r="AO169">
            <v>661.29164996449447</v>
          </cell>
          <cell r="AP169">
            <v>700.57237397238532</v>
          </cell>
          <cell r="AQ169">
            <v>742.18637298634496</v>
          </cell>
          <cell r="AR169">
            <v>786.27224354173381</v>
          </cell>
          <cell r="AS169">
            <v>832.97681480811275</v>
          </cell>
        </row>
        <row r="170">
          <cell r="C170" t="str">
            <v>66KV - 400KV (SS)</v>
          </cell>
          <cell r="D170">
            <v>0</v>
          </cell>
          <cell r="E170">
            <v>10</v>
          </cell>
          <cell r="H170">
            <v>15.19</v>
          </cell>
          <cell r="I170">
            <v>16.059999999999999</v>
          </cell>
          <cell r="J170">
            <v>16.97</v>
          </cell>
          <cell r="K170">
            <v>17.978017999999999</v>
          </cell>
          <cell r="L170">
            <v>0</v>
          </cell>
          <cell r="M170">
            <v>19.045912269199995</v>
          </cell>
          <cell r="N170">
            <v>20.177239457990474</v>
          </cell>
          <cell r="O170">
            <v>21.375767481795105</v>
          </cell>
          <cell r="P170">
            <v>22.64548807021373</v>
          </cell>
          <cell r="Q170">
            <v>23.990630061584422</v>
          </cell>
          <cell r="R170">
            <v>25.415673487242536</v>
          </cell>
          <cell r="S170">
            <v>26.925364492384741</v>
          </cell>
          <cell r="T170">
            <v>28.52473114323239</v>
          </cell>
          <cell r="U170">
            <v>30.21910017314039</v>
          </cell>
          <cell r="V170">
            <v>32.014114723424925</v>
          </cell>
          <cell r="W170">
            <v>33.915753137996361</v>
          </cell>
          <cell r="X170">
            <v>35.930348874393339</v>
          </cell>
          <cell r="Y170">
            <v>38.064611597532299</v>
          </cell>
          <cell r="Z170">
            <v>40.325649526425714</v>
          </cell>
          <cell r="AA170">
            <v>42.720993108295396</v>
          </cell>
          <cell r="AB170">
            <v>45.258620098928141</v>
          </cell>
          <cell r="AC170">
            <v>47.946982132804465</v>
          </cell>
          <cell r="AD170">
            <v>50.795032871493042</v>
          </cell>
          <cell r="AE170">
            <v>53.812257824059721</v>
          </cell>
          <cell r="AF170">
            <v>57.008705938808859</v>
          </cell>
          <cell r="AG170">
            <v>60.395023071574101</v>
          </cell>
          <cell r="AH170">
            <v>63.982487442025594</v>
          </cell>
          <cell r="AI170">
            <v>67.78304719608191</v>
          </cell>
          <cell r="AJ170">
            <v>71.809360199529166</v>
          </cell>
          <cell r="AK170">
            <v>76.074836195381195</v>
          </cell>
          <cell r="AL170">
            <v>80.593681465386837</v>
          </cell>
          <cell r="AM170">
            <v>85.380946144430808</v>
          </cell>
          <cell r="AN170">
            <v>90.452574345409985</v>
          </cell>
          <cell r="AO170">
            <v>95.825457261527333</v>
          </cell>
          <cell r="AP170">
            <v>101.51748942286204</v>
          </cell>
          <cell r="AQ170">
            <v>107.54762829458004</v>
          </cell>
          <cell r="AR170">
            <v>113.93595741527808</v>
          </cell>
          <cell r="AS170">
            <v>120.70375328574559</v>
          </cell>
        </row>
        <row r="171">
          <cell r="C171" t="str">
            <v>66KV- (SS)</v>
          </cell>
          <cell r="D171">
            <v>0</v>
          </cell>
          <cell r="E171">
            <v>11</v>
          </cell>
          <cell r="H171">
            <v>3.17</v>
          </cell>
          <cell r="I171">
            <v>3.36</v>
          </cell>
          <cell r="J171">
            <v>3.55</v>
          </cell>
          <cell r="K171">
            <v>3.7608699999999993</v>
          </cell>
          <cell r="L171">
            <v>0</v>
          </cell>
          <cell r="M171">
            <v>3.984265677999999</v>
          </cell>
          <cell r="N171">
            <v>4.2209310592731981</v>
          </cell>
          <cell r="O171">
            <v>4.4716543641940261</v>
          </cell>
          <cell r="P171">
            <v>4.7372706334271504</v>
          </cell>
          <cell r="Q171">
            <v>5.0186645090527229</v>
          </cell>
          <cell r="R171">
            <v>5.3167731808904541</v>
          </cell>
          <cell r="S171">
            <v>5.6325895078353465</v>
          </cell>
          <cell r="T171">
            <v>5.9671653246007654</v>
          </cell>
          <cell r="U171">
            <v>6.3216149448820502</v>
          </cell>
          <cell r="V171">
            <v>6.6971188726080433</v>
          </cell>
          <cell r="W171">
            <v>7.0949277336409606</v>
          </cell>
          <cell r="X171">
            <v>7.5163664410192332</v>
          </cell>
          <cell r="Y171">
            <v>7.9628386076157751</v>
          </cell>
          <cell r="Z171">
            <v>8.4358312209081507</v>
          </cell>
          <cell r="AA171">
            <v>8.9369195954300942</v>
          </cell>
          <cell r="AB171">
            <v>9.4677726193986409</v>
          </cell>
          <cell r="AC171">
            <v>10.030158312990919</v>
          </cell>
          <cell r="AD171">
            <v>10.625949716782578</v>
          </cell>
          <cell r="AE171">
            <v>11.257131129959463</v>
          </cell>
          <cell r="AF171">
            <v>11.925804719079053</v>
          </cell>
          <cell r="AG171">
            <v>12.634197519392348</v>
          </cell>
          <cell r="AH171">
            <v>13.384668852044252</v>
          </cell>
          <cell r="AI171">
            <v>14.179718181855678</v>
          </cell>
          <cell r="AJ171">
            <v>15.021993441857903</v>
          </cell>
          <cell r="AK171">
            <v>15.914299852304261</v>
          </cell>
          <cell r="AL171">
            <v>16.859609263531134</v>
          </cell>
          <cell r="AM171">
            <v>17.861070053784882</v>
          </cell>
          <cell r="AN171">
            <v>18.922017614979701</v>
          </cell>
          <cell r="AO171">
            <v>20.045985461309492</v>
          </cell>
          <cell r="AP171">
            <v>21.236716997711273</v>
          </cell>
          <cell r="AQ171">
            <v>22.498177987375321</v>
          </cell>
          <cell r="AR171">
            <v>23.834569759825413</v>
          </cell>
          <cell r="AS171">
            <v>25.250343203559041</v>
          </cell>
        </row>
        <row r="218">
          <cell r="C218" t="str">
            <v>Yes</v>
          </cell>
          <cell r="D218" t="str">
            <v>Yes</v>
          </cell>
          <cell r="E218" t="str">
            <v>Yes</v>
          </cell>
          <cell r="F218" t="str">
            <v>Yes</v>
          </cell>
        </row>
        <row r="219">
          <cell r="E219">
            <v>1</v>
          </cell>
          <cell r="F219">
            <v>0.9</v>
          </cell>
          <cell r="G219">
            <v>40</v>
          </cell>
        </row>
        <row r="220">
          <cell r="E220">
            <v>1</v>
          </cell>
          <cell r="G220">
            <v>40</v>
          </cell>
        </row>
        <row r="251">
          <cell r="C251" t="str">
            <v>No</v>
          </cell>
        </row>
        <row r="318">
          <cell r="D318" t="str">
            <v>No</v>
          </cell>
        </row>
        <row r="357">
          <cell r="C357">
            <v>1</v>
          </cell>
          <cell r="G357" t="str">
            <v>No</v>
          </cell>
        </row>
        <row r="358">
          <cell r="C358">
            <v>1</v>
          </cell>
          <cell r="G358" t="str">
            <v>No</v>
          </cell>
        </row>
        <row r="359">
          <cell r="C359">
            <v>1</v>
          </cell>
          <cell r="G359" t="str">
            <v>No</v>
          </cell>
        </row>
        <row r="360">
          <cell r="C360">
            <v>1</v>
          </cell>
          <cell r="G360" t="str">
            <v>No</v>
          </cell>
        </row>
        <row r="361">
          <cell r="C361">
            <v>0.74</v>
          </cell>
          <cell r="G361" t="str">
            <v>No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K7">
            <v>1968.7688214663315</v>
          </cell>
        </row>
      </sheetData>
      <sheetData sheetId="19"/>
      <sheetData sheetId="20">
        <row r="4">
          <cell r="B4">
            <v>135.34</v>
          </cell>
        </row>
      </sheetData>
      <sheetData sheetId="21">
        <row r="7">
          <cell r="N7">
            <v>2090.9565884739372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Ver 1"/>
      <sheetName val="Ver 2"/>
      <sheetName val="Margin Model"/>
      <sheetName val="Category Break up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pitalization"/>
      <sheetName val="Sensitivity Analysis"/>
      <sheetName val="OpStmt"/>
      <sheetName val="OpStmt (Q)"/>
      <sheetName val="Return"/>
      <sheetName val="Return (Q)"/>
      <sheetName val="Partner Promote"/>
      <sheetName val="A-General"/>
      <sheetName val="A-Global"/>
      <sheetName val="Property NOI"/>
      <sheetName val="A-Property"/>
      <sheetName val="A-Property Expense"/>
      <sheetName val="Module1"/>
      <sheetName val="A-Rentroll"/>
      <sheetName val="A-Min Vacancy"/>
      <sheetName val="A-Disposition &amp; Purchase"/>
      <sheetName val="Market Rent"/>
      <sheetName val="Revenue"/>
      <sheetName val="Rent"/>
      <sheetName val="Occupancy"/>
      <sheetName val="Lease Status"/>
      <sheetName val="PrintManagerCode"/>
      <sheetName val="A-Debt"/>
      <sheetName val="Debt"/>
      <sheetName val="A-Tax"/>
      <sheetName val="Tax"/>
      <sheetName val="Definition"/>
      <sheetName val="Fund &amp; Investor Summary"/>
      <sheetName val="Investment Summary"/>
      <sheetName val="Class A"/>
      <sheetName val="Class B"/>
      <sheetName val="A_Property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Pixyl"/>
      <sheetName val="List_ratios"/>
      <sheetName val="Graphs - Local"/>
      <sheetName val="Graphs - Foreign"/>
      <sheetName val="EVA (1)"/>
      <sheetName val="W (1)"/>
      <sheetName val="Results (1)"/>
      <sheetName val="EVA (2)"/>
      <sheetName val="W (2)"/>
      <sheetName val="Results (2)"/>
      <sheetName val="Cedargro"/>
      <sheetName val="Stell Farm"/>
      <sheetName val="Distillers"/>
      <sheetName val="Busby"/>
      <sheetName val="Schweppes"/>
      <sheetName val="AVI"/>
      <sheetName val="Starbuck"/>
      <sheetName val="Green Mountain"/>
      <sheetName val="Illy"/>
      <sheetName val="Douwe Egberts- Saralee"/>
      <sheetName val="Nestle"/>
      <sheetName val="Foschini"/>
      <sheetName val="LA Retail"/>
      <sheetName val="EVA Calculations"/>
      <sheetName val="Headcount"/>
      <sheetName val="Control"/>
      <sheetName val="Lead"/>
      <sheetName val="Links"/>
      <sheetName val="MF Request-GW"/>
      <sheetName val="Print Menu"/>
      <sheetName val="Forecast-Input"/>
      <sheetName val="Valuation"/>
      <sheetName val="wwww"/>
      <sheetName val="Assume"/>
      <sheetName val="Capital"/>
      <sheetName val="Validation"/>
      <sheetName val="SPS DETAIL"/>
      <sheetName val="Graphs_-_Local"/>
      <sheetName val="Graphs_-_Foreign"/>
      <sheetName val="EVA_(1)"/>
      <sheetName val="W_(1)"/>
      <sheetName val="Results_(1)"/>
      <sheetName val="EVA_(2)"/>
      <sheetName val="W_(2)"/>
      <sheetName val="Results_(2)"/>
      <sheetName val="Stell_Farm"/>
      <sheetName val="Green_Mountain"/>
      <sheetName val="Douwe_Egberts-_Saralee"/>
      <sheetName val="LA_Retail"/>
      <sheetName val="EVA_Calculations"/>
      <sheetName val="MF_Request-GW"/>
      <sheetName val="Print_Menu"/>
      <sheetName val="SPS_DETAIL"/>
      <sheetName val="Sheet1"/>
      <sheetName val="oresreqsum"/>
      <sheetName val="Peer Ratios &amp; Graphs"/>
      <sheetName val="Usage - ROM"/>
      <sheetName val="Tariff ROM and Mum"/>
      <sheetName val="Schdl 1 to8"/>
      <sheetName val="Assmpns"/>
      <sheetName val="Graphs_-_Local1"/>
      <sheetName val="Graphs_-_Foreign1"/>
      <sheetName val="EVA_(1)1"/>
      <sheetName val="W_(1)1"/>
      <sheetName val="Results_(1)1"/>
      <sheetName val="EVA_(2)1"/>
      <sheetName val="W_(2)1"/>
      <sheetName val="Results_(2)1"/>
      <sheetName val="Stell_Farm1"/>
      <sheetName val="Green_Mountain1"/>
      <sheetName val="Douwe_Egberts-_Saralee1"/>
      <sheetName val="LA_Retail1"/>
      <sheetName val="EVA_Calculations1"/>
      <sheetName val="MF_Request-GW1"/>
      <sheetName val="Print_Menu1"/>
      <sheetName val="SPS_DETAIL1"/>
      <sheetName val="Usage_-_ROM"/>
      <sheetName val="Tariff_ROM_and_Mum"/>
      <sheetName val="Peer_Ratios_&amp;_Graphs"/>
      <sheetName val="Schdl_1_to8"/>
      <sheetName val="aprmay"/>
      <sheetName val="JANMAR01"/>
      <sheetName val="SAL12 (2)ANDSUM"/>
      <sheetName val="405"/>
      <sheetName val="427"/>
      <sheetName val="403"/>
      <sheetName val="PNB40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07FINAL"/>
      <sheetName val="WT0309"/>
      <sheetName val="WT0308"/>
      <sheetName val="Dec07 IT"/>
      <sheetName val="Sheet1"/>
      <sheetName val="summary"/>
      <sheetName val="combnd0708(IT)"/>
      <sheetName val="combnd 07-08"/>
      <sheetName val="combnd 08 09"/>
      <sheetName val="HNG mar09ACC"/>
      <sheetName val="HNGmar08Acc"/>
      <sheetName val="hngmar08IT"/>
      <sheetName val="ace"/>
      <sheetName val="hng"/>
      <sheetName val="SEP08IT(REVISED)"/>
      <sheetName val="DEC08IT"/>
      <sheetName val="SEP08IT"/>
      <sheetName val="Budgeted"/>
      <sheetName val="Likely"/>
      <sheetName val="hngmar09"/>
      <sheetName val="hngdec08"/>
      <sheetName val="hngsep08"/>
      <sheetName val="jun08adv"/>
      <sheetName val="Jun08IT"/>
      <sheetName val="sept07 I.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ァイル操作方法"/>
      <sheetName val="GW"/>
      <sheetName val="Entryの引継ぎ"/>
      <sheetName val="EQ国内"/>
      <sheetName val="国内work"/>
      <sheetName val="為替"/>
      <sheetName val="EQ海外"/>
      <sheetName val="海外WORK"/>
      <sheetName val="AFFI内訳"/>
      <sheetName val="持分法"/>
      <sheetName val="外貨AFFI"/>
      <sheetName val="Stockton"/>
      <sheetName val="剰余金一覧"/>
      <sheetName val="損益対前年同月比"/>
      <sheetName val="損益対前月比較"/>
      <sheetName val="残高内訳NI"/>
      <sheetName val="増減内訳NI"/>
      <sheetName val="残高内訳 (地域別)NI"/>
      <sheetName val="Schoolnet"/>
      <sheetName val="未分配利益"/>
      <sheetName val="残高内訳 (地域別) 提出版"/>
      <sheetName val="INVESTSMART"/>
      <sheetName val="BL売却"/>
      <sheetName val="ニチメン売却 "/>
      <sheetName val="日立造船売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ァイル操作方法"/>
      <sheetName val="GW"/>
      <sheetName val="Entryの引継ぎ"/>
      <sheetName val="EQ国内"/>
      <sheetName val="国内work"/>
      <sheetName val="為替"/>
      <sheetName val="EQ海外"/>
      <sheetName val="海外WORK"/>
      <sheetName val="AFFI内訳"/>
      <sheetName val="持分法"/>
      <sheetName val="外貨AFFI"/>
      <sheetName val="Stockton"/>
      <sheetName val="剰余金一覧"/>
      <sheetName val="損益対前年同月比"/>
      <sheetName val="損益対前月比較"/>
      <sheetName val="残高内訳NI"/>
      <sheetName val="増減内訳NI"/>
      <sheetName val="残高内訳 (地域別)NI"/>
      <sheetName val="Schoolnet"/>
      <sheetName val="未分配利益"/>
      <sheetName val="残高内訳 (地域別) 提出版"/>
      <sheetName val="INVESTSMART"/>
      <sheetName val="BL売却"/>
      <sheetName val="ニチメン売却 "/>
      <sheetName val="日立造船売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Page"/>
      <sheetName val="DR"/>
      <sheetName val="DR-Anx"/>
      <sheetName val="AR"/>
      <sheetName val="CARO"/>
      <sheetName val="CAROApp"/>
      <sheetName val="BS"/>
      <sheetName val="PL"/>
      <sheetName val="FundFlow"/>
      <sheetName val="Instructions"/>
      <sheetName val="BSSch"/>
      <sheetName val="FASch"/>
      <sheetName val="PLSch"/>
      <sheetName val="Notes"/>
      <sheetName val="PartIV"/>
      <sheetName val="GR-BS"/>
      <sheetName val="GR-PL"/>
      <sheetName val="AS22"/>
      <sheetName val="115JB"/>
      <sheetName val="115JB-Anx"/>
      <sheetName val="3CA"/>
      <sheetName val="3CA-Anx"/>
      <sheetName val="3CD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Names"/>
      <sheetName val="IT"/>
      <sheetName val="Ma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">
          <cell r="C3" t="str">
            <v>Portalplayer (India) Private Limited</v>
          </cell>
        </row>
        <row r="4">
          <cell r="C4" t="str">
            <v>Plot No:249, Prashasan Nagar,Road No:72, Jubilee Hills,Hyderabad-500 034.</v>
          </cell>
        </row>
        <row r="7">
          <cell r="C7" t="str">
            <v>Private Limited Company</v>
          </cell>
        </row>
        <row r="11">
          <cell r="C11" t="str">
            <v>AABCP7418F</v>
          </cell>
        </row>
        <row r="16">
          <cell r="C16" t="str">
            <v>Partner</v>
          </cell>
        </row>
        <row r="19">
          <cell r="C19" t="str">
            <v>Deloitte Haskins &amp; Sells</v>
          </cell>
        </row>
        <row r="20">
          <cell r="C20" t="str">
            <v>P.R. Ramesh</v>
          </cell>
        </row>
        <row r="23">
          <cell r="C23" t="str">
            <v>M.No: 70928</v>
          </cell>
        </row>
        <row r="24">
          <cell r="C24" t="str">
            <v>Chartered Accountants,7th Floor, Amrutha Estates,Lingapur House,Himayathnagar,Hyderabad-500 029.</v>
          </cell>
        </row>
        <row r="28">
          <cell r="C28" t="str">
            <v>31-03-2006</v>
          </cell>
        </row>
        <row r="34">
          <cell r="C34" t="str">
            <v>2006-07</v>
          </cell>
        </row>
        <row r="40">
          <cell r="C40" t="str">
            <v>August 5, 2006</v>
          </cell>
        </row>
        <row r="43">
          <cell r="C43" t="str">
            <v>Hyderabad</v>
          </cell>
        </row>
        <row r="45">
          <cell r="C45" t="str">
            <v>Software Development</v>
          </cell>
        </row>
        <row r="46">
          <cell r="C46" t="str">
            <v>Mercantile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Sens"/>
      <sheetName val="HNGIL Standalone-&gt;&gt;"/>
      <sheetName val="Key Numbers at a Glance"/>
      <sheetName val="Assum"/>
      <sheetName val="P&amp;L"/>
      <sheetName val="BS"/>
      <sheetName val="CFS"/>
      <sheetName val="Sales - Cons"/>
      <sheetName val="Production"/>
      <sheetName val="Rishra"/>
      <sheetName val="Bahadurgarh"/>
      <sheetName val="Neemrana"/>
      <sheetName val="Rishikesh"/>
      <sheetName val="Pondicherry"/>
      <sheetName val="Nashik"/>
      <sheetName val="AP"/>
      <sheetName val="West_Furnace"/>
      <sheetName val="North_Furnace"/>
      <sheetName val="Admin &amp; Marketing"/>
      <sheetName val="Dep (2)"/>
      <sheetName val="Dep"/>
      <sheetName val="WCap"/>
      <sheetName val="Debt"/>
      <sheetName val="Investments"/>
      <sheetName val="Tax"/>
      <sheetName val="Tax Dep"/>
      <sheetName val="HNGFL Standalone-&gt;&gt;"/>
      <sheetName val="Assum - HNGFL"/>
      <sheetName val="P&amp;L - HNGFL"/>
      <sheetName val="BS - HNGFL"/>
      <sheetName val="CFS - HNGFL"/>
      <sheetName val="WCap - HNGFL"/>
      <sheetName val="Tax - HNGFL"/>
      <sheetName val="Float Glass"/>
      <sheetName val="Processed Glass"/>
      <sheetName val="Dep - HNGFL"/>
      <sheetName val="Tax Dep - HNGFL"/>
      <sheetName val="Debt - HNGFL"/>
      <sheetName val="Debt Schedule - HNGFL"/>
      <sheetName val="Sheet1"/>
    </sheetNames>
    <sheetDataSet>
      <sheetData sheetId="0" refreshError="1"/>
      <sheetData sheetId="1" refreshError="1">
        <row r="10">
          <cell r="C10" t="str">
            <v>Beer</v>
          </cell>
          <cell r="D10" t="str">
            <v>%</v>
          </cell>
          <cell r="I10">
            <v>6.4999999999999947E-2</v>
          </cell>
          <cell r="J10">
            <v>6.4999999999999947E-2</v>
          </cell>
          <cell r="K10">
            <v>6.4999999999999947E-2</v>
          </cell>
          <cell r="L10">
            <v>6.4999999999999947E-2</v>
          </cell>
          <cell r="M10">
            <v>6.4999999999999947E-2</v>
          </cell>
          <cell r="N10">
            <v>6.4999999999999947E-2</v>
          </cell>
          <cell r="O10">
            <v>6.4999999999999947E-2</v>
          </cell>
        </row>
        <row r="11">
          <cell r="C11" t="str">
            <v>Food &amp; Dairy</v>
          </cell>
          <cell r="D11" t="str">
            <v>%</v>
          </cell>
          <cell r="I11">
            <v>6.4999999999999947E-2</v>
          </cell>
          <cell r="J11">
            <v>6.4999999999999947E-2</v>
          </cell>
          <cell r="K11">
            <v>6.4999999999999947E-2</v>
          </cell>
          <cell r="L11">
            <v>6.4999999999999947E-2</v>
          </cell>
          <cell r="M11">
            <v>6.4999999999999947E-2</v>
          </cell>
          <cell r="N11">
            <v>6.4999999999999947E-2</v>
          </cell>
          <cell r="O11">
            <v>6.4999999999999947E-2</v>
          </cell>
        </row>
        <row r="12">
          <cell r="C12" t="str">
            <v xml:space="preserve">Household </v>
          </cell>
          <cell r="D12" t="str">
            <v>%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</row>
        <row r="13">
          <cell r="C13" t="str">
            <v>Liquor</v>
          </cell>
          <cell r="D13" t="str">
            <v>%</v>
          </cell>
          <cell r="I13">
            <v>6.4999999999999947E-2</v>
          </cell>
          <cell r="J13">
            <v>6.4999999999999947E-2</v>
          </cell>
          <cell r="K13">
            <v>6.4999999999999947E-2</v>
          </cell>
          <cell r="L13">
            <v>6.4999999999999947E-2</v>
          </cell>
          <cell r="M13">
            <v>6.4999999999999947E-2</v>
          </cell>
          <cell r="N13">
            <v>6.4999999999999947E-2</v>
          </cell>
          <cell r="O13">
            <v>6.4999999999999947E-2</v>
          </cell>
        </row>
        <row r="14">
          <cell r="C14" t="str">
            <v>Pharmaceuticals</v>
          </cell>
          <cell r="D14" t="str">
            <v>%</v>
          </cell>
          <cell r="I14">
            <v>0.03</v>
          </cell>
          <cell r="J14">
            <v>0.03</v>
          </cell>
          <cell r="K14">
            <v>0.03</v>
          </cell>
          <cell r="L14">
            <v>0.03</v>
          </cell>
          <cell r="M14">
            <v>0.03</v>
          </cell>
          <cell r="N14">
            <v>0.03</v>
          </cell>
          <cell r="O14">
            <v>0.03</v>
          </cell>
        </row>
        <row r="15">
          <cell r="C15" t="str">
            <v>Soft Drinks</v>
          </cell>
          <cell r="D15" t="str">
            <v>%</v>
          </cell>
          <cell r="I15">
            <v>6.4999999999999947E-2</v>
          </cell>
          <cell r="J15">
            <v>6.4999999999999947E-2</v>
          </cell>
          <cell r="K15">
            <v>6.4999999999999947E-2</v>
          </cell>
          <cell r="L15">
            <v>6.4999999999999947E-2</v>
          </cell>
          <cell r="M15">
            <v>6.4999999999999947E-2</v>
          </cell>
          <cell r="N15">
            <v>6.4999999999999947E-2</v>
          </cell>
          <cell r="O15">
            <v>6.4999999999999947E-2</v>
          </cell>
        </row>
        <row r="16">
          <cell r="C16" t="str">
            <v>Toiletries</v>
          </cell>
          <cell r="D16" t="str">
            <v>%</v>
          </cell>
          <cell r="I16">
            <v>0.05</v>
          </cell>
          <cell r="J16">
            <v>0.05</v>
          </cell>
          <cell r="K16">
            <v>0.05</v>
          </cell>
          <cell r="L16">
            <v>0.05</v>
          </cell>
          <cell r="M16">
            <v>0.05</v>
          </cell>
          <cell r="N16">
            <v>0.05</v>
          </cell>
          <cell r="O16">
            <v>0.05</v>
          </cell>
        </row>
        <row r="17">
          <cell r="C17" t="str">
            <v>Vials</v>
          </cell>
          <cell r="D17" t="str">
            <v>%</v>
          </cell>
          <cell r="I17">
            <v>0.03</v>
          </cell>
          <cell r="J17">
            <v>0.03</v>
          </cell>
          <cell r="K17">
            <v>0.03</v>
          </cell>
          <cell r="L17">
            <v>0.03</v>
          </cell>
          <cell r="M17">
            <v>0.03</v>
          </cell>
          <cell r="N17">
            <v>0.03</v>
          </cell>
          <cell r="O17">
            <v>0.03</v>
          </cell>
        </row>
        <row r="18">
          <cell r="C18" t="str">
            <v>Tumblers</v>
          </cell>
          <cell r="D18" t="str">
            <v>%</v>
          </cell>
          <cell r="I18">
            <v>0.04</v>
          </cell>
          <cell r="J18">
            <v>0.04</v>
          </cell>
          <cell r="K18">
            <v>0.04</v>
          </cell>
          <cell r="L18">
            <v>0.04</v>
          </cell>
          <cell r="M18">
            <v>0.04</v>
          </cell>
          <cell r="N18">
            <v>0.04</v>
          </cell>
          <cell r="O18">
            <v>0.04</v>
          </cell>
        </row>
        <row r="21">
          <cell r="C21" t="str">
            <v>Silica Sand</v>
          </cell>
          <cell r="D21" t="str">
            <v>%</v>
          </cell>
          <cell r="I21">
            <v>0.06</v>
          </cell>
          <cell r="J21">
            <v>0.06</v>
          </cell>
          <cell r="K21">
            <v>0.06</v>
          </cell>
          <cell r="L21">
            <v>0.06</v>
          </cell>
          <cell r="M21">
            <v>0.06</v>
          </cell>
          <cell r="N21">
            <v>0.06</v>
          </cell>
          <cell r="O21">
            <v>0.06</v>
          </cell>
        </row>
        <row r="22">
          <cell r="C22" t="str">
            <v>Soda Ash</v>
          </cell>
          <cell r="D22" t="str">
            <v>%</v>
          </cell>
          <cell r="I22">
            <v>0.06</v>
          </cell>
          <cell r="J22">
            <v>0.06</v>
          </cell>
          <cell r="K22">
            <v>0.06</v>
          </cell>
          <cell r="L22">
            <v>0.06</v>
          </cell>
          <cell r="M22">
            <v>0.06</v>
          </cell>
          <cell r="N22">
            <v>0.06</v>
          </cell>
          <cell r="O22">
            <v>0.06</v>
          </cell>
        </row>
        <row r="23">
          <cell r="C23" t="str">
            <v>Cullet</v>
          </cell>
          <cell r="D23" t="str">
            <v>%</v>
          </cell>
          <cell r="I23">
            <v>0.06</v>
          </cell>
          <cell r="J23">
            <v>0.06</v>
          </cell>
          <cell r="K23">
            <v>0.06</v>
          </cell>
          <cell r="L23">
            <v>0.06</v>
          </cell>
          <cell r="M23">
            <v>0.06</v>
          </cell>
          <cell r="N23">
            <v>0.06</v>
          </cell>
          <cell r="O23">
            <v>0.06</v>
          </cell>
        </row>
        <row r="24">
          <cell r="C24" t="str">
            <v>Others</v>
          </cell>
          <cell r="D24" t="str">
            <v>%</v>
          </cell>
          <cell r="I24">
            <v>0.06</v>
          </cell>
          <cell r="J24">
            <v>0.06</v>
          </cell>
          <cell r="K24">
            <v>0.06</v>
          </cell>
          <cell r="L24">
            <v>0.06</v>
          </cell>
          <cell r="M24">
            <v>0.06</v>
          </cell>
          <cell r="N24">
            <v>0.06</v>
          </cell>
          <cell r="O24">
            <v>0.06</v>
          </cell>
        </row>
        <row r="27">
          <cell r="C27" t="str">
            <v>Packing costs</v>
          </cell>
          <cell r="D27" t="str">
            <v>%</v>
          </cell>
          <cell r="I27">
            <v>0.03</v>
          </cell>
          <cell r="J27">
            <v>0.03</v>
          </cell>
          <cell r="K27">
            <v>0.03</v>
          </cell>
          <cell r="L27">
            <v>0.03</v>
          </cell>
          <cell r="M27">
            <v>0.03</v>
          </cell>
          <cell r="N27">
            <v>0.03</v>
          </cell>
          <cell r="O27">
            <v>0.03</v>
          </cell>
        </row>
        <row r="28">
          <cell r="C28" t="str">
            <v>Stores &amp; spares</v>
          </cell>
          <cell r="D28" t="str">
            <v>%</v>
          </cell>
          <cell r="I28">
            <v>0.03</v>
          </cell>
          <cell r="J28">
            <v>0.03</v>
          </cell>
          <cell r="K28">
            <v>0.03</v>
          </cell>
          <cell r="L28">
            <v>0.03</v>
          </cell>
          <cell r="M28">
            <v>0.03</v>
          </cell>
          <cell r="N28">
            <v>0.03</v>
          </cell>
          <cell r="O28">
            <v>0.03</v>
          </cell>
        </row>
        <row r="29">
          <cell r="C29" t="str">
            <v>Other production overheads</v>
          </cell>
          <cell r="D29" t="str">
            <v>%</v>
          </cell>
          <cell r="I29">
            <v>0.03</v>
          </cell>
          <cell r="J29">
            <v>0.03</v>
          </cell>
          <cell r="K29">
            <v>0.03</v>
          </cell>
          <cell r="L29">
            <v>0.03</v>
          </cell>
          <cell r="M29">
            <v>0.03</v>
          </cell>
          <cell r="N29">
            <v>0.03</v>
          </cell>
          <cell r="O29">
            <v>0.03</v>
          </cell>
        </row>
        <row r="30">
          <cell r="C30" t="str">
            <v>Other selling variable expenses</v>
          </cell>
          <cell r="D30" t="str">
            <v>%</v>
          </cell>
          <cell r="I30">
            <v>0.03</v>
          </cell>
          <cell r="J30">
            <v>0.03</v>
          </cell>
          <cell r="K30">
            <v>0.03</v>
          </cell>
          <cell r="L30">
            <v>0.03</v>
          </cell>
          <cell r="M30">
            <v>0.03</v>
          </cell>
          <cell r="N30">
            <v>0.03</v>
          </cell>
          <cell r="O30">
            <v>0.03</v>
          </cell>
        </row>
        <row r="33">
          <cell r="C33" t="str">
            <v>Purchased Electricity</v>
          </cell>
          <cell r="D33" t="str">
            <v>%</v>
          </cell>
          <cell r="I33">
            <v>0.05</v>
          </cell>
          <cell r="J33">
            <v>6.0000000000000005E-2</v>
          </cell>
          <cell r="K33">
            <v>6.0000000000000005E-2</v>
          </cell>
          <cell r="L33">
            <v>6.0000000000000005E-2</v>
          </cell>
          <cell r="M33">
            <v>6.0000000000000005E-2</v>
          </cell>
          <cell r="N33">
            <v>6.0000000000000005E-2</v>
          </cell>
          <cell r="O33">
            <v>6.0000000000000005E-2</v>
          </cell>
        </row>
        <row r="34">
          <cell r="C34" t="str">
            <v>L.P.G.</v>
          </cell>
          <cell r="D34" t="str">
            <v>%</v>
          </cell>
          <cell r="I34">
            <v>0.05</v>
          </cell>
          <cell r="J34">
            <v>6.0000000000000005E-2</v>
          </cell>
          <cell r="K34">
            <v>6.0000000000000005E-2</v>
          </cell>
          <cell r="L34">
            <v>6.0000000000000005E-2</v>
          </cell>
          <cell r="M34">
            <v>6.0000000000000005E-2</v>
          </cell>
          <cell r="N34">
            <v>6.0000000000000005E-2</v>
          </cell>
          <cell r="O34">
            <v>6.0000000000000005E-2</v>
          </cell>
        </row>
        <row r="35">
          <cell r="C35" t="str">
            <v>L.D.O.</v>
          </cell>
          <cell r="D35" t="str">
            <v>%</v>
          </cell>
          <cell r="I35">
            <v>0.05</v>
          </cell>
          <cell r="J35">
            <v>6.0000000000000005E-2</v>
          </cell>
          <cell r="K35">
            <v>6.0000000000000005E-2</v>
          </cell>
          <cell r="L35">
            <v>6.0000000000000005E-2</v>
          </cell>
          <cell r="M35">
            <v>6.0000000000000005E-2</v>
          </cell>
          <cell r="N35">
            <v>6.0000000000000005E-2</v>
          </cell>
          <cell r="O35">
            <v>6.0000000000000005E-2</v>
          </cell>
        </row>
        <row r="36">
          <cell r="C36" t="str">
            <v>F-Oil/ RFO / Equv.Oil</v>
          </cell>
          <cell r="D36" t="str">
            <v>%</v>
          </cell>
          <cell r="I36">
            <v>0.05</v>
          </cell>
          <cell r="J36">
            <v>6.0000000000000005E-2</v>
          </cell>
          <cell r="K36">
            <v>6.0000000000000005E-2</v>
          </cell>
          <cell r="L36">
            <v>6.0000000000000005E-2</v>
          </cell>
          <cell r="M36">
            <v>6.0000000000000005E-2</v>
          </cell>
          <cell r="N36">
            <v>6.0000000000000005E-2</v>
          </cell>
          <cell r="O36">
            <v>6.0000000000000005E-2</v>
          </cell>
        </row>
        <row r="37">
          <cell r="C37" t="str">
            <v>L.N.G.</v>
          </cell>
          <cell r="D37" t="str">
            <v>%</v>
          </cell>
          <cell r="I37">
            <v>0.05</v>
          </cell>
          <cell r="J37">
            <v>6.0000000000000005E-2</v>
          </cell>
          <cell r="K37">
            <v>6.0000000000000005E-2</v>
          </cell>
          <cell r="L37">
            <v>6.0000000000000005E-2</v>
          </cell>
          <cell r="M37">
            <v>6.0000000000000005E-2</v>
          </cell>
          <cell r="N37">
            <v>6.0000000000000005E-2</v>
          </cell>
          <cell r="O37">
            <v>6.0000000000000005E-2</v>
          </cell>
        </row>
        <row r="38">
          <cell r="C38" t="str">
            <v>H.S.D.</v>
          </cell>
          <cell r="D38" t="str">
            <v>%</v>
          </cell>
          <cell r="I38">
            <v>0.05</v>
          </cell>
          <cell r="J38">
            <v>6.0000000000000005E-2</v>
          </cell>
          <cell r="K38">
            <v>6.0000000000000005E-2</v>
          </cell>
          <cell r="L38">
            <v>6.0000000000000005E-2</v>
          </cell>
          <cell r="M38">
            <v>6.0000000000000005E-2</v>
          </cell>
          <cell r="N38">
            <v>6.0000000000000005E-2</v>
          </cell>
          <cell r="O38">
            <v>6.0000000000000005E-2</v>
          </cell>
        </row>
        <row r="39">
          <cell r="C39" t="str">
            <v xml:space="preserve">H.P.S.        </v>
          </cell>
          <cell r="D39" t="str">
            <v>%</v>
          </cell>
          <cell r="I39">
            <v>0.05</v>
          </cell>
          <cell r="J39">
            <v>6.0000000000000005E-2</v>
          </cell>
          <cell r="K39">
            <v>6.0000000000000005E-2</v>
          </cell>
          <cell r="L39">
            <v>6.0000000000000005E-2</v>
          </cell>
          <cell r="M39">
            <v>6.0000000000000005E-2</v>
          </cell>
          <cell r="N39">
            <v>6.0000000000000005E-2</v>
          </cell>
          <cell r="O39">
            <v>6.0000000000000005E-2</v>
          </cell>
        </row>
        <row r="48">
          <cell r="F48">
            <v>0</v>
          </cell>
        </row>
        <row r="51">
          <cell r="F51">
            <v>5</v>
          </cell>
        </row>
        <row r="52">
          <cell r="F52">
            <v>0.09</v>
          </cell>
        </row>
        <row r="55">
          <cell r="C55" t="str">
            <v>% MPBF</v>
          </cell>
          <cell r="D55" t="str">
            <v>%</v>
          </cell>
          <cell r="I55">
            <v>0.75</v>
          </cell>
          <cell r="J55">
            <v>0.75</v>
          </cell>
          <cell r="K55">
            <v>0.5</v>
          </cell>
          <cell r="L55">
            <v>0.5</v>
          </cell>
          <cell r="M55">
            <v>0.5</v>
          </cell>
          <cell r="N55">
            <v>0.5</v>
          </cell>
          <cell r="O55">
            <v>0.5</v>
          </cell>
        </row>
        <row r="62">
          <cell r="C62" t="str">
            <v>Float glass plant</v>
          </cell>
        </row>
        <row r="63">
          <cell r="C63" t="str">
            <v>Clear Glass - 2 mm to 6 mm</v>
          </cell>
          <cell r="D63" t="str">
            <v>%</v>
          </cell>
          <cell r="I63">
            <v>0.04</v>
          </cell>
          <cell r="J63">
            <v>0.04</v>
          </cell>
          <cell r="K63">
            <v>0.04</v>
          </cell>
          <cell r="L63">
            <v>0.04</v>
          </cell>
          <cell r="M63">
            <v>0.04</v>
          </cell>
          <cell r="N63">
            <v>0.04</v>
          </cell>
          <cell r="O63">
            <v>0.04</v>
          </cell>
        </row>
        <row r="64">
          <cell r="C64" t="str">
            <v>Clear Glass - 8 mm, 10 mm, 12 mm</v>
          </cell>
          <cell r="D64" t="str">
            <v>%</v>
          </cell>
          <cell r="I64">
            <v>0.04</v>
          </cell>
          <cell r="J64">
            <v>0.04</v>
          </cell>
          <cell r="K64">
            <v>0.04</v>
          </cell>
          <cell r="L64">
            <v>0.04</v>
          </cell>
          <cell r="M64">
            <v>0.04</v>
          </cell>
          <cell r="N64">
            <v>0.04</v>
          </cell>
          <cell r="O64">
            <v>0.04</v>
          </cell>
        </row>
        <row r="65">
          <cell r="C65" t="str">
            <v>Tinted Glass - 2 mm to 6 mm</v>
          </cell>
          <cell r="D65" t="str">
            <v>%</v>
          </cell>
          <cell r="I65">
            <v>0.04</v>
          </cell>
          <cell r="J65">
            <v>0.04</v>
          </cell>
          <cell r="K65">
            <v>0.04</v>
          </cell>
          <cell r="L65">
            <v>0.04</v>
          </cell>
          <cell r="M65">
            <v>0.04</v>
          </cell>
          <cell r="N65">
            <v>0.04</v>
          </cell>
          <cell r="O65">
            <v>0.04</v>
          </cell>
        </row>
        <row r="66">
          <cell r="C66" t="str">
            <v>Tinted Glass - 8 mm, 10 mm, 12 mm</v>
          </cell>
          <cell r="D66" t="str">
            <v>%</v>
          </cell>
          <cell r="I66">
            <v>0.04</v>
          </cell>
          <cell r="J66">
            <v>0.04</v>
          </cell>
          <cell r="K66">
            <v>0.04</v>
          </cell>
          <cell r="L66">
            <v>0.04</v>
          </cell>
          <cell r="M66">
            <v>0.04</v>
          </cell>
          <cell r="N66">
            <v>0.04</v>
          </cell>
          <cell r="O66">
            <v>0.04</v>
          </cell>
        </row>
        <row r="67">
          <cell r="C67" t="str">
            <v>Off-shade</v>
          </cell>
          <cell r="D67" t="str">
            <v>%</v>
          </cell>
          <cell r="I67">
            <v>0.04</v>
          </cell>
          <cell r="J67">
            <v>0.04</v>
          </cell>
          <cell r="K67">
            <v>0.04</v>
          </cell>
          <cell r="L67">
            <v>0.04</v>
          </cell>
          <cell r="M67">
            <v>0.04</v>
          </cell>
          <cell r="N67">
            <v>0.04</v>
          </cell>
          <cell r="O67">
            <v>0.04</v>
          </cell>
        </row>
        <row r="68">
          <cell r="C68" t="str">
            <v>Processing Plant</v>
          </cell>
        </row>
        <row r="69">
          <cell r="C69" t="str">
            <v>IGU</v>
          </cell>
          <cell r="D69" t="str">
            <v>%</v>
          </cell>
          <cell r="I69">
            <v>0.04</v>
          </cell>
          <cell r="J69">
            <v>0.04</v>
          </cell>
          <cell r="K69">
            <v>0.04</v>
          </cell>
          <cell r="L69">
            <v>0.04</v>
          </cell>
          <cell r="M69">
            <v>0.04</v>
          </cell>
          <cell r="N69">
            <v>0.04</v>
          </cell>
          <cell r="O69">
            <v>0.04</v>
          </cell>
        </row>
        <row r="70">
          <cell r="C70" t="str">
            <v>Tempered Glass</v>
          </cell>
          <cell r="D70" t="str">
            <v>%</v>
          </cell>
          <cell r="I70">
            <v>0.04</v>
          </cell>
          <cell r="J70">
            <v>0.04</v>
          </cell>
          <cell r="K70">
            <v>0.04</v>
          </cell>
          <cell r="L70">
            <v>0.04</v>
          </cell>
          <cell r="M70">
            <v>0.04</v>
          </cell>
          <cell r="N70">
            <v>0.04</v>
          </cell>
          <cell r="O70">
            <v>0.04</v>
          </cell>
        </row>
        <row r="73">
          <cell r="C73" t="str">
            <v xml:space="preserve">Silica Sand </v>
          </cell>
          <cell r="D73" t="str">
            <v>%</v>
          </cell>
          <cell r="I73">
            <v>0.06</v>
          </cell>
          <cell r="J73">
            <v>0.06</v>
          </cell>
          <cell r="K73">
            <v>0.06</v>
          </cell>
          <cell r="L73">
            <v>0.06</v>
          </cell>
          <cell r="M73">
            <v>0.06</v>
          </cell>
          <cell r="N73">
            <v>0.06</v>
          </cell>
          <cell r="O73">
            <v>0.06</v>
          </cell>
        </row>
        <row r="74">
          <cell r="C74" t="str">
            <v>Quartz Powder</v>
          </cell>
          <cell r="D74" t="str">
            <v>%</v>
          </cell>
          <cell r="I74">
            <v>0.06</v>
          </cell>
          <cell r="J74">
            <v>0.06</v>
          </cell>
          <cell r="K74">
            <v>0.06</v>
          </cell>
          <cell r="L74">
            <v>0.06</v>
          </cell>
          <cell r="M74">
            <v>0.06</v>
          </cell>
          <cell r="N74">
            <v>0.06</v>
          </cell>
          <cell r="O74">
            <v>0.06</v>
          </cell>
        </row>
        <row r="75">
          <cell r="C75" t="str">
            <v xml:space="preserve">Soda Ash </v>
          </cell>
          <cell r="D75" t="str">
            <v>%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</row>
        <row r="76">
          <cell r="C76" t="str">
            <v>Limestone</v>
          </cell>
          <cell r="D76" t="str">
            <v>%</v>
          </cell>
          <cell r="I76">
            <v>0.06</v>
          </cell>
          <cell r="J76">
            <v>0.06</v>
          </cell>
          <cell r="K76">
            <v>0.06</v>
          </cell>
          <cell r="L76">
            <v>0.06</v>
          </cell>
          <cell r="M76">
            <v>0.06</v>
          </cell>
          <cell r="N76">
            <v>0.06</v>
          </cell>
          <cell r="O76">
            <v>0.06</v>
          </cell>
        </row>
        <row r="77">
          <cell r="C77" t="str">
            <v>Feldspar</v>
          </cell>
          <cell r="D77" t="str">
            <v>%</v>
          </cell>
          <cell r="I77">
            <v>0.06</v>
          </cell>
          <cell r="J77">
            <v>0.06</v>
          </cell>
          <cell r="K77">
            <v>0.06</v>
          </cell>
          <cell r="L77">
            <v>0.06</v>
          </cell>
          <cell r="M77">
            <v>0.06</v>
          </cell>
          <cell r="N77">
            <v>0.06</v>
          </cell>
          <cell r="O77">
            <v>0.06</v>
          </cell>
        </row>
        <row r="78">
          <cell r="C78" t="str">
            <v>Dolomite</v>
          </cell>
          <cell r="D78" t="str">
            <v>%</v>
          </cell>
          <cell r="I78">
            <v>0.06</v>
          </cell>
          <cell r="J78">
            <v>0.06</v>
          </cell>
          <cell r="K78">
            <v>0.06</v>
          </cell>
          <cell r="L78">
            <v>0.06</v>
          </cell>
          <cell r="M78">
            <v>0.06</v>
          </cell>
          <cell r="N78">
            <v>0.06</v>
          </cell>
          <cell r="O78">
            <v>0.06</v>
          </cell>
        </row>
        <row r="79">
          <cell r="C79" t="str">
            <v>Cullets</v>
          </cell>
          <cell r="D79" t="str">
            <v>%</v>
          </cell>
          <cell r="I79">
            <v>0.06</v>
          </cell>
          <cell r="J79">
            <v>0.06</v>
          </cell>
          <cell r="K79">
            <v>0.06</v>
          </cell>
          <cell r="L79">
            <v>0.06</v>
          </cell>
          <cell r="M79">
            <v>0.06</v>
          </cell>
          <cell r="N79">
            <v>0.06</v>
          </cell>
          <cell r="O79">
            <v>0.06</v>
          </cell>
        </row>
        <row r="80">
          <cell r="C80" t="str">
            <v>Other Chemicals</v>
          </cell>
          <cell r="D80" t="str">
            <v>%</v>
          </cell>
          <cell r="I80">
            <v>0.06</v>
          </cell>
          <cell r="J80">
            <v>0.06</v>
          </cell>
          <cell r="K80">
            <v>0.06</v>
          </cell>
          <cell r="L80">
            <v>0.06</v>
          </cell>
          <cell r="M80">
            <v>0.06</v>
          </cell>
          <cell r="N80">
            <v>0.06</v>
          </cell>
          <cell r="O80">
            <v>0.06</v>
          </cell>
        </row>
        <row r="81">
          <cell r="C81" t="str">
            <v>Consumables</v>
          </cell>
          <cell r="D81" t="str">
            <v>%</v>
          </cell>
          <cell r="I81">
            <v>0.06</v>
          </cell>
          <cell r="J81">
            <v>0.06</v>
          </cell>
          <cell r="K81">
            <v>0.06</v>
          </cell>
          <cell r="L81">
            <v>0.06</v>
          </cell>
          <cell r="M81">
            <v>0.06</v>
          </cell>
          <cell r="N81">
            <v>0.06</v>
          </cell>
          <cell r="O81">
            <v>0.06</v>
          </cell>
        </row>
        <row r="84">
          <cell r="C84" t="str">
            <v>Power &amp; Fuel</v>
          </cell>
          <cell r="D84" t="str">
            <v>%</v>
          </cell>
          <cell r="I84">
            <v>0.03</v>
          </cell>
          <cell r="J84">
            <v>0.03</v>
          </cell>
          <cell r="K84">
            <v>0.03</v>
          </cell>
          <cell r="L84">
            <v>3.0000000000000249E-2</v>
          </cell>
          <cell r="M84">
            <v>2.9999999999999805E-2</v>
          </cell>
          <cell r="N84">
            <v>0.03</v>
          </cell>
          <cell r="O84">
            <v>0.03</v>
          </cell>
          <cell r="P84" t="str">
            <v>table_HNGFL_power_cost_growth</v>
          </cell>
        </row>
        <row r="85">
          <cell r="C85" t="str">
            <v>Water cost</v>
          </cell>
          <cell r="D85" t="str">
            <v>%</v>
          </cell>
          <cell r="I85">
            <v>0.03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  <cell r="O85">
            <v>0.03</v>
          </cell>
          <cell r="P85" t="str">
            <v>table_HNGFL_water_cost_growth</v>
          </cell>
        </row>
        <row r="86">
          <cell r="C86" t="str">
            <v>Packing costs</v>
          </cell>
          <cell r="D86" t="str">
            <v>%</v>
          </cell>
          <cell r="I86">
            <v>0.03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  <cell r="O86">
            <v>0.03</v>
          </cell>
          <cell r="P86" t="str">
            <v>table_HNGFL_packing_cost_growth</v>
          </cell>
        </row>
        <row r="87">
          <cell r="C87" t="str">
            <v>Other manufacturing costs</v>
          </cell>
          <cell r="D87" t="str">
            <v>%</v>
          </cell>
          <cell r="I87">
            <v>0.03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  <cell r="O87">
            <v>0.03</v>
          </cell>
        </row>
        <row r="89">
          <cell r="B89" t="str">
            <v>Salary Growth</v>
          </cell>
          <cell r="D89" t="str">
            <v>%</v>
          </cell>
          <cell r="I89">
            <v>0.12</v>
          </cell>
          <cell r="J89">
            <v>0.12</v>
          </cell>
          <cell r="K89">
            <v>0.12</v>
          </cell>
          <cell r="L89">
            <v>0.12</v>
          </cell>
          <cell r="M89">
            <v>0.12</v>
          </cell>
          <cell r="N89">
            <v>0.12</v>
          </cell>
          <cell r="O89">
            <v>0.12</v>
          </cell>
        </row>
        <row r="92">
          <cell r="C92" t="str">
            <v>Stores &amp; spares</v>
          </cell>
          <cell r="D92" t="str">
            <v>%</v>
          </cell>
          <cell r="I92">
            <v>0.03</v>
          </cell>
          <cell r="J92">
            <v>0.03</v>
          </cell>
          <cell r="K92">
            <v>0.03</v>
          </cell>
          <cell r="L92">
            <v>0.03</v>
          </cell>
          <cell r="M92">
            <v>0.03</v>
          </cell>
          <cell r="N92">
            <v>0.03</v>
          </cell>
          <cell r="O92">
            <v>0.03</v>
          </cell>
        </row>
        <row r="93">
          <cell r="C93" t="str">
            <v>Repairs &amp; maintenance</v>
          </cell>
          <cell r="D93" t="str">
            <v>%</v>
          </cell>
          <cell r="I93">
            <v>0.03</v>
          </cell>
          <cell r="J93">
            <v>0.03</v>
          </cell>
          <cell r="K93">
            <v>0.03</v>
          </cell>
          <cell r="L93">
            <v>0.03</v>
          </cell>
          <cell r="M93">
            <v>0.03</v>
          </cell>
          <cell r="N93">
            <v>0.03</v>
          </cell>
          <cell r="O93">
            <v>0.03</v>
          </cell>
        </row>
      </sheetData>
      <sheetData sheetId="2" refreshError="1"/>
      <sheetData sheetId="3" refreshError="1"/>
      <sheetData sheetId="4" refreshError="1">
        <row r="10">
          <cell r="C10" t="str">
            <v>Rishra Furnace I</v>
          </cell>
          <cell r="D10" t="str">
            <v>MT/ day</v>
          </cell>
          <cell r="F10">
            <v>170.02442129629631</v>
          </cell>
          <cell r="G10">
            <v>172.05</v>
          </cell>
          <cell r="H10">
            <v>163.07749999999999</v>
          </cell>
          <cell r="I10">
            <v>170</v>
          </cell>
          <cell r="J10">
            <v>225</v>
          </cell>
          <cell r="K10">
            <v>225</v>
          </cell>
          <cell r="L10">
            <v>225</v>
          </cell>
          <cell r="M10">
            <v>225</v>
          </cell>
          <cell r="N10">
            <v>225</v>
          </cell>
          <cell r="O10">
            <v>225</v>
          </cell>
        </row>
        <row r="11">
          <cell r="C11" t="str">
            <v xml:space="preserve">Rishra Furnace II </v>
          </cell>
          <cell r="D11" t="str">
            <v>MT/ day</v>
          </cell>
          <cell r="F11">
            <v>183.81018518518519</v>
          </cell>
          <cell r="G11">
            <v>190</v>
          </cell>
          <cell r="H11">
            <v>215.02</v>
          </cell>
          <cell r="I11">
            <v>225</v>
          </cell>
          <cell r="J11">
            <v>225</v>
          </cell>
          <cell r="K11">
            <v>225</v>
          </cell>
          <cell r="L11">
            <v>225</v>
          </cell>
          <cell r="M11">
            <v>225</v>
          </cell>
          <cell r="N11">
            <v>225</v>
          </cell>
          <cell r="O11">
            <v>225</v>
          </cell>
        </row>
        <row r="12">
          <cell r="C12" t="str">
            <v>Rishra Furnace VI</v>
          </cell>
          <cell r="D12" t="str">
            <v>MT/ day</v>
          </cell>
          <cell r="F12">
            <v>307.8820601851852</v>
          </cell>
          <cell r="G12">
            <v>318.25</v>
          </cell>
          <cell r="H12">
            <v>324.86399999999998</v>
          </cell>
          <cell r="I12">
            <v>340</v>
          </cell>
          <cell r="J12">
            <v>440</v>
          </cell>
          <cell r="K12">
            <v>456.66666666666669</v>
          </cell>
          <cell r="L12">
            <v>498.75</v>
          </cell>
          <cell r="M12">
            <v>525</v>
          </cell>
          <cell r="N12">
            <v>525</v>
          </cell>
          <cell r="O12">
            <v>525</v>
          </cell>
        </row>
        <row r="13">
          <cell r="C13" t="str">
            <v>Bghr Furnace III</v>
          </cell>
          <cell r="D13" t="str">
            <v>MT/ day</v>
          </cell>
          <cell r="F13">
            <v>329.82864488262925</v>
          </cell>
          <cell r="G13">
            <v>329.3</v>
          </cell>
          <cell r="H13">
            <v>344.04500000000002</v>
          </cell>
          <cell r="I13">
            <v>355</v>
          </cell>
          <cell r="J13">
            <v>355</v>
          </cell>
          <cell r="K13">
            <v>355</v>
          </cell>
          <cell r="L13">
            <v>355</v>
          </cell>
          <cell r="M13">
            <v>355</v>
          </cell>
          <cell r="N13">
            <v>355</v>
          </cell>
          <cell r="O13">
            <v>355</v>
          </cell>
        </row>
        <row r="14">
          <cell r="C14" t="str">
            <v>Bghr Furnace IV</v>
          </cell>
          <cell r="D14" t="str">
            <v>MT/ day</v>
          </cell>
          <cell r="F14">
            <v>147.08574704225359</v>
          </cell>
          <cell r="G14">
            <v>138.17925</v>
          </cell>
          <cell r="H14">
            <v>145.2825</v>
          </cell>
          <cell r="I14">
            <v>275</v>
          </cell>
          <cell r="J14">
            <v>275</v>
          </cell>
          <cell r="K14">
            <v>275</v>
          </cell>
          <cell r="L14">
            <v>275</v>
          </cell>
          <cell r="M14">
            <v>275</v>
          </cell>
          <cell r="N14">
            <v>275</v>
          </cell>
          <cell r="O14">
            <v>275</v>
          </cell>
        </row>
        <row r="15">
          <cell r="C15" t="str">
            <v>Bghr Furnace V</v>
          </cell>
          <cell r="D15" t="str">
            <v>MT/ day</v>
          </cell>
          <cell r="F15">
            <v>138.17145934272307</v>
          </cell>
          <cell r="G15">
            <v>137.94999999999999</v>
          </cell>
          <cell r="H15">
            <v>112.2975</v>
          </cell>
          <cell r="I15">
            <v>170</v>
          </cell>
          <cell r="J15">
            <v>170</v>
          </cell>
          <cell r="K15">
            <v>170</v>
          </cell>
          <cell r="L15">
            <v>170</v>
          </cell>
          <cell r="M15">
            <v>170</v>
          </cell>
          <cell r="N15">
            <v>170</v>
          </cell>
          <cell r="O15">
            <v>170</v>
          </cell>
        </row>
        <row r="16">
          <cell r="C16" t="str">
            <v>Neemrana Furnace</v>
          </cell>
          <cell r="D16" t="str">
            <v>MT/ day</v>
          </cell>
          <cell r="F16">
            <v>126</v>
          </cell>
          <cell r="G16">
            <v>172.8</v>
          </cell>
          <cell r="H16">
            <v>177.03</v>
          </cell>
          <cell r="I16">
            <v>200</v>
          </cell>
          <cell r="J16">
            <v>200</v>
          </cell>
          <cell r="K16">
            <v>200</v>
          </cell>
          <cell r="L16">
            <v>480</v>
          </cell>
          <cell r="M16">
            <v>502.5</v>
          </cell>
          <cell r="N16">
            <v>525</v>
          </cell>
          <cell r="O16">
            <v>525</v>
          </cell>
        </row>
        <row r="17">
          <cell r="C17" t="str">
            <v>Rishikesh Furnace 1</v>
          </cell>
          <cell r="D17" t="str">
            <v>MT/ day</v>
          </cell>
          <cell r="F17">
            <v>249.33598233995585</v>
          </cell>
          <cell r="G17">
            <v>247.5</v>
          </cell>
          <cell r="H17">
            <v>241.72225</v>
          </cell>
          <cell r="I17">
            <v>290</v>
          </cell>
          <cell r="J17">
            <v>290</v>
          </cell>
          <cell r="K17">
            <v>290</v>
          </cell>
          <cell r="L17">
            <v>290</v>
          </cell>
          <cell r="M17">
            <v>290</v>
          </cell>
          <cell r="N17">
            <v>290</v>
          </cell>
          <cell r="O17">
            <v>290</v>
          </cell>
        </row>
        <row r="18">
          <cell r="C18" t="str">
            <v>Rishikesh Furnace 2</v>
          </cell>
          <cell r="D18" t="str">
            <v>MT/ day</v>
          </cell>
          <cell r="F18">
            <v>115.76313465783664</v>
          </cell>
          <cell r="G18">
            <v>121.5</v>
          </cell>
          <cell r="H18">
            <v>122.9025</v>
          </cell>
          <cell r="I18">
            <v>130</v>
          </cell>
          <cell r="J18">
            <v>130</v>
          </cell>
          <cell r="K18">
            <v>130</v>
          </cell>
          <cell r="L18">
            <v>130</v>
          </cell>
          <cell r="M18">
            <v>130</v>
          </cell>
          <cell r="N18">
            <v>130</v>
          </cell>
          <cell r="O18">
            <v>130</v>
          </cell>
        </row>
        <row r="19">
          <cell r="C19" t="str">
            <v>Pondicherry Furnace 1</v>
          </cell>
          <cell r="D19" t="str">
            <v>MT/ day</v>
          </cell>
          <cell r="F19">
            <v>315.49166666666667</v>
          </cell>
          <cell r="G19">
            <v>325.31399999999996</v>
          </cell>
          <cell r="H19">
            <v>355.40571999999997</v>
          </cell>
          <cell r="I19">
            <v>360</v>
          </cell>
          <cell r="J19">
            <v>360</v>
          </cell>
          <cell r="K19">
            <v>360</v>
          </cell>
          <cell r="L19">
            <v>440</v>
          </cell>
          <cell r="M19">
            <v>463.33333333333331</v>
          </cell>
          <cell r="N19">
            <v>506.25</v>
          </cell>
          <cell r="O19">
            <v>525</v>
          </cell>
        </row>
        <row r="20">
          <cell r="C20" t="str">
            <v>Nashik Furnace 1</v>
          </cell>
          <cell r="D20" t="str">
            <v>MT/ day</v>
          </cell>
          <cell r="F20">
            <v>319.3</v>
          </cell>
          <cell r="G20">
            <v>329.4</v>
          </cell>
          <cell r="H20">
            <v>344.07749999999999</v>
          </cell>
          <cell r="I20">
            <v>360</v>
          </cell>
          <cell r="J20">
            <v>480</v>
          </cell>
          <cell r="K20">
            <v>506.25</v>
          </cell>
          <cell r="L20">
            <v>525</v>
          </cell>
          <cell r="M20">
            <v>525</v>
          </cell>
          <cell r="N20">
            <v>525</v>
          </cell>
          <cell r="O20">
            <v>525</v>
          </cell>
        </row>
        <row r="21">
          <cell r="C21" t="str">
            <v>West Furnace (New)</v>
          </cell>
          <cell r="D21" t="str">
            <v>MT/ day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500</v>
          </cell>
          <cell r="L21">
            <v>510</v>
          </cell>
          <cell r="M21">
            <v>550</v>
          </cell>
          <cell r="N21">
            <v>580</v>
          </cell>
          <cell r="O21">
            <v>580</v>
          </cell>
        </row>
        <row r="22">
          <cell r="C22" t="str">
            <v>North Furnace (New)</v>
          </cell>
          <cell r="D22" t="str">
            <v>MT/ day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500</v>
          </cell>
          <cell r="M22">
            <v>510</v>
          </cell>
          <cell r="N22">
            <v>550</v>
          </cell>
          <cell r="O22">
            <v>580</v>
          </cell>
        </row>
        <row r="23">
          <cell r="C23" t="str">
            <v xml:space="preserve">Andhra Pradesh </v>
          </cell>
          <cell r="D23" t="str">
            <v>MT/ day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500</v>
          </cell>
          <cell r="L23">
            <v>540</v>
          </cell>
          <cell r="M23">
            <v>580</v>
          </cell>
          <cell r="N23">
            <v>580</v>
          </cell>
          <cell r="O23">
            <v>580</v>
          </cell>
        </row>
        <row r="27">
          <cell r="C27" t="str">
            <v>Rishra Furnace I</v>
          </cell>
          <cell r="D27" t="str">
            <v>%</v>
          </cell>
          <cell r="F27">
            <v>0.90080321926448748</v>
          </cell>
          <cell r="G27">
            <v>0.90624242522178955</v>
          </cell>
          <cell r="H27">
            <v>0.88120358858909309</v>
          </cell>
          <cell r="I27">
            <v>0.9</v>
          </cell>
          <cell r="J27">
            <v>0.875</v>
          </cell>
          <cell r="K27">
            <v>0.9</v>
          </cell>
          <cell r="L27">
            <v>0.9</v>
          </cell>
          <cell r="M27">
            <v>0.9</v>
          </cell>
          <cell r="N27">
            <v>0.9</v>
          </cell>
          <cell r="O27">
            <v>0.9</v>
          </cell>
        </row>
        <row r="28">
          <cell r="C28" t="str">
            <v xml:space="preserve">Rishra Furnace II </v>
          </cell>
          <cell r="D28" t="str">
            <v>%</v>
          </cell>
          <cell r="F28">
            <v>0.90593397891680549</v>
          </cell>
          <cell r="G28">
            <v>0.89874402971873346</v>
          </cell>
          <cell r="H28">
            <v>0.81247040519515656</v>
          </cell>
          <cell r="I28">
            <v>0.9</v>
          </cell>
          <cell r="J28">
            <v>0.9</v>
          </cell>
          <cell r="K28">
            <v>0.9</v>
          </cell>
          <cell r="L28">
            <v>0.9</v>
          </cell>
          <cell r="M28">
            <v>0.9</v>
          </cell>
          <cell r="N28">
            <v>0.9</v>
          </cell>
          <cell r="O28">
            <v>0.9</v>
          </cell>
        </row>
        <row r="29">
          <cell r="C29" t="str">
            <v>Rishra Furnace VI</v>
          </cell>
          <cell r="D29" t="str">
            <v>%</v>
          </cell>
          <cell r="F29">
            <v>0.91365454861715079</v>
          </cell>
          <cell r="G29">
            <v>0.91791853151844416</v>
          </cell>
          <cell r="H29">
            <v>0.89696381884119081</v>
          </cell>
          <cell r="I29">
            <v>0.9</v>
          </cell>
          <cell r="J29">
            <v>0.85</v>
          </cell>
          <cell r="K29">
            <v>0.9</v>
          </cell>
          <cell r="L29">
            <v>0.9</v>
          </cell>
          <cell r="M29">
            <v>0.9</v>
          </cell>
          <cell r="N29">
            <v>0.9</v>
          </cell>
          <cell r="O29">
            <v>0.9</v>
          </cell>
        </row>
        <row r="30">
          <cell r="C30" t="str">
            <v>Bghr Furnace III</v>
          </cell>
          <cell r="D30" t="str">
            <v>%</v>
          </cell>
          <cell r="F30">
            <v>0.86393463230672529</v>
          </cell>
          <cell r="G30">
            <v>0.86348813078372821</v>
          </cell>
          <cell r="H30">
            <v>0.86395126612517914</v>
          </cell>
          <cell r="I30">
            <v>0.9</v>
          </cell>
          <cell r="J30">
            <v>0.9</v>
          </cell>
          <cell r="K30">
            <v>0.9</v>
          </cell>
          <cell r="L30">
            <v>0.9</v>
          </cell>
          <cell r="M30">
            <v>0.9</v>
          </cell>
          <cell r="N30">
            <v>0.9</v>
          </cell>
          <cell r="O30">
            <v>0.9</v>
          </cell>
        </row>
        <row r="31">
          <cell r="C31" t="str">
            <v>Bghr Furnace IV</v>
          </cell>
          <cell r="D31" t="str">
            <v>%</v>
          </cell>
          <cell r="F31">
            <v>0.86297136787214523</v>
          </cell>
          <cell r="G31">
            <v>0.84728479962058334</v>
          </cell>
          <cell r="H31">
            <v>0.87308352348803442</v>
          </cell>
          <cell r="I31">
            <v>0.82857142857142863</v>
          </cell>
          <cell r="J31">
            <v>0.9</v>
          </cell>
          <cell r="K31">
            <v>0.9</v>
          </cell>
          <cell r="L31">
            <v>0.9</v>
          </cell>
          <cell r="M31">
            <v>0.9</v>
          </cell>
          <cell r="N31">
            <v>0.9</v>
          </cell>
          <cell r="O31">
            <v>0.9</v>
          </cell>
        </row>
        <row r="32">
          <cell r="C32" t="str">
            <v>Bghr Furnace V</v>
          </cell>
          <cell r="D32" t="str">
            <v>%</v>
          </cell>
          <cell r="F32">
            <v>0.85521594684385382</v>
          </cell>
          <cell r="G32">
            <v>0.87051719482559708</v>
          </cell>
          <cell r="H32">
            <v>0.84325917290067687</v>
          </cell>
          <cell r="I32">
            <v>0.9</v>
          </cell>
          <cell r="J32">
            <v>0.9</v>
          </cell>
          <cell r="K32">
            <v>0.9</v>
          </cell>
          <cell r="L32">
            <v>0.9</v>
          </cell>
          <cell r="M32">
            <v>0.9</v>
          </cell>
          <cell r="N32">
            <v>0.9</v>
          </cell>
          <cell r="O32">
            <v>0.9</v>
          </cell>
        </row>
        <row r="33">
          <cell r="C33" t="str">
            <v>Neemrana Furnace</v>
          </cell>
          <cell r="D33" t="str">
            <v>%</v>
          </cell>
          <cell r="F33">
            <v>0.8</v>
          </cell>
          <cell r="G33">
            <v>0.85142094220865916</v>
          </cell>
          <cell r="H33">
            <v>0.88534814975314569</v>
          </cell>
          <cell r="I33">
            <v>0.90400000000000003</v>
          </cell>
          <cell r="J33">
            <v>0.90400000000000003</v>
          </cell>
          <cell r="K33">
            <v>0.90400000000000003</v>
          </cell>
          <cell r="L33">
            <v>0.85833333333333328</v>
          </cell>
          <cell r="M33">
            <v>0.9</v>
          </cell>
          <cell r="N33">
            <v>0.9</v>
          </cell>
          <cell r="O33">
            <v>0.9</v>
          </cell>
        </row>
        <row r="34">
          <cell r="C34" t="str">
            <v>Rishikesh Furnace 1</v>
          </cell>
          <cell r="D34" t="str">
            <v>%</v>
          </cell>
          <cell r="F34">
            <v>0.86927602967510875</v>
          </cell>
          <cell r="G34">
            <v>0.87321989096315877</v>
          </cell>
          <cell r="H34">
            <v>0.86259464115700235</v>
          </cell>
          <cell r="I34">
            <v>0.81666666666666676</v>
          </cell>
          <cell r="J34">
            <v>0.9</v>
          </cell>
          <cell r="K34">
            <v>0.9</v>
          </cell>
          <cell r="L34">
            <v>0.9</v>
          </cell>
          <cell r="M34">
            <v>0.9</v>
          </cell>
          <cell r="N34">
            <v>0.9</v>
          </cell>
          <cell r="O34">
            <v>0.9</v>
          </cell>
        </row>
        <row r="35">
          <cell r="C35" t="str">
            <v>Rishikesh Furnace 2</v>
          </cell>
          <cell r="D35" t="str">
            <v>%</v>
          </cell>
          <cell r="F35">
            <v>0.85101732506187522</v>
          </cell>
          <cell r="G35">
            <v>0.87860197478897517</v>
          </cell>
          <cell r="H35">
            <v>0.89052120023184267</v>
          </cell>
          <cell r="I35">
            <v>0.9</v>
          </cell>
          <cell r="J35">
            <v>0.9</v>
          </cell>
          <cell r="K35">
            <v>0.9</v>
          </cell>
          <cell r="L35">
            <v>0.9</v>
          </cell>
          <cell r="M35">
            <v>0.9</v>
          </cell>
          <cell r="N35">
            <v>0.9</v>
          </cell>
          <cell r="O35">
            <v>0.9</v>
          </cell>
        </row>
        <row r="36">
          <cell r="C36" t="str">
            <v>Pondicherry Furnace 1</v>
          </cell>
          <cell r="D36" t="str">
            <v>%</v>
          </cell>
          <cell r="F36">
            <v>0.88921269964253635</v>
          </cell>
          <cell r="G36">
            <v>0.89710031413965319</v>
          </cell>
          <cell r="H36">
            <v>0.88816697110530496</v>
          </cell>
          <cell r="I36">
            <v>0.9</v>
          </cell>
          <cell r="J36">
            <v>0.9</v>
          </cell>
          <cell r="K36">
            <v>0.9</v>
          </cell>
          <cell r="L36">
            <v>0.86428571428571432</v>
          </cell>
          <cell r="M36">
            <v>0.9</v>
          </cell>
          <cell r="N36">
            <v>0.9</v>
          </cell>
          <cell r="O36">
            <v>0.9</v>
          </cell>
        </row>
        <row r="37">
          <cell r="C37" t="str">
            <v>Nashik Furnace 1</v>
          </cell>
          <cell r="D37" t="str">
            <v>%</v>
          </cell>
          <cell r="F37">
            <v>0.84474319120308072</v>
          </cell>
          <cell r="G37">
            <v>0.89861294583883755</v>
          </cell>
          <cell r="H37">
            <v>0.86892960370733108</v>
          </cell>
          <cell r="I37">
            <v>0.89500000000000002</v>
          </cell>
          <cell r="J37">
            <v>0.86428571428571432</v>
          </cell>
          <cell r="K37">
            <v>0.9</v>
          </cell>
          <cell r="L37">
            <v>0.9</v>
          </cell>
          <cell r="M37">
            <v>0.9</v>
          </cell>
          <cell r="N37">
            <v>0.9</v>
          </cell>
          <cell r="O37">
            <v>0.9</v>
          </cell>
        </row>
        <row r="38">
          <cell r="C38" t="str">
            <v>West Furnace (New)</v>
          </cell>
          <cell r="D38" t="str">
            <v>%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0.7</v>
          </cell>
          <cell r="L38">
            <v>0.91833333333333333</v>
          </cell>
          <cell r="M38">
            <v>0.92</v>
          </cell>
          <cell r="N38">
            <v>0.92</v>
          </cell>
          <cell r="O38">
            <v>0.92</v>
          </cell>
        </row>
        <row r="39">
          <cell r="C39" t="str">
            <v>North Furnace (New)</v>
          </cell>
          <cell r="D39" t="str">
            <v>%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0.7</v>
          </cell>
          <cell r="M39">
            <v>0.91833333333333333</v>
          </cell>
          <cell r="N39">
            <v>0.92</v>
          </cell>
          <cell r="O39">
            <v>0.92</v>
          </cell>
        </row>
        <row r="40">
          <cell r="C40" t="str">
            <v xml:space="preserve">Andhra Pradesh </v>
          </cell>
          <cell r="D40" t="str">
            <v>%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0.86333333333333329</v>
          </cell>
          <cell r="L40">
            <v>0.92</v>
          </cell>
          <cell r="M40">
            <v>0.92</v>
          </cell>
          <cell r="N40">
            <v>0.92</v>
          </cell>
          <cell r="O40">
            <v>0.92</v>
          </cell>
        </row>
        <row r="46">
          <cell r="C46" t="str">
            <v>Rishra Furnace I</v>
          </cell>
          <cell r="F46">
            <v>0</v>
          </cell>
          <cell r="G46">
            <v>85</v>
          </cell>
          <cell r="H46">
            <v>0</v>
          </cell>
          <cell r="I46">
            <v>30</v>
          </cell>
          <cell r="J46">
            <v>60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 xml:space="preserve">Rishra Furnace II </v>
          </cell>
          <cell r="F47">
            <v>0</v>
          </cell>
          <cell r="G47">
            <v>0</v>
          </cell>
          <cell r="H47">
            <v>90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str">
            <v>Rishra Furnace VI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90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str">
            <v>Bghr Furnace III</v>
          </cell>
          <cell r="F49">
            <v>0</v>
          </cell>
          <cell r="G49">
            <v>66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str">
            <v>Bghr Furnace IV</v>
          </cell>
          <cell r="F50">
            <v>0</v>
          </cell>
          <cell r="G50">
            <v>0</v>
          </cell>
          <cell r="H50">
            <v>0</v>
          </cell>
          <cell r="I50">
            <v>135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str">
            <v>Bghr Furnace V</v>
          </cell>
          <cell r="F51">
            <v>0</v>
          </cell>
          <cell r="G51">
            <v>0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Neemrana Furnace</v>
          </cell>
          <cell r="F52">
            <v>347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120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Rishikesh Furnace 1</v>
          </cell>
          <cell r="F53">
            <v>0</v>
          </cell>
          <cell r="G53">
            <v>0</v>
          </cell>
          <cell r="H53">
            <v>0</v>
          </cell>
          <cell r="I53">
            <v>60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Rishikesh Furnace 2</v>
          </cell>
          <cell r="F54">
            <v>90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C55" t="str">
            <v>Pondicherry Furnace 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90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>Nashik Furnace 1</v>
          </cell>
          <cell r="F56">
            <v>90</v>
          </cell>
          <cell r="G56">
            <v>0</v>
          </cell>
          <cell r="H56">
            <v>0</v>
          </cell>
          <cell r="I56">
            <v>0</v>
          </cell>
          <cell r="J56">
            <v>90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C57" t="str">
            <v>West Furnace (New)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275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North Furnace (New)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275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 xml:space="preserve">Andhra Pradesh 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2">
          <cell r="C62" t="str">
            <v>Rishra Furnace I</v>
          </cell>
          <cell r="I62">
            <v>40603</v>
          </cell>
          <cell r="J62">
            <v>40634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C63" t="str">
            <v xml:space="preserve">Rishra Furnace II 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Rishra Furnace VI</v>
          </cell>
          <cell r="I64">
            <v>0</v>
          </cell>
          <cell r="J64">
            <v>40756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Bghr Furnace III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Bghr Furnace IV</v>
          </cell>
          <cell r="I66">
            <v>40391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>Bghr Furnace V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Neemrana Furnace</v>
          </cell>
          <cell r="I68">
            <v>0</v>
          </cell>
          <cell r="J68">
            <v>0</v>
          </cell>
          <cell r="K68">
            <v>0</v>
          </cell>
          <cell r="L68">
            <v>41426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Rishikesh Furnace 1</v>
          </cell>
          <cell r="I69">
            <v>40483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Rishikesh Furnace 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Pondicherry Furnace 1</v>
          </cell>
          <cell r="I71">
            <v>0</v>
          </cell>
          <cell r="J71">
            <v>0</v>
          </cell>
          <cell r="K71">
            <v>0</v>
          </cell>
          <cell r="L71">
            <v>41426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Nashik Furnace 1</v>
          </cell>
          <cell r="I72">
            <v>0</v>
          </cell>
          <cell r="J72">
            <v>40695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West Furnace (New)</v>
          </cell>
          <cell r="I73">
            <v>0</v>
          </cell>
          <cell r="J73">
            <v>0</v>
          </cell>
          <cell r="K73">
            <v>41275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 t="str">
            <v>North Furnace (New)</v>
          </cell>
          <cell r="I74">
            <v>0</v>
          </cell>
          <cell r="J74">
            <v>0</v>
          </cell>
          <cell r="K74">
            <v>0</v>
          </cell>
          <cell r="L74">
            <v>41640</v>
          </cell>
          <cell r="M74">
            <v>0</v>
          </cell>
          <cell r="N74">
            <v>0</v>
          </cell>
          <cell r="O74">
            <v>0</v>
          </cell>
        </row>
        <row r="75">
          <cell r="C75" t="str">
            <v xml:space="preserve">Andhra Pradesh </v>
          </cell>
          <cell r="I75">
            <v>0</v>
          </cell>
          <cell r="J75">
            <v>0</v>
          </cell>
          <cell r="K75">
            <v>41000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8">
          <cell r="C78" t="str">
            <v>Number of operating days</v>
          </cell>
          <cell r="D78" t="str">
            <v>days</v>
          </cell>
          <cell r="F78">
            <v>360</v>
          </cell>
          <cell r="G78">
            <v>365</v>
          </cell>
          <cell r="H78">
            <v>365</v>
          </cell>
          <cell r="I78">
            <v>365</v>
          </cell>
          <cell r="J78">
            <v>365</v>
          </cell>
          <cell r="K78">
            <v>365</v>
          </cell>
          <cell r="L78">
            <v>365</v>
          </cell>
          <cell r="M78">
            <v>365</v>
          </cell>
          <cell r="N78">
            <v>365</v>
          </cell>
          <cell r="O78">
            <v>365</v>
          </cell>
        </row>
        <row r="112">
          <cell r="C112" t="str">
            <v>Beer</v>
          </cell>
          <cell r="D112" t="str">
            <v>%</v>
          </cell>
          <cell r="I112">
            <v>0.15928262995705383</v>
          </cell>
          <cell r="J112">
            <v>0.15584631603141827</v>
          </cell>
          <cell r="K112">
            <v>0.1311299263574176</v>
          </cell>
          <cell r="L112">
            <v>0.12926674827298096</v>
          </cell>
          <cell r="M112">
            <v>0.14576541324373016</v>
          </cell>
          <cell r="N112">
            <v>0.14574933188476472</v>
          </cell>
          <cell r="O112">
            <v>0.14551450692800963</v>
          </cell>
        </row>
        <row r="113">
          <cell r="C113" t="str">
            <v>Food &amp; Dairy</v>
          </cell>
          <cell r="D113" t="str">
            <v>%</v>
          </cell>
          <cell r="I113">
            <v>0.11461891212390632</v>
          </cell>
          <cell r="J113">
            <v>0.11465443637129381</v>
          </cell>
          <cell r="K113">
            <v>9.591539897960201E-2</v>
          </cell>
          <cell r="L113">
            <v>8.9499760288270946E-2</v>
          </cell>
          <cell r="M113">
            <v>9.0718228255037003E-2</v>
          </cell>
          <cell r="N113">
            <v>9.0771951377243573E-2</v>
          </cell>
          <cell r="O113">
            <v>9.0625703574381683E-2</v>
          </cell>
        </row>
        <row r="114">
          <cell r="C114" t="str">
            <v xml:space="preserve">Household </v>
          </cell>
          <cell r="D114" t="str">
            <v>%</v>
          </cell>
          <cell r="I114">
            <v>2.2438369640752936E-2</v>
          </cell>
          <cell r="J114">
            <v>2.5308892381671794E-2</v>
          </cell>
          <cell r="K114">
            <v>1.9672742108383594E-2</v>
          </cell>
          <cell r="L114">
            <v>1.9172026051396788E-2</v>
          </cell>
          <cell r="M114">
            <v>1.7301005100597445E-2</v>
          </cell>
          <cell r="N114">
            <v>1.7228960897608486E-2</v>
          </cell>
          <cell r="O114">
            <v>1.720120234842409E-2</v>
          </cell>
        </row>
        <row r="115">
          <cell r="C115" t="str">
            <v>Liquor</v>
          </cell>
          <cell r="D115" t="str">
            <v>%</v>
          </cell>
          <cell r="I115">
            <v>0.49097064844671889</v>
          </cell>
          <cell r="J115">
            <v>0.48293258110285137</v>
          </cell>
          <cell r="K115">
            <v>0.5361634201136537</v>
          </cell>
          <cell r="L115">
            <v>0.54903868157627744</v>
          </cell>
          <cell r="M115">
            <v>0.54554856060922474</v>
          </cell>
          <cell r="N115">
            <v>0.5446891364912545</v>
          </cell>
          <cell r="O115">
            <v>0.54381155714823115</v>
          </cell>
        </row>
        <row r="116">
          <cell r="C116" t="str">
            <v>Pharmaceuticals</v>
          </cell>
          <cell r="D116" t="str">
            <v>%</v>
          </cell>
          <cell r="I116">
            <v>0.10976806933546346</v>
          </cell>
          <cell r="J116">
            <v>0.11174382238837649</v>
          </cell>
          <cell r="K116">
            <v>9.6791116614792214E-2</v>
          </cell>
          <cell r="L116">
            <v>9.5199744872624281E-2</v>
          </cell>
          <cell r="M116">
            <v>9.0276064904791148E-2</v>
          </cell>
          <cell r="N116">
            <v>8.998010610259978E-2</v>
          </cell>
          <cell r="O116">
            <v>8.9835134086254168E-2</v>
          </cell>
        </row>
        <row r="117">
          <cell r="C117" t="str">
            <v>Soft Drinks</v>
          </cell>
          <cell r="D117" t="str">
            <v>%</v>
          </cell>
          <cell r="I117">
            <v>7.5890957481839952E-2</v>
          </cell>
          <cell r="J117">
            <v>7.9172207874258008E-2</v>
          </cell>
          <cell r="K117">
            <v>6.4735238571329373E-2</v>
          </cell>
          <cell r="L117">
            <v>6.211684260161153E-2</v>
          </cell>
          <cell r="M117">
            <v>5.8651120633230136E-2</v>
          </cell>
          <cell r="N117">
            <v>5.8519447353293362E-2</v>
          </cell>
          <cell r="O117">
            <v>5.8425163376026601E-2</v>
          </cell>
        </row>
        <row r="118">
          <cell r="C118" t="str">
            <v>Toiletries</v>
          </cell>
          <cell r="D118" t="str">
            <v>%</v>
          </cell>
          <cell r="I118">
            <v>2.1297207506913742E-2</v>
          </cell>
          <cell r="J118">
            <v>2.3788021199622679E-2</v>
          </cell>
          <cell r="K118">
            <v>3.2895381533926689E-2</v>
          </cell>
          <cell r="L118">
            <v>3.2747693985778085E-2</v>
          </cell>
          <cell r="M118">
            <v>3.0205857415153959E-2</v>
          </cell>
          <cell r="N118">
            <v>3.0763968107830556E-2</v>
          </cell>
          <cell r="O118">
            <v>3.1431333037752307E-2</v>
          </cell>
        </row>
        <row r="119">
          <cell r="C119" t="str">
            <v>Vials</v>
          </cell>
          <cell r="D119" t="str">
            <v>%</v>
          </cell>
          <cell r="I119">
            <v>5.7332055073507672E-3</v>
          </cell>
          <cell r="J119">
            <v>6.553722650507493E-3</v>
          </cell>
          <cell r="K119">
            <v>2.2696775720894829E-2</v>
          </cell>
          <cell r="L119">
            <v>2.2958502351060121E-2</v>
          </cell>
          <cell r="M119">
            <v>2.1533749838235392E-2</v>
          </cell>
          <cell r="N119">
            <v>2.2297097785405069E-2</v>
          </cell>
          <cell r="O119">
            <v>2.3155399500920316E-2</v>
          </cell>
        </row>
        <row r="120">
          <cell r="C120" t="str">
            <v>Tumblers</v>
          </cell>
          <cell r="D120" t="str">
            <v>%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3">
          <cell r="C123" t="str">
            <v>Beer</v>
          </cell>
          <cell r="D123" t="str">
            <v>Rs/MT</v>
          </cell>
          <cell r="I123">
            <v>16162.964990077178</v>
          </cell>
          <cell r="J123">
            <v>17213.557714432194</v>
          </cell>
          <cell r="K123">
            <v>18332.438965870286</v>
          </cell>
          <cell r="L123">
            <v>19524.047498651853</v>
          </cell>
          <cell r="M123">
            <v>20793.110586064224</v>
          </cell>
          <cell r="N123">
            <v>22144.662774158398</v>
          </cell>
          <cell r="O123">
            <v>23584.065854478693</v>
          </cell>
        </row>
        <row r="124">
          <cell r="C124" t="str">
            <v>Food &amp; Dairy</v>
          </cell>
          <cell r="D124" t="str">
            <v>Rs/MT</v>
          </cell>
          <cell r="I124">
            <v>19206.157634622476</v>
          </cell>
          <cell r="J124">
            <v>20454.557880872937</v>
          </cell>
          <cell r="K124">
            <v>21784.104143129676</v>
          </cell>
          <cell r="L124">
            <v>23200.070912433104</v>
          </cell>
          <cell r="M124">
            <v>24708.075521741255</v>
          </cell>
          <cell r="N124">
            <v>26314.100430654435</v>
          </cell>
          <cell r="O124">
            <v>28024.516958646971</v>
          </cell>
        </row>
        <row r="125">
          <cell r="C125" t="str">
            <v xml:space="preserve">Household </v>
          </cell>
          <cell r="D125" t="str">
            <v>Rs/MT</v>
          </cell>
          <cell r="I125">
            <v>22909.767614999197</v>
          </cell>
          <cell r="J125">
            <v>24055.255995749158</v>
          </cell>
          <cell r="K125">
            <v>25258.018795536616</v>
          </cell>
          <cell r="L125">
            <v>26520.919735313448</v>
          </cell>
          <cell r="M125">
            <v>27846.96572207912</v>
          </cell>
          <cell r="N125">
            <v>29239.314008183075</v>
          </cell>
          <cell r="O125">
            <v>30701.279708592232</v>
          </cell>
        </row>
        <row r="126">
          <cell r="C126" t="str">
            <v>Liquor</v>
          </cell>
          <cell r="D126" t="str">
            <v>Rs/MT</v>
          </cell>
          <cell r="I126">
            <v>17074.751598227394</v>
          </cell>
          <cell r="J126">
            <v>18184.610452112174</v>
          </cell>
          <cell r="K126">
            <v>19366.610131499463</v>
          </cell>
          <cell r="L126">
            <v>20625.439790046927</v>
          </cell>
          <cell r="M126">
            <v>21966.093376399975</v>
          </cell>
          <cell r="N126">
            <v>23393.889445865971</v>
          </cell>
          <cell r="O126">
            <v>24914.492259847259</v>
          </cell>
        </row>
        <row r="127">
          <cell r="C127" t="str">
            <v>Pharmaceuticals</v>
          </cell>
          <cell r="D127" t="str">
            <v>Rs/MT</v>
          </cell>
          <cell r="I127">
            <v>20241.43354918162</v>
          </cell>
          <cell r="J127">
            <v>20848.676555657068</v>
          </cell>
          <cell r="K127">
            <v>21474.136852326781</v>
          </cell>
          <cell r="L127">
            <v>22118.360957896584</v>
          </cell>
          <cell r="M127">
            <v>22781.911786633482</v>
          </cell>
          <cell r="N127">
            <v>23465.369140232488</v>
          </cell>
          <cell r="O127">
            <v>24169.330214439462</v>
          </cell>
        </row>
        <row r="128">
          <cell r="C128" t="str">
            <v>Soft Drinks</v>
          </cell>
          <cell r="D128" t="str">
            <v>Rs/MT</v>
          </cell>
          <cell r="I128">
            <v>21186.4984973467</v>
          </cell>
          <cell r="J128">
            <v>22563.620899674235</v>
          </cell>
          <cell r="K128">
            <v>24030.256258153058</v>
          </cell>
          <cell r="L128">
            <v>25592.222914933005</v>
          </cell>
          <cell r="M128">
            <v>27255.717404403647</v>
          </cell>
          <cell r="N128">
            <v>29027.339035689882</v>
          </cell>
          <cell r="O128">
            <v>30914.116073009722</v>
          </cell>
        </row>
        <row r="129">
          <cell r="C129" t="str">
            <v>Toiletries</v>
          </cell>
          <cell r="D129" t="str">
            <v>Rs/MT</v>
          </cell>
          <cell r="I129">
            <v>18846.746954176517</v>
          </cell>
          <cell r="J129">
            <v>19789.084301885345</v>
          </cell>
          <cell r="K129">
            <v>20778.538516979614</v>
          </cell>
          <cell r="L129">
            <v>21817.465442828594</v>
          </cell>
          <cell r="M129">
            <v>22908.338714970025</v>
          </cell>
          <cell r="N129">
            <v>24053.755650718525</v>
          </cell>
          <cell r="O129">
            <v>25256.443433254452</v>
          </cell>
        </row>
        <row r="130">
          <cell r="C130" t="str">
            <v>Vials</v>
          </cell>
          <cell r="D130" t="str">
            <v>Rs/MT</v>
          </cell>
          <cell r="I130">
            <v>28691</v>
          </cell>
          <cell r="J130">
            <v>29551.73</v>
          </cell>
          <cell r="K130">
            <v>30438.281900000002</v>
          </cell>
          <cell r="L130">
            <v>31351.430357000001</v>
          </cell>
          <cell r="M130">
            <v>32291.973267710004</v>
          </cell>
          <cell r="N130">
            <v>33260.732465741305</v>
          </cell>
          <cell r="O130">
            <v>34258.554439713545</v>
          </cell>
        </row>
        <row r="131">
          <cell r="C131" t="str">
            <v>Tumblers</v>
          </cell>
          <cell r="D131" t="str">
            <v>Rs/MT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354">
          <cell r="C354" t="str">
            <v>Silica Sand</v>
          </cell>
          <cell r="D354" t="str">
            <v>per MT glass produced</v>
          </cell>
          <cell r="F354">
            <v>0.45800000000000002</v>
          </cell>
          <cell r="G354">
            <v>0.45364733824584524</v>
          </cell>
          <cell r="H354">
            <v>0.4769209219406596</v>
          </cell>
          <cell r="I354">
            <v>0.47692039709512624</v>
          </cell>
          <cell r="J354">
            <v>0.47692039709512624</v>
          </cell>
          <cell r="K354">
            <v>0.47692039709512624</v>
          </cell>
          <cell r="L354">
            <v>0.47692039709512624</v>
          </cell>
          <cell r="M354">
            <v>0.47692039709512624</v>
          </cell>
          <cell r="N354">
            <v>0.47692039709512624</v>
          </cell>
          <cell r="O354">
            <v>0.47692039709512624</v>
          </cell>
        </row>
        <row r="355">
          <cell r="C355" t="str">
            <v>Soda Ash</v>
          </cell>
          <cell r="D355" t="str">
            <v>per MT glass produced</v>
          </cell>
          <cell r="F355">
            <v>0.158</v>
          </cell>
          <cell r="G355">
            <v>0.20216518592498936</v>
          </cell>
          <cell r="H355">
            <v>0.16903094358843754</v>
          </cell>
          <cell r="I355">
            <v>0.16903075757198982</v>
          </cell>
          <cell r="J355">
            <v>0.16903075757198982</v>
          </cell>
          <cell r="K355">
            <v>0.16903075757198982</v>
          </cell>
          <cell r="L355">
            <v>0.16903075757198982</v>
          </cell>
          <cell r="M355">
            <v>0.16903075757198982</v>
          </cell>
          <cell r="N355">
            <v>0.16903075757198982</v>
          </cell>
          <cell r="O355">
            <v>0.16903075757198982</v>
          </cell>
        </row>
        <row r="356">
          <cell r="C356" t="str">
            <v>Cullet</v>
          </cell>
          <cell r="D356" t="str">
            <v>per MT glass produced</v>
          </cell>
          <cell r="F356">
            <v>0.33700000000000002</v>
          </cell>
          <cell r="G356">
            <v>0.36601121656937569</v>
          </cell>
          <cell r="H356">
            <v>0.43413981917738442</v>
          </cell>
          <cell r="I356">
            <v>0.43413934141192173</v>
          </cell>
          <cell r="J356">
            <v>0.43413934141192173</v>
          </cell>
          <cell r="K356">
            <v>0.43413934141192173</v>
          </cell>
          <cell r="L356">
            <v>0.43413934141192173</v>
          </cell>
          <cell r="M356">
            <v>0.43413934141192173</v>
          </cell>
          <cell r="N356">
            <v>0.43413934141192173</v>
          </cell>
          <cell r="O356">
            <v>0.43413934141192173</v>
          </cell>
        </row>
        <row r="359">
          <cell r="C359" t="str">
            <v>Silica Sand</v>
          </cell>
          <cell r="D359" t="str">
            <v>Rs/MT</v>
          </cell>
          <cell r="F359">
            <v>1305.6768558951965</v>
          </cell>
          <cell r="G359">
            <v>1434.8456318816952</v>
          </cell>
          <cell r="H359">
            <v>1469.3238920662384</v>
          </cell>
          <cell r="I359">
            <v>1557.4833255902129</v>
          </cell>
          <cell r="J359">
            <v>1650.9323251256258</v>
          </cell>
          <cell r="K359">
            <v>1749.9882646331635</v>
          </cell>
          <cell r="L359">
            <v>1854.9875605111533</v>
          </cell>
          <cell r="M359">
            <v>1966.2868141418226</v>
          </cell>
          <cell r="N359">
            <v>2084.2640229903318</v>
          </cell>
          <cell r="O359">
            <v>2209.3198643697519</v>
          </cell>
        </row>
        <row r="360">
          <cell r="C360" t="str">
            <v>Soda Ash</v>
          </cell>
          <cell r="D360" t="str">
            <v>Rs/MT</v>
          </cell>
          <cell r="F360">
            <v>11822.784810126583</v>
          </cell>
          <cell r="G360">
            <v>11796.769227796494</v>
          </cell>
          <cell r="H360">
            <v>13648.802169654962</v>
          </cell>
          <cell r="I360">
            <v>14467.73029983426</v>
          </cell>
          <cell r="J360">
            <v>15335.794117824316</v>
          </cell>
          <cell r="K360">
            <v>16255.941764893776</v>
          </cell>
          <cell r="L360">
            <v>17231.298270787403</v>
          </cell>
          <cell r="M360">
            <v>18265.17616703465</v>
          </cell>
          <cell r="N360">
            <v>19361.086737056728</v>
          </cell>
          <cell r="O360">
            <v>20522.751941280134</v>
          </cell>
        </row>
        <row r="361">
          <cell r="C361" t="str">
            <v>Cullet</v>
          </cell>
          <cell r="D361" t="str">
            <v>Rs/MT</v>
          </cell>
          <cell r="F361">
            <v>3456.9732937685458</v>
          </cell>
          <cell r="G361">
            <v>3978.2664380296424</v>
          </cell>
          <cell r="H361">
            <v>3179.7201771624673</v>
          </cell>
          <cell r="I361">
            <v>3370.5033877922156</v>
          </cell>
          <cell r="J361">
            <v>3572.7335910597485</v>
          </cell>
          <cell r="K361">
            <v>3787.0976065233335</v>
          </cell>
          <cell r="L361">
            <v>4014.3234629147337</v>
          </cell>
          <cell r="M361">
            <v>4255.1828706896176</v>
          </cell>
          <cell r="N361">
            <v>4510.493842930995</v>
          </cell>
          <cell r="O361">
            <v>4781.1234735068547</v>
          </cell>
        </row>
        <row r="386">
          <cell r="C386" t="str">
            <v>Rishra</v>
          </cell>
          <cell r="D386" t="str">
            <v>per MT glass produced</v>
          </cell>
          <cell r="F386">
            <v>242.63095139062196</v>
          </cell>
          <cell r="G386">
            <v>228.39394822410628</v>
          </cell>
          <cell r="H386">
            <v>223.6435626332507</v>
          </cell>
          <cell r="I386">
            <v>230.35286951224822</v>
          </cell>
          <cell r="J386">
            <v>237.26345559761566</v>
          </cell>
          <cell r="K386">
            <v>244.38135926554415</v>
          </cell>
          <cell r="L386">
            <v>251.71280004351047</v>
          </cell>
          <cell r="M386">
            <v>259.26418404481581</v>
          </cell>
          <cell r="N386">
            <v>267.04210956616026</v>
          </cell>
          <cell r="O386">
            <v>275.05337285314511</v>
          </cell>
        </row>
        <row r="387">
          <cell r="C387" t="str">
            <v>Bahadurgarh</v>
          </cell>
          <cell r="D387" t="str">
            <v>per MT glass produced</v>
          </cell>
          <cell r="F387">
            <v>138.64356623199757</v>
          </cell>
          <cell r="G387">
            <v>211.11836158022973</v>
          </cell>
          <cell r="H387">
            <v>241.14228202022883</v>
          </cell>
          <cell r="I387">
            <v>391.14228202022883</v>
          </cell>
          <cell r="J387">
            <v>402.8765504808357</v>
          </cell>
          <cell r="K387">
            <v>414.9628469952608</v>
          </cell>
          <cell r="L387">
            <v>427.41173240511864</v>
          </cell>
          <cell r="M387">
            <v>440.23408437727221</v>
          </cell>
          <cell r="N387">
            <v>453.44110690859037</v>
          </cell>
          <cell r="O387">
            <v>467.04434011584812</v>
          </cell>
        </row>
        <row r="388">
          <cell r="C388" t="str">
            <v>Neemrana</v>
          </cell>
          <cell r="D388" t="str">
            <v>per MT glass produced</v>
          </cell>
          <cell r="F388">
            <v>99.337748344370866</v>
          </cell>
          <cell r="G388">
            <v>200.82885304659496</v>
          </cell>
          <cell r="H388">
            <v>202.69207237129621</v>
          </cell>
          <cell r="I388">
            <v>208.77283454243511</v>
          </cell>
          <cell r="J388">
            <v>215.03601957870816</v>
          </cell>
          <cell r="K388">
            <v>221.48710016606941</v>
          </cell>
          <cell r="L388">
            <v>228.1317131710515</v>
          </cell>
          <cell r="M388">
            <v>234.97566456618304</v>
          </cell>
          <cell r="N388">
            <v>242.02493450316854</v>
          </cell>
          <cell r="O388">
            <v>249.28568253826361</v>
          </cell>
        </row>
        <row r="389">
          <cell r="C389" t="str">
            <v>Rishikesh</v>
          </cell>
          <cell r="D389" t="str">
            <v>per MT glass produced</v>
          </cell>
          <cell r="F389">
            <v>365.28720252317686</v>
          </cell>
          <cell r="G389">
            <v>150.81206496519721</v>
          </cell>
          <cell r="H389">
            <v>92.777375659187257</v>
          </cell>
          <cell r="I389">
            <v>95.560696928962884</v>
          </cell>
          <cell r="J389">
            <v>98.427517836831768</v>
          </cell>
          <cell r="K389">
            <v>101.38034337193672</v>
          </cell>
          <cell r="L389">
            <v>104.42175367309483</v>
          </cell>
          <cell r="M389">
            <v>107.55440628328768</v>
          </cell>
          <cell r="N389">
            <v>110.7810384717863</v>
          </cell>
          <cell r="O389">
            <v>114.1044696259399</v>
          </cell>
        </row>
        <row r="390">
          <cell r="C390" t="str">
            <v>Pondicherry</v>
          </cell>
          <cell r="D390" t="str">
            <v>per MT glass produced</v>
          </cell>
          <cell r="F390">
            <v>97.826625080449546</v>
          </cell>
          <cell r="G390">
            <v>117.9038481397685</v>
          </cell>
          <cell r="H390">
            <v>202.48704843062558</v>
          </cell>
          <cell r="I390">
            <v>208.56165988354434</v>
          </cell>
          <cell r="J390">
            <v>214.81850968005068</v>
          </cell>
          <cell r="K390">
            <v>221.26306497045221</v>
          </cell>
          <cell r="L390">
            <v>227.90095691956577</v>
          </cell>
          <cell r="M390">
            <v>234.73798562715274</v>
          </cell>
          <cell r="N390">
            <v>241.78012519596732</v>
          </cell>
          <cell r="O390">
            <v>249.03352895184634</v>
          </cell>
        </row>
        <row r="391">
          <cell r="C391" t="str">
            <v>Nashik</v>
          </cell>
          <cell r="D391" t="str">
            <v>per MT glass produced</v>
          </cell>
          <cell r="F391">
            <v>204.5944498606286</v>
          </cell>
          <cell r="G391">
            <v>84.801025264090313</v>
          </cell>
          <cell r="H391">
            <v>58.326002492485891</v>
          </cell>
          <cell r="I391">
            <v>60.075782567260468</v>
          </cell>
          <cell r="J391">
            <v>61.878056044278281</v>
          </cell>
          <cell r="K391">
            <v>63.734397725606634</v>
          </cell>
          <cell r="L391">
            <v>65.646429657374838</v>
          </cell>
          <cell r="M391">
            <v>67.615822547096087</v>
          </cell>
          <cell r="N391">
            <v>69.644297223508971</v>
          </cell>
          <cell r="O391">
            <v>71.733626140214241</v>
          </cell>
        </row>
        <row r="392">
          <cell r="C392" t="str">
            <v>AP</v>
          </cell>
          <cell r="D392" t="str">
            <v>per MT glass produced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203.92999225547914</v>
          </cell>
          <cell r="L392">
            <v>210.0478920231435</v>
          </cell>
          <cell r="M392">
            <v>216.34932878383782</v>
          </cell>
          <cell r="N392">
            <v>222.83980864735295</v>
          </cell>
          <cell r="O392">
            <v>229.52500290677355</v>
          </cell>
        </row>
        <row r="393">
          <cell r="C393" t="str">
            <v>West_Furnace</v>
          </cell>
          <cell r="D393" t="str">
            <v>per MT glass produced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63.734397725606634</v>
          </cell>
          <cell r="L393">
            <v>65.646429657374838</v>
          </cell>
          <cell r="M393">
            <v>67.615822547096087</v>
          </cell>
          <cell r="N393">
            <v>69.644297223508971</v>
          </cell>
          <cell r="O393">
            <v>71.733626140214241</v>
          </cell>
        </row>
        <row r="394">
          <cell r="C394" t="str">
            <v>North_Furnace</v>
          </cell>
          <cell r="D394" t="str">
            <v>per MT glass produced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414.9628469952608</v>
          </cell>
          <cell r="L394">
            <v>427.41173240511864</v>
          </cell>
          <cell r="M394">
            <v>440.23408437727221</v>
          </cell>
          <cell r="N394">
            <v>453.44110690859037</v>
          </cell>
          <cell r="O394">
            <v>467.04434011584812</v>
          </cell>
        </row>
        <row r="587">
          <cell r="C587" t="str">
            <v>Rishra</v>
          </cell>
          <cell r="D587" t="str">
            <v>Rsm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C588" t="str">
            <v>Bahadurgarh</v>
          </cell>
          <cell r="D588" t="str">
            <v>Rsm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C589" t="str">
            <v>Neemrana</v>
          </cell>
          <cell r="D589" t="str">
            <v>Rsm</v>
          </cell>
          <cell r="F589">
            <v>0</v>
          </cell>
          <cell r="G589">
            <v>0</v>
          </cell>
          <cell r="H589">
            <v>0</v>
          </cell>
          <cell r="I589">
            <v>40</v>
          </cell>
          <cell r="J589">
            <v>80</v>
          </cell>
          <cell r="K589">
            <v>80</v>
          </cell>
          <cell r="L589">
            <v>80</v>
          </cell>
          <cell r="M589">
            <v>80</v>
          </cell>
          <cell r="N589">
            <v>80</v>
          </cell>
          <cell r="O589">
            <v>80</v>
          </cell>
        </row>
        <row r="590">
          <cell r="C590" t="str">
            <v>Rishikesh</v>
          </cell>
          <cell r="D590" t="str">
            <v>Rsm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C591" t="str">
            <v>Pondicherry</v>
          </cell>
          <cell r="D591" t="str">
            <v>Rsm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C592" t="str">
            <v>Nashik</v>
          </cell>
          <cell r="D592" t="str">
            <v>Rsm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60</v>
          </cell>
          <cell r="K592">
            <v>80</v>
          </cell>
          <cell r="L592">
            <v>80</v>
          </cell>
          <cell r="M592">
            <v>80</v>
          </cell>
          <cell r="N592">
            <v>80</v>
          </cell>
          <cell r="O592">
            <v>80</v>
          </cell>
        </row>
        <row r="593">
          <cell r="C593" t="str">
            <v>AP</v>
          </cell>
          <cell r="D593" t="str">
            <v>Rsm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C594" t="str">
            <v>West_Furnace</v>
          </cell>
          <cell r="D594" t="str">
            <v>Rsm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C595" t="str">
            <v>North_Furnace</v>
          </cell>
          <cell r="D595" t="str">
            <v>Rsm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692">
          <cell r="C692" t="str">
            <v xml:space="preserve">Land and Railway Sidings </v>
          </cell>
          <cell r="D692" t="str">
            <v>Rsm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C693" t="str">
            <v xml:space="preserve">Buildings </v>
          </cell>
          <cell r="D693" t="str">
            <v>Rsm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C694" t="str">
            <v>Plant and Machinery</v>
          </cell>
          <cell r="D694" t="str">
            <v>Rsm</v>
          </cell>
          <cell r="I694">
            <v>5</v>
          </cell>
          <cell r="J694">
            <v>5</v>
          </cell>
          <cell r="K694">
            <v>5</v>
          </cell>
          <cell r="L694">
            <v>5</v>
          </cell>
          <cell r="M694">
            <v>5</v>
          </cell>
          <cell r="N694">
            <v>5</v>
          </cell>
          <cell r="O694">
            <v>5</v>
          </cell>
        </row>
        <row r="695">
          <cell r="C695" t="str">
            <v>Furnitures and Fixtures</v>
          </cell>
          <cell r="D695" t="str">
            <v>Rsm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</row>
        <row r="696">
          <cell r="C696" t="str">
            <v>Office and Other Equipment</v>
          </cell>
          <cell r="D696" t="str">
            <v>Rsm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</row>
        <row r="697">
          <cell r="C697" t="str">
            <v>Vehicles</v>
          </cell>
          <cell r="D697" t="str">
            <v>Rsm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C698" t="str">
            <v>Total</v>
          </cell>
          <cell r="D698" t="str">
            <v>Rsm</v>
          </cell>
          <cell r="I698">
            <v>7</v>
          </cell>
          <cell r="J698">
            <v>7</v>
          </cell>
          <cell r="K698">
            <v>7</v>
          </cell>
          <cell r="L698">
            <v>7</v>
          </cell>
          <cell r="M698">
            <v>7</v>
          </cell>
          <cell r="N698">
            <v>7</v>
          </cell>
          <cell r="O698">
            <v>7</v>
          </cell>
        </row>
        <row r="776">
          <cell r="C776" t="str">
            <v xml:space="preserve">Land and Railway Sidings </v>
          </cell>
          <cell r="D776" t="str">
            <v>%</v>
          </cell>
          <cell r="F776">
            <v>0</v>
          </cell>
        </row>
        <row r="777">
          <cell r="C777" t="str">
            <v xml:space="preserve">Buildings </v>
          </cell>
          <cell r="D777" t="str">
            <v>%</v>
          </cell>
          <cell r="F777">
            <v>3.3399999999999999E-2</v>
          </cell>
        </row>
        <row r="778">
          <cell r="C778" t="str">
            <v>Plant and Machinery</v>
          </cell>
          <cell r="D778" t="str">
            <v>%</v>
          </cell>
          <cell r="F778">
            <v>0.105</v>
          </cell>
        </row>
        <row r="779">
          <cell r="C779" t="str">
            <v>Furnitures and Fixtures</v>
          </cell>
          <cell r="D779" t="str">
            <v>%</v>
          </cell>
          <cell r="F779">
            <v>0.1</v>
          </cell>
        </row>
        <row r="780">
          <cell r="C780" t="str">
            <v>Office and Other Equipment</v>
          </cell>
          <cell r="D780" t="str">
            <v>%</v>
          </cell>
          <cell r="F780">
            <v>0.1</v>
          </cell>
        </row>
        <row r="781">
          <cell r="C781" t="str">
            <v>Vehicles</v>
          </cell>
          <cell r="D781" t="str">
            <v>%</v>
          </cell>
          <cell r="F781">
            <v>0.1</v>
          </cell>
        </row>
        <row r="784">
          <cell r="F784">
            <v>0.95</v>
          </cell>
        </row>
        <row r="787">
          <cell r="C787" t="str">
            <v>Buildings - 5%</v>
          </cell>
          <cell r="D787" t="str">
            <v>%</v>
          </cell>
          <cell r="F787">
            <v>0.05</v>
          </cell>
        </row>
        <row r="788">
          <cell r="C788" t="str">
            <v>Buildings - 10%</v>
          </cell>
          <cell r="D788" t="str">
            <v>%</v>
          </cell>
          <cell r="F788">
            <v>0.1</v>
          </cell>
        </row>
        <row r="789">
          <cell r="C789" t="str">
            <v>Plant and Machinery - Melting Furnace</v>
          </cell>
          <cell r="D789" t="str">
            <v>%</v>
          </cell>
          <cell r="F789">
            <v>0.6</v>
          </cell>
        </row>
        <row r="790">
          <cell r="C790" t="str">
            <v>Plant and Machinery - Others</v>
          </cell>
          <cell r="D790" t="str">
            <v>%</v>
          </cell>
          <cell r="F790">
            <v>0.15</v>
          </cell>
        </row>
        <row r="791">
          <cell r="C791" t="str">
            <v>Furnitures and Fixtures</v>
          </cell>
          <cell r="D791" t="str">
            <v>%</v>
          </cell>
          <cell r="F791">
            <v>0.1</v>
          </cell>
        </row>
        <row r="792">
          <cell r="C792" t="str">
            <v>Office and Other Equipment</v>
          </cell>
          <cell r="D792" t="str">
            <v>%</v>
          </cell>
          <cell r="F792">
            <v>0.15</v>
          </cell>
        </row>
        <row r="793">
          <cell r="C793" t="str">
            <v>Vehicles - Class A</v>
          </cell>
          <cell r="D793" t="str">
            <v>%</v>
          </cell>
          <cell r="F793">
            <v>0.15</v>
          </cell>
        </row>
        <row r="794">
          <cell r="C794" t="str">
            <v>Vehicles - Class B</v>
          </cell>
          <cell r="D794" t="str">
            <v>%</v>
          </cell>
          <cell r="F794">
            <v>0.5</v>
          </cell>
        </row>
        <row r="795">
          <cell r="C795" t="str">
            <v>Vehicles - Class C</v>
          </cell>
          <cell r="D795" t="str">
            <v>%</v>
          </cell>
          <cell r="F795">
            <v>0.3</v>
          </cell>
        </row>
        <row r="796">
          <cell r="C796" t="str">
            <v>Others (Energy Saving Device)</v>
          </cell>
          <cell r="D796" t="str">
            <v>%</v>
          </cell>
          <cell r="F796">
            <v>0.8</v>
          </cell>
        </row>
        <row r="799">
          <cell r="F799">
            <v>0.2</v>
          </cell>
        </row>
        <row r="803">
          <cell r="C803" t="str">
            <v>Tax Rate Applicable</v>
          </cell>
          <cell r="D803" t="str">
            <v>%</v>
          </cell>
          <cell r="F803">
            <v>0.33989999999999998</v>
          </cell>
          <cell r="G803">
            <v>0.33989999999999998</v>
          </cell>
          <cell r="H803">
            <v>0.33989999999999998</v>
          </cell>
          <cell r="I803">
            <v>0.332175</v>
          </cell>
          <cell r="J803">
            <v>0.332175</v>
          </cell>
          <cell r="K803">
            <v>0.332175</v>
          </cell>
          <cell r="L803">
            <v>0.332175</v>
          </cell>
          <cell r="M803">
            <v>0.332175</v>
          </cell>
          <cell r="N803">
            <v>0.332175</v>
          </cell>
          <cell r="O803">
            <v>0.332175</v>
          </cell>
        </row>
        <row r="816">
          <cell r="C816" t="str">
            <v>Raw Material Inventory</v>
          </cell>
          <cell r="D816" t="str">
            <v>days</v>
          </cell>
          <cell r="F816">
            <v>32.188098851415418</v>
          </cell>
          <cell r="G816">
            <v>40.746597223847516</v>
          </cell>
          <cell r="H816">
            <v>34.686732627452407</v>
          </cell>
          <cell r="I816">
            <v>30</v>
          </cell>
          <cell r="J816">
            <v>30</v>
          </cell>
          <cell r="K816">
            <v>30</v>
          </cell>
          <cell r="L816">
            <v>30</v>
          </cell>
          <cell r="M816">
            <v>30</v>
          </cell>
          <cell r="N816">
            <v>30</v>
          </cell>
          <cell r="O816">
            <v>30</v>
          </cell>
        </row>
        <row r="817">
          <cell r="C817" t="str">
            <v>Packing Material Inventory</v>
          </cell>
          <cell r="D817" t="str">
            <v>days</v>
          </cell>
          <cell r="F817">
            <v>20.060640166615833</v>
          </cell>
          <cell r="G817">
            <v>25.621559527437189</v>
          </cell>
          <cell r="H817">
            <v>33.012798479654975</v>
          </cell>
          <cell r="I817">
            <v>30</v>
          </cell>
          <cell r="J817">
            <v>30</v>
          </cell>
          <cell r="K817">
            <v>30</v>
          </cell>
          <cell r="L817">
            <v>30</v>
          </cell>
          <cell r="M817">
            <v>30</v>
          </cell>
          <cell r="N817">
            <v>30</v>
          </cell>
          <cell r="O817">
            <v>30</v>
          </cell>
        </row>
        <row r="818">
          <cell r="C818" t="str">
            <v>Stores &amp; Spares Inventory</v>
          </cell>
          <cell r="D818" t="str">
            <v>days</v>
          </cell>
          <cell r="F818">
            <v>451.21142623331673</v>
          </cell>
          <cell r="G818">
            <v>433.06659404037168</v>
          </cell>
          <cell r="H818">
            <v>459.66922445082531</v>
          </cell>
          <cell r="I818">
            <v>365</v>
          </cell>
          <cell r="J818">
            <v>365</v>
          </cell>
          <cell r="K818">
            <v>365</v>
          </cell>
          <cell r="L818">
            <v>365</v>
          </cell>
          <cell r="M818">
            <v>365</v>
          </cell>
          <cell r="N818">
            <v>365</v>
          </cell>
          <cell r="O818">
            <v>365</v>
          </cell>
        </row>
        <row r="819">
          <cell r="C819" t="str">
            <v>WIP Inventory</v>
          </cell>
          <cell r="D819" t="str">
            <v>days</v>
          </cell>
          <cell r="F819">
            <v>2.6135946342335816</v>
          </cell>
          <cell r="G819">
            <v>1.4482101296744461</v>
          </cell>
          <cell r="H819">
            <v>1.8449084082660057</v>
          </cell>
          <cell r="I819">
            <v>2</v>
          </cell>
          <cell r="J819">
            <v>2</v>
          </cell>
          <cell r="K819">
            <v>2</v>
          </cell>
          <cell r="L819">
            <v>2</v>
          </cell>
          <cell r="M819">
            <v>2</v>
          </cell>
          <cell r="N819">
            <v>2</v>
          </cell>
          <cell r="O819">
            <v>2</v>
          </cell>
        </row>
        <row r="820">
          <cell r="C820" t="str">
            <v>Finished Goods Inventory</v>
          </cell>
          <cell r="D820" t="str">
            <v>days</v>
          </cell>
          <cell r="F820">
            <v>23.390105574672493</v>
          </cell>
          <cell r="G820">
            <v>22.241601570892648</v>
          </cell>
          <cell r="H820">
            <v>23.013173309563221</v>
          </cell>
          <cell r="I820">
            <v>15</v>
          </cell>
          <cell r="J820">
            <v>15</v>
          </cell>
          <cell r="K820">
            <v>15</v>
          </cell>
          <cell r="L820">
            <v>15</v>
          </cell>
          <cell r="M820">
            <v>15</v>
          </cell>
          <cell r="N820">
            <v>15</v>
          </cell>
          <cell r="O820">
            <v>15</v>
          </cell>
        </row>
        <row r="822">
          <cell r="C822" t="str">
            <v>Sundry Debtors</v>
          </cell>
          <cell r="D822" t="str">
            <v>days</v>
          </cell>
          <cell r="F822">
            <v>57.983797857038653</v>
          </cell>
          <cell r="G822">
            <v>63.248234716397533</v>
          </cell>
          <cell r="H822">
            <v>59.074369247523812</v>
          </cell>
          <cell r="I822">
            <v>50</v>
          </cell>
          <cell r="J822">
            <v>50</v>
          </cell>
          <cell r="K822">
            <v>50</v>
          </cell>
          <cell r="L822">
            <v>50</v>
          </cell>
          <cell r="M822">
            <v>50</v>
          </cell>
          <cell r="N822">
            <v>50</v>
          </cell>
          <cell r="O822">
            <v>50</v>
          </cell>
        </row>
        <row r="825">
          <cell r="C825" t="str">
            <v>Sundry Creditors</v>
          </cell>
          <cell r="D825" t="str">
            <v>days</v>
          </cell>
          <cell r="F825">
            <v>117.56020326853634</v>
          </cell>
          <cell r="G825">
            <v>101.3523969228909</v>
          </cell>
          <cell r="H825">
            <v>101.00878391694968</v>
          </cell>
          <cell r="I825">
            <v>45</v>
          </cell>
          <cell r="J825">
            <v>45</v>
          </cell>
          <cell r="K825">
            <v>45</v>
          </cell>
          <cell r="L825">
            <v>45</v>
          </cell>
          <cell r="M825">
            <v>45</v>
          </cell>
          <cell r="N825">
            <v>45</v>
          </cell>
          <cell r="O825">
            <v>45</v>
          </cell>
        </row>
        <row r="829">
          <cell r="C829" t="str">
            <v>Rishra</v>
          </cell>
          <cell r="D829" t="str">
            <v>days</v>
          </cell>
          <cell r="F829">
            <v>22.378594891587753</v>
          </cell>
          <cell r="G829">
            <v>40.404581295071686</v>
          </cell>
          <cell r="H829">
            <v>24.373703857320617</v>
          </cell>
          <cell r="I829">
            <v>30</v>
          </cell>
          <cell r="J829">
            <v>30</v>
          </cell>
          <cell r="K829">
            <v>30</v>
          </cell>
          <cell r="L829">
            <v>30</v>
          </cell>
          <cell r="M829">
            <v>30</v>
          </cell>
          <cell r="N829">
            <v>30</v>
          </cell>
          <cell r="O829">
            <v>30</v>
          </cell>
        </row>
        <row r="830">
          <cell r="C830" t="str">
            <v>Bahadurgarh</v>
          </cell>
          <cell r="D830" t="str">
            <v>days</v>
          </cell>
          <cell r="F830">
            <v>23.355859561564071</v>
          </cell>
          <cell r="G830">
            <v>32.93920864044415</v>
          </cell>
          <cell r="H830">
            <v>34.172320217096335</v>
          </cell>
          <cell r="I830">
            <v>30</v>
          </cell>
          <cell r="J830">
            <v>30</v>
          </cell>
          <cell r="K830">
            <v>30</v>
          </cell>
          <cell r="L830">
            <v>30</v>
          </cell>
          <cell r="M830">
            <v>30</v>
          </cell>
          <cell r="N830">
            <v>30</v>
          </cell>
          <cell r="O830">
            <v>30</v>
          </cell>
        </row>
        <row r="831">
          <cell r="C831" t="str">
            <v>Neemrana</v>
          </cell>
          <cell r="D831" t="str">
            <v>days</v>
          </cell>
          <cell r="F831">
            <v>11.1864649112356</v>
          </cell>
          <cell r="G831">
            <v>52.48024500341122</v>
          </cell>
          <cell r="H831">
            <v>44.443323242515973</v>
          </cell>
          <cell r="I831">
            <v>30</v>
          </cell>
          <cell r="J831">
            <v>30</v>
          </cell>
          <cell r="K831">
            <v>30</v>
          </cell>
          <cell r="L831">
            <v>30</v>
          </cell>
          <cell r="M831">
            <v>30</v>
          </cell>
          <cell r="N831">
            <v>30</v>
          </cell>
          <cell r="O831">
            <v>30</v>
          </cell>
        </row>
        <row r="832">
          <cell r="C832" t="str">
            <v>Rishikesh</v>
          </cell>
          <cell r="D832" t="str">
            <v>days</v>
          </cell>
          <cell r="F832">
            <v>22.657579249307418</v>
          </cell>
          <cell r="G832">
            <v>42.997021437261409</v>
          </cell>
          <cell r="H832">
            <v>46.264867743653475</v>
          </cell>
          <cell r="I832">
            <v>30</v>
          </cell>
          <cell r="J832">
            <v>30</v>
          </cell>
          <cell r="K832">
            <v>30</v>
          </cell>
          <cell r="L832">
            <v>30</v>
          </cell>
          <cell r="M832">
            <v>30</v>
          </cell>
          <cell r="N832">
            <v>30</v>
          </cell>
          <cell r="O832">
            <v>30</v>
          </cell>
        </row>
        <row r="833">
          <cell r="C833" t="str">
            <v>Pondicherry</v>
          </cell>
          <cell r="D833" t="str">
            <v>days</v>
          </cell>
          <cell r="F833">
            <v>37.486694766221831</v>
          </cell>
          <cell r="G833">
            <v>73.116959053079626</v>
          </cell>
          <cell r="H833">
            <v>56.35823754789272</v>
          </cell>
          <cell r="I833">
            <v>30</v>
          </cell>
          <cell r="J833">
            <v>30</v>
          </cell>
          <cell r="K833">
            <v>30</v>
          </cell>
          <cell r="L833">
            <v>30</v>
          </cell>
          <cell r="M833">
            <v>30</v>
          </cell>
          <cell r="N833">
            <v>30</v>
          </cell>
          <cell r="O833">
            <v>30</v>
          </cell>
        </row>
        <row r="834">
          <cell r="C834" t="str">
            <v>Nashik</v>
          </cell>
          <cell r="D834" t="str">
            <v>days</v>
          </cell>
          <cell r="F834">
            <v>70.947219395655438</v>
          </cell>
          <cell r="G834">
            <v>16.274633286039524</v>
          </cell>
          <cell r="H834">
            <v>15.567762186115216</v>
          </cell>
          <cell r="I834">
            <v>30</v>
          </cell>
          <cell r="J834">
            <v>30</v>
          </cell>
          <cell r="K834">
            <v>30</v>
          </cell>
          <cell r="L834">
            <v>30</v>
          </cell>
          <cell r="M834">
            <v>30</v>
          </cell>
          <cell r="N834">
            <v>30</v>
          </cell>
          <cell r="O834">
            <v>30</v>
          </cell>
        </row>
        <row r="835">
          <cell r="C835" t="str">
            <v>Nashik_Cosmetic</v>
          </cell>
          <cell r="D835" t="str">
            <v>days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30</v>
          </cell>
          <cell r="K835">
            <v>30</v>
          </cell>
          <cell r="L835">
            <v>30</v>
          </cell>
          <cell r="M835">
            <v>30</v>
          </cell>
          <cell r="N835">
            <v>30</v>
          </cell>
          <cell r="O835">
            <v>30</v>
          </cell>
        </row>
        <row r="836">
          <cell r="C836" t="str">
            <v>AP</v>
          </cell>
          <cell r="D836" t="str">
            <v>days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30</v>
          </cell>
          <cell r="L836">
            <v>30</v>
          </cell>
          <cell r="M836">
            <v>30</v>
          </cell>
          <cell r="N836">
            <v>30</v>
          </cell>
          <cell r="O836">
            <v>30</v>
          </cell>
        </row>
        <row r="837">
          <cell r="C837" t="str">
            <v>West_Furnace</v>
          </cell>
          <cell r="D837" t="str">
            <v>days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30</v>
          </cell>
          <cell r="L837">
            <v>30</v>
          </cell>
          <cell r="M837">
            <v>30</v>
          </cell>
          <cell r="N837">
            <v>30</v>
          </cell>
          <cell r="O837">
            <v>30</v>
          </cell>
        </row>
        <row r="838">
          <cell r="C838" t="str">
            <v>North_Furnace</v>
          </cell>
          <cell r="D838" t="str">
            <v>days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30</v>
          </cell>
          <cell r="M838">
            <v>30</v>
          </cell>
          <cell r="N838">
            <v>30</v>
          </cell>
          <cell r="O838">
            <v>30</v>
          </cell>
        </row>
        <row r="841">
          <cell r="C841" t="str">
            <v>Rishra</v>
          </cell>
          <cell r="D841" t="str">
            <v>days</v>
          </cell>
          <cell r="F841">
            <v>18.494067558237656</v>
          </cell>
          <cell r="G841">
            <v>26.185807207077147</v>
          </cell>
          <cell r="H841">
            <v>33.504472967716843</v>
          </cell>
          <cell r="I841">
            <v>30</v>
          </cell>
          <cell r="J841">
            <v>30</v>
          </cell>
          <cell r="K841">
            <v>30</v>
          </cell>
          <cell r="L841">
            <v>30</v>
          </cell>
          <cell r="M841">
            <v>30</v>
          </cell>
          <cell r="N841">
            <v>30</v>
          </cell>
          <cell r="O841">
            <v>30</v>
          </cell>
        </row>
        <row r="842">
          <cell r="C842" t="str">
            <v>Bahadurgarh</v>
          </cell>
          <cell r="D842" t="str">
            <v>days</v>
          </cell>
          <cell r="F842">
            <v>23.515411230519092</v>
          </cell>
          <cell r="G842">
            <v>42.690401879082337</v>
          </cell>
          <cell r="H842">
            <v>65.166191832858516</v>
          </cell>
          <cell r="I842">
            <v>30</v>
          </cell>
          <cell r="J842">
            <v>30</v>
          </cell>
          <cell r="K842">
            <v>30</v>
          </cell>
          <cell r="L842">
            <v>30</v>
          </cell>
          <cell r="M842">
            <v>30</v>
          </cell>
          <cell r="N842">
            <v>30</v>
          </cell>
          <cell r="O842">
            <v>30</v>
          </cell>
        </row>
        <row r="843">
          <cell r="C843" t="str">
            <v>Neemrana</v>
          </cell>
          <cell r="D843" t="str">
            <v>days</v>
          </cell>
          <cell r="F843">
            <v>0</v>
          </cell>
          <cell r="G843">
            <v>38.501470124088442</v>
          </cell>
          <cell r="H843">
            <v>23.7012987012987</v>
          </cell>
          <cell r="I843">
            <v>30</v>
          </cell>
          <cell r="J843">
            <v>30</v>
          </cell>
          <cell r="K843">
            <v>30</v>
          </cell>
          <cell r="L843">
            <v>30</v>
          </cell>
          <cell r="M843">
            <v>30</v>
          </cell>
          <cell r="N843">
            <v>30</v>
          </cell>
          <cell r="O843">
            <v>30</v>
          </cell>
        </row>
        <row r="844">
          <cell r="C844" t="str">
            <v>Rishikesh</v>
          </cell>
          <cell r="D844" t="str">
            <v>days</v>
          </cell>
          <cell r="F844">
            <v>28.617451924454759</v>
          </cell>
          <cell r="G844">
            <v>16.140447851765511</v>
          </cell>
          <cell r="H844">
            <v>23.846666666666671</v>
          </cell>
          <cell r="I844">
            <v>30</v>
          </cell>
          <cell r="J844">
            <v>30</v>
          </cell>
          <cell r="K844">
            <v>30</v>
          </cell>
          <cell r="L844">
            <v>30</v>
          </cell>
          <cell r="M844">
            <v>30</v>
          </cell>
          <cell r="N844">
            <v>30</v>
          </cell>
          <cell r="O844">
            <v>30</v>
          </cell>
        </row>
        <row r="845">
          <cell r="C845" t="str">
            <v>Pondicherry</v>
          </cell>
          <cell r="D845" t="str">
            <v>days</v>
          </cell>
          <cell r="F845">
            <v>10.84760539367638</v>
          </cell>
          <cell r="G845">
            <v>15.654104034644773</v>
          </cell>
          <cell r="H845">
            <v>16.841906202723148</v>
          </cell>
          <cell r="I845">
            <v>30</v>
          </cell>
          <cell r="J845">
            <v>30</v>
          </cell>
          <cell r="K845">
            <v>30</v>
          </cell>
          <cell r="L845">
            <v>30</v>
          </cell>
          <cell r="M845">
            <v>30</v>
          </cell>
          <cell r="N845">
            <v>30</v>
          </cell>
          <cell r="O845">
            <v>30</v>
          </cell>
        </row>
        <row r="846">
          <cell r="C846" t="str">
            <v>Nashik</v>
          </cell>
          <cell r="D846" t="str">
            <v>days</v>
          </cell>
          <cell r="F846">
            <v>12.087429166184807</v>
          </cell>
          <cell r="G846">
            <v>15.443970889172682</v>
          </cell>
          <cell r="H846">
            <v>13.054363376251787</v>
          </cell>
          <cell r="I846">
            <v>30</v>
          </cell>
          <cell r="J846">
            <v>30</v>
          </cell>
          <cell r="K846">
            <v>30</v>
          </cell>
          <cell r="L846">
            <v>30</v>
          </cell>
          <cell r="M846">
            <v>30</v>
          </cell>
          <cell r="N846">
            <v>30</v>
          </cell>
          <cell r="O846">
            <v>30</v>
          </cell>
        </row>
        <row r="847">
          <cell r="C847" t="str">
            <v>Nashik_Cosmetic</v>
          </cell>
          <cell r="D847" t="str">
            <v>days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30</v>
          </cell>
          <cell r="K847">
            <v>30</v>
          </cell>
          <cell r="L847">
            <v>30</v>
          </cell>
          <cell r="M847">
            <v>30</v>
          </cell>
          <cell r="N847">
            <v>30</v>
          </cell>
          <cell r="O847">
            <v>30</v>
          </cell>
        </row>
        <row r="848">
          <cell r="C848" t="str">
            <v>AP</v>
          </cell>
          <cell r="D848" t="str">
            <v>days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30</v>
          </cell>
          <cell r="L848">
            <v>30</v>
          </cell>
          <cell r="M848">
            <v>30</v>
          </cell>
          <cell r="N848">
            <v>30</v>
          </cell>
          <cell r="O848">
            <v>30</v>
          </cell>
        </row>
        <row r="849">
          <cell r="C849" t="str">
            <v>West_Furnace</v>
          </cell>
          <cell r="D849" t="str">
            <v>days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30</v>
          </cell>
          <cell r="L849">
            <v>30</v>
          </cell>
          <cell r="M849">
            <v>30</v>
          </cell>
          <cell r="N849">
            <v>30</v>
          </cell>
          <cell r="O849">
            <v>30</v>
          </cell>
        </row>
        <row r="850">
          <cell r="C850" t="str">
            <v>North_Furnace</v>
          </cell>
          <cell r="D850" t="str">
            <v>days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30</v>
          </cell>
          <cell r="M850">
            <v>30</v>
          </cell>
          <cell r="N850">
            <v>30</v>
          </cell>
          <cell r="O850">
            <v>30</v>
          </cell>
        </row>
        <row r="854">
          <cell r="C854" t="str">
            <v>Rishra</v>
          </cell>
          <cell r="D854" t="str">
            <v>days</v>
          </cell>
          <cell r="F854">
            <v>308.17428525060188</v>
          </cell>
          <cell r="G854">
            <v>407.26310277799695</v>
          </cell>
          <cell r="H854">
            <v>338.43811881188122</v>
          </cell>
          <cell r="I854">
            <v>365</v>
          </cell>
          <cell r="J854">
            <v>365</v>
          </cell>
          <cell r="K854">
            <v>365</v>
          </cell>
          <cell r="L854">
            <v>365</v>
          </cell>
          <cell r="M854">
            <v>365</v>
          </cell>
          <cell r="N854">
            <v>365</v>
          </cell>
          <cell r="O854">
            <v>365</v>
          </cell>
        </row>
        <row r="855">
          <cell r="C855" t="str">
            <v>Bahadurgarh</v>
          </cell>
          <cell r="D855" t="str">
            <v>days</v>
          </cell>
          <cell r="F855">
            <v>462.54910197054119</v>
          </cell>
          <cell r="G855">
            <v>277.52226252869013</v>
          </cell>
          <cell r="H855">
            <v>585.02251125562771</v>
          </cell>
          <cell r="I855">
            <v>365</v>
          </cell>
          <cell r="J855">
            <v>365</v>
          </cell>
          <cell r="K855">
            <v>365</v>
          </cell>
          <cell r="L855">
            <v>365</v>
          </cell>
          <cell r="M855">
            <v>365</v>
          </cell>
          <cell r="N855">
            <v>365</v>
          </cell>
          <cell r="O855">
            <v>365</v>
          </cell>
        </row>
        <row r="856">
          <cell r="C856" t="str">
            <v>Neemrana</v>
          </cell>
          <cell r="D856" t="str">
            <v>days</v>
          </cell>
          <cell r="F856">
            <v>229.42241379310346</v>
          </cell>
          <cell r="G856">
            <v>529.33524973050669</v>
          </cell>
          <cell r="H856">
            <v>383.77142857142854</v>
          </cell>
          <cell r="I856">
            <v>365</v>
          </cell>
          <cell r="J856">
            <v>365</v>
          </cell>
          <cell r="K856">
            <v>365</v>
          </cell>
          <cell r="L856">
            <v>365</v>
          </cell>
          <cell r="M856">
            <v>365</v>
          </cell>
          <cell r="N856">
            <v>365</v>
          </cell>
          <cell r="O856">
            <v>365</v>
          </cell>
        </row>
        <row r="857">
          <cell r="C857" t="str">
            <v>Rishikesh</v>
          </cell>
          <cell r="D857" t="str">
            <v>days</v>
          </cell>
          <cell r="F857">
            <v>1088.4417331492875</v>
          </cell>
          <cell r="G857">
            <v>572.63624572310312</v>
          </cell>
          <cell r="H857">
            <v>444.0899241603467</v>
          </cell>
          <cell r="I857">
            <v>365</v>
          </cell>
          <cell r="J857">
            <v>365</v>
          </cell>
          <cell r="K857">
            <v>365</v>
          </cell>
          <cell r="L857">
            <v>365</v>
          </cell>
          <cell r="M857">
            <v>365</v>
          </cell>
          <cell r="N857">
            <v>365</v>
          </cell>
          <cell r="O857">
            <v>365</v>
          </cell>
        </row>
        <row r="858">
          <cell r="C858" t="str">
            <v>Pondicherry</v>
          </cell>
          <cell r="D858" t="str">
            <v>days</v>
          </cell>
          <cell r="F858">
            <v>761.37485130193409</v>
          </cell>
          <cell r="G858">
            <v>1185.0695114887044</v>
          </cell>
          <cell r="H858">
            <v>501.35057471264372</v>
          </cell>
          <cell r="I858">
            <v>365</v>
          </cell>
          <cell r="J858">
            <v>365</v>
          </cell>
          <cell r="K858">
            <v>365</v>
          </cell>
          <cell r="L858">
            <v>365</v>
          </cell>
          <cell r="M858">
            <v>365</v>
          </cell>
          <cell r="N858">
            <v>365</v>
          </cell>
          <cell r="O858">
            <v>365</v>
          </cell>
        </row>
        <row r="859">
          <cell r="C859" t="str">
            <v>Nashik</v>
          </cell>
          <cell r="D859" t="str">
            <v>days</v>
          </cell>
          <cell r="F859">
            <v>128.64440020206223</v>
          </cell>
          <cell r="G859">
            <v>338.4113199071648</v>
          </cell>
          <cell r="H859">
            <v>434.18300653594764</v>
          </cell>
          <cell r="I859">
            <v>365</v>
          </cell>
          <cell r="J859">
            <v>365</v>
          </cell>
          <cell r="K859">
            <v>365</v>
          </cell>
          <cell r="L859">
            <v>365</v>
          </cell>
          <cell r="M859">
            <v>365</v>
          </cell>
          <cell r="N859">
            <v>365</v>
          </cell>
          <cell r="O859">
            <v>365</v>
          </cell>
        </row>
        <row r="860">
          <cell r="C860" t="str">
            <v>Nashik_Cosmetic</v>
          </cell>
          <cell r="D860" t="str">
            <v>days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365</v>
          </cell>
          <cell r="K860">
            <v>365</v>
          </cell>
          <cell r="L860">
            <v>365</v>
          </cell>
          <cell r="M860">
            <v>365</v>
          </cell>
          <cell r="N860">
            <v>365</v>
          </cell>
          <cell r="O860">
            <v>365</v>
          </cell>
        </row>
        <row r="861">
          <cell r="C861" t="str">
            <v>AP</v>
          </cell>
          <cell r="D861" t="str">
            <v>days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365</v>
          </cell>
          <cell r="L861">
            <v>365</v>
          </cell>
          <cell r="M861">
            <v>365</v>
          </cell>
          <cell r="N861">
            <v>365</v>
          </cell>
          <cell r="O861">
            <v>365</v>
          </cell>
        </row>
        <row r="862">
          <cell r="C862" t="str">
            <v>West_Furnace</v>
          </cell>
          <cell r="D862" t="str">
            <v>days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365</v>
          </cell>
          <cell r="L862">
            <v>365</v>
          </cell>
          <cell r="M862">
            <v>365</v>
          </cell>
          <cell r="N862">
            <v>365</v>
          </cell>
          <cell r="O862">
            <v>365</v>
          </cell>
        </row>
        <row r="863">
          <cell r="C863" t="str">
            <v>North_Furnace</v>
          </cell>
          <cell r="D863" t="str">
            <v>days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365</v>
          </cell>
          <cell r="M863">
            <v>365</v>
          </cell>
          <cell r="N863">
            <v>365</v>
          </cell>
          <cell r="O863">
            <v>365</v>
          </cell>
        </row>
        <row r="867">
          <cell r="C867" t="str">
            <v>Rishra</v>
          </cell>
          <cell r="D867" t="str">
            <v>days</v>
          </cell>
          <cell r="F867">
            <v>2.1661851258526226</v>
          </cell>
          <cell r="G867">
            <v>1.6796834809611552</v>
          </cell>
          <cell r="H867">
            <v>2.2708419742845294</v>
          </cell>
          <cell r="I867">
            <v>2</v>
          </cell>
          <cell r="J867">
            <v>2</v>
          </cell>
          <cell r="K867">
            <v>2</v>
          </cell>
          <cell r="L867">
            <v>2</v>
          </cell>
          <cell r="M867">
            <v>2</v>
          </cell>
          <cell r="N867">
            <v>2</v>
          </cell>
          <cell r="O867">
            <v>2</v>
          </cell>
        </row>
        <row r="868">
          <cell r="C868" t="str">
            <v>Bahadurgarh</v>
          </cell>
          <cell r="D868" t="str">
            <v>days</v>
          </cell>
          <cell r="F868">
            <v>10.180524039021849</v>
          </cell>
          <cell r="G868">
            <v>5.0261136442030283</v>
          </cell>
          <cell r="H868">
            <v>7.352572800333995</v>
          </cell>
          <cell r="I868">
            <v>2</v>
          </cell>
          <cell r="J868">
            <v>2</v>
          </cell>
          <cell r="K868">
            <v>2</v>
          </cell>
          <cell r="L868">
            <v>2</v>
          </cell>
          <cell r="M868">
            <v>2</v>
          </cell>
          <cell r="N868">
            <v>2</v>
          </cell>
          <cell r="O868">
            <v>2</v>
          </cell>
        </row>
        <row r="869">
          <cell r="C869" t="str">
            <v>Neemrana</v>
          </cell>
          <cell r="D869" t="str">
            <v>days</v>
          </cell>
          <cell r="F869">
            <v>1.5419992851185513</v>
          </cell>
          <cell r="G869">
            <v>3.2161568908942568</v>
          </cell>
          <cell r="H869">
            <v>2.6360842041388213</v>
          </cell>
          <cell r="I869">
            <v>2</v>
          </cell>
          <cell r="J869">
            <v>2</v>
          </cell>
          <cell r="K869">
            <v>2</v>
          </cell>
          <cell r="L869">
            <v>2</v>
          </cell>
          <cell r="M869">
            <v>2</v>
          </cell>
          <cell r="N869">
            <v>2</v>
          </cell>
          <cell r="O869">
            <v>2</v>
          </cell>
        </row>
        <row r="870">
          <cell r="C870" t="str">
            <v>Rishikesh</v>
          </cell>
          <cell r="D870" t="str">
            <v>days</v>
          </cell>
          <cell r="F870">
            <v>2.891420146697306</v>
          </cell>
          <cell r="G870">
            <v>2.5357217770692624</v>
          </cell>
          <cell r="H870">
            <v>2.9806497425883185</v>
          </cell>
          <cell r="I870">
            <v>2</v>
          </cell>
          <cell r="J870">
            <v>2</v>
          </cell>
          <cell r="K870">
            <v>2</v>
          </cell>
          <cell r="L870">
            <v>2</v>
          </cell>
          <cell r="M870">
            <v>2</v>
          </cell>
          <cell r="N870">
            <v>2</v>
          </cell>
          <cell r="O870">
            <v>2</v>
          </cell>
        </row>
        <row r="871">
          <cell r="C871" t="str">
            <v>Pondicherry</v>
          </cell>
          <cell r="D871" t="str">
            <v>days</v>
          </cell>
          <cell r="F871">
            <v>2.9086773039875791</v>
          </cell>
          <cell r="G871">
            <v>2.3588380453033846</v>
          </cell>
          <cell r="H871">
            <v>2.4473180076628354</v>
          </cell>
          <cell r="I871">
            <v>2</v>
          </cell>
          <cell r="J871">
            <v>2</v>
          </cell>
          <cell r="K871">
            <v>2</v>
          </cell>
          <cell r="L871">
            <v>2</v>
          </cell>
          <cell r="M871">
            <v>2</v>
          </cell>
          <cell r="N871">
            <v>2</v>
          </cell>
          <cell r="O871">
            <v>2</v>
          </cell>
        </row>
        <row r="872">
          <cell r="C872" t="str">
            <v>Nashik</v>
          </cell>
          <cell r="D872" t="str">
            <v>days</v>
          </cell>
          <cell r="F872">
            <v>3.0325178073707031</v>
          </cell>
          <cell r="G872">
            <v>2.0173562118571042</v>
          </cell>
          <cell r="H872">
            <v>2.1565731166912854</v>
          </cell>
          <cell r="I872">
            <v>2</v>
          </cell>
          <cell r="J872">
            <v>2</v>
          </cell>
          <cell r="K872">
            <v>2</v>
          </cell>
          <cell r="L872">
            <v>2</v>
          </cell>
          <cell r="M872">
            <v>2</v>
          </cell>
          <cell r="N872">
            <v>2</v>
          </cell>
          <cell r="O872">
            <v>2</v>
          </cell>
        </row>
        <row r="873">
          <cell r="C873" t="str">
            <v>Nashik_Cosmetic</v>
          </cell>
          <cell r="D873" t="str">
            <v>days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</v>
          </cell>
          <cell r="K873">
            <v>2</v>
          </cell>
          <cell r="L873">
            <v>2</v>
          </cell>
          <cell r="M873">
            <v>2</v>
          </cell>
          <cell r="N873">
            <v>2</v>
          </cell>
          <cell r="O873">
            <v>2</v>
          </cell>
        </row>
        <row r="874">
          <cell r="C874" t="str">
            <v>AP</v>
          </cell>
          <cell r="D874" t="str">
            <v>days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2</v>
          </cell>
          <cell r="L874">
            <v>2</v>
          </cell>
          <cell r="M874">
            <v>2</v>
          </cell>
          <cell r="N874">
            <v>2</v>
          </cell>
          <cell r="O874">
            <v>2</v>
          </cell>
        </row>
        <row r="875">
          <cell r="C875" t="str">
            <v>West_Furnace</v>
          </cell>
          <cell r="D875" t="str">
            <v>days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2</v>
          </cell>
          <cell r="L875">
            <v>2</v>
          </cell>
          <cell r="M875">
            <v>2</v>
          </cell>
          <cell r="N875">
            <v>2</v>
          </cell>
          <cell r="O875">
            <v>2</v>
          </cell>
        </row>
        <row r="876">
          <cell r="C876" t="str">
            <v>North_Furnace</v>
          </cell>
          <cell r="D876" t="str">
            <v>days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2</v>
          </cell>
          <cell r="M876">
            <v>2</v>
          </cell>
          <cell r="N876">
            <v>2</v>
          </cell>
          <cell r="O876">
            <v>2</v>
          </cell>
        </row>
        <row r="880">
          <cell r="C880" t="str">
            <v>Rishra</v>
          </cell>
          <cell r="D880" t="str">
            <v>days</v>
          </cell>
          <cell r="F880">
            <v>47.704877197171861</v>
          </cell>
          <cell r="G880">
            <v>71.345305803155682</v>
          </cell>
          <cell r="H880">
            <v>76.027788796278429</v>
          </cell>
          <cell r="I880">
            <v>50</v>
          </cell>
          <cell r="J880">
            <v>50</v>
          </cell>
          <cell r="K880">
            <v>50</v>
          </cell>
          <cell r="L880">
            <v>50</v>
          </cell>
          <cell r="M880">
            <v>50</v>
          </cell>
          <cell r="N880">
            <v>50</v>
          </cell>
          <cell r="O880">
            <v>50</v>
          </cell>
        </row>
        <row r="881">
          <cell r="C881" t="str">
            <v>Bahadurgarh</v>
          </cell>
          <cell r="D881" t="str">
            <v>days</v>
          </cell>
          <cell r="F881">
            <v>51.6185047716206</v>
          </cell>
          <cell r="G881">
            <v>44.265805420818666</v>
          </cell>
          <cell r="H881">
            <v>43.817538985681118</v>
          </cell>
          <cell r="I881">
            <v>50</v>
          </cell>
          <cell r="J881">
            <v>50</v>
          </cell>
          <cell r="K881">
            <v>50</v>
          </cell>
          <cell r="L881">
            <v>50</v>
          </cell>
          <cell r="M881">
            <v>50</v>
          </cell>
          <cell r="N881">
            <v>50</v>
          </cell>
          <cell r="O881">
            <v>50</v>
          </cell>
        </row>
        <row r="882">
          <cell r="C882" t="str">
            <v>Neemrana</v>
          </cell>
          <cell r="D882" t="str">
            <v>days</v>
          </cell>
          <cell r="F882">
            <v>16.783216256899149</v>
          </cell>
          <cell r="G882">
            <v>80.782323839069903</v>
          </cell>
          <cell r="H882">
            <v>71.21551580629945</v>
          </cell>
          <cell r="I882">
            <v>50</v>
          </cell>
          <cell r="J882">
            <v>50</v>
          </cell>
          <cell r="K882">
            <v>50</v>
          </cell>
          <cell r="L882">
            <v>50</v>
          </cell>
          <cell r="M882">
            <v>50</v>
          </cell>
          <cell r="N882">
            <v>50</v>
          </cell>
          <cell r="O882">
            <v>50</v>
          </cell>
        </row>
        <row r="883">
          <cell r="C883" t="str">
            <v>Rishikesh</v>
          </cell>
          <cell r="D883" t="str">
            <v>days</v>
          </cell>
          <cell r="F883">
            <v>35.603983518310145</v>
          </cell>
          <cell r="G883">
            <v>37.727849952341074</v>
          </cell>
          <cell r="H883">
            <v>36.851885952719648</v>
          </cell>
          <cell r="I883">
            <v>50</v>
          </cell>
          <cell r="J883">
            <v>50</v>
          </cell>
          <cell r="K883">
            <v>50</v>
          </cell>
          <cell r="L883">
            <v>50</v>
          </cell>
          <cell r="M883">
            <v>50</v>
          </cell>
          <cell r="N883">
            <v>50</v>
          </cell>
          <cell r="O883">
            <v>50</v>
          </cell>
        </row>
        <row r="884">
          <cell r="C884" t="str">
            <v>Pondicherry</v>
          </cell>
          <cell r="D884" t="str">
            <v>days</v>
          </cell>
          <cell r="F884">
            <v>58.164441775153719</v>
          </cell>
          <cell r="G884">
            <v>79.813819710637901</v>
          </cell>
          <cell r="H884">
            <v>50.688485359361728</v>
          </cell>
          <cell r="I884">
            <v>50</v>
          </cell>
          <cell r="J884">
            <v>50</v>
          </cell>
          <cell r="K884">
            <v>50</v>
          </cell>
          <cell r="L884">
            <v>50</v>
          </cell>
          <cell r="M884">
            <v>50</v>
          </cell>
          <cell r="N884">
            <v>50</v>
          </cell>
          <cell r="O884">
            <v>50</v>
          </cell>
        </row>
        <row r="885">
          <cell r="C885" t="str">
            <v>Nashik</v>
          </cell>
          <cell r="D885" t="str">
            <v>days</v>
          </cell>
          <cell r="F885">
            <v>57.881394833262647</v>
          </cell>
          <cell r="G885">
            <v>74.4089960971707</v>
          </cell>
          <cell r="H885">
            <v>80.678528018338753</v>
          </cell>
          <cell r="I885">
            <v>50</v>
          </cell>
          <cell r="J885">
            <v>50</v>
          </cell>
          <cell r="K885">
            <v>50</v>
          </cell>
          <cell r="L885">
            <v>50</v>
          </cell>
          <cell r="M885">
            <v>50</v>
          </cell>
          <cell r="N885">
            <v>50</v>
          </cell>
          <cell r="O885">
            <v>50</v>
          </cell>
        </row>
        <row r="886">
          <cell r="C886" t="str">
            <v>Nashik_Cosmetic</v>
          </cell>
          <cell r="D886" t="str">
            <v>days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50</v>
          </cell>
          <cell r="K886">
            <v>50</v>
          </cell>
          <cell r="L886">
            <v>50</v>
          </cell>
          <cell r="M886">
            <v>50</v>
          </cell>
          <cell r="N886">
            <v>50</v>
          </cell>
          <cell r="O886">
            <v>50</v>
          </cell>
        </row>
        <row r="887">
          <cell r="C887" t="str">
            <v>AP</v>
          </cell>
          <cell r="D887" t="str">
            <v>days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50</v>
          </cell>
          <cell r="L887">
            <v>50</v>
          </cell>
          <cell r="M887">
            <v>50</v>
          </cell>
          <cell r="N887">
            <v>50</v>
          </cell>
          <cell r="O887">
            <v>50</v>
          </cell>
        </row>
        <row r="888">
          <cell r="C888" t="str">
            <v>West_Furnace</v>
          </cell>
          <cell r="D888" t="str">
            <v>days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50</v>
          </cell>
          <cell r="L888">
            <v>50</v>
          </cell>
          <cell r="M888">
            <v>50</v>
          </cell>
          <cell r="N888">
            <v>50</v>
          </cell>
          <cell r="O888">
            <v>50</v>
          </cell>
        </row>
        <row r="889">
          <cell r="C889" t="str">
            <v>North_Furnace</v>
          </cell>
          <cell r="D889" t="str">
            <v>days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50</v>
          </cell>
          <cell r="M889">
            <v>50</v>
          </cell>
          <cell r="N889">
            <v>50</v>
          </cell>
          <cell r="O889">
            <v>50</v>
          </cell>
        </row>
        <row r="893">
          <cell r="C893" t="str">
            <v>Rishra</v>
          </cell>
          <cell r="D893" t="str">
            <v>days</v>
          </cell>
          <cell r="F893">
            <v>64.034007659653398</v>
          </cell>
          <cell r="G893">
            <v>159.09832299442749</v>
          </cell>
          <cell r="H893">
            <v>23.007398514022896</v>
          </cell>
          <cell r="I893">
            <v>15</v>
          </cell>
          <cell r="J893">
            <v>15</v>
          </cell>
          <cell r="K893">
            <v>15</v>
          </cell>
          <cell r="L893">
            <v>15</v>
          </cell>
          <cell r="M893">
            <v>15</v>
          </cell>
          <cell r="N893">
            <v>15</v>
          </cell>
          <cell r="O893">
            <v>15</v>
          </cell>
        </row>
        <row r="894">
          <cell r="C894" t="str">
            <v>Bahadurgarh</v>
          </cell>
          <cell r="D894" t="str">
            <v>days</v>
          </cell>
          <cell r="F894">
            <v>20.466658492920057</v>
          </cell>
          <cell r="G894">
            <v>21.526855416278408</v>
          </cell>
          <cell r="H894">
            <v>21.095332671300891</v>
          </cell>
          <cell r="I894">
            <v>15</v>
          </cell>
          <cell r="J894">
            <v>15</v>
          </cell>
          <cell r="K894">
            <v>15</v>
          </cell>
          <cell r="L894">
            <v>15</v>
          </cell>
          <cell r="M894">
            <v>15</v>
          </cell>
          <cell r="N894">
            <v>15</v>
          </cell>
          <cell r="O894">
            <v>15</v>
          </cell>
        </row>
        <row r="895">
          <cell r="C895" t="str">
            <v>Neemrana</v>
          </cell>
          <cell r="D895" t="str">
            <v>days</v>
          </cell>
          <cell r="F895">
            <v>24.698243035606914</v>
          </cell>
          <cell r="G895">
            <v>17.713077597898366</v>
          </cell>
          <cell r="H895">
            <v>16.929499072356215</v>
          </cell>
          <cell r="I895">
            <v>15</v>
          </cell>
          <cell r="J895">
            <v>15</v>
          </cell>
          <cell r="K895">
            <v>15</v>
          </cell>
          <cell r="L895">
            <v>15</v>
          </cell>
          <cell r="M895">
            <v>15</v>
          </cell>
          <cell r="N895">
            <v>15</v>
          </cell>
          <cell r="O895">
            <v>15</v>
          </cell>
        </row>
        <row r="896">
          <cell r="C896" t="str">
            <v>Rishikesh</v>
          </cell>
          <cell r="D896" t="str">
            <v>days</v>
          </cell>
          <cell r="F896">
            <v>12.182622031366639</v>
          </cell>
          <cell r="G896">
            <v>7.161032774860419</v>
          </cell>
          <cell r="H896">
            <v>9.7921450151057403</v>
          </cell>
          <cell r="I896">
            <v>15</v>
          </cell>
          <cell r="J896">
            <v>15</v>
          </cell>
          <cell r="K896">
            <v>15</v>
          </cell>
          <cell r="L896">
            <v>15</v>
          </cell>
          <cell r="M896">
            <v>15</v>
          </cell>
          <cell r="N896">
            <v>15</v>
          </cell>
          <cell r="O896">
            <v>15</v>
          </cell>
        </row>
        <row r="897">
          <cell r="C897" t="str">
            <v>Pondicherry</v>
          </cell>
          <cell r="D897" t="str">
            <v>days</v>
          </cell>
          <cell r="F897">
            <v>10.026052132690197</v>
          </cell>
          <cell r="G897">
            <v>19.595468025806337</v>
          </cell>
          <cell r="H897">
            <v>17.968914832266684</v>
          </cell>
          <cell r="I897">
            <v>15</v>
          </cell>
          <cell r="J897">
            <v>15</v>
          </cell>
          <cell r="K897">
            <v>15</v>
          </cell>
          <cell r="L897">
            <v>15</v>
          </cell>
          <cell r="M897">
            <v>15</v>
          </cell>
          <cell r="N897">
            <v>15</v>
          </cell>
          <cell r="O897">
            <v>15</v>
          </cell>
        </row>
        <row r="898">
          <cell r="C898" t="str">
            <v>Nashik</v>
          </cell>
          <cell r="D898" t="str">
            <v>days</v>
          </cell>
          <cell r="F898">
            <v>12.822261366017774</v>
          </cell>
          <cell r="G898">
            <v>12.538373156563173</v>
          </cell>
          <cell r="H898">
            <v>14.376653084566446</v>
          </cell>
          <cell r="I898">
            <v>15</v>
          </cell>
          <cell r="J898">
            <v>15</v>
          </cell>
          <cell r="K898">
            <v>15</v>
          </cell>
          <cell r="L898">
            <v>15</v>
          </cell>
          <cell r="M898">
            <v>15</v>
          </cell>
          <cell r="N898">
            <v>15</v>
          </cell>
          <cell r="O898">
            <v>15</v>
          </cell>
        </row>
        <row r="899">
          <cell r="C899" t="str">
            <v>Nashik_Cosmetic</v>
          </cell>
          <cell r="D899" t="str">
            <v>days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15</v>
          </cell>
          <cell r="K899">
            <v>15</v>
          </cell>
          <cell r="L899">
            <v>15</v>
          </cell>
          <cell r="M899">
            <v>15</v>
          </cell>
          <cell r="N899">
            <v>15</v>
          </cell>
          <cell r="O899">
            <v>15</v>
          </cell>
        </row>
        <row r="900">
          <cell r="C900" t="str">
            <v>AP</v>
          </cell>
          <cell r="D900" t="str">
            <v>days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15</v>
          </cell>
          <cell r="L900">
            <v>15</v>
          </cell>
          <cell r="M900">
            <v>15</v>
          </cell>
          <cell r="N900">
            <v>15</v>
          </cell>
          <cell r="O900">
            <v>15</v>
          </cell>
        </row>
        <row r="901">
          <cell r="C901" t="str">
            <v>West_Furnace</v>
          </cell>
          <cell r="D901" t="str">
            <v>days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15</v>
          </cell>
          <cell r="L901">
            <v>15</v>
          </cell>
          <cell r="M901">
            <v>15</v>
          </cell>
          <cell r="N901">
            <v>15</v>
          </cell>
          <cell r="O901">
            <v>15</v>
          </cell>
        </row>
        <row r="902">
          <cell r="C902" t="str">
            <v>North_Furnace</v>
          </cell>
          <cell r="D902" t="str">
            <v>days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15</v>
          </cell>
          <cell r="M902">
            <v>15</v>
          </cell>
          <cell r="N902">
            <v>15</v>
          </cell>
          <cell r="O902">
            <v>15</v>
          </cell>
        </row>
        <row r="906">
          <cell r="C906" t="str">
            <v>Rishra</v>
          </cell>
          <cell r="D906" t="str">
            <v>days</v>
          </cell>
          <cell r="F906">
            <v>105.81912681752469</v>
          </cell>
          <cell r="G906">
            <v>113.22334734651518</v>
          </cell>
          <cell r="H906">
            <v>101.92820512820512</v>
          </cell>
          <cell r="I906">
            <v>45</v>
          </cell>
          <cell r="J906">
            <v>45</v>
          </cell>
          <cell r="K906">
            <v>45</v>
          </cell>
          <cell r="L906">
            <v>45</v>
          </cell>
          <cell r="M906">
            <v>45</v>
          </cell>
          <cell r="N906">
            <v>45</v>
          </cell>
          <cell r="O906">
            <v>45</v>
          </cell>
        </row>
        <row r="907">
          <cell r="C907" t="str">
            <v>Bahadurgarh</v>
          </cell>
          <cell r="D907" t="str">
            <v>days</v>
          </cell>
          <cell r="F907">
            <v>121.46350937979048</v>
          </cell>
          <cell r="G907">
            <v>125.16130755592137</v>
          </cell>
          <cell r="H907">
            <v>110.21341151541719</v>
          </cell>
          <cell r="I907">
            <v>45</v>
          </cell>
          <cell r="J907">
            <v>45</v>
          </cell>
          <cell r="K907">
            <v>45</v>
          </cell>
          <cell r="L907">
            <v>45</v>
          </cell>
          <cell r="M907">
            <v>45</v>
          </cell>
          <cell r="N907">
            <v>45</v>
          </cell>
          <cell r="O907">
            <v>45</v>
          </cell>
        </row>
        <row r="908">
          <cell r="C908" t="str">
            <v>Neemrana</v>
          </cell>
          <cell r="D908" t="str">
            <v>days</v>
          </cell>
          <cell r="F908">
            <v>79.172693907511629</v>
          </cell>
          <cell r="G908">
            <v>68.706274294568985</v>
          </cell>
          <cell r="H908">
            <v>58.488956587966484</v>
          </cell>
          <cell r="I908">
            <v>45</v>
          </cell>
          <cell r="J908">
            <v>45</v>
          </cell>
          <cell r="K908">
            <v>45</v>
          </cell>
          <cell r="L908">
            <v>45</v>
          </cell>
          <cell r="M908">
            <v>45</v>
          </cell>
          <cell r="N908">
            <v>45</v>
          </cell>
          <cell r="O908">
            <v>45</v>
          </cell>
        </row>
        <row r="909">
          <cell r="C909" t="str">
            <v>Rishikesh</v>
          </cell>
          <cell r="D909" t="str">
            <v>days</v>
          </cell>
          <cell r="F909">
            <v>99.392585349464511</v>
          </cell>
          <cell r="G909">
            <v>94.543706371698477</v>
          </cell>
          <cell r="H909">
            <v>59.954512164846079</v>
          </cell>
          <cell r="I909">
            <v>45</v>
          </cell>
          <cell r="J909">
            <v>45</v>
          </cell>
          <cell r="K909">
            <v>45</v>
          </cell>
          <cell r="L909">
            <v>45</v>
          </cell>
          <cell r="M909">
            <v>45</v>
          </cell>
          <cell r="N909">
            <v>45</v>
          </cell>
          <cell r="O909">
            <v>45</v>
          </cell>
        </row>
        <row r="910">
          <cell r="C910" t="str">
            <v>Pondicherry</v>
          </cell>
          <cell r="D910" t="str">
            <v>days</v>
          </cell>
          <cell r="F910">
            <v>89.008236496433838</v>
          </cell>
          <cell r="G910">
            <v>103.15020146424975</v>
          </cell>
          <cell r="H910">
            <v>67.439864690721635</v>
          </cell>
          <cell r="I910">
            <v>45</v>
          </cell>
          <cell r="J910">
            <v>45</v>
          </cell>
          <cell r="K910">
            <v>45</v>
          </cell>
          <cell r="L910">
            <v>45</v>
          </cell>
          <cell r="M910">
            <v>45</v>
          </cell>
          <cell r="N910">
            <v>45</v>
          </cell>
          <cell r="O910">
            <v>45</v>
          </cell>
        </row>
        <row r="911">
          <cell r="C911" t="str">
            <v>Nashik</v>
          </cell>
          <cell r="D911" t="str">
            <v>days</v>
          </cell>
          <cell r="F911">
            <v>94.800647974081031</v>
          </cell>
          <cell r="G911">
            <v>51.790850975706263</v>
          </cell>
          <cell r="H911">
            <v>60.371471855642326</v>
          </cell>
          <cell r="I911">
            <v>45</v>
          </cell>
          <cell r="J911">
            <v>45</v>
          </cell>
          <cell r="K911">
            <v>45</v>
          </cell>
          <cell r="L911">
            <v>45</v>
          </cell>
          <cell r="M911">
            <v>45</v>
          </cell>
          <cell r="N911">
            <v>45</v>
          </cell>
          <cell r="O911">
            <v>45</v>
          </cell>
        </row>
        <row r="912">
          <cell r="C912" t="str">
            <v>Nashik_Cosmetic</v>
          </cell>
          <cell r="D912" t="str">
            <v>days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45</v>
          </cell>
          <cell r="K912">
            <v>45</v>
          </cell>
          <cell r="L912">
            <v>45</v>
          </cell>
          <cell r="M912">
            <v>45</v>
          </cell>
          <cell r="N912">
            <v>45</v>
          </cell>
          <cell r="O912">
            <v>45</v>
          </cell>
        </row>
        <row r="913">
          <cell r="C913" t="str">
            <v>AP</v>
          </cell>
          <cell r="D913" t="str">
            <v>days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45</v>
          </cell>
          <cell r="L913">
            <v>45</v>
          </cell>
          <cell r="M913">
            <v>45</v>
          </cell>
          <cell r="N913">
            <v>45</v>
          </cell>
          <cell r="O913">
            <v>45</v>
          </cell>
        </row>
        <row r="914">
          <cell r="C914" t="str">
            <v>West_Furnace</v>
          </cell>
          <cell r="D914" t="str">
            <v>days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45</v>
          </cell>
          <cell r="L914">
            <v>45</v>
          </cell>
          <cell r="M914">
            <v>45</v>
          </cell>
          <cell r="N914">
            <v>45</v>
          </cell>
          <cell r="O914">
            <v>45</v>
          </cell>
        </row>
        <row r="915">
          <cell r="C915" t="str">
            <v>North_Furnace</v>
          </cell>
          <cell r="D915" t="str">
            <v>days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45</v>
          </cell>
          <cell r="M915">
            <v>45</v>
          </cell>
          <cell r="N915">
            <v>45</v>
          </cell>
          <cell r="O915">
            <v>45</v>
          </cell>
        </row>
        <row r="927">
          <cell r="C927" t="str">
            <v>Investment during the year - Investment/ (sale)</v>
          </cell>
          <cell r="I927">
            <v>2200</v>
          </cell>
          <cell r="J927">
            <v>-500</v>
          </cell>
          <cell r="K927">
            <v>300</v>
          </cell>
          <cell r="L927">
            <v>300</v>
          </cell>
          <cell r="M927">
            <v>2500</v>
          </cell>
          <cell r="N927">
            <v>2900</v>
          </cell>
          <cell r="O927">
            <v>2600</v>
          </cell>
        </row>
        <row r="928">
          <cell r="C928" t="str">
            <v>Return on investments</v>
          </cell>
          <cell r="I928">
            <v>0.08</v>
          </cell>
          <cell r="J928">
            <v>0.08</v>
          </cell>
          <cell r="K928">
            <v>0.08</v>
          </cell>
          <cell r="L928">
            <v>0.08</v>
          </cell>
          <cell r="M928">
            <v>0.08</v>
          </cell>
          <cell r="N928">
            <v>0.08</v>
          </cell>
          <cell r="O928">
            <v>0.08</v>
          </cell>
        </row>
        <row r="936">
          <cell r="C936" t="str">
            <v xml:space="preserve">Proposed Term Loans </v>
          </cell>
          <cell r="D936" t="str">
            <v>Rsm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</row>
        <row r="937">
          <cell r="C937" t="str">
            <v>Term Loans HSBC 1</v>
          </cell>
          <cell r="D937" t="str">
            <v>Rsm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</row>
        <row r="938">
          <cell r="C938" t="str">
            <v>NCD GIC 2500</v>
          </cell>
          <cell r="D938" t="str">
            <v>Rsm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C939" t="str">
            <v>Term Loans SBI</v>
          </cell>
          <cell r="D939" t="str">
            <v>Rsm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</row>
        <row r="940">
          <cell r="C940" t="str">
            <v>Term Loans HSBC 2</v>
          </cell>
          <cell r="D940" t="str">
            <v>Rsm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</row>
        <row r="941">
          <cell r="C941" t="str">
            <v>NCD LIC</v>
          </cell>
          <cell r="D941" t="str">
            <v>Rsm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C942" t="str">
            <v>Term Loan from HSBC for Neemrana</v>
          </cell>
          <cell r="D942" t="str">
            <v>Rsm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</row>
        <row r="943">
          <cell r="C943" t="str">
            <v>Long Term Working Capital Loan from EXIM</v>
          </cell>
          <cell r="D943" t="str">
            <v>Rsm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</row>
        <row r="944">
          <cell r="C944" t="str">
            <v>ICICI ECB 5 Million</v>
          </cell>
          <cell r="D944" t="str">
            <v>Rsm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C945" t="str">
            <v>SBI Term Loan 4000+1000</v>
          </cell>
          <cell r="D945" t="str">
            <v>Rsm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C946" t="str">
            <v>EXIM Term Loan 2000</v>
          </cell>
          <cell r="D946" t="str">
            <v>Rsm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C947" t="str">
            <v>Term Loan from EXIM Bank</v>
          </cell>
          <cell r="D947" t="str">
            <v>Rsm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</row>
        <row r="948">
          <cell r="C948" t="str">
            <v>Term Loan From HSBC for Nashik</v>
          </cell>
          <cell r="D948" t="str">
            <v>Rsm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9">
          <cell r="C949" t="str">
            <v>Car Loan and Citicorp Loan</v>
          </cell>
          <cell r="D949" t="str">
            <v>Rsm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C950" t="str">
            <v>Working Capital Loans</v>
          </cell>
          <cell r="D950" t="str">
            <v>Rsm</v>
          </cell>
          <cell r="I950">
            <v>2249.3604676878845</v>
          </cell>
          <cell r="J950">
            <v>2554.3160971646066</v>
          </cell>
          <cell r="K950">
            <v>2386.2323103659046</v>
          </cell>
          <cell r="L950">
            <v>2894.5558304861615</v>
          </cell>
          <cell r="M950">
            <v>3710.5247582379502</v>
          </cell>
          <cell r="N950">
            <v>4039.6457257457641</v>
          </cell>
          <cell r="O950">
            <v>4313.9089483413845</v>
          </cell>
        </row>
        <row r="953">
          <cell r="C953" t="str">
            <v>Term Loans HSBC 1</v>
          </cell>
          <cell r="D953" t="str">
            <v>%</v>
          </cell>
          <cell r="I953">
            <v>0</v>
          </cell>
          <cell r="J953">
            <v>0.2</v>
          </cell>
          <cell r="K953">
            <v>0.25</v>
          </cell>
          <cell r="L953">
            <v>0.33333333333333298</v>
          </cell>
          <cell r="M953">
            <v>0.5</v>
          </cell>
          <cell r="N953">
            <v>1</v>
          </cell>
          <cell r="O953">
            <v>0</v>
          </cell>
        </row>
        <row r="954">
          <cell r="C954" t="str">
            <v>NCD GIC 2500</v>
          </cell>
          <cell r="D954" t="str">
            <v>%</v>
          </cell>
          <cell r="I954">
            <v>0</v>
          </cell>
          <cell r="J954">
            <v>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C955" t="str">
            <v>Term Loans SBI</v>
          </cell>
          <cell r="D955" t="str">
            <v>%</v>
          </cell>
          <cell r="I955">
            <v>0.2</v>
          </cell>
          <cell r="J955">
            <v>0.25</v>
          </cell>
          <cell r="K955">
            <v>0.33333333333333331</v>
          </cell>
          <cell r="L955">
            <v>0.5</v>
          </cell>
          <cell r="M955">
            <v>1</v>
          </cell>
          <cell r="N955">
            <v>0</v>
          </cell>
          <cell r="O955">
            <v>0</v>
          </cell>
        </row>
        <row r="956">
          <cell r="C956" t="str">
            <v>Term Loans HSBC 2</v>
          </cell>
          <cell r="D956" t="str">
            <v>%</v>
          </cell>
          <cell r="I956">
            <v>0.2307726696967439</v>
          </cell>
          <cell r="J956">
            <v>0.30000581181347952</v>
          </cell>
          <cell r="K956">
            <v>0.42858328951374092</v>
          </cell>
          <cell r="L956">
            <v>0.75003632488981453</v>
          </cell>
          <cell r="M956">
            <v>1</v>
          </cell>
          <cell r="N956">
            <v>0</v>
          </cell>
          <cell r="O956">
            <v>0</v>
          </cell>
        </row>
        <row r="957">
          <cell r="C957" t="str">
            <v>NCD LIC</v>
          </cell>
          <cell r="D957" t="str">
            <v>%</v>
          </cell>
          <cell r="I957">
            <v>0</v>
          </cell>
          <cell r="J957">
            <v>1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</row>
        <row r="958">
          <cell r="C958" t="str">
            <v>Term Loan from HSBC for Neemrana</v>
          </cell>
          <cell r="D958" t="str">
            <v>%</v>
          </cell>
          <cell r="I958">
            <v>0</v>
          </cell>
          <cell r="J958">
            <v>0.2</v>
          </cell>
          <cell r="K958">
            <v>0.5</v>
          </cell>
          <cell r="L958">
            <v>1</v>
          </cell>
          <cell r="M958">
            <v>0</v>
          </cell>
          <cell r="N958">
            <v>0</v>
          </cell>
          <cell r="O958">
            <v>0</v>
          </cell>
        </row>
        <row r="959">
          <cell r="C959" t="str">
            <v>Long Term Working Capital Loan from EXIM</v>
          </cell>
          <cell r="D959" t="str">
            <v>%</v>
          </cell>
          <cell r="I959">
            <v>0.36363636363636365</v>
          </cell>
          <cell r="J959">
            <v>0.5714285714285714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</row>
        <row r="960">
          <cell r="C960" t="str">
            <v>ICICI ECB 5 Million</v>
          </cell>
          <cell r="D960" t="str">
            <v>%</v>
          </cell>
          <cell r="I960">
            <v>0.70910991425129322</v>
          </cell>
          <cell r="J960">
            <v>1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</row>
        <row r="961">
          <cell r="C961" t="str">
            <v>SBI Term Loan 4000+1000</v>
          </cell>
          <cell r="D961" t="str">
            <v>%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</row>
        <row r="962">
          <cell r="C962" t="str">
            <v>EXIM Term Loan 2000</v>
          </cell>
          <cell r="D962" t="str">
            <v>%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</row>
        <row r="963">
          <cell r="C963" t="str">
            <v>Term Loan from EXIM Bank</v>
          </cell>
          <cell r="D963" t="str">
            <v>%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C964" t="str">
            <v>Term Loan From HSBC for Nashik</v>
          </cell>
          <cell r="D964" t="str">
            <v>%</v>
          </cell>
          <cell r="I964">
            <v>1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</row>
        <row r="965">
          <cell r="C965" t="str">
            <v>Car Loan and Citicorp Loan</v>
          </cell>
          <cell r="D965" t="str">
            <v>%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</row>
        <row r="966">
          <cell r="C966" t="str">
            <v>Working Capital Loans</v>
          </cell>
          <cell r="D966" t="str">
            <v>%</v>
          </cell>
          <cell r="I966">
            <v>1</v>
          </cell>
          <cell r="J966">
            <v>1</v>
          </cell>
          <cell r="K966">
            <v>1</v>
          </cell>
          <cell r="L966">
            <v>1</v>
          </cell>
          <cell r="M966">
            <v>1</v>
          </cell>
          <cell r="N966">
            <v>1</v>
          </cell>
          <cell r="O966">
            <v>1</v>
          </cell>
        </row>
        <row r="969">
          <cell r="C969" t="str">
            <v xml:space="preserve">Proposed Term Loans </v>
          </cell>
          <cell r="D969" t="str">
            <v>%</v>
          </cell>
          <cell r="F969">
            <v>0.09</v>
          </cell>
        </row>
        <row r="970">
          <cell r="C970" t="str">
            <v>Term Loans HSBC 1</v>
          </cell>
          <cell r="D970" t="str">
            <v>%</v>
          </cell>
          <cell r="F970">
            <v>8.4000000000000005E-2</v>
          </cell>
        </row>
        <row r="971">
          <cell r="C971" t="str">
            <v>NCD GIC 2500</v>
          </cell>
          <cell r="D971" t="str">
            <v>%</v>
          </cell>
          <cell r="F971">
            <v>0.11749999999999999</v>
          </cell>
        </row>
        <row r="972">
          <cell r="C972" t="str">
            <v>Term Loans SBI</v>
          </cell>
          <cell r="D972" t="str">
            <v>%</v>
          </cell>
          <cell r="F972">
            <v>0.1075</v>
          </cell>
        </row>
        <row r="973">
          <cell r="C973" t="str">
            <v>Term Loans HSBC 2</v>
          </cell>
          <cell r="D973" t="str">
            <v>%</v>
          </cell>
          <cell r="F973">
            <v>0.10249999999999999</v>
          </cell>
        </row>
        <row r="974">
          <cell r="C974" t="str">
            <v>NCD LIC</v>
          </cell>
          <cell r="D974" t="str">
            <v>%</v>
          </cell>
          <cell r="F974">
            <v>0.1275</v>
          </cell>
        </row>
        <row r="975">
          <cell r="C975" t="str">
            <v>Term Loan from HSBC for Neemrana</v>
          </cell>
          <cell r="D975" t="str">
            <v>%</v>
          </cell>
          <cell r="F975">
            <v>0.05</v>
          </cell>
        </row>
        <row r="976">
          <cell r="C976" t="str">
            <v>Long Term Working Capital Loan from EXIM</v>
          </cell>
          <cell r="D976" t="str">
            <v>%</v>
          </cell>
          <cell r="F976">
            <v>0.11</v>
          </cell>
        </row>
        <row r="977">
          <cell r="C977" t="str">
            <v>ICICI ECB 5 Million</v>
          </cell>
          <cell r="D977" t="str">
            <v>%</v>
          </cell>
          <cell r="F977">
            <v>7.2400000000000006E-2</v>
          </cell>
        </row>
        <row r="978">
          <cell r="C978" t="str">
            <v>SBI Term Loan 4000+1000</v>
          </cell>
          <cell r="D978" t="str">
            <v>%</v>
          </cell>
          <cell r="F978">
            <v>9.5000000000000001E-2</v>
          </cell>
        </row>
        <row r="979">
          <cell r="C979" t="str">
            <v>EXIM Term Loan 2000</v>
          </cell>
          <cell r="D979" t="str">
            <v>%</v>
          </cell>
          <cell r="F979">
            <v>0.11</v>
          </cell>
        </row>
        <row r="980">
          <cell r="C980" t="str">
            <v>Term Loan from EXIM Bank</v>
          </cell>
          <cell r="D980" t="str">
            <v>%</v>
          </cell>
          <cell r="F980">
            <v>0.11</v>
          </cell>
        </row>
        <row r="981">
          <cell r="C981" t="str">
            <v>Term Loan From HSBC for Nashik</v>
          </cell>
          <cell r="D981" t="str">
            <v>%</v>
          </cell>
          <cell r="F981">
            <v>7.2499999999999995E-2</v>
          </cell>
        </row>
        <row r="982">
          <cell r="C982" t="str">
            <v>Car Loan and Citicorp Loan</v>
          </cell>
          <cell r="D982" t="str">
            <v>%</v>
          </cell>
          <cell r="F982">
            <v>0</v>
          </cell>
        </row>
        <row r="983">
          <cell r="C983" t="str">
            <v>Working Capital Loans</v>
          </cell>
          <cell r="D983" t="str">
            <v>%</v>
          </cell>
          <cell r="F983">
            <v>7.0000000000000007E-2</v>
          </cell>
        </row>
        <row r="988">
          <cell r="C988" t="str">
            <v>Interest Free Loan</v>
          </cell>
          <cell r="D988" t="str">
            <v>Rsm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</row>
        <row r="989">
          <cell r="C989" t="str">
            <v>Trade Deposits</v>
          </cell>
          <cell r="D989" t="str">
            <v>Rsm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</row>
        <row r="990">
          <cell r="C990" t="str">
            <v>From Banks</v>
          </cell>
          <cell r="D990" t="str">
            <v>Rsm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</row>
        <row r="991">
          <cell r="C991" t="str">
            <v>From Mutual Funds</v>
          </cell>
          <cell r="D991" t="str">
            <v>Rsm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</row>
        <row r="992">
          <cell r="C992" t="str">
            <v>Sales Tax Deferment Loan</v>
          </cell>
          <cell r="D992" t="str">
            <v>Rsm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</row>
        <row r="995">
          <cell r="C995" t="str">
            <v>Interest Free Loan</v>
          </cell>
          <cell r="D995" t="str">
            <v>%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</row>
        <row r="996">
          <cell r="C996" t="str">
            <v>Trade Deposits</v>
          </cell>
          <cell r="D996" t="str">
            <v>%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</row>
        <row r="997">
          <cell r="C997" t="str">
            <v>From Banks</v>
          </cell>
          <cell r="D997" t="str">
            <v>%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</row>
        <row r="998">
          <cell r="C998" t="str">
            <v>From Mutual Funds</v>
          </cell>
          <cell r="D998" t="str">
            <v>%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C999" t="str">
            <v>Sales Tax Deferment Loan</v>
          </cell>
          <cell r="D999" t="str">
            <v>%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</row>
        <row r="1002">
          <cell r="C1002" t="str">
            <v>Interest Free Loan</v>
          </cell>
          <cell r="D1002" t="str">
            <v>%</v>
          </cell>
          <cell r="F1002">
            <v>0</v>
          </cell>
        </row>
        <row r="1003">
          <cell r="C1003" t="str">
            <v>Trade Deposits</v>
          </cell>
          <cell r="D1003" t="str">
            <v>%</v>
          </cell>
          <cell r="F1003">
            <v>0</v>
          </cell>
        </row>
        <row r="1004">
          <cell r="C1004" t="str">
            <v>From Banks</v>
          </cell>
          <cell r="D1004" t="str">
            <v>%</v>
          </cell>
          <cell r="F1004">
            <v>0.1</v>
          </cell>
        </row>
        <row r="1005">
          <cell r="C1005" t="str">
            <v>From Mutual Funds</v>
          </cell>
          <cell r="D1005" t="str">
            <v>%</v>
          </cell>
          <cell r="F1005">
            <v>0</v>
          </cell>
        </row>
        <row r="1006">
          <cell r="C1006" t="str">
            <v>Sales Tax Deferment Loan</v>
          </cell>
          <cell r="D1006" t="str">
            <v>%</v>
          </cell>
          <cell r="F1006">
            <v>0</v>
          </cell>
        </row>
        <row r="1017">
          <cell r="D1017">
            <v>1000000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77">
          <cell r="C77" t="str">
            <v>Rishra Furnace I</v>
          </cell>
          <cell r="D77" t="str">
            <v>MT</v>
          </cell>
          <cell r="F77">
            <v>62623</v>
          </cell>
          <cell r="G77">
            <v>61883</v>
          </cell>
          <cell r="H77">
            <v>59522</v>
          </cell>
          <cell r="I77">
            <v>56950</v>
          </cell>
          <cell r="J77">
            <v>68625</v>
          </cell>
          <cell r="K77">
            <v>82125</v>
          </cell>
          <cell r="L77">
            <v>82125</v>
          </cell>
          <cell r="M77">
            <v>82125</v>
          </cell>
          <cell r="N77">
            <v>82125</v>
          </cell>
          <cell r="O77">
            <v>82125</v>
          </cell>
        </row>
        <row r="78">
          <cell r="C78" t="str">
            <v xml:space="preserve">Rishra Furnace II </v>
          </cell>
          <cell r="D78" t="str">
            <v>MT</v>
          </cell>
          <cell r="F78">
            <v>60617</v>
          </cell>
          <cell r="G78">
            <v>56530</v>
          </cell>
          <cell r="H78">
            <v>59132</v>
          </cell>
          <cell r="I78">
            <v>82125</v>
          </cell>
          <cell r="J78">
            <v>82125</v>
          </cell>
          <cell r="K78">
            <v>82125</v>
          </cell>
          <cell r="L78">
            <v>82125</v>
          </cell>
          <cell r="M78">
            <v>82125</v>
          </cell>
          <cell r="N78">
            <v>82125</v>
          </cell>
          <cell r="O78">
            <v>82125</v>
          </cell>
        </row>
        <row r="79">
          <cell r="C79" t="str">
            <v>Rishra Furnace VI</v>
          </cell>
          <cell r="D79" t="str">
            <v>MT</v>
          </cell>
          <cell r="F79">
            <v>114980</v>
          </cell>
          <cell r="G79">
            <v>119089</v>
          </cell>
          <cell r="H79">
            <v>118570</v>
          </cell>
          <cell r="I79">
            <v>124100</v>
          </cell>
          <cell r="J79">
            <v>108800</v>
          </cell>
          <cell r="K79">
            <v>166683.33333333334</v>
          </cell>
          <cell r="L79">
            <v>182043.75</v>
          </cell>
          <cell r="M79">
            <v>191625</v>
          </cell>
          <cell r="N79">
            <v>191625</v>
          </cell>
          <cell r="O79">
            <v>191625</v>
          </cell>
        </row>
        <row r="80">
          <cell r="C80" t="str">
            <v>Bghr Furnace III</v>
          </cell>
          <cell r="D80" t="str">
            <v>MT</v>
          </cell>
          <cell r="F80">
            <v>119325</v>
          </cell>
          <cell r="G80">
            <v>94446</v>
          </cell>
          <cell r="H80">
            <v>125580</v>
          </cell>
          <cell r="I80">
            <v>129575</v>
          </cell>
          <cell r="J80">
            <v>129575</v>
          </cell>
          <cell r="K80">
            <v>129575</v>
          </cell>
          <cell r="L80">
            <v>129575</v>
          </cell>
          <cell r="M80">
            <v>129575</v>
          </cell>
          <cell r="N80">
            <v>129575</v>
          </cell>
          <cell r="O80">
            <v>129575</v>
          </cell>
        </row>
        <row r="81">
          <cell r="C81" t="str">
            <v>Bghr Furnace IV</v>
          </cell>
          <cell r="D81" t="str">
            <v>MT</v>
          </cell>
          <cell r="F81">
            <v>62133</v>
          </cell>
          <cell r="G81">
            <v>59038</v>
          </cell>
          <cell r="H81">
            <v>53027</v>
          </cell>
          <cell r="I81">
            <v>47424.464999999997</v>
          </cell>
          <cell r="J81">
            <v>100375</v>
          </cell>
          <cell r="K81">
            <v>100375</v>
          </cell>
          <cell r="L81">
            <v>100375</v>
          </cell>
          <cell r="M81">
            <v>100375</v>
          </cell>
          <cell r="N81">
            <v>100375</v>
          </cell>
          <cell r="O81">
            <v>100375</v>
          </cell>
        </row>
        <row r="82">
          <cell r="C82" t="str">
            <v>Bghr Furnace V</v>
          </cell>
          <cell r="D82" t="str">
            <v>MT</v>
          </cell>
          <cell r="F82">
            <v>45150</v>
          </cell>
          <cell r="G82">
            <v>40739</v>
          </cell>
          <cell r="H82">
            <v>30879</v>
          </cell>
          <cell r="I82">
            <v>62050</v>
          </cell>
          <cell r="J82">
            <v>62050</v>
          </cell>
          <cell r="K82">
            <v>62050</v>
          </cell>
          <cell r="L82">
            <v>62050</v>
          </cell>
          <cell r="M82">
            <v>62050</v>
          </cell>
          <cell r="N82">
            <v>62050</v>
          </cell>
          <cell r="O82">
            <v>62050</v>
          </cell>
        </row>
        <row r="83">
          <cell r="C83" t="str">
            <v>Neemrana Furnace</v>
          </cell>
          <cell r="D83" t="str">
            <v>MT</v>
          </cell>
          <cell r="F83">
            <v>1510</v>
          </cell>
          <cell r="G83">
            <v>62916</v>
          </cell>
          <cell r="H83">
            <v>64613</v>
          </cell>
          <cell r="I83">
            <v>73000</v>
          </cell>
          <cell r="J83">
            <v>73000</v>
          </cell>
          <cell r="K83">
            <v>73000</v>
          </cell>
          <cell r="L83">
            <v>100520</v>
          </cell>
          <cell r="M83">
            <v>183412.5</v>
          </cell>
          <cell r="N83">
            <v>191625</v>
          </cell>
          <cell r="O83">
            <v>191625</v>
          </cell>
        </row>
        <row r="84">
          <cell r="C84" t="str">
            <v>Rishikesh Furnace 1</v>
          </cell>
          <cell r="D84" t="str">
            <v>MT</v>
          </cell>
          <cell r="F84">
            <v>89907</v>
          </cell>
          <cell r="G84">
            <v>90795</v>
          </cell>
          <cell r="H84">
            <v>88228</v>
          </cell>
          <cell r="I84">
            <v>78118.561500000011</v>
          </cell>
          <cell r="J84">
            <v>105850</v>
          </cell>
          <cell r="K84">
            <v>105850</v>
          </cell>
          <cell r="L84">
            <v>105850</v>
          </cell>
          <cell r="M84">
            <v>105850</v>
          </cell>
          <cell r="N84">
            <v>105850</v>
          </cell>
          <cell r="O84">
            <v>105850</v>
          </cell>
        </row>
        <row r="85">
          <cell r="C85" t="str">
            <v>Rishikesh Furnace 2</v>
          </cell>
          <cell r="D85" t="str">
            <v>MT</v>
          </cell>
          <cell r="F85">
            <v>31111</v>
          </cell>
          <cell r="G85">
            <v>44663</v>
          </cell>
          <cell r="H85">
            <v>44858</v>
          </cell>
          <cell r="I85">
            <v>47450</v>
          </cell>
          <cell r="J85">
            <v>47450</v>
          </cell>
          <cell r="K85">
            <v>47450</v>
          </cell>
          <cell r="L85">
            <v>47450</v>
          </cell>
          <cell r="M85">
            <v>47450</v>
          </cell>
          <cell r="N85">
            <v>47450</v>
          </cell>
          <cell r="O85">
            <v>47450</v>
          </cell>
        </row>
        <row r="86">
          <cell r="C86" t="str">
            <v>Pondicherry Furnace 1</v>
          </cell>
          <cell r="D86" t="str">
            <v>MT</v>
          </cell>
          <cell r="F86">
            <v>113578</v>
          </cell>
          <cell r="G86">
            <v>118737</v>
          </cell>
          <cell r="H86">
            <v>129747</v>
          </cell>
          <cell r="I86">
            <v>131400</v>
          </cell>
          <cell r="J86">
            <v>131400</v>
          </cell>
          <cell r="K86">
            <v>131400</v>
          </cell>
          <cell r="L86">
            <v>116120</v>
          </cell>
          <cell r="M86">
            <v>169116.66666666666</v>
          </cell>
          <cell r="N86">
            <v>184781.25</v>
          </cell>
          <cell r="O86">
            <v>191625</v>
          </cell>
        </row>
        <row r="87">
          <cell r="C87" t="str">
            <v>Nashik Furnace 1</v>
          </cell>
          <cell r="D87" t="str">
            <v>MT</v>
          </cell>
          <cell r="F87">
            <v>86212</v>
          </cell>
          <cell r="G87">
            <v>118092</v>
          </cell>
          <cell r="H87">
            <v>125589</v>
          </cell>
          <cell r="I87">
            <v>131400</v>
          </cell>
          <cell r="J87">
            <v>124680</v>
          </cell>
          <cell r="K87">
            <v>184781.25</v>
          </cell>
          <cell r="L87">
            <v>191625</v>
          </cell>
          <cell r="M87">
            <v>191625</v>
          </cell>
          <cell r="N87">
            <v>191625</v>
          </cell>
          <cell r="O87">
            <v>191625</v>
          </cell>
        </row>
        <row r="88">
          <cell r="C88" t="str">
            <v>West Furnace (New)</v>
          </cell>
          <cell r="D88" t="str">
            <v>MT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45000</v>
          </cell>
          <cell r="L88">
            <v>186150</v>
          </cell>
          <cell r="M88">
            <v>200750</v>
          </cell>
          <cell r="N88">
            <v>211700</v>
          </cell>
          <cell r="O88">
            <v>211700</v>
          </cell>
        </row>
        <row r="89">
          <cell r="C89" t="str">
            <v>North Furnace (New)</v>
          </cell>
          <cell r="D89" t="str">
            <v>MT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45000</v>
          </cell>
          <cell r="M89">
            <v>186150</v>
          </cell>
          <cell r="N89">
            <v>200750</v>
          </cell>
          <cell r="O89">
            <v>211700</v>
          </cell>
        </row>
        <row r="90">
          <cell r="C90" t="str">
            <v xml:space="preserve">Andhra Pradesh </v>
          </cell>
          <cell r="D90" t="str">
            <v>MT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182500</v>
          </cell>
          <cell r="L90">
            <v>197100</v>
          </cell>
          <cell r="M90">
            <v>211700</v>
          </cell>
          <cell r="N90">
            <v>211700</v>
          </cell>
          <cell r="O90">
            <v>211700</v>
          </cell>
        </row>
        <row r="91">
          <cell r="C91" t="str">
            <v>Total</v>
          </cell>
          <cell r="D91" t="str">
            <v>MT</v>
          </cell>
          <cell r="F91">
            <v>787146</v>
          </cell>
          <cell r="G91">
            <v>866928</v>
          </cell>
          <cell r="H91">
            <v>899745</v>
          </cell>
          <cell r="I91">
            <v>963593.02649999992</v>
          </cell>
          <cell r="J91">
            <v>1033930</v>
          </cell>
          <cell r="K91">
            <v>1392914.5833333335</v>
          </cell>
          <cell r="L91">
            <v>1628108.75</v>
          </cell>
          <cell r="M91">
            <v>1943929.1666666667</v>
          </cell>
          <cell r="N91">
            <v>1993356.25</v>
          </cell>
          <cell r="O91">
            <v>2011150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213">
          <cell r="C213">
            <v>45.14</v>
          </cell>
        </row>
      </sheetData>
      <sheetData sheetId="4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 BS"/>
      <sheetName val="Assumption"/>
      <sheetName val="key numbers at glance"/>
      <sheetName val="PPT"/>
      <sheetName val="Consolidated P&amp;L"/>
      <sheetName val="Cash Flow"/>
      <sheetName val="600 TPD"/>
      <sheetName val="900 TPD"/>
      <sheetName val="1200 TPD"/>
      <sheetName val="Processing Plant"/>
      <sheetName val="Mirror Glass"/>
      <sheetName val="Debts"/>
      <sheetName val="Working Capital"/>
      <sheetName val="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ens"/>
      <sheetName val="Assum"/>
      <sheetName val="Outputs-&gt;&gt;"/>
      <sheetName val="DebtRatios"/>
      <sheetName val="Returns"/>
      <sheetName val="Financial statements-&gt;&gt;"/>
      <sheetName val="BS"/>
      <sheetName val="IS"/>
      <sheetName val="CFS"/>
      <sheetName val="Workings-&gt;&gt;"/>
      <sheetName val="Gateway Util"/>
      <sheetName val="Util"/>
      <sheetName val="Revenues"/>
      <sheetName val="Costs"/>
      <sheetName val="Capex"/>
      <sheetName val="Debt"/>
      <sheetName val="WCap"/>
      <sheetName val="Tax"/>
      <sheetName val="Tax-U"/>
      <sheetName val="Dep"/>
    </sheetNames>
    <sheetDataSet>
      <sheetData sheetId="0" refreshError="1"/>
      <sheetData sheetId="1" refreshError="1"/>
      <sheetData sheetId="2" refreshError="1">
        <row r="5">
          <cell r="E5">
            <v>40452</v>
          </cell>
        </row>
        <row r="7">
          <cell r="E7">
            <v>41639</v>
          </cell>
        </row>
        <row r="8">
          <cell r="E8">
            <v>41640</v>
          </cell>
        </row>
        <row r="10">
          <cell r="E10">
            <v>47118</v>
          </cell>
        </row>
        <row r="268">
          <cell r="E268">
            <v>0.33217499999999994</v>
          </cell>
        </row>
        <row r="274">
          <cell r="E274">
            <v>0.16608749999999997</v>
          </cell>
        </row>
        <row r="299">
          <cell r="F299">
            <v>48</v>
          </cell>
          <cell r="G299">
            <v>48.96</v>
          </cell>
          <cell r="H299">
            <v>49.9392</v>
          </cell>
          <cell r="I299">
            <v>50.937984</v>
          </cell>
          <cell r="J299">
            <v>51.956743680000002</v>
          </cell>
          <cell r="K299">
            <v>52.476311116800005</v>
          </cell>
          <cell r="L299">
            <v>53.001074227968004</v>
          </cell>
          <cell r="M299">
            <v>53.531084970247683</v>
          </cell>
          <cell r="N299">
            <v>54.066395819950159</v>
          </cell>
          <cell r="O299">
            <v>54.607059778149662</v>
          </cell>
          <cell r="P299">
            <v>55.153130375931156</v>
          </cell>
          <cell r="Q299">
            <v>55.704661679690467</v>
          </cell>
          <cell r="R299">
            <v>56.26170829648737</v>
          </cell>
          <cell r="S299">
            <v>56.824325379452247</v>
          </cell>
          <cell r="T299">
            <v>57.392568633246768</v>
          </cell>
          <cell r="U299">
            <v>57.966494319579233</v>
          </cell>
          <cell r="V299">
            <v>58.546159262775028</v>
          </cell>
          <cell r="W299">
            <v>59.13162085540278</v>
          </cell>
          <cell r="X299">
            <v>59.722937063956806</v>
          </cell>
          <cell r="Y299">
            <v>60.320166434596374</v>
          </cell>
        </row>
        <row r="309">
          <cell r="E309">
            <v>40269</v>
          </cell>
        </row>
        <row r="310">
          <cell r="E310">
            <v>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Gainloss computation FY 09-10"/>
      <sheetName val="Summary"/>
      <sheetName val="Issue sheet"/>
      <sheetName val="Tables_True up FY 09-10"/>
      <sheetName val="Assumption_PwC"/>
      <sheetName val="O&amp;M costs"/>
      <sheetName val="Sheet1"/>
      <sheetName val="F1(Bhu)"/>
      <sheetName val="F1(Cha)"/>
      <sheetName val="F1(Paras)"/>
      <sheetName val="F1(Kor)"/>
      <sheetName val="F1(Parli)"/>
      <sheetName val="F1(Kha)"/>
      <sheetName val="F1(Nasi)"/>
      <sheetName val="F1(Uran)"/>
      <sheetName val="F1(Hydro)"/>
      <sheetName val="F2.1(Bhu)"/>
      <sheetName val="F2.1(Cha)"/>
      <sheetName val="F2.1(Kor)"/>
      <sheetName val="F2.1(Parli)"/>
      <sheetName val="F2.1(Paras)"/>
      <sheetName val="F2.1(Nasi)"/>
      <sheetName val="F2.1(Uran)"/>
      <sheetName val="F2.1(Kha)"/>
      <sheetName val="Capex Bhu"/>
      <sheetName val="Capex Cha"/>
      <sheetName val="Capex Kor"/>
      <sheetName val="Capex Paras"/>
      <sheetName val="Capex Kha"/>
      <sheetName val="Capex parli"/>
      <sheetName val="Capex Nasi"/>
      <sheetName val="Capex Uran"/>
      <sheetName val="Capex Hydro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.1(Cha)"/>
      <sheetName val="F5(Cha)"/>
      <sheetName val="F5.2(Cha)"/>
      <sheetName val="F5.3(Cha)"/>
      <sheetName val="F5.4(Cha)"/>
      <sheetName val="F6(Cha)"/>
      <sheetName val="F11(Cha)"/>
      <sheetName val="F12(Cha)"/>
      <sheetName val="O&amp;m EXP."/>
      <sheetName val="Koradi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.4(Kor)"/>
      <sheetName val="F5(Kor)"/>
      <sheetName val="F5.1(Kor)"/>
      <sheetName val="F5.2(Kor)"/>
      <sheetName val="F5.3(Kor)"/>
      <sheetName val="F6(Kor)"/>
      <sheetName val="F11(Kor)"/>
      <sheetName val="F12(Kor)"/>
      <sheetName val="Paras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3(Nasi)"/>
      <sheetName val="F5.2(Nasi)"/>
      <sheetName val="F5.4(Nasi)"/>
      <sheetName val="F6(Nasi)"/>
      <sheetName val="F11(Nasi)"/>
      <sheetName val="F12(Nasi)"/>
      <sheetName val="Uran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Koyna)"/>
      <sheetName val="F4(PuneHydro)"/>
      <sheetName val="F4(NasikHydro)"/>
      <sheetName val="F5(Hydro)"/>
      <sheetName val="F5.1(Hydro)"/>
      <sheetName val="F5.2(Hydro)"/>
      <sheetName val="F4(Hydro)"/>
      <sheetName val="F5.4(PuneHydro)"/>
      <sheetName val="F5.3(PuneHydro)"/>
      <sheetName val="F5.3(NasikHydro)"/>
      <sheetName val="F5.4(NasikHydro)"/>
      <sheetName val="F5.4(Koyna)"/>
      <sheetName val="F5.3(Koyna)"/>
      <sheetName val="F6(Hydro)"/>
      <sheetName val="F11(Hydro)"/>
      <sheetName val="F12(Hydro)"/>
      <sheetName val="Revised True Up 200809"/>
      <sheetName val="Impact of FY 08-09"/>
    </sheetNames>
    <sheetDataSet>
      <sheetData sheetId="0">
        <row r="16">
          <cell r="B16">
            <v>0.13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7">
          <cell r="D7">
            <v>0.1074</v>
          </cell>
          <cell r="E7">
            <v>0.1055</v>
          </cell>
        </row>
        <row r="8">
          <cell r="D8">
            <v>8.1799999999999998E-2</v>
          </cell>
        </row>
        <row r="116">
          <cell r="C116">
            <v>0.11749999999999999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Table"/>
      <sheetName val="Assumptions"/>
      <sheetName val="Capex Scheduling"/>
      <sheetName val="Tax Schedule"/>
      <sheetName val="Applicable Tariffs"/>
      <sheetName val="LT"/>
      <sheetName val="Workings"/>
      <sheetName val="Debt Schedule"/>
      <sheetName val="Working Capital Schedule"/>
      <sheetName val="Depreciation Schedule"/>
      <sheetName val="Statements"/>
      <sheetName val="Output"/>
      <sheetName val="PIM related"/>
      <sheetName val="PFSBU"/>
      <sheetName val="Sensitivity"/>
    </sheetNames>
    <sheetDataSet>
      <sheetData sheetId="0"/>
      <sheetData sheetId="1">
        <row r="4">
          <cell r="D4">
            <v>72</v>
          </cell>
        </row>
        <row r="8">
          <cell r="H8">
            <v>6.45</v>
          </cell>
        </row>
        <row r="31">
          <cell r="I31">
            <v>1.3222758083113</v>
          </cell>
        </row>
        <row r="32">
          <cell r="I32">
            <v>1.2181267280054444</v>
          </cell>
        </row>
        <row r="37">
          <cell r="L37">
            <v>0</v>
          </cell>
        </row>
        <row r="38">
          <cell r="L38">
            <v>0</v>
          </cell>
        </row>
        <row r="40">
          <cell r="L40">
            <v>0</v>
          </cell>
        </row>
        <row r="41">
          <cell r="L41">
            <v>0</v>
          </cell>
        </row>
      </sheetData>
      <sheetData sheetId="2">
        <row r="35">
          <cell r="F35">
            <v>3.9659708650000005</v>
          </cell>
          <cell r="G35">
            <v>7.931941730000001</v>
          </cell>
          <cell r="H35">
            <v>13.219902883333333</v>
          </cell>
          <cell r="I35">
            <v>14.541893171666667</v>
          </cell>
          <cell r="J35">
            <v>17.744209085481582</v>
          </cell>
          <cell r="K35">
            <v>20.035433698214721</v>
          </cell>
          <cell r="L35">
            <v>21.535191691865165</v>
          </cell>
          <cell r="M35">
            <v>23.04491192022952</v>
          </cell>
          <cell r="N35">
            <v>24.564660557949367</v>
          </cell>
          <cell r="O35">
            <v>26.094504219198839</v>
          </cell>
          <cell r="P35">
            <v>27.636786883114102</v>
          </cell>
          <cell r="Q35">
            <v>30.096064002752019</v>
          </cell>
          <cell r="R35">
            <v>0</v>
          </cell>
          <cell r="S35">
            <v>0</v>
          </cell>
          <cell r="T3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86">
          <cell r="E86">
            <v>1017.711978364682</v>
          </cell>
        </row>
      </sheetData>
      <sheetData sheetId="11"/>
      <sheetData sheetId="12">
        <row r="10">
          <cell r="B10">
            <v>4.6701961265249059</v>
          </cell>
        </row>
      </sheetData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y"/>
      <sheetName val="Tablexxxxx"/>
      <sheetName val="Bosideng global"/>
      <sheetName val="Bosideng New"/>
      <sheetName val="China"/>
      <sheetName val="Footwear"/>
      <sheetName val="Tablexxxx"/>
      <sheetName val="Drugstore"/>
      <sheetName val="Dept"/>
      <sheetName val="Chart"/>
      <sheetName val="China retail"/>
      <sheetName val="Specialty apparel"/>
      <sheetName val="EA"/>
      <sheetName val="Non cov comp"/>
      <sheetName val="Specialty apparel Giord"/>
      <sheetName val="Athletic footwear"/>
      <sheetName val="Top 20"/>
      <sheetName val="ALL"/>
      <sheetName val="Bloomberg"/>
      <sheetName val="Currency"/>
      <sheetName val="AEJ"/>
      <sheetName val="HK China EPS"/>
      <sheetName val="Asia Pacific"/>
      <sheetName val="Japan"/>
      <sheetName val="Europe"/>
      <sheetName val="Europe luxury"/>
      <sheetName val="US"/>
      <sheetName val="Drugstores"/>
      <sheetName val="RESUL"/>
    </sheetNames>
    <sheetDataSet>
      <sheetData sheetId="0"/>
      <sheetData sheetId="1" refreshError="1">
        <row r="6">
          <cell r="C6" t="str">
            <v>Yue Yuen Industrial (Holdings) Ltd.</v>
          </cell>
          <cell r="D6">
            <v>1.7215</v>
          </cell>
          <cell r="E6">
            <v>1.8162499999999999</v>
          </cell>
          <cell r="F6">
            <v>2.0154999999999998</v>
          </cell>
          <cell r="G6">
            <v>2.2257500000000001</v>
          </cell>
          <cell r="H6">
            <v>2.189905</v>
          </cell>
          <cell r="I6">
            <v>2.6073650000000002</v>
          </cell>
        </row>
        <row r="7">
          <cell r="C7" t="str">
            <v>Feng Tay Enterprise Co. Ltd.</v>
          </cell>
          <cell r="D7">
            <v>1.6452040000000001</v>
          </cell>
          <cell r="E7" t="str">
            <v>NA</v>
          </cell>
          <cell r="F7" t="str">
            <v>NA</v>
          </cell>
          <cell r="G7" t="str">
            <v>NA</v>
          </cell>
          <cell r="H7">
            <v>2.5925410000000002</v>
          </cell>
          <cell r="I7">
            <v>5.569369</v>
          </cell>
        </row>
        <row r="8">
          <cell r="C8" t="str">
            <v>Kingmaker Footwear Holdings Ltd.</v>
          </cell>
          <cell r="D8">
            <v>6.1639899999999997E-2</v>
          </cell>
          <cell r="E8">
            <v>7.7499999999999999E-2</v>
          </cell>
          <cell r="F8">
            <v>0.104</v>
          </cell>
          <cell r="G8" t="str">
            <v>NA</v>
          </cell>
          <cell r="H8">
            <v>-0.33168029999999998</v>
          </cell>
          <cell r="I8">
            <v>0.13530449999999999</v>
          </cell>
        </row>
        <row r="9">
          <cell r="C9" t="str">
            <v>Symphony Holdings Ltd.</v>
          </cell>
          <cell r="D9">
            <v>0.12451878</v>
          </cell>
          <cell r="E9">
            <v>9.9000000000000005E-2</v>
          </cell>
          <cell r="F9">
            <v>0.104</v>
          </cell>
          <cell r="G9">
            <v>0.13900000000000001</v>
          </cell>
          <cell r="H9">
            <v>-0.3770675</v>
          </cell>
          <cell r="I9">
            <v>0.1565347</v>
          </cell>
        </row>
        <row r="10">
          <cell r="C10" t="str">
            <v>Pegasus International Holdings Ltd.</v>
          </cell>
          <cell r="D10">
            <v>3.3174389999999998E-2</v>
          </cell>
          <cell r="E10" t="str">
            <v>NA</v>
          </cell>
          <cell r="F10" t="str">
            <v>NA</v>
          </cell>
          <cell r="G10" t="str">
            <v>NA</v>
          </cell>
          <cell r="H10">
            <v>0.19443779999999999</v>
          </cell>
          <cell r="I10">
            <v>0.1434686</v>
          </cell>
        </row>
        <row r="11">
          <cell r="C11" t="str">
            <v>Weiqiao Textile Co. Ltd.</v>
          </cell>
          <cell r="D11">
            <v>1.3777349999999999</v>
          </cell>
          <cell r="E11">
            <v>1.611164</v>
          </cell>
          <cell r="F11">
            <v>2.0780639999999999</v>
          </cell>
          <cell r="G11">
            <v>2.6514060000000002</v>
          </cell>
          <cell r="H11">
            <v>3.3727589999999998</v>
          </cell>
          <cell r="I11">
            <v>3.3252000000000002</v>
          </cell>
        </row>
        <row r="12">
          <cell r="C12" t="str">
            <v>Texwinca Holdings Ltd.</v>
          </cell>
          <cell r="D12">
            <v>0.44403949999999998</v>
          </cell>
          <cell r="E12">
            <v>0.52925</v>
          </cell>
          <cell r="F12">
            <v>0.62475000000000003</v>
          </cell>
          <cell r="G12">
            <v>0.73399999999999999</v>
          </cell>
          <cell r="H12">
            <v>0.59057029999999999</v>
          </cell>
          <cell r="I12">
            <v>0.72593209999999997</v>
          </cell>
        </row>
        <row r="13">
          <cell r="C13" t="str">
            <v>Fountain Set (Holdings) Ltd.</v>
          </cell>
          <cell r="D13">
            <v>0.34066669999999999</v>
          </cell>
          <cell r="E13">
            <v>0.27300000000000002</v>
          </cell>
          <cell r="F13">
            <v>0.33800000000000002</v>
          </cell>
          <cell r="G13" t="str">
            <v>NA</v>
          </cell>
          <cell r="H13">
            <v>2.1534</v>
          </cell>
          <cell r="I13">
            <v>0.85853060000000003</v>
          </cell>
        </row>
        <row r="14">
          <cell r="C14" t="str">
            <v>Victory City International Holdings Ltd.</v>
          </cell>
          <cell r="D14">
            <v>0.443884</v>
          </cell>
          <cell r="E14">
            <v>0.51975000000000005</v>
          </cell>
          <cell r="F14">
            <v>0.58250000000000002</v>
          </cell>
          <cell r="G14">
            <v>0.64449999999999996</v>
          </cell>
          <cell r="H14">
            <v>2.3806080000000001</v>
          </cell>
          <cell r="I14">
            <v>0.85521510000000001</v>
          </cell>
        </row>
        <row r="15">
          <cell r="C15" t="str">
            <v>Shenzhou International Group Holdings Ltd.</v>
          </cell>
          <cell r="D15">
            <v>0.30508600000000002</v>
          </cell>
          <cell r="E15">
            <v>0.42899999999999999</v>
          </cell>
          <cell r="F15">
            <v>0.51800000000000002</v>
          </cell>
          <cell r="G15">
            <v>0.63</v>
          </cell>
          <cell r="H15">
            <v>0.1299006</v>
          </cell>
          <cell r="I15">
            <v>0.44500650000000003</v>
          </cell>
        </row>
        <row r="16">
          <cell r="C16" t="str">
            <v>Luen Thai Holdings Ltd.</v>
          </cell>
          <cell r="D16">
            <v>1.9640729999999999E-2</v>
          </cell>
          <cell r="E16" t="str">
            <v>NA</v>
          </cell>
          <cell r="F16" t="str">
            <v>NA</v>
          </cell>
          <cell r="G16" t="str">
            <v>NA</v>
          </cell>
          <cell r="H16">
            <v>-0.30137320000000001</v>
          </cell>
          <cell r="I16">
            <v>0.24805720000000001</v>
          </cell>
        </row>
        <row r="17">
          <cell r="C17" t="str">
            <v>China Ting Group Holdings Ltd.</v>
          </cell>
          <cell r="D17">
            <v>0.19772999999999999</v>
          </cell>
          <cell r="E17">
            <v>0.223</v>
          </cell>
          <cell r="F17">
            <v>0.26400000000000001</v>
          </cell>
          <cell r="G17">
            <v>0.313</v>
          </cell>
          <cell r="H17">
            <v>-0.39613720000000002</v>
          </cell>
          <cell r="I17">
            <v>0.2369443</v>
          </cell>
        </row>
        <row r="18">
          <cell r="C18" t="str">
            <v>Tack Fat Group International Ltd.</v>
          </cell>
          <cell r="D18">
            <v>0.13985110000000001</v>
          </cell>
          <cell r="E18">
            <v>0.17749999999999999</v>
          </cell>
          <cell r="F18">
            <v>0.17199999999999999</v>
          </cell>
          <cell r="G18" t="str">
            <v>NA</v>
          </cell>
          <cell r="H18">
            <v>0.33326289999999997</v>
          </cell>
          <cell r="I18">
            <v>0.16587859999999999</v>
          </cell>
        </row>
        <row r="19">
          <cell r="C19" t="str">
            <v>Win Hanverky Holdings Ltd.</v>
          </cell>
          <cell r="D19">
            <v>0.20932780000000001</v>
          </cell>
          <cell r="E19">
            <v>0.25</v>
          </cell>
          <cell r="F19">
            <v>0.3</v>
          </cell>
          <cell r="G19">
            <v>0.33300000000000002</v>
          </cell>
          <cell r="H19">
            <v>-0.28689029999999999</v>
          </cell>
          <cell r="I19">
            <v>0.44754890000000003</v>
          </cell>
        </row>
        <row r="20">
          <cell r="C20" t="str">
            <v>Samson Holdings Ltd.</v>
          </cell>
          <cell r="D20">
            <v>0.29010659999999999</v>
          </cell>
          <cell r="E20">
            <v>0.21830289999999999</v>
          </cell>
          <cell r="F20">
            <v>0.27132450000000002</v>
          </cell>
          <cell r="G20">
            <v>0.30983189999999999</v>
          </cell>
          <cell r="H20">
            <v>-0.2450185</v>
          </cell>
          <cell r="I20">
            <v>0.33576260000000002</v>
          </cell>
        </row>
        <row r="21">
          <cell r="C21" t="str">
            <v>Kasen International Holdings Ltd.</v>
          </cell>
          <cell r="D21">
            <v>6.3255770000000003E-2</v>
          </cell>
          <cell r="E21">
            <v>9.024981E-2</v>
          </cell>
          <cell r="F21">
            <v>0.13630200000000001</v>
          </cell>
          <cell r="G21">
            <v>0.12000387</v>
          </cell>
          <cell r="H21">
            <v>0.70303420000000005</v>
          </cell>
          <cell r="I21">
            <v>0.2809972</v>
          </cell>
        </row>
        <row r="22">
          <cell r="C22" t="str">
            <v>Playmates Holdings Ltd.</v>
          </cell>
          <cell r="D22">
            <v>0.13915430000000001</v>
          </cell>
          <cell r="E22">
            <v>5.8999999999999997E-2</v>
          </cell>
          <cell r="F22">
            <v>7.6999999999999999E-2</v>
          </cell>
          <cell r="G22">
            <v>9.7000000000000003E-2</v>
          </cell>
          <cell r="H22">
            <v>-0.2102533</v>
          </cell>
          <cell r="I22">
            <v>0.1702835</v>
          </cell>
        </row>
        <row r="23">
          <cell r="C23" t="str">
            <v>HTL International Holdings Ltd.</v>
          </cell>
          <cell r="D23">
            <v>0.13043869999999999</v>
          </cell>
          <cell r="E23">
            <v>8.8999999999999996E-2</v>
          </cell>
          <cell r="F23">
            <v>9.5000000000000001E-2</v>
          </cell>
          <cell r="G23">
            <v>0.09</v>
          </cell>
          <cell r="H23">
            <v>3.878065E-2</v>
          </cell>
          <cell r="I23">
            <v>0.18784770000000001</v>
          </cell>
        </row>
        <row r="24">
          <cell r="C24" t="str">
            <v>EganaGoldpfeil (Holdings) Ltd.</v>
          </cell>
          <cell r="D24">
            <v>0.26700000000000002</v>
          </cell>
          <cell r="E24">
            <v>0.32374999999999998</v>
          </cell>
          <cell r="F24">
            <v>0.40308329999999998</v>
          </cell>
          <cell r="G24" t="str">
            <v>NA</v>
          </cell>
          <cell r="H24">
            <v>0.90272370000000002</v>
          </cell>
          <cell r="I24">
            <v>0.4371719</v>
          </cell>
        </row>
        <row r="25">
          <cell r="C25" t="str">
            <v>LIFESTYLE INTERNAT HKD0.005</v>
          </cell>
          <cell r="D25">
            <v>0.43643739999999998</v>
          </cell>
          <cell r="E25">
            <v>0.54</v>
          </cell>
          <cell r="F25">
            <v>0.59599999999999997</v>
          </cell>
          <cell r="G25">
            <v>0.68</v>
          </cell>
          <cell r="H25">
            <v>-0.7280335</v>
          </cell>
          <cell r="I25">
            <v>0.62739149999999999</v>
          </cell>
        </row>
        <row r="26">
          <cell r="C26" t="str">
            <v>Sa Sa International Holdings Ltd.</v>
          </cell>
          <cell r="D26">
            <v>0.1559065</v>
          </cell>
          <cell r="E26">
            <v>0.17224999999999999</v>
          </cell>
          <cell r="F26">
            <v>0.19825000000000001</v>
          </cell>
          <cell r="G26">
            <v>0.24424999999999999</v>
          </cell>
          <cell r="H26">
            <v>-0.51043119999999997</v>
          </cell>
          <cell r="I26">
            <v>0.2454703</v>
          </cell>
        </row>
        <row r="27">
          <cell r="C27" t="str">
            <v>I.T Ltd.</v>
          </cell>
          <cell r="D27">
            <v>0.11774886</v>
          </cell>
          <cell r="E27">
            <v>0.1483333</v>
          </cell>
          <cell r="F27">
            <v>0.1773333</v>
          </cell>
          <cell r="G27">
            <v>0.20866670000000001</v>
          </cell>
          <cell r="H27">
            <v>-0.3628575</v>
          </cell>
          <cell r="I27">
            <v>0.19844029999999999</v>
          </cell>
        </row>
        <row r="28">
          <cell r="C28" t="str">
            <v>Dickson Concepts (International) Ltd.</v>
          </cell>
          <cell r="D28">
            <v>0.61786079999999999</v>
          </cell>
          <cell r="E28">
            <v>0.63149999999999995</v>
          </cell>
          <cell r="F28">
            <v>0.75749999999999995</v>
          </cell>
          <cell r="G28">
            <v>0.83950000000000002</v>
          </cell>
          <cell r="H28">
            <v>-0.37373390000000001</v>
          </cell>
          <cell r="I28">
            <v>1.044333</v>
          </cell>
        </row>
        <row r="29">
          <cell r="C29" t="str">
            <v>Convenience Retail Asia Ltd.</v>
          </cell>
          <cell r="D29">
            <v>0.11083937000000001</v>
          </cell>
          <cell r="E29">
            <v>0.152</v>
          </cell>
          <cell r="F29">
            <v>0.217</v>
          </cell>
          <cell r="G29">
            <v>0.26800000000000002</v>
          </cell>
          <cell r="H29">
            <v>-0.7707792</v>
          </cell>
          <cell r="I29">
            <v>0.1847876</v>
          </cell>
        </row>
        <row r="30">
          <cell r="C30" t="str">
            <v>Giordano International Ltd.</v>
          </cell>
          <cell r="D30">
            <v>0.13750519999999999</v>
          </cell>
          <cell r="E30">
            <v>0.20799999999999999</v>
          </cell>
          <cell r="F30">
            <v>0.25</v>
          </cell>
          <cell r="G30">
            <v>0.26600000000000001</v>
          </cell>
          <cell r="H30">
            <v>-0.44605349999999999</v>
          </cell>
          <cell r="I30">
            <v>0.33515859999999997</v>
          </cell>
        </row>
        <row r="31">
          <cell r="C31" t="str">
            <v>Mirabell International Holdings Ltd.</v>
          </cell>
          <cell r="D31">
            <v>7.3170780000000005E-2</v>
          </cell>
          <cell r="E31" t="str">
            <v>NA</v>
          </cell>
          <cell r="F31" t="str">
            <v>NA</v>
          </cell>
          <cell r="G31" t="str">
            <v>NA</v>
          </cell>
          <cell r="H31">
            <v>-5.9659650000000002E-2</v>
          </cell>
          <cell r="I31">
            <v>0.34839589999999998</v>
          </cell>
        </row>
        <row r="32">
          <cell r="C32" t="str">
            <v>Chow Sang Sang Holdings International Ltd.</v>
          </cell>
          <cell r="D32">
            <v>0.49315199999999998</v>
          </cell>
          <cell r="E32">
            <v>0.58499999999999996</v>
          </cell>
          <cell r="F32">
            <v>0.73099999999999998</v>
          </cell>
          <cell r="G32">
            <v>0.92400000000000004</v>
          </cell>
          <cell r="H32">
            <v>-0.9084911</v>
          </cell>
          <cell r="I32">
            <v>0.70390249999999999</v>
          </cell>
        </row>
        <row r="33">
          <cell r="C33" t="str">
            <v>Bossini International Holdings Ltd.</v>
          </cell>
          <cell r="D33">
            <v>2.6170570000000001E-2</v>
          </cell>
          <cell r="E33">
            <v>1.975E-2</v>
          </cell>
          <cell r="F33" t="str">
            <v>NA</v>
          </cell>
          <cell r="G33" t="str">
            <v>NA</v>
          </cell>
          <cell r="H33">
            <v>-0.11054106</v>
          </cell>
          <cell r="I33">
            <v>7.8897410000000001E-2</v>
          </cell>
        </row>
        <row r="34">
          <cell r="C34" t="str">
            <v>Wumart Stores Inc.</v>
          </cell>
          <cell r="D34">
            <v>0.1698596</v>
          </cell>
          <cell r="E34">
            <v>0.24408469999999999</v>
          </cell>
          <cell r="F34">
            <v>0.3364279</v>
          </cell>
          <cell r="G34">
            <v>0.43473099999999998</v>
          </cell>
          <cell r="H34">
            <v>-0.59859519999999999</v>
          </cell>
          <cell r="I34">
            <v>0.33696660000000001</v>
          </cell>
        </row>
        <row r="35">
          <cell r="C35" t="str">
            <v>Lianhua Supermarket Holdings Co. Ltd.</v>
          </cell>
          <cell r="D35">
            <v>0.37923820000000003</v>
          </cell>
          <cell r="E35">
            <v>0.44817240000000003</v>
          </cell>
          <cell r="F35">
            <v>0.57766070000000003</v>
          </cell>
          <cell r="G35">
            <v>0.71662689999999996</v>
          </cell>
          <cell r="H35">
            <v>-4.0510390000000003</v>
          </cell>
          <cell r="I35">
            <v>1.168431</v>
          </cell>
        </row>
        <row r="36">
          <cell r="C36" t="str">
            <v>Beijing Jingkelong Co. Ltd.</v>
          </cell>
          <cell r="D36">
            <v>0.25277529999999998</v>
          </cell>
          <cell r="E36">
            <v>0.30151640000000002</v>
          </cell>
          <cell r="F36">
            <v>0.48787449999999999</v>
          </cell>
          <cell r="G36" t="str">
            <v>NA</v>
          </cell>
          <cell r="H36">
            <v>0.37515349999999997</v>
          </cell>
          <cell r="I36">
            <v>1.0023880000000001</v>
          </cell>
        </row>
        <row r="37">
          <cell r="C37" t="str">
            <v>Ports Design Ltd.</v>
          </cell>
          <cell r="D37">
            <v>0.45182610000000001</v>
          </cell>
          <cell r="E37">
            <v>0.63300000000000001</v>
          </cell>
          <cell r="F37">
            <v>0.80200000000000005</v>
          </cell>
          <cell r="G37">
            <v>0.995</v>
          </cell>
          <cell r="H37">
            <v>-0.73379649999999996</v>
          </cell>
          <cell r="I37">
            <v>0.56649550000000004</v>
          </cell>
        </row>
        <row r="38">
          <cell r="C38" t="str">
            <v>Hongguo International Holdings Ltd.</v>
          </cell>
          <cell r="D38">
            <v>4.5348380000000001E-2</v>
          </cell>
          <cell r="E38">
            <v>5.6000000000000001E-2</v>
          </cell>
          <cell r="F38">
            <v>6.8000000000000005E-2</v>
          </cell>
          <cell r="G38">
            <v>0.09</v>
          </cell>
          <cell r="H38">
            <v>-1.8970379999999998E-2</v>
          </cell>
          <cell r="I38">
            <v>6.0752250000000001E-2</v>
          </cell>
        </row>
        <row r="39">
          <cell r="C39" t="str">
            <v>Xinyu Hengdeli Holdings Ltd.</v>
          </cell>
          <cell r="D39">
            <v>7.8238000000000002E-2</v>
          </cell>
          <cell r="E39">
            <v>0.13200000000000001</v>
          </cell>
          <cell r="F39">
            <v>0.18</v>
          </cell>
          <cell r="G39">
            <v>0.249</v>
          </cell>
          <cell r="H39">
            <v>1.3916984E-2</v>
          </cell>
          <cell r="I39">
            <v>7.4121489999999998E-2</v>
          </cell>
        </row>
        <row r="40">
          <cell r="C40" t="str">
            <v>Peace Mark (Holdings) Ltd.</v>
          </cell>
          <cell r="D40">
            <v>0.277451</v>
          </cell>
          <cell r="E40">
            <v>0.38174999999999998</v>
          </cell>
          <cell r="F40">
            <v>0.52424999999999999</v>
          </cell>
          <cell r="G40">
            <v>0.70699999999999996</v>
          </cell>
          <cell r="H40">
            <v>0.40683819999999998</v>
          </cell>
          <cell r="I40">
            <v>0.49440200000000001</v>
          </cell>
        </row>
        <row r="41">
          <cell r="C41" t="str">
            <v>Aussino Group Ltd.</v>
          </cell>
          <cell r="D41">
            <v>4.0584469999999997E-2</v>
          </cell>
          <cell r="E41" t="str">
            <v>NA</v>
          </cell>
          <cell r="F41" t="str">
            <v>NA</v>
          </cell>
          <cell r="G41" t="str">
            <v>NA</v>
          </cell>
          <cell r="H41">
            <v>-5.2838570000000001E-2</v>
          </cell>
          <cell r="I41">
            <v>5.7857060000000002E-2</v>
          </cell>
        </row>
        <row r="42">
          <cell r="C42" t="str">
            <v>Tingyi (Cayman Islands) Holding Corp.</v>
          </cell>
          <cell r="D42">
            <v>0.207035</v>
          </cell>
          <cell r="E42">
            <v>0.27287869999999997</v>
          </cell>
          <cell r="F42">
            <v>0.31008520000000001</v>
          </cell>
          <cell r="G42">
            <v>0.37954399999999999</v>
          </cell>
          <cell r="H42">
            <v>9.9616259999999998E-2</v>
          </cell>
          <cell r="I42">
            <v>0.48821910000000002</v>
          </cell>
        </row>
        <row r="43">
          <cell r="C43" t="str">
            <v>Synear Food Holdings Ltd.</v>
          </cell>
          <cell r="D43">
            <v>6.4495179999999999E-2</v>
          </cell>
          <cell r="E43">
            <v>8.3606520000000004E-2</v>
          </cell>
          <cell r="F43">
            <v>9.8001560000000001E-2</v>
          </cell>
          <cell r="G43">
            <v>0.131471</v>
          </cell>
          <cell r="H43">
            <v>-0.12302352</v>
          </cell>
          <cell r="I43">
            <v>8.8101120000000005E-2</v>
          </cell>
        </row>
        <row r="44">
          <cell r="C44" t="str">
            <v>China Huiyuan Juice Group Ltd.</v>
          </cell>
          <cell r="D44">
            <v>0.13836889999999999</v>
          </cell>
          <cell r="E44">
            <v>0.32202779999999998</v>
          </cell>
          <cell r="F44">
            <v>0.33534609999999998</v>
          </cell>
          <cell r="G44">
            <v>0.45284479999999999</v>
          </cell>
          <cell r="H44">
            <v>0.4855989</v>
          </cell>
          <cell r="I44">
            <v>0.26770050000000001</v>
          </cell>
        </row>
        <row r="45">
          <cell r="C45" t="str">
            <v>Hengan International Group Co. Ltd.</v>
          </cell>
          <cell r="D45">
            <v>0.6445649</v>
          </cell>
          <cell r="E45">
            <v>0.83899999999999997</v>
          </cell>
          <cell r="F45">
            <v>1.0740000000000001</v>
          </cell>
          <cell r="G45">
            <v>1.3520000000000001</v>
          </cell>
          <cell r="H45">
            <v>0.69436469999999995</v>
          </cell>
          <cell r="I45">
            <v>1.016265</v>
          </cell>
        </row>
        <row r="46">
          <cell r="C46" t="str">
            <v>China Green (Holdings) Ltd.</v>
          </cell>
          <cell r="D46">
            <v>0.38661299999999998</v>
          </cell>
          <cell r="E46">
            <v>0.502</v>
          </cell>
          <cell r="F46">
            <v>0.61633340000000003</v>
          </cell>
          <cell r="G46">
            <v>0.74033329999999997</v>
          </cell>
          <cell r="H46">
            <v>-0.99979249999999997</v>
          </cell>
          <cell r="I46">
            <v>0.46144679999999999</v>
          </cell>
        </row>
        <row r="47">
          <cell r="C47" t="str">
            <v>Vitasoy International Holdings Ltd.</v>
          </cell>
          <cell r="D47">
            <v>0.1723925</v>
          </cell>
          <cell r="E47">
            <v>0.19700000000000001</v>
          </cell>
          <cell r="F47">
            <v>0.23050000000000001</v>
          </cell>
          <cell r="G47" t="str">
            <v>NA</v>
          </cell>
          <cell r="H47">
            <v>-0.35193550000000001</v>
          </cell>
          <cell r="I47">
            <v>0.3524255</v>
          </cell>
        </row>
        <row r="48">
          <cell r="C48" t="str">
            <v>Want Want Holdings</v>
          </cell>
          <cell r="D48">
            <v>9.9611779999999997E-2</v>
          </cell>
          <cell r="E48" t="str">
            <v>NA</v>
          </cell>
          <cell r="F48" t="str">
            <v>NA</v>
          </cell>
          <cell r="G48" t="str">
            <v>NA</v>
          </cell>
          <cell r="H48">
            <v>4.6661660000000001E-2</v>
          </cell>
          <cell r="I48">
            <v>0.15038650000000001</v>
          </cell>
        </row>
        <row r="49">
          <cell r="C49" t="str">
            <v>Celestial NutriFoods Ltd.</v>
          </cell>
          <cell r="D49">
            <v>0.11547681999999999</v>
          </cell>
          <cell r="E49">
            <v>0.12</v>
          </cell>
          <cell r="F49">
            <v>0.14199999999999999</v>
          </cell>
          <cell r="G49">
            <v>0.161</v>
          </cell>
          <cell r="H49">
            <v>-0.11281458</v>
          </cell>
          <cell r="I49">
            <v>0.13879169999999999</v>
          </cell>
        </row>
        <row r="50">
          <cell r="C50" t="str">
            <v>Hsu Fu Chi International Ltd.</v>
          </cell>
          <cell r="D50">
            <v>5.8305639999999999E-2</v>
          </cell>
          <cell r="E50">
            <v>7.0999999999999994E-2</v>
          </cell>
          <cell r="F50">
            <v>8.0500000000000002E-2</v>
          </cell>
          <cell r="G50">
            <v>9.7000000000000003E-2</v>
          </cell>
          <cell r="H50">
            <v>-9.4141780000000005E-3</v>
          </cell>
          <cell r="I50">
            <v>0.10720923</v>
          </cell>
        </row>
        <row r="51">
          <cell r="C51" t="str">
            <v>Wei-Chuan Foods Corp.</v>
          </cell>
          <cell r="D51">
            <v>0.93100850000000002</v>
          </cell>
          <cell r="E51" t="str">
            <v>NA</v>
          </cell>
          <cell r="F51" t="str">
            <v>NA</v>
          </cell>
          <cell r="G51" t="str">
            <v>NA</v>
          </cell>
          <cell r="H51">
            <v>5.4714390000000002</v>
          </cell>
          <cell r="I51">
            <v>2.3586079999999998</v>
          </cell>
        </row>
        <row r="52">
          <cell r="C52" t="str">
            <v>Tsingtao Brewery Co H HKD</v>
          </cell>
          <cell r="D52">
            <v>0.33425349999999998</v>
          </cell>
          <cell r="E52">
            <v>0.46150469999999999</v>
          </cell>
          <cell r="F52">
            <v>0.59064190000000005</v>
          </cell>
          <cell r="G52">
            <v>0.8513482</v>
          </cell>
          <cell r="H52">
            <v>-0.15698999999999999</v>
          </cell>
          <cell r="I52">
            <v>0.90279279999999995</v>
          </cell>
        </row>
        <row r="53">
          <cell r="C53" t="str">
            <v>Kingway Brewery Holdings Ltd.</v>
          </cell>
          <cell r="D53">
            <v>7.4520100000000006E-2</v>
          </cell>
          <cell r="E53">
            <v>6.5000000000000002E-2</v>
          </cell>
          <cell r="F53">
            <v>5.5E-2</v>
          </cell>
          <cell r="G53">
            <v>7.4999999999999997E-2</v>
          </cell>
          <cell r="H53">
            <v>0.23592170000000001</v>
          </cell>
          <cell r="I53">
            <v>0.1605028</v>
          </cell>
        </row>
        <row r="54">
          <cell r="C54" t="str">
            <v>Global Bio-Chem Technology Group Co. Ltd.</v>
          </cell>
          <cell r="D54">
            <v>0.21615380000000001</v>
          </cell>
          <cell r="E54">
            <v>0.27800000000000002</v>
          </cell>
          <cell r="F54">
            <v>0.32</v>
          </cell>
          <cell r="G54">
            <v>0.377</v>
          </cell>
          <cell r="H54">
            <v>1.000696</v>
          </cell>
          <cell r="I54">
            <v>0.45688800000000002</v>
          </cell>
        </row>
        <row r="55">
          <cell r="C55" t="str">
            <v>China Flavors &amp; Fragrances Co. Ltd.</v>
          </cell>
          <cell r="D55">
            <v>0.16543939999999999</v>
          </cell>
          <cell r="E55">
            <v>0.22459899999999999</v>
          </cell>
          <cell r="F55">
            <v>0.27368569999999998</v>
          </cell>
          <cell r="G55">
            <v>0.3407657</v>
          </cell>
          <cell r="H55">
            <v>-0.53029510000000002</v>
          </cell>
          <cell r="I55">
            <v>0.24292320000000001</v>
          </cell>
        </row>
        <row r="56">
          <cell r="C56" t="str">
            <v>Fufeng Group Ltd.</v>
          </cell>
          <cell r="D56">
            <v>0.1956638</v>
          </cell>
          <cell r="E56">
            <v>9.2999999999999999E-2</v>
          </cell>
          <cell r="F56">
            <v>0.114</v>
          </cell>
          <cell r="G56" t="str">
            <v>NA</v>
          </cell>
          <cell r="H56">
            <v>0.55736479999999999</v>
          </cell>
          <cell r="I56">
            <v>0.26588719999999999</v>
          </cell>
        </row>
        <row r="57">
          <cell r="C57" t="str">
            <v>Huabao International Holdings Ltd.</v>
          </cell>
          <cell r="D57">
            <v>0.1317363</v>
          </cell>
          <cell r="E57">
            <v>0.23125000000000001</v>
          </cell>
          <cell r="F57">
            <v>0.29675000000000001</v>
          </cell>
          <cell r="G57">
            <v>0.36825000000000002</v>
          </cell>
          <cell r="H57">
            <v>-0.21398519999999999</v>
          </cell>
          <cell r="I57">
            <v>0.14616209999999999</v>
          </cell>
        </row>
        <row r="58">
          <cell r="C58" t="str">
            <v>Xiwang Sugar Holdings Co. Ltd.</v>
          </cell>
          <cell r="D58">
            <v>0.3424104</v>
          </cell>
          <cell r="E58">
            <v>0.34048790000000001</v>
          </cell>
          <cell r="F58">
            <v>0.47813870000000003</v>
          </cell>
          <cell r="G58">
            <v>0.53209260000000003</v>
          </cell>
          <cell r="H58">
            <v>0.2459963</v>
          </cell>
          <cell r="I58">
            <v>0.41783690000000001</v>
          </cell>
        </row>
        <row r="59">
          <cell r="C59" t="str">
            <v>Vedan International (Holdings) Ltd.</v>
          </cell>
          <cell r="D59">
            <v>5.5690999999999997E-2</v>
          </cell>
          <cell r="E59">
            <v>7.8E-2</v>
          </cell>
          <cell r="F59">
            <v>8.5999999999999993E-2</v>
          </cell>
          <cell r="G59" t="str">
            <v>NA</v>
          </cell>
          <cell r="H59">
            <v>0.2863097</v>
          </cell>
          <cell r="I59">
            <v>0.25173960000000001</v>
          </cell>
        </row>
        <row r="60">
          <cell r="C60" t="str">
            <v>China Sun Bio-Chem Technology Group Co. Ltd.</v>
          </cell>
          <cell r="D60">
            <v>6.9107940000000007E-2</v>
          </cell>
          <cell r="E60">
            <v>7.2999999999999995E-2</v>
          </cell>
          <cell r="F60">
            <v>9.8000000000000004E-2</v>
          </cell>
          <cell r="G60">
            <v>0.11700000000000001</v>
          </cell>
          <cell r="H60">
            <v>-0.12345415</v>
          </cell>
          <cell r="I60">
            <v>9.9311679999999999E-2</v>
          </cell>
        </row>
        <row r="61">
          <cell r="C61" t="str">
            <v>Asian Citrus Holdings Ltd.</v>
          </cell>
          <cell r="D61" t="str">
            <v>NA</v>
          </cell>
          <cell r="E61">
            <v>0.27223950000000002</v>
          </cell>
          <cell r="F61">
            <v>0.34927000000000002</v>
          </cell>
          <cell r="G61" t="str">
            <v>NA</v>
          </cell>
          <cell r="H61" t="str">
            <v>NA</v>
          </cell>
          <cell r="I61" t="str">
            <v>NA</v>
          </cell>
        </row>
        <row r="62">
          <cell r="C62" t="str">
            <v>China Milk Products Group Ltd.</v>
          </cell>
          <cell r="D62">
            <v>9.4375210000000001E-2</v>
          </cell>
          <cell r="E62">
            <v>0.1167711</v>
          </cell>
          <cell r="F62">
            <v>0.14695159999999999</v>
          </cell>
          <cell r="G62">
            <v>0.15498529999999999</v>
          </cell>
          <cell r="H62">
            <v>-0.15623799999999999</v>
          </cell>
          <cell r="I62">
            <v>0.1068629</v>
          </cell>
        </row>
        <row r="63">
          <cell r="C63" t="str">
            <v>Wuliangye Yibin Co. Ltd.</v>
          </cell>
          <cell r="D63">
            <v>0.308253</v>
          </cell>
          <cell r="E63">
            <v>0.435</v>
          </cell>
          <cell r="F63">
            <v>0.61099999999999999</v>
          </cell>
          <cell r="G63">
            <v>0.77500000000000002</v>
          </cell>
          <cell r="H63">
            <v>-0.73629409999999995</v>
          </cell>
          <cell r="I63">
            <v>0.59446600000000005</v>
          </cell>
        </row>
        <row r="64">
          <cell r="C64" t="str">
            <v>Luzhou Lao Jiao Co. Ltd.</v>
          </cell>
          <cell r="D64">
            <v>0.29714610000000002</v>
          </cell>
          <cell r="E64">
            <v>0.76300000000000001</v>
          </cell>
          <cell r="F64">
            <v>1.1850000000000001</v>
          </cell>
          <cell r="G64">
            <v>1.3759999999999999</v>
          </cell>
          <cell r="H64">
            <v>-0.3744265</v>
          </cell>
          <cell r="I64">
            <v>0.52039000000000002</v>
          </cell>
        </row>
        <row r="65">
          <cell r="C65" t="str">
            <v>Shanxi Xinghuacun Fen Wine Factory Co. Ltd.</v>
          </cell>
          <cell r="D65">
            <v>0.60363069999999996</v>
          </cell>
          <cell r="E65">
            <v>0.85599999999999998</v>
          </cell>
          <cell r="F65">
            <v>1.1200000000000001</v>
          </cell>
          <cell r="G65">
            <v>1.496</v>
          </cell>
          <cell r="H65">
            <v>-0.89037200000000005</v>
          </cell>
          <cell r="I65">
            <v>1.2211639999999999</v>
          </cell>
        </row>
        <row r="66">
          <cell r="C66" t="str">
            <v>Sichuan Swellfun Co. Ltd.</v>
          </cell>
          <cell r="D66">
            <v>0.20647399999999999</v>
          </cell>
          <cell r="E66">
            <v>0.315</v>
          </cell>
          <cell r="F66">
            <v>0.45500000000000002</v>
          </cell>
          <cell r="G66">
            <v>0.63</v>
          </cell>
          <cell r="H66">
            <v>-0.18967519999999999</v>
          </cell>
          <cell r="I66">
            <v>0.54924240000000002</v>
          </cell>
        </row>
        <row r="67">
          <cell r="C67" t="str">
            <v>Zhejiang Guyuelongshan Shaoxing Wine Co. Ltd.</v>
          </cell>
          <cell r="D67">
            <v>0.1388875</v>
          </cell>
          <cell r="E67">
            <v>0.45200000000000001</v>
          </cell>
          <cell r="F67">
            <v>0.504</v>
          </cell>
          <cell r="G67">
            <v>0.76700000000000002</v>
          </cell>
          <cell r="H67">
            <v>2.3704040000000002</v>
          </cell>
          <cell r="I67">
            <v>0.70990120000000001</v>
          </cell>
        </row>
        <row r="68">
          <cell r="C68" t="str">
            <v>Jiugui Liquor Co. Ltd.</v>
          </cell>
          <cell r="D68">
            <v>-0.77228839999999999</v>
          </cell>
          <cell r="E68" t="str">
            <v>NA</v>
          </cell>
          <cell r="F68" t="str">
            <v>NA</v>
          </cell>
          <cell r="G68" t="str">
            <v>NA</v>
          </cell>
          <cell r="H68">
            <v>0.7807887</v>
          </cell>
          <cell r="I68">
            <v>-0.56023429999999996</v>
          </cell>
        </row>
        <row r="69">
          <cell r="C69" t="str">
            <v>Xinjiang Yilite Industry Co. Ltd.</v>
          </cell>
          <cell r="D69">
            <v>0.21998870000000001</v>
          </cell>
          <cell r="E69" t="str">
            <v>NA</v>
          </cell>
          <cell r="F69" t="str">
            <v>NA</v>
          </cell>
          <cell r="G69" t="str">
            <v>NA</v>
          </cell>
          <cell r="H69">
            <v>-0.27303630000000001</v>
          </cell>
          <cell r="I69">
            <v>0.29407709999999998</v>
          </cell>
        </row>
        <row r="70">
          <cell r="C70" t="str">
            <v>Sichuan Tuopai Yeast Liquor Co. Ltd.</v>
          </cell>
          <cell r="D70">
            <v>5.9119480000000002E-2</v>
          </cell>
          <cell r="E70">
            <v>0.19900000000000001</v>
          </cell>
          <cell r="F70">
            <v>0.41299999999999998</v>
          </cell>
          <cell r="G70">
            <v>0.66900000000000004</v>
          </cell>
          <cell r="H70">
            <v>1.474</v>
          </cell>
          <cell r="I70">
            <v>0.29050399999999998</v>
          </cell>
        </row>
        <row r="71">
          <cell r="C71" t="str">
            <v>Guangxia (Yinchuan) Industry Co. Ltd.</v>
          </cell>
          <cell r="D71">
            <v>-3.0974999999999999E-2</v>
          </cell>
          <cell r="E71" t="str">
            <v>NA</v>
          </cell>
          <cell r="F71" t="str">
            <v>NA</v>
          </cell>
          <cell r="G71" t="str">
            <v>NA</v>
          </cell>
          <cell r="H71">
            <v>0.44790750000000001</v>
          </cell>
          <cell r="I71">
            <v>-9.0065230000000007E-3</v>
          </cell>
        </row>
        <row r="72">
          <cell r="C72" t="str">
            <v>Tonghua Grape Wine Co. Ltd.</v>
          </cell>
          <cell r="D72">
            <v>8.3499999999999998E-3</v>
          </cell>
          <cell r="E72" t="str">
            <v>NA</v>
          </cell>
          <cell r="F72" t="str">
            <v>NA</v>
          </cell>
          <cell r="G72" t="str">
            <v>NA</v>
          </cell>
          <cell r="H72">
            <v>-0.17712140000000001</v>
          </cell>
          <cell r="I72">
            <v>8.6514289999999994E-2</v>
          </cell>
        </row>
        <row r="73">
          <cell r="C73" t="str">
            <v>Gansu Huangtai Wine-Marketing Industry Co. Ltd.</v>
          </cell>
          <cell r="D73">
            <v>1.1374908E-2</v>
          </cell>
          <cell r="E73" t="str">
            <v>NA</v>
          </cell>
          <cell r="F73" t="str">
            <v>NA</v>
          </cell>
          <cell r="G73" t="str">
            <v>NA</v>
          </cell>
          <cell r="H73">
            <v>0.62744630000000001</v>
          </cell>
          <cell r="I73">
            <v>0.12697849999999999</v>
          </cell>
        </row>
        <row r="74">
          <cell r="C74" t="str">
            <v>Hebei Yufeng Industry Co. Ltd.</v>
          </cell>
          <cell r="D74">
            <v>2.2007140000000001E-2</v>
          </cell>
          <cell r="E74">
            <v>0.18</v>
          </cell>
          <cell r="F74">
            <v>0.44</v>
          </cell>
          <cell r="G74">
            <v>0.55000000000000004</v>
          </cell>
          <cell r="H74">
            <v>1.7773289999999999</v>
          </cell>
          <cell r="I74">
            <v>0.39111430000000003</v>
          </cell>
        </row>
        <row r="75">
          <cell r="C75" t="str">
            <v>Shandong Hiking International Co. Ltd.</v>
          </cell>
          <cell r="D75">
            <v>-0.19697319999999999</v>
          </cell>
          <cell r="E75" t="str">
            <v>NA</v>
          </cell>
          <cell r="F75" t="str">
            <v>NA</v>
          </cell>
          <cell r="G75" t="str">
            <v>NA</v>
          </cell>
          <cell r="H75">
            <v>0.24485680000000001</v>
          </cell>
          <cell r="I75">
            <v>-0.14569840000000001</v>
          </cell>
        </row>
        <row r="76">
          <cell r="C76" t="str">
            <v>Beijing Yanjing Brewery Co. Ltd.</v>
          </cell>
          <cell r="D76">
            <v>0.27896219999999999</v>
          </cell>
          <cell r="E76">
            <v>0.34</v>
          </cell>
          <cell r="F76">
            <v>0.41</v>
          </cell>
          <cell r="G76">
            <v>0.49099999999999999</v>
          </cell>
          <cell r="H76">
            <v>0.8092374</v>
          </cell>
          <cell r="I76">
            <v>0.9137419</v>
          </cell>
        </row>
        <row r="77">
          <cell r="C77" t="str">
            <v>Chongqing Brewery Co. Ltd.</v>
          </cell>
          <cell r="D77">
            <v>0.39843610000000002</v>
          </cell>
          <cell r="E77">
            <v>0.46200000000000002</v>
          </cell>
          <cell r="F77">
            <v>0.53700000000000003</v>
          </cell>
          <cell r="G77" t="str">
            <v>NA</v>
          </cell>
          <cell r="H77">
            <v>1.208153</v>
          </cell>
          <cell r="I77">
            <v>0.94594339999999999</v>
          </cell>
        </row>
        <row r="78">
          <cell r="C78" t="str">
            <v>Fujian Yanjing Huiquan Brewery Co. Ltd.</v>
          </cell>
          <cell r="D78">
            <v>0.14026</v>
          </cell>
          <cell r="E78" t="str">
            <v>NA</v>
          </cell>
          <cell r="F78" t="str">
            <v>NA</v>
          </cell>
          <cell r="G78" t="str">
            <v>NA</v>
          </cell>
          <cell r="H78">
            <v>-7.6691999999999996E-2</v>
          </cell>
          <cell r="I78">
            <v>0.63185199999999997</v>
          </cell>
        </row>
        <row r="79">
          <cell r="C79" t="str">
            <v>Lanzhou Huanghe Enterprise Co. Ltd.</v>
          </cell>
          <cell r="D79">
            <v>8.2750599999999994E-2</v>
          </cell>
          <cell r="E79" t="str">
            <v>NA</v>
          </cell>
          <cell r="F79" t="str">
            <v>NA</v>
          </cell>
          <cell r="G79" t="str">
            <v>NA</v>
          </cell>
          <cell r="H79">
            <v>0.55744150000000003</v>
          </cell>
          <cell r="I79">
            <v>0.4945232</v>
          </cell>
        </row>
        <row r="80">
          <cell r="C80" t="str">
            <v>Tibet Galaxy Science &amp; Technology Development Co. Ltd.</v>
          </cell>
          <cell r="D80">
            <v>3.3578700000000003E-2</v>
          </cell>
          <cell r="E80" t="str">
            <v>NA</v>
          </cell>
          <cell r="F80" t="str">
            <v>NA</v>
          </cell>
          <cell r="G80" t="str">
            <v>NA</v>
          </cell>
          <cell r="H80">
            <v>0.10564458</v>
          </cell>
          <cell r="I80">
            <v>0.1839056</v>
          </cell>
        </row>
        <row r="81">
          <cell r="C81" t="str">
            <v>VV Food &amp; Beverage Co. Ltd.</v>
          </cell>
          <cell r="D81">
            <v>0.10716667000000001</v>
          </cell>
          <cell r="E81" t="str">
            <v>NA</v>
          </cell>
          <cell r="F81" t="str">
            <v>NA</v>
          </cell>
          <cell r="G81" t="str">
            <v>NA</v>
          </cell>
          <cell r="H81">
            <v>0.34218189999999998</v>
          </cell>
          <cell r="I81">
            <v>0.38136969999999998</v>
          </cell>
        </row>
        <row r="82">
          <cell r="C82" t="str">
            <v>Beijing Sanyuan Foods Co. Ltd.</v>
          </cell>
          <cell r="D82">
            <v>2.3275589999999999E-2</v>
          </cell>
          <cell r="E82">
            <v>4.7E-2</v>
          </cell>
          <cell r="F82">
            <v>7.8E-2</v>
          </cell>
          <cell r="G82" t="str">
            <v>NA</v>
          </cell>
          <cell r="H82">
            <v>-3.1568510000000001E-2</v>
          </cell>
          <cell r="I82">
            <v>0.10860944</v>
          </cell>
        </row>
        <row r="83">
          <cell r="C83" t="str">
            <v>Beijing Shunxin Agriculture Co. Ltd.</v>
          </cell>
          <cell r="D83">
            <v>0.17909890000000001</v>
          </cell>
          <cell r="E83">
            <v>0.38</v>
          </cell>
          <cell r="F83">
            <v>0.54800000000000004</v>
          </cell>
          <cell r="G83">
            <v>0.68400000000000005</v>
          </cell>
          <cell r="H83">
            <v>1.2908710000000001</v>
          </cell>
          <cell r="I83">
            <v>0.43903799999999998</v>
          </cell>
        </row>
        <row r="84">
          <cell r="C84" t="str">
            <v>Heilongjiang Agriculture Co. Ltd.</v>
          </cell>
          <cell r="D84">
            <v>0.32706269999999998</v>
          </cell>
          <cell r="E84">
            <v>0.376</v>
          </cell>
          <cell r="F84">
            <v>0.41599999999999998</v>
          </cell>
          <cell r="G84">
            <v>0.58799999999999997</v>
          </cell>
          <cell r="H84">
            <v>1.860781</v>
          </cell>
          <cell r="I84">
            <v>0.51520909999999998</v>
          </cell>
        </row>
        <row r="85">
          <cell r="C85" t="str">
            <v>Shanghai Bailian Group Co. Ltd.</v>
          </cell>
          <cell r="D85">
            <v>0.24322650000000001</v>
          </cell>
          <cell r="E85">
            <v>0.29899999999999999</v>
          </cell>
          <cell r="F85">
            <v>0.439</v>
          </cell>
          <cell r="G85" t="str">
            <v>NA</v>
          </cell>
          <cell r="H85">
            <v>-0.23522760000000001</v>
          </cell>
          <cell r="I85">
            <v>0.69998530000000003</v>
          </cell>
        </row>
        <row r="86">
          <cell r="C86" t="str">
            <v>Dashang Group Co. Ltd.</v>
          </cell>
          <cell r="D86">
            <v>0.87028729999999999</v>
          </cell>
          <cell r="E86">
            <v>1.39</v>
          </cell>
          <cell r="F86">
            <v>1.613</v>
          </cell>
          <cell r="G86">
            <v>2.1030000000000002</v>
          </cell>
          <cell r="H86">
            <v>2.7910699999999999</v>
          </cell>
          <cell r="I86">
            <v>2.7475420000000002</v>
          </cell>
        </row>
        <row r="87">
          <cell r="C87" t="str">
            <v>Beijing Wangfujing Department Store (Group) Co. Ltd.</v>
          </cell>
          <cell r="D87">
            <v>0.49014049999999998</v>
          </cell>
          <cell r="E87">
            <v>0.627</v>
          </cell>
          <cell r="F87">
            <v>0.86799999999999999</v>
          </cell>
          <cell r="G87">
            <v>1.1859999999999999</v>
          </cell>
          <cell r="H87">
            <v>-2.9534570000000002</v>
          </cell>
          <cell r="I87">
            <v>1.1160540000000001</v>
          </cell>
        </row>
        <row r="88">
          <cell r="C88" t="str">
            <v>Shanghai New World Co. Ltd.</v>
          </cell>
          <cell r="D88">
            <v>0.22546569999999999</v>
          </cell>
          <cell r="E88" t="str">
            <v>NA</v>
          </cell>
          <cell r="F88" t="str">
            <v>NA</v>
          </cell>
          <cell r="G88" t="str">
            <v>NA</v>
          </cell>
          <cell r="H88">
            <v>2.5150070000000002</v>
          </cell>
          <cell r="I88">
            <v>0.60596629999999996</v>
          </cell>
        </row>
        <row r="89">
          <cell r="C89" t="str">
            <v>Zhongbai Group Co. Ltd.</v>
          </cell>
          <cell r="D89">
            <v>0.23358999999999999</v>
          </cell>
          <cell r="E89">
            <v>0.39</v>
          </cell>
          <cell r="F89">
            <v>0.52</v>
          </cell>
          <cell r="G89">
            <v>0.64600000000000002</v>
          </cell>
          <cell r="H89">
            <v>2.2991350000000002</v>
          </cell>
          <cell r="I89">
            <v>0.64049860000000003</v>
          </cell>
        </row>
        <row r="90">
          <cell r="C90" t="str">
            <v>Chongqing Department Store Co. Ltd.</v>
          </cell>
          <cell r="D90">
            <v>0.41800999999999999</v>
          </cell>
          <cell r="E90" t="str">
            <v>NA</v>
          </cell>
          <cell r="F90" t="str">
            <v>NA</v>
          </cell>
          <cell r="G90" t="str">
            <v>NA</v>
          </cell>
          <cell r="H90">
            <v>0.85580869999999998</v>
          </cell>
          <cell r="I90">
            <v>0.89822060000000004</v>
          </cell>
        </row>
        <row r="91">
          <cell r="C91" t="str">
            <v>Wuhan Department Store Group Co. Ltd.</v>
          </cell>
          <cell r="D91">
            <v>5.6644809999999997E-2</v>
          </cell>
          <cell r="E91" t="str">
            <v>NA</v>
          </cell>
          <cell r="F91" t="str">
            <v>NA</v>
          </cell>
          <cell r="G91" t="str">
            <v>NA</v>
          </cell>
          <cell r="H91">
            <v>9.2223169999999993E-2</v>
          </cell>
          <cell r="I91">
            <v>0.67751399999999995</v>
          </cell>
        </row>
        <row r="92">
          <cell r="C92" t="str">
            <v>Shanghai Yimin Department Stores Co. Ltd.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</row>
        <row r="93">
          <cell r="C93" t="str">
            <v>Wuxi Commercial Mansion Grand Orient Co. Ltd.</v>
          </cell>
          <cell r="D93">
            <v>0.22459599999999999</v>
          </cell>
          <cell r="E93" t="str">
            <v>NA</v>
          </cell>
          <cell r="F93" t="str">
            <v>NA</v>
          </cell>
          <cell r="G93" t="str">
            <v>NA</v>
          </cell>
          <cell r="H93">
            <v>-4.2494179999999999E-2</v>
          </cell>
          <cell r="I93">
            <v>0.56241940000000001</v>
          </cell>
        </row>
        <row r="94">
          <cell r="C94" t="str">
            <v>Nanjing Xinjiekou Department Store Co. Ltd.</v>
          </cell>
          <cell r="D94">
            <v>0.25170690000000001</v>
          </cell>
          <cell r="E94" t="str">
            <v>NA</v>
          </cell>
          <cell r="F94" t="str">
            <v>NA</v>
          </cell>
          <cell r="G94" t="str">
            <v>NA</v>
          </cell>
          <cell r="H94">
            <v>1.0005200000000001</v>
          </cell>
          <cell r="I94">
            <v>0.81638710000000003</v>
          </cell>
        </row>
        <row r="95">
          <cell r="C95" t="str">
            <v>Chengdu People's Department Store (Group) Co. Ltd.</v>
          </cell>
          <cell r="D95">
            <v>-0.29496719999999998</v>
          </cell>
          <cell r="E95" t="str">
            <v>NA</v>
          </cell>
          <cell r="F95" t="str">
            <v>NA</v>
          </cell>
          <cell r="G95" t="str">
            <v>NA</v>
          </cell>
          <cell r="H95">
            <v>2.7463519999999999</v>
          </cell>
          <cell r="I95">
            <v>5.3035209999999999E-2</v>
          </cell>
        </row>
        <row r="96">
          <cell r="C96" t="str">
            <v>Beijing Hualian Department Store Co. Ltd.</v>
          </cell>
          <cell r="D96">
            <v>7.3744000000000004E-2</v>
          </cell>
          <cell r="E96">
            <v>0.21199999999999999</v>
          </cell>
          <cell r="F96">
            <v>0.249</v>
          </cell>
          <cell r="G96">
            <v>0.311</v>
          </cell>
          <cell r="H96">
            <v>-1.5092372999999999E-2</v>
          </cell>
          <cell r="I96">
            <v>0.3764245</v>
          </cell>
        </row>
        <row r="97">
          <cell r="C97" t="str">
            <v>Shanghai Join Buy Co. Ltd.</v>
          </cell>
          <cell r="D97">
            <v>1.1235227E-2</v>
          </cell>
          <cell r="E97" t="str">
            <v>NA</v>
          </cell>
          <cell r="F97" t="str">
            <v>NA</v>
          </cell>
          <cell r="G97" t="str">
            <v>NA</v>
          </cell>
          <cell r="H97">
            <v>0.744668</v>
          </cell>
          <cell r="I97">
            <v>0.10427509</v>
          </cell>
        </row>
        <row r="98">
          <cell r="C98" t="str">
            <v>Changsha Tongcheng Holdings Co. Ltd.</v>
          </cell>
          <cell r="D98">
            <v>0.30012850000000002</v>
          </cell>
          <cell r="E98" t="str">
            <v>NA</v>
          </cell>
          <cell r="F98" t="str">
            <v>NA</v>
          </cell>
          <cell r="G98" t="str">
            <v>NA</v>
          </cell>
          <cell r="H98">
            <v>3.0220069999999999</v>
          </cell>
          <cell r="I98">
            <v>0.96421159999999995</v>
          </cell>
        </row>
        <row r="99">
          <cell r="C99" t="str">
            <v>Yinchuan Xinhua Department Store Co. Ltd.</v>
          </cell>
          <cell r="D99">
            <v>0.4437236</v>
          </cell>
          <cell r="E99" t="str">
            <v>NA</v>
          </cell>
          <cell r="F99" t="str">
            <v>NA</v>
          </cell>
          <cell r="G99" t="str">
            <v>NA</v>
          </cell>
          <cell r="H99">
            <v>-0.91154190000000002</v>
          </cell>
          <cell r="I99">
            <v>1.136056</v>
          </cell>
        </row>
        <row r="100">
          <cell r="C100" t="str">
            <v>Hefei Department Store Group Co. Ltd.</v>
          </cell>
          <cell r="D100">
            <v>0.14301759999999999</v>
          </cell>
          <cell r="E100" t="str">
            <v>NA</v>
          </cell>
          <cell r="F100" t="str">
            <v>NA</v>
          </cell>
          <cell r="G100" t="str">
            <v>NA</v>
          </cell>
          <cell r="H100">
            <v>0.13934299999999999</v>
          </cell>
          <cell r="I100">
            <v>0.46770679999999998</v>
          </cell>
        </row>
        <row r="101">
          <cell r="C101" t="str">
            <v>Lanzhou Minbai Shareholding (Group) Co. Ltd.</v>
          </cell>
          <cell r="D101">
            <v>0.11476683999999999</v>
          </cell>
          <cell r="E101" t="str">
            <v>NA</v>
          </cell>
          <cell r="F101" t="str">
            <v>NA</v>
          </cell>
          <cell r="G101" t="str">
            <v>NA</v>
          </cell>
          <cell r="H101">
            <v>0.57137199999999999</v>
          </cell>
          <cell r="I101">
            <v>0.32119340000000002</v>
          </cell>
        </row>
        <row r="102">
          <cell r="C102" t="str">
            <v>Xi'an Kaiyuan Holding Group Co. Ltd.</v>
          </cell>
          <cell r="D102">
            <v>0.30046129999999999</v>
          </cell>
          <cell r="E102" t="str">
            <v>NA</v>
          </cell>
          <cell r="F102" t="str">
            <v>NA</v>
          </cell>
          <cell r="G102" t="str">
            <v>NA</v>
          </cell>
          <cell r="H102">
            <v>2.300036</v>
          </cell>
          <cell r="I102">
            <v>0.93573300000000004</v>
          </cell>
        </row>
        <row r="103">
          <cell r="C103" t="str">
            <v>Baoji Department Store (Group) Co. Ltd.</v>
          </cell>
          <cell r="D103">
            <v>3.5977639999999998E-3</v>
          </cell>
          <cell r="E103" t="str">
            <v>NA</v>
          </cell>
          <cell r="F103" t="str">
            <v>NA</v>
          </cell>
          <cell r="G103" t="str">
            <v>NA</v>
          </cell>
          <cell r="H103">
            <v>6.1474319999999999E-2</v>
          </cell>
          <cell r="I103">
            <v>0.17882139999999999</v>
          </cell>
        </row>
        <row r="104">
          <cell r="C104" t="str">
            <v>Dalian Friendship (Group) Co. Ltd.</v>
          </cell>
          <cell r="D104">
            <v>0.12171296</v>
          </cell>
          <cell r="E104" t="str">
            <v>NA</v>
          </cell>
          <cell r="F104" t="str">
            <v>NA</v>
          </cell>
          <cell r="G104" t="str">
            <v>NA</v>
          </cell>
          <cell r="H104">
            <v>3.0814729999999999</v>
          </cell>
          <cell r="I104">
            <v>0.63747480000000001</v>
          </cell>
        </row>
        <row r="105">
          <cell r="C105" t="str">
            <v>Xi'an Minsheng Group Co. Ltd.</v>
          </cell>
          <cell r="D105">
            <v>6.9233219999999998E-2</v>
          </cell>
          <cell r="E105" t="str">
            <v>NA</v>
          </cell>
          <cell r="F105" t="str">
            <v>NA</v>
          </cell>
          <cell r="G105" t="str">
            <v>NA</v>
          </cell>
          <cell r="H105">
            <v>-0.34201219999999999</v>
          </cell>
          <cell r="I105">
            <v>0.29736590000000002</v>
          </cell>
        </row>
        <row r="106">
          <cell r="C106" t="str">
            <v>Xinjiang Friendship (Group) Co. Ltd.</v>
          </cell>
          <cell r="D106">
            <v>3.7474550000000002E-2</v>
          </cell>
          <cell r="E106" t="str">
            <v>NA</v>
          </cell>
          <cell r="F106" t="str">
            <v>NA</v>
          </cell>
          <cell r="G106" t="str">
            <v>NA</v>
          </cell>
          <cell r="H106">
            <v>0.96872999999999998</v>
          </cell>
          <cell r="I106">
            <v>0.38029299999999999</v>
          </cell>
        </row>
        <row r="107">
          <cell r="C107" t="str">
            <v>Wuhan Hanshang (Group) Co. Ltd.</v>
          </cell>
          <cell r="D107">
            <v>8.1380309999999997E-2</v>
          </cell>
          <cell r="E107" t="str">
            <v>NA</v>
          </cell>
          <cell r="F107" t="str">
            <v>NA</v>
          </cell>
          <cell r="G107" t="str">
            <v>NA</v>
          </cell>
          <cell r="H107">
            <v>2.6175109999999999</v>
          </cell>
          <cell r="I107">
            <v>0.55702580000000002</v>
          </cell>
        </row>
        <row r="108">
          <cell r="C108" t="str">
            <v>Nanning Department Store Co. Ltd.</v>
          </cell>
          <cell r="D108">
            <v>1.6969419999999999E-2</v>
          </cell>
          <cell r="E108" t="str">
            <v>NA</v>
          </cell>
          <cell r="F108" t="str">
            <v>NA</v>
          </cell>
          <cell r="G108" t="str">
            <v>NA</v>
          </cell>
          <cell r="H108">
            <v>0.98613430000000002</v>
          </cell>
          <cell r="I108">
            <v>0.30057650000000002</v>
          </cell>
        </row>
        <row r="109">
          <cell r="C109" t="str">
            <v>Changchun Department Jituan Store Co. Ltd.</v>
          </cell>
          <cell r="D109">
            <v>-0.70271220000000001</v>
          </cell>
          <cell r="E109" t="str">
            <v>NA</v>
          </cell>
          <cell r="F109" t="str">
            <v>NA</v>
          </cell>
          <cell r="G109" t="str">
            <v>NA</v>
          </cell>
          <cell r="H109">
            <v>0.78304209999999996</v>
          </cell>
          <cell r="I109">
            <v>-0.58291559999999998</v>
          </cell>
        </row>
        <row r="110">
          <cell r="C110" t="str">
            <v>Harbin Churin Group Jointstock Co. Ltd.</v>
          </cell>
          <cell r="D110">
            <v>-0.27966350000000001</v>
          </cell>
          <cell r="E110" t="str">
            <v>NA</v>
          </cell>
          <cell r="F110" t="str">
            <v>NA</v>
          </cell>
          <cell r="G110" t="str">
            <v>NA</v>
          </cell>
          <cell r="H110">
            <v>0.6285039</v>
          </cell>
          <cell r="I110">
            <v>-8.1970199999999993E-2</v>
          </cell>
        </row>
        <row r="111">
          <cell r="C111" t="str">
            <v>Beijing Urban-Rural Trade Center Co. Ltd.</v>
          </cell>
          <cell r="D111">
            <v>0.13844590000000001</v>
          </cell>
          <cell r="E111" t="str">
            <v>NA</v>
          </cell>
          <cell r="F111" t="str">
            <v>NA</v>
          </cell>
          <cell r="G111" t="str">
            <v>NA</v>
          </cell>
          <cell r="H111">
            <v>-1.4645509999999999</v>
          </cell>
          <cell r="I111">
            <v>0.31455899999999998</v>
          </cell>
        </row>
        <row r="112">
          <cell r="C112" t="str">
            <v>Baida Group Co. Ltd.</v>
          </cell>
          <cell r="D112">
            <v>0.13221050000000001</v>
          </cell>
          <cell r="E112" t="str">
            <v>NA</v>
          </cell>
          <cell r="F112" t="str">
            <v>NA</v>
          </cell>
          <cell r="G112" t="str">
            <v>NA</v>
          </cell>
          <cell r="H112">
            <v>-1.8212440000000001</v>
          </cell>
          <cell r="I112">
            <v>0.29069030000000001</v>
          </cell>
        </row>
        <row r="113">
          <cell r="C113" t="str">
            <v>Guangzhou Friendship Group Co. Ltd.</v>
          </cell>
          <cell r="D113">
            <v>0.5899742</v>
          </cell>
          <cell r="E113">
            <v>0.77</v>
          </cell>
          <cell r="F113">
            <v>1.1000000000000001</v>
          </cell>
          <cell r="G113">
            <v>1.28</v>
          </cell>
          <cell r="H113">
            <v>-3.8146230000000001</v>
          </cell>
          <cell r="I113">
            <v>1.0124470000000001</v>
          </cell>
        </row>
        <row r="114">
          <cell r="C114" t="str">
            <v>Shanghai Friendship Group Co. Ltd.</v>
          </cell>
          <cell r="D114">
            <v>0.36069240000000002</v>
          </cell>
          <cell r="E114">
            <v>0.50700000000000001</v>
          </cell>
          <cell r="F114">
            <v>0.63200000000000001</v>
          </cell>
          <cell r="G114">
            <v>0.70699999999999996</v>
          </cell>
          <cell r="H114">
            <v>-4.9126830000000004</v>
          </cell>
          <cell r="I114">
            <v>2.3318400000000001</v>
          </cell>
        </row>
        <row r="115">
          <cell r="C115" t="str">
            <v>Beijing Xidan Market Co. Ltd.</v>
          </cell>
          <cell r="D115">
            <v>1.9774570000000002E-2</v>
          </cell>
          <cell r="E115" t="str">
            <v>NA</v>
          </cell>
          <cell r="F115" t="str">
            <v>NA</v>
          </cell>
          <cell r="G115" t="str">
            <v>NA</v>
          </cell>
          <cell r="H115">
            <v>-0.78630900000000004</v>
          </cell>
          <cell r="I115">
            <v>0.21784999999999999</v>
          </cell>
        </row>
        <row r="116">
          <cell r="C116" t="str">
            <v>Zhongxing Shenyang Commercial Building Group Co. Ltd.</v>
          </cell>
          <cell r="D116">
            <v>0.24920249999999999</v>
          </cell>
          <cell r="E116" t="str">
            <v>NA</v>
          </cell>
          <cell r="F116" t="str">
            <v>NA</v>
          </cell>
          <cell r="G116" t="str">
            <v>NA</v>
          </cell>
          <cell r="H116">
            <v>-0.51868780000000003</v>
          </cell>
          <cell r="I116">
            <v>0.464671</v>
          </cell>
        </row>
        <row r="117">
          <cell r="C117" t="str">
            <v>Changchun Eurasia Group Co. Ltd.</v>
          </cell>
          <cell r="D117">
            <v>0.37332779999999999</v>
          </cell>
          <cell r="E117">
            <v>0.47099999999999997</v>
          </cell>
          <cell r="F117">
            <v>0.65800000000000003</v>
          </cell>
          <cell r="G117">
            <v>0.73499999999999999</v>
          </cell>
          <cell r="H117">
            <v>1.881982</v>
          </cell>
          <cell r="I117">
            <v>0.84831630000000002</v>
          </cell>
        </row>
        <row r="118">
          <cell r="C118" t="str">
            <v>Fujian Dongbai (Group) Co. Ltd.</v>
          </cell>
          <cell r="D118">
            <v>0.32862229999999998</v>
          </cell>
          <cell r="E118" t="str">
            <v>NA</v>
          </cell>
          <cell r="F118" t="str">
            <v>NA</v>
          </cell>
          <cell r="G118" t="str">
            <v>NA</v>
          </cell>
          <cell r="H118">
            <v>2.2894480000000001</v>
          </cell>
        </row>
        <row r="119">
          <cell r="C119" t="str">
            <v>Telling Telecommunication Holding Co. Ltd.</v>
          </cell>
          <cell r="D119">
            <v>0.28011900000000001</v>
          </cell>
          <cell r="E119" t="str">
            <v>NA</v>
          </cell>
          <cell r="F119" t="str">
            <v>NA</v>
          </cell>
          <cell r="G119" t="str">
            <v>NA</v>
          </cell>
          <cell r="H119">
            <v>3.004038</v>
          </cell>
        </row>
        <row r="120">
          <cell r="C120" t="str">
            <v>Jiangsu Hongtu High-Technology Co. Ltd.</v>
          </cell>
          <cell r="D120">
            <v>5.887531E-2</v>
          </cell>
          <cell r="E120" t="str">
            <v>NA</v>
          </cell>
          <cell r="F120" t="str">
            <v>NA</v>
          </cell>
          <cell r="G120" t="str">
            <v>NA</v>
          </cell>
          <cell r="H120">
            <v>4.0256259999999999</v>
          </cell>
        </row>
        <row r="121">
          <cell r="C121" t="str">
            <v>Edion Corp.</v>
          </cell>
          <cell r="D121">
            <v>71.787379999999999</v>
          </cell>
          <cell r="E121">
            <v>86.29</v>
          </cell>
          <cell r="F121">
            <v>115.27500000000001</v>
          </cell>
          <cell r="G121" t="str">
            <v>NA</v>
          </cell>
          <cell r="H121">
            <v>697.47850000000005</v>
          </cell>
        </row>
        <row r="122">
          <cell r="C122" t="str">
            <v>K's Holdings Corp.</v>
          </cell>
          <cell r="D122">
            <v>152.34299999999999</v>
          </cell>
          <cell r="E122">
            <v>198.57</v>
          </cell>
          <cell r="F122">
            <v>244.60499999999999</v>
          </cell>
          <cell r="G122">
            <v>285.4425</v>
          </cell>
          <cell r="H122">
            <v>1011.2916</v>
          </cell>
        </row>
        <row r="123">
          <cell r="C123" t="str">
            <v>Harvey Norman Holdings Ltd.</v>
          </cell>
          <cell r="D123">
            <v>0.30086370000000001</v>
          </cell>
          <cell r="E123">
            <v>0.26550000000000001</v>
          </cell>
          <cell r="F123">
            <v>0.3075</v>
          </cell>
          <cell r="G123">
            <v>0.34749999999999998</v>
          </cell>
          <cell r="H123">
            <v>0.53178740000000002</v>
          </cell>
        </row>
        <row r="124">
          <cell r="C124" t="str">
            <v>Wing On Co. International Ltd.</v>
          </cell>
          <cell r="D124">
            <v>1.9217709999999999</v>
          </cell>
          <cell r="E124" t="str">
            <v>NA</v>
          </cell>
          <cell r="F124" t="str">
            <v>NA</v>
          </cell>
          <cell r="G124" t="str">
            <v>NA</v>
          </cell>
          <cell r="H124">
            <v>-2.6251929999999999</v>
          </cell>
        </row>
        <row r="125">
          <cell r="C125" t="str">
            <v>AEON Stores (Hong Kong) Co. Ltd.</v>
          </cell>
          <cell r="D125">
            <v>0.57056549999999995</v>
          </cell>
          <cell r="E125">
            <v>0.85</v>
          </cell>
          <cell r="F125">
            <v>0.82199999999999995</v>
          </cell>
          <cell r="G125" t="str">
            <v>NA</v>
          </cell>
          <cell r="H125">
            <v>-5.6963619999999997</v>
          </cell>
        </row>
        <row r="126">
          <cell r="C126" t="str">
            <v>Sincere Co. Ltd.</v>
          </cell>
          <cell r="D126">
            <v>6.0971350000000001E-2</v>
          </cell>
          <cell r="E126" t="str">
            <v>NA</v>
          </cell>
          <cell r="F126" t="str">
            <v>NA</v>
          </cell>
          <cell r="G126" t="str">
            <v>NA</v>
          </cell>
          <cell r="H126">
            <v>-0.63336720000000002</v>
          </cell>
        </row>
        <row r="127">
          <cell r="C127" t="str">
            <v>Shinsegae Co. Ltd.</v>
          </cell>
          <cell r="D127">
            <v>25098.06</v>
          </cell>
          <cell r="E127">
            <v>27675.79</v>
          </cell>
          <cell r="F127">
            <v>32509.52</v>
          </cell>
          <cell r="G127">
            <v>37363</v>
          </cell>
          <cell r="H127">
            <v>139911</v>
          </cell>
        </row>
        <row r="128">
          <cell r="C128" t="str">
            <v>Lotte Shopping Co. Ltd.</v>
          </cell>
          <cell r="D128">
            <v>25626.36</v>
          </cell>
          <cell r="E128">
            <v>25602</v>
          </cell>
          <cell r="F128">
            <v>28696.44</v>
          </cell>
          <cell r="G128">
            <v>31982.17</v>
          </cell>
          <cell r="H128">
            <v>28626.080000000002</v>
          </cell>
        </row>
        <row r="129">
          <cell r="C129" t="str">
            <v>Hyundai Department Store Co. Ltd.</v>
          </cell>
          <cell r="D129">
            <v>7671.6689999999999</v>
          </cell>
          <cell r="E129">
            <v>8349.3850000000002</v>
          </cell>
          <cell r="F129">
            <v>8957.8050000000003</v>
          </cell>
          <cell r="G129">
            <v>9496.8770000000004</v>
          </cell>
          <cell r="H129">
            <v>5706.2529999999997</v>
          </cell>
        </row>
        <row r="130">
          <cell r="C130" t="str">
            <v>David Jones Ltd.</v>
          </cell>
          <cell r="D130">
            <v>0.19808329999999999</v>
          </cell>
          <cell r="E130">
            <v>0.24766669999999999</v>
          </cell>
          <cell r="F130">
            <v>0.27650000000000002</v>
          </cell>
          <cell r="G130">
            <v>0.30149999999999999</v>
          </cell>
          <cell r="H130" t="str">
            <v>NA</v>
          </cell>
        </row>
        <row r="131">
          <cell r="C131" t="str">
            <v>Pantaloon Retail (India) Ltd.</v>
          </cell>
          <cell r="D131" t="str">
            <v>NA</v>
          </cell>
          <cell r="E131">
            <v>7.45</v>
          </cell>
          <cell r="F131">
            <v>12.529</v>
          </cell>
          <cell r="G131">
            <v>17.974</v>
          </cell>
          <cell r="H131">
            <v>64.693370000000002</v>
          </cell>
        </row>
        <row r="132">
          <cell r="C132" t="str">
            <v>Robinson Department Store PCL</v>
          </cell>
          <cell r="D132">
            <v>2.3967710000000002</v>
          </cell>
          <cell r="E132">
            <v>0.71499999999999997</v>
          </cell>
          <cell r="F132">
            <v>0.84699999999999998</v>
          </cell>
          <cell r="G132">
            <v>1.002</v>
          </cell>
          <cell r="H132">
            <v>-0.64646179999999998</v>
          </cell>
        </row>
        <row r="133">
          <cell r="C133" t="str">
            <v>Pou Chen Corp.</v>
          </cell>
          <cell r="D133">
            <v>1.767749</v>
          </cell>
          <cell r="E133">
            <v>2.2649550000000001</v>
          </cell>
          <cell r="F133" t="str">
            <v>NA</v>
          </cell>
          <cell r="G133" t="str">
            <v>NA</v>
          </cell>
          <cell r="H133">
            <v>18.081309999999998</v>
          </cell>
        </row>
        <row r="134">
          <cell r="C134" t="str">
            <v>Asics Corp.</v>
          </cell>
          <cell r="D134">
            <v>69.63203</v>
          </cell>
          <cell r="E134">
            <v>79.500749999999996</v>
          </cell>
          <cell r="F134">
            <v>90.756739999999994</v>
          </cell>
          <cell r="G134">
            <v>102.48350000000001</v>
          </cell>
          <cell r="H134">
            <v>19.392700000000001</v>
          </cell>
        </row>
        <row r="135">
          <cell r="C135" t="str">
            <v>Li Ning Co. Ltd.</v>
          </cell>
          <cell r="D135">
            <v>0.27907080000000001</v>
          </cell>
          <cell r="E135">
            <v>0.437</v>
          </cell>
          <cell r="F135">
            <v>0.63100000000000001</v>
          </cell>
          <cell r="G135">
            <v>0.84299999999999997</v>
          </cell>
          <cell r="H135">
            <v>-0.82030119999999995</v>
          </cell>
        </row>
        <row r="136">
          <cell r="C136" t="str">
            <v>China Hongxing Sports Ltd.</v>
          </cell>
          <cell r="D136">
            <v>2.1317659999999999E-2</v>
          </cell>
          <cell r="E136">
            <v>3.217163E-2</v>
          </cell>
          <cell r="F136">
            <v>4.62616E-2</v>
          </cell>
          <cell r="G136">
            <v>6.2286729999999998E-2</v>
          </cell>
          <cell r="H136">
            <v>-3.7306599999999998E-3</v>
          </cell>
        </row>
        <row r="137">
          <cell r="C137" t="str">
            <v>Pan Asia Footwear PCL</v>
          </cell>
          <cell r="D137">
            <v>0.47659610000000002</v>
          </cell>
          <cell r="E137" t="str">
            <v>NA</v>
          </cell>
          <cell r="F137" t="str">
            <v>NA</v>
          </cell>
          <cell r="G137" t="str">
            <v>NA</v>
          </cell>
          <cell r="H137">
            <v>6.1381360000000003</v>
          </cell>
        </row>
        <row r="138">
          <cell r="C138" t="str">
            <v>Union Footwear PCL</v>
          </cell>
          <cell r="D138">
            <v>-7.7830500000000002</v>
          </cell>
          <cell r="E138" t="str">
            <v>NA</v>
          </cell>
          <cell r="F138" t="str">
            <v>NA</v>
          </cell>
          <cell r="G138" t="str">
            <v>NA</v>
          </cell>
          <cell r="H138">
            <v>5.5885499999999997</v>
          </cell>
        </row>
        <row r="139">
          <cell r="C139" t="str">
            <v>Deckers Outdoor Corp.</v>
          </cell>
          <cell r="D139">
            <v>2.5041310000000001</v>
          </cell>
          <cell r="E139">
            <v>4.18</v>
          </cell>
          <cell r="F139">
            <v>4.9400000000000004</v>
          </cell>
          <cell r="G139">
            <v>5.55</v>
          </cell>
          <cell r="H139">
            <v>-7.8560530000000002</v>
          </cell>
        </row>
        <row r="140">
          <cell r="C140" t="str">
            <v>Tod's S.p.A.</v>
          </cell>
          <cell r="D140">
            <v>2.1745999999999999</v>
          </cell>
          <cell r="E140">
            <v>2.6779999999999999</v>
          </cell>
          <cell r="F140">
            <v>3.16</v>
          </cell>
          <cell r="G140">
            <v>3.56</v>
          </cell>
          <cell r="H140">
            <v>-3.0192869999999998</v>
          </cell>
        </row>
        <row r="141">
          <cell r="C141" t="str">
            <v>Crocs Inc.</v>
          </cell>
          <cell r="D141">
            <v>0.81828730000000005</v>
          </cell>
          <cell r="E141">
            <v>1.95</v>
          </cell>
          <cell r="F141">
            <v>2.54</v>
          </cell>
          <cell r="G141" t="str">
            <v>NA</v>
          </cell>
          <cell r="H141">
            <v>-0.85425510000000004</v>
          </cell>
        </row>
        <row r="142">
          <cell r="C142" t="str">
            <v>Prime Success International Group Ltd.</v>
          </cell>
          <cell r="D142">
            <v>0.1780129</v>
          </cell>
          <cell r="E142">
            <v>0.23699999999999999</v>
          </cell>
          <cell r="F142">
            <v>0.30399999999999999</v>
          </cell>
          <cell r="G142">
            <v>0.378</v>
          </cell>
          <cell r="H142">
            <v>1.718184E-2</v>
          </cell>
        </row>
        <row r="143">
          <cell r="C143" t="str">
            <v>Timberland Co. (Cl A)</v>
          </cell>
          <cell r="D143">
            <v>1.7171879999999999</v>
          </cell>
          <cell r="E143">
            <v>1</v>
          </cell>
          <cell r="F143">
            <v>1.2</v>
          </cell>
          <cell r="G143">
            <v>1.45</v>
          </cell>
          <cell r="H143">
            <v>-2.93154</v>
          </cell>
        </row>
        <row r="144">
          <cell r="C144" t="str">
            <v>Wolverine World Wide Inc.</v>
          </cell>
          <cell r="D144">
            <v>1.5081720000000001</v>
          </cell>
          <cell r="E144">
            <v>1.65</v>
          </cell>
          <cell r="F144">
            <v>1.84</v>
          </cell>
          <cell r="G144">
            <v>2.0699999999999998</v>
          </cell>
          <cell r="H144">
            <v>-1.8605719999999999</v>
          </cell>
        </row>
        <row r="145">
          <cell r="C145" t="str">
            <v>Skechers USA Inc. (Cl A)</v>
          </cell>
          <cell r="D145">
            <v>1.695541</v>
          </cell>
          <cell r="E145">
            <v>1.61</v>
          </cell>
          <cell r="F145">
            <v>1.845</v>
          </cell>
          <cell r="G145" t="str">
            <v>NA</v>
          </cell>
          <cell r="H145">
            <v>-2.7012489999999998</v>
          </cell>
        </row>
        <row r="146">
          <cell r="C146" t="str">
            <v>Iconix Brand Group Inc.</v>
          </cell>
          <cell r="D146">
            <v>0.5800746</v>
          </cell>
          <cell r="E146">
            <v>1</v>
          </cell>
          <cell r="F146">
            <v>1.33</v>
          </cell>
          <cell r="G146" t="str">
            <v>NA</v>
          </cell>
          <cell r="H146">
            <v>1.5165</v>
          </cell>
        </row>
        <row r="147">
          <cell r="C147" t="str">
            <v>Geox S.p.A.</v>
          </cell>
          <cell r="D147">
            <v>0.37575530000000001</v>
          </cell>
          <cell r="E147">
            <v>0.49</v>
          </cell>
          <cell r="F147">
            <v>0.59</v>
          </cell>
          <cell r="G147">
            <v>0.71</v>
          </cell>
          <cell r="H147">
            <v>-0.2986934</v>
          </cell>
        </row>
        <row r="148">
          <cell r="C148" t="str">
            <v>Heelys Inc.</v>
          </cell>
          <cell r="D148">
            <v>1.0788420000000001</v>
          </cell>
          <cell r="E148">
            <v>1.155</v>
          </cell>
          <cell r="F148">
            <v>1.2649999999999999</v>
          </cell>
          <cell r="G148">
            <v>1.36</v>
          </cell>
          <cell r="H148">
            <v>-1.9959</v>
          </cell>
        </row>
        <row r="149">
          <cell r="C149" t="str">
            <v>Steven Madden Ltd.</v>
          </cell>
          <cell r="D149">
            <v>2.1913200000000002</v>
          </cell>
          <cell r="E149">
            <v>1.7250000000000001</v>
          </cell>
          <cell r="F149">
            <v>1.905</v>
          </cell>
          <cell r="G149" t="str">
            <v>NA</v>
          </cell>
          <cell r="H149">
            <v>-4.3469160000000002</v>
          </cell>
        </row>
        <row r="150">
          <cell r="C150" t="str">
            <v>Stride Rite Corp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</row>
        <row r="151">
          <cell r="C151" t="str">
            <v>Weyco Group Inc.</v>
          </cell>
          <cell r="D151">
            <v>1.8657090000000001</v>
          </cell>
          <cell r="E151" t="str">
            <v>NA</v>
          </cell>
          <cell r="F151" t="str">
            <v>NA</v>
          </cell>
          <cell r="G151" t="str">
            <v>NA</v>
          </cell>
          <cell r="H151">
            <v>-0.50856420000000002</v>
          </cell>
        </row>
        <row r="152">
          <cell r="C152" t="str">
            <v>Bata India Ltd.</v>
          </cell>
          <cell r="D152">
            <v>4.2609079999999997</v>
          </cell>
          <cell r="E152" t="str">
            <v>NA</v>
          </cell>
          <cell r="F152" t="str">
            <v>NA</v>
          </cell>
          <cell r="G152" t="str">
            <v>NA</v>
          </cell>
          <cell r="H152">
            <v>7.8554360000000001</v>
          </cell>
        </row>
        <row r="153">
          <cell r="C153" t="str">
            <v>Himiko Co. Ltd.</v>
          </cell>
          <cell r="D153">
            <v>149.97380000000001</v>
          </cell>
          <cell r="E153" t="str">
            <v>NA</v>
          </cell>
          <cell r="F153" t="str">
            <v>NA</v>
          </cell>
          <cell r="G153" t="str">
            <v>NA</v>
          </cell>
          <cell r="H153">
            <v>-769.01310000000001</v>
          </cell>
        </row>
        <row r="154">
          <cell r="C154" t="str">
            <v>Le Saunda Holdings Ltd.</v>
          </cell>
          <cell r="D154">
            <v>0.17116419999999999</v>
          </cell>
          <cell r="E154" t="str">
            <v>NA</v>
          </cell>
          <cell r="F154" t="str">
            <v>NA</v>
          </cell>
          <cell r="G154" t="str">
            <v>NA</v>
          </cell>
          <cell r="H154">
            <v>-0.23047609999999999</v>
          </cell>
        </row>
        <row r="155">
          <cell r="C155" t="str">
            <v>R.G. Barry Corp.</v>
          </cell>
          <cell r="D155">
            <v>0.79531220000000002</v>
          </cell>
          <cell r="E155">
            <v>0.85</v>
          </cell>
          <cell r="F155">
            <v>0.87</v>
          </cell>
          <cell r="G155" t="str">
            <v>NA</v>
          </cell>
          <cell r="H155">
            <v>-0.65410440000000003</v>
          </cell>
        </row>
        <row r="156">
          <cell r="C156" t="str">
            <v>LaCrosse Footwear Inc.</v>
          </cell>
          <cell r="D156">
            <v>1.049893</v>
          </cell>
          <cell r="E156">
            <v>1.1200000000000001</v>
          </cell>
          <cell r="F156">
            <v>1.29</v>
          </cell>
          <cell r="G156" t="str">
            <v>NA</v>
          </cell>
          <cell r="H156">
            <v>-2.0183620000000002</v>
          </cell>
        </row>
        <row r="157">
          <cell r="C157" t="str">
            <v>Kingmaker Footwear Holdings Ltd.</v>
          </cell>
          <cell r="D157">
            <v>6.1639899999999997E-2</v>
          </cell>
          <cell r="E157">
            <v>7.7499999999999999E-2</v>
          </cell>
          <cell r="F157">
            <v>0.104</v>
          </cell>
          <cell r="G157" t="str">
            <v>NA</v>
          </cell>
          <cell r="H157">
            <v>-0.33168029999999998</v>
          </cell>
        </row>
        <row r="158">
          <cell r="C158" t="str">
            <v>Nippi Inc.</v>
          </cell>
          <cell r="D158">
            <v>-78.589590000000001</v>
          </cell>
          <cell r="E158" t="str">
            <v>NA</v>
          </cell>
          <cell r="F158" t="str">
            <v>NA</v>
          </cell>
          <cell r="G158" t="str">
            <v>NA</v>
          </cell>
          <cell r="H158">
            <v>1571.404</v>
          </cell>
        </row>
        <row r="159">
          <cell r="C159" t="str">
            <v>Mirza International Ltd.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</row>
        <row r="160">
          <cell r="C160" t="str">
            <v>Liberty Shoes Ltd.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</row>
        <row r="161">
          <cell r="C161" t="str">
            <v>Regal Corp.</v>
          </cell>
          <cell r="D161">
            <v>13.046384</v>
          </cell>
          <cell r="E161" t="str">
            <v>NA</v>
          </cell>
          <cell r="F161" t="str">
            <v>NA</v>
          </cell>
          <cell r="G161" t="str">
            <v>NA</v>
          </cell>
          <cell r="H161">
            <v>193.6</v>
          </cell>
        </row>
        <row r="162">
          <cell r="C162" t="str">
            <v>Bata Chile S.A.</v>
          </cell>
          <cell r="D162">
            <v>-3.4333659999999999</v>
          </cell>
          <cell r="E162" t="str">
            <v>NA</v>
          </cell>
          <cell r="F162" t="str">
            <v>NA</v>
          </cell>
          <cell r="G162" t="str">
            <v>NA</v>
          </cell>
          <cell r="H162">
            <v>27.88165</v>
          </cell>
        </row>
        <row r="163">
          <cell r="C163" t="str">
            <v>Lubelskie Zaklady Przemyslu Skorzanego Protektor S.A.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</row>
        <row r="164">
          <cell r="C164" t="str">
            <v>Bata Pakistan Ltd.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</row>
        <row r="165">
          <cell r="C165" t="str">
            <v>Sepatu Bata</v>
          </cell>
          <cell r="D165">
            <v>1550.846</v>
          </cell>
          <cell r="E165" t="str">
            <v>NA</v>
          </cell>
          <cell r="F165" t="str">
            <v>NA</v>
          </cell>
          <cell r="G165" t="str">
            <v>NA</v>
          </cell>
          <cell r="H165">
            <v>-47.615360000000003</v>
          </cell>
        </row>
        <row r="166">
          <cell r="C166" t="str">
            <v>Surya Intrindo Makmur</v>
          </cell>
          <cell r="D166">
            <v>-10.526</v>
          </cell>
          <cell r="E166" t="str">
            <v>NA</v>
          </cell>
          <cell r="F166" t="str">
            <v>NA</v>
          </cell>
          <cell r="G166" t="str">
            <v>NA</v>
          </cell>
          <cell r="H166">
            <v>45.826000000000001</v>
          </cell>
        </row>
        <row r="167">
          <cell r="C167" t="str">
            <v>Lawreshwar Polymers Ltd.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</row>
        <row r="168">
          <cell r="C168" t="str">
            <v>AnnTaylor Stores Corp.</v>
          </cell>
          <cell r="D168">
            <v>1.9834210000000001</v>
          </cell>
          <cell r="E168">
            <v>2.1175000000000002</v>
          </cell>
          <cell r="F168">
            <v>2.4691670000000001</v>
          </cell>
          <cell r="G168">
            <v>2.7520829999999998</v>
          </cell>
          <cell r="H168">
            <v>-5.2018750000000002</v>
          </cell>
        </row>
        <row r="169">
          <cell r="C169" t="str">
            <v>bebe Stores Inc.</v>
          </cell>
          <cell r="D169">
            <v>0.81530259999999999</v>
          </cell>
          <cell r="E169">
            <v>0.84</v>
          </cell>
          <cell r="F169">
            <v>0.96499999999999997</v>
          </cell>
          <cell r="G169" t="str">
            <v>NA</v>
          </cell>
          <cell r="H169">
            <v>-3.8806560000000001</v>
          </cell>
        </row>
        <row r="170">
          <cell r="C170" t="str">
            <v>Pacific Sunwear of California Inc.</v>
          </cell>
          <cell r="D170">
            <v>0.66473780000000005</v>
          </cell>
          <cell r="E170">
            <v>0.53874999999999995</v>
          </cell>
          <cell r="F170">
            <v>0.82208329999999996</v>
          </cell>
          <cell r="G170">
            <v>1.079167</v>
          </cell>
          <cell r="H170">
            <v>-1.2943119999999999</v>
          </cell>
        </row>
        <row r="171">
          <cell r="C171" t="str">
            <v>Talbots Inc.</v>
          </cell>
          <cell r="D171">
            <v>0.68149660000000001</v>
          </cell>
          <cell r="E171">
            <v>0.28749999999999998</v>
          </cell>
          <cell r="F171">
            <v>0.87416669999999996</v>
          </cell>
          <cell r="G171">
            <v>1.4524999999999999</v>
          </cell>
          <cell r="H171">
            <v>8.1218149999999998</v>
          </cell>
        </row>
        <row r="172">
          <cell r="C172" t="str">
            <v>Buckle Inc.</v>
          </cell>
          <cell r="D172">
            <v>1.8860920000000001</v>
          </cell>
          <cell r="E172">
            <v>2.19</v>
          </cell>
          <cell r="F172">
            <v>2.4033329999999999</v>
          </cell>
          <cell r="G172" t="str">
            <v>NA</v>
          </cell>
          <cell r="H172">
            <v>-5.1971230000000004</v>
          </cell>
        </row>
        <row r="173">
          <cell r="C173" t="str">
            <v>New York &amp; Co. Inc.</v>
          </cell>
          <cell r="D173">
            <v>0.82477739999999999</v>
          </cell>
          <cell r="E173">
            <v>0.42166670000000001</v>
          </cell>
          <cell r="F173">
            <v>0.54125000000000001</v>
          </cell>
          <cell r="G173">
            <v>0.66958329999999999</v>
          </cell>
          <cell r="H173">
            <v>-0.61293059999999999</v>
          </cell>
        </row>
        <row r="174">
          <cell r="C174" t="str">
            <v>Hot Topic Inc.</v>
          </cell>
          <cell r="D174">
            <v>0.32488270000000002</v>
          </cell>
          <cell r="E174">
            <v>0.37333329999999998</v>
          </cell>
          <cell r="F174">
            <v>0.53583340000000002</v>
          </cell>
          <cell r="G174">
            <v>0.82499999999999996</v>
          </cell>
          <cell r="H174">
            <v>-1.221425</v>
          </cell>
        </row>
        <row r="175">
          <cell r="C175" t="str">
            <v>Intime Department Store (Group) Co. Ltd.</v>
          </cell>
          <cell r="D175">
            <v>0.14927799999999999</v>
          </cell>
          <cell r="E175">
            <v>0.19998540000000001</v>
          </cell>
          <cell r="F175">
            <v>0.27584920000000002</v>
          </cell>
          <cell r="G175">
            <v>0.37472909999999998</v>
          </cell>
          <cell r="H175">
            <v>0.21406</v>
          </cell>
        </row>
        <row r="176">
          <cell r="C176" t="str">
            <v>Wumart Stores Inc.</v>
          </cell>
          <cell r="D176">
            <v>0.1698596</v>
          </cell>
          <cell r="E176">
            <v>0.24408469999999999</v>
          </cell>
          <cell r="F176">
            <v>0.3364279</v>
          </cell>
          <cell r="G176">
            <v>0.43473099999999998</v>
          </cell>
          <cell r="H176">
            <v>-0.59859519999999999</v>
          </cell>
        </row>
        <row r="177">
          <cell r="C177" t="str">
            <v>Belle International Holdings Ltd.</v>
          </cell>
          <cell r="D177">
            <v>0.11582711</v>
          </cell>
          <cell r="E177">
            <v>0.22900000000000001</v>
          </cell>
          <cell r="F177">
            <v>0.28199999999999997</v>
          </cell>
          <cell r="G177">
            <v>0.37</v>
          </cell>
          <cell r="H177">
            <v>6.1329700000000001E-2</v>
          </cell>
        </row>
        <row r="178">
          <cell r="C178" t="str">
            <v>Pacific Textiles Holdings Ltd.</v>
          </cell>
          <cell r="D178">
            <v>38.860439999999997</v>
          </cell>
          <cell r="E178">
            <v>0.48625000000000002</v>
          </cell>
          <cell r="F178">
            <v>0.55000000000000004</v>
          </cell>
          <cell r="G178">
            <v>0.65375000000000005</v>
          </cell>
          <cell r="H178">
            <v>48.850569999999998</v>
          </cell>
        </row>
        <row r="179">
          <cell r="C179" t="str">
            <v>Jiahua Stores Holdings Ltd.</v>
          </cell>
          <cell r="D179">
            <v>5.5556349999999997E-2</v>
          </cell>
          <cell r="E179" t="str">
            <v>NA</v>
          </cell>
          <cell r="F179" t="str">
            <v>NA</v>
          </cell>
          <cell r="G179" t="str">
            <v>NA</v>
          </cell>
          <cell r="H179">
            <v>-5.915347E-2</v>
          </cell>
        </row>
        <row r="180">
          <cell r="C180" t="str">
            <v>Ajisen (China) Holdings Ltd.</v>
          </cell>
          <cell r="D180">
            <v>0.10591795</v>
          </cell>
          <cell r="E180">
            <v>0.19793430000000001</v>
          </cell>
          <cell r="F180">
            <v>0.30613849999999998</v>
          </cell>
          <cell r="G180">
            <v>0.42907040000000002</v>
          </cell>
          <cell r="H180">
            <v>1.3153208E-2</v>
          </cell>
        </row>
        <row r="181">
          <cell r="C181" t="str">
            <v>Cafe de Coral Group Ltd.</v>
          </cell>
          <cell r="D181">
            <v>0.65667469999999994</v>
          </cell>
          <cell r="E181">
            <v>0.77600000000000002</v>
          </cell>
          <cell r="F181">
            <v>0.90024999999999999</v>
          </cell>
          <cell r="G181">
            <v>1.0389999999999999</v>
          </cell>
          <cell r="H181">
            <v>-1.18825</v>
          </cell>
        </row>
        <row r="182">
          <cell r="C182" t="str">
            <v>Fairwood Holdings Ltd.</v>
          </cell>
          <cell r="D182">
            <v>0.64933180000000001</v>
          </cell>
          <cell r="E182">
            <v>0.79274999999999995</v>
          </cell>
          <cell r="F182">
            <v>0.97275</v>
          </cell>
          <cell r="G182">
            <v>1.1532500000000001</v>
          </cell>
          <cell r="H182">
            <v>-1.2573030000000001</v>
          </cell>
        </row>
        <row r="183">
          <cell r="C183" t="str">
            <v>FU JI Food &amp; Catering Services Holdings Ltd.</v>
          </cell>
          <cell r="D183">
            <v>0.62464240000000004</v>
          </cell>
          <cell r="E183">
            <v>0.88849999999999996</v>
          </cell>
          <cell r="F183">
            <v>1.1575</v>
          </cell>
          <cell r="G183">
            <v>1.49075</v>
          </cell>
          <cell r="H183">
            <v>0.66392640000000003</v>
          </cell>
        </row>
        <row r="184">
          <cell r="C184" t="str">
            <v>Quiksilver Inc.</v>
          </cell>
          <cell r="D184">
            <v>0.69666669999999997</v>
          </cell>
          <cell r="E184">
            <v>0.57833330000000005</v>
          </cell>
          <cell r="F184">
            <v>0.88333329999999999</v>
          </cell>
          <cell r="G184">
            <v>1.256667</v>
          </cell>
          <cell r="H184">
            <v>6.8253880000000002</v>
          </cell>
        </row>
        <row r="185">
          <cell r="C185" t="str">
            <v>Billabong International Ltd.</v>
          </cell>
          <cell r="D185">
            <v>0.75539800000000001</v>
          </cell>
          <cell r="E185">
            <v>0.86250000000000004</v>
          </cell>
          <cell r="F185">
            <v>1.002</v>
          </cell>
          <cell r="G185">
            <v>1.1765000000000001</v>
          </cell>
          <cell r="H185">
            <v>1.0813999999999999</v>
          </cell>
        </row>
        <row r="186">
          <cell r="C186" t="str">
            <v>Mizuno Corp.</v>
          </cell>
          <cell r="D186">
            <v>32.621920000000003</v>
          </cell>
          <cell r="E186">
            <v>31.614999999999998</v>
          </cell>
          <cell r="F186">
            <v>38.433999999999997</v>
          </cell>
          <cell r="G186">
            <v>45.168500000000002</v>
          </cell>
          <cell r="H186">
            <v>141.11680000000001</v>
          </cell>
        </row>
        <row r="187">
          <cell r="C187" t="str">
            <v>Umbro PLC</v>
          </cell>
          <cell r="D187">
            <v>0.13658490000000001</v>
          </cell>
          <cell r="E187">
            <v>0.11899999999999999</v>
          </cell>
          <cell r="F187">
            <v>0.106</v>
          </cell>
          <cell r="G187">
            <v>0.14599999999999999</v>
          </cell>
          <cell r="H187">
            <v>-3.2266209999999997E-2</v>
          </cell>
        </row>
        <row r="188">
          <cell r="C188" t="str">
            <v>Brown Shoe Co. Inc.</v>
          </cell>
          <cell r="D188">
            <v>1.474251</v>
          </cell>
          <cell r="E188">
            <v>1.5925</v>
          </cell>
          <cell r="F188">
            <v>1.9575</v>
          </cell>
          <cell r="G188" t="str">
            <v>NA</v>
          </cell>
          <cell r="H188">
            <v>2.394393</v>
          </cell>
        </row>
        <row r="189">
          <cell r="C189" t="str">
            <v>Shanghai Pharmaceutical Co. Ltd.</v>
          </cell>
          <cell r="D189">
            <v>0.12071904</v>
          </cell>
          <cell r="E189">
            <v>0.30399999999999999</v>
          </cell>
          <cell r="F189">
            <v>0.33700000000000002</v>
          </cell>
          <cell r="G189" t="str">
            <v>NA</v>
          </cell>
          <cell r="H189">
            <v>3.3378800000000002</v>
          </cell>
        </row>
        <row r="190">
          <cell r="C190" t="str">
            <v>China WindPower Group Ltd.</v>
          </cell>
          <cell r="D190">
            <v>0.28190490000000001</v>
          </cell>
          <cell r="E190">
            <v>3.7499999999999999E-2</v>
          </cell>
          <cell r="F190">
            <v>4.7E-2</v>
          </cell>
          <cell r="G190" t="str">
            <v>NA</v>
          </cell>
          <cell r="H190">
            <v>-4.4223560000000002E-2</v>
          </cell>
        </row>
        <row r="191">
          <cell r="C191" t="str">
            <v>Chongqing Tongjung Co. Ltd.</v>
          </cell>
          <cell r="D191">
            <v>9.9377140000000003E-2</v>
          </cell>
          <cell r="E191" t="str">
            <v>NA</v>
          </cell>
          <cell r="F191" t="str">
            <v>NA</v>
          </cell>
          <cell r="G191" t="str">
            <v>NA</v>
          </cell>
          <cell r="H191">
            <v>2.483911</v>
          </cell>
        </row>
        <row r="192">
          <cell r="C192" t="str">
            <v>Shanghai No. 1 Pharmacy Co. Ltd.</v>
          </cell>
          <cell r="D192">
            <v>8.139449E-2</v>
          </cell>
          <cell r="E192" t="str">
            <v>NA</v>
          </cell>
          <cell r="F192" t="str">
            <v>NA</v>
          </cell>
          <cell r="G192" t="str">
            <v>NA</v>
          </cell>
          <cell r="H192">
            <v>-0.37527440000000001</v>
          </cell>
        </row>
        <row r="193">
          <cell r="C193" t="str">
            <v>Sugi Pharmacy Co. Ltd.</v>
          </cell>
          <cell r="D193" t="str">
            <v>NA</v>
          </cell>
          <cell r="E193">
            <v>103.90167</v>
          </cell>
          <cell r="F193">
            <v>125.13334</v>
          </cell>
          <cell r="G193">
            <v>150.73750000000001</v>
          </cell>
          <cell r="H193" t="str">
            <v>NA</v>
          </cell>
        </row>
        <row r="194">
          <cell r="C194" t="str">
            <v>Sundrug Co. Ltd.</v>
          </cell>
          <cell r="D194">
            <v>117.93369</v>
          </cell>
          <cell r="E194">
            <v>129.8175</v>
          </cell>
          <cell r="F194">
            <v>145.19749999999999</v>
          </cell>
          <cell r="G194">
            <v>164.07249999999999</v>
          </cell>
          <cell r="H194">
            <v>-175.43799999999999</v>
          </cell>
        </row>
        <row r="195">
          <cell r="C195" t="str">
            <v>MATSUMOTOKIYOSHI C NPV</v>
          </cell>
          <cell r="D195">
            <v>71.348370000000003</v>
          </cell>
          <cell r="E195" t="str">
            <v>NA</v>
          </cell>
          <cell r="F195" t="str">
            <v>NA</v>
          </cell>
          <cell r="G195" t="str">
            <v>NA</v>
          </cell>
          <cell r="H195">
            <v>236.369</v>
          </cell>
        </row>
        <row r="196">
          <cell r="C196" t="str">
            <v>Tsuruha Holdings Inc.</v>
          </cell>
          <cell r="D196">
            <v>230.91829999999999</v>
          </cell>
          <cell r="E196">
            <v>251.2825</v>
          </cell>
          <cell r="F196">
            <v>288.1712</v>
          </cell>
          <cell r="G196">
            <v>334.30959999999999</v>
          </cell>
          <cell r="H196" t="str">
            <v>NA</v>
          </cell>
        </row>
        <row r="197">
          <cell r="C197" t="str">
            <v>Cawachi Ltd.</v>
          </cell>
          <cell r="D197">
            <v>214.04259999999999</v>
          </cell>
          <cell r="E197">
            <v>225.86619999999999</v>
          </cell>
          <cell r="F197">
            <v>232.12119999999999</v>
          </cell>
          <cell r="G197">
            <v>238.47880000000001</v>
          </cell>
          <cell r="H197">
            <v>757.82650000000001</v>
          </cell>
        </row>
        <row r="198">
          <cell r="C198" t="str">
            <v>Create S.D Co. Ltd.</v>
          </cell>
          <cell r="D198">
            <v>143.36770000000001</v>
          </cell>
          <cell r="E198" t="str">
            <v>NA</v>
          </cell>
          <cell r="F198" t="str">
            <v>NA</v>
          </cell>
          <cell r="G198" t="str">
            <v>NA</v>
          </cell>
          <cell r="H198">
            <v>-386.50279999999998</v>
          </cell>
        </row>
        <row r="199">
          <cell r="C199" t="str">
            <v>COSMOS Pharmaceutical Corp.</v>
          </cell>
          <cell r="D199">
            <v>107.55305</v>
          </cell>
          <cell r="E199">
            <v>120.81667</v>
          </cell>
          <cell r="F199">
            <v>137.39580000000001</v>
          </cell>
          <cell r="G199">
            <v>158.64580000000001</v>
          </cell>
          <cell r="H199">
            <v>-82.715459999999993</v>
          </cell>
        </row>
        <row r="200">
          <cell r="C200" t="str">
            <v>Welcia Kanto Co. Ltd.</v>
          </cell>
          <cell r="D200">
            <v>140.7861</v>
          </cell>
          <cell r="E200">
            <v>193.8133</v>
          </cell>
          <cell r="F200">
            <v>221.2</v>
          </cell>
          <cell r="G200" t="str">
            <v>NA</v>
          </cell>
          <cell r="H200">
            <v>-21.049379999999999</v>
          </cell>
        </row>
        <row r="201">
          <cell r="C201" t="str">
            <v>Allied Hearts Holdings Co. Ltd.</v>
          </cell>
          <cell r="D201" t="str">
            <v>NA</v>
          </cell>
          <cell r="E201" t="str">
            <v>NA</v>
          </cell>
          <cell r="F201" t="str">
            <v>NA</v>
          </cell>
          <cell r="G201" t="str">
            <v>NA</v>
          </cell>
          <cell r="H201" t="str">
            <v>NA</v>
          </cell>
        </row>
        <row r="202">
          <cell r="C202" t="str">
            <v>Nihon Chouzai Co. Ltd.</v>
          </cell>
          <cell r="D202">
            <v>77.295959999999994</v>
          </cell>
          <cell r="E202">
            <v>97.407510000000002</v>
          </cell>
          <cell r="F202">
            <v>154.08750000000001</v>
          </cell>
          <cell r="G202">
            <v>173.86250000000001</v>
          </cell>
          <cell r="H202">
            <v>964.52520000000004</v>
          </cell>
        </row>
        <row r="203">
          <cell r="C203" t="str">
            <v>Shaklee Global Group Inc.</v>
          </cell>
          <cell r="D203">
            <v>23.811070000000001</v>
          </cell>
          <cell r="E203" t="str">
            <v>NA</v>
          </cell>
          <cell r="F203" t="str">
            <v>NA</v>
          </cell>
          <cell r="G203" t="str">
            <v>NA</v>
          </cell>
          <cell r="H203">
            <v>497.38290000000001</v>
          </cell>
        </row>
        <row r="204">
          <cell r="C204" t="str">
            <v>Segami Medics Co. Ltd.</v>
          </cell>
          <cell r="D204">
            <v>156.79</v>
          </cell>
          <cell r="E204" t="str">
            <v>NA</v>
          </cell>
          <cell r="F204" t="str">
            <v>NA</v>
          </cell>
          <cell r="G204" t="str">
            <v>NA</v>
          </cell>
          <cell r="H204">
            <v>-921.82090000000005</v>
          </cell>
        </row>
        <row r="205">
          <cell r="C205" t="str">
            <v>CFS Corp.</v>
          </cell>
          <cell r="D205">
            <v>-82.105810000000005</v>
          </cell>
          <cell r="E205" t="str">
            <v>NA</v>
          </cell>
          <cell r="F205" t="str">
            <v>NA</v>
          </cell>
          <cell r="G205" t="str">
            <v>NA</v>
          </cell>
          <cell r="H205">
            <v>261.9667</v>
          </cell>
        </row>
        <row r="206">
          <cell r="C206" t="str">
            <v>Kraft Inc.</v>
          </cell>
          <cell r="D206">
            <v>191.25239999999999</v>
          </cell>
          <cell r="E206" t="str">
            <v>NA</v>
          </cell>
          <cell r="F206" t="str">
            <v>NA</v>
          </cell>
          <cell r="G206" t="str">
            <v>NA</v>
          </cell>
          <cell r="H206">
            <v>999.64949999999999</v>
          </cell>
        </row>
        <row r="207">
          <cell r="C207" t="str">
            <v>Kirindo Co. Ltd.</v>
          </cell>
          <cell r="D207">
            <v>66.655850000000001</v>
          </cell>
          <cell r="E207">
            <v>76.5</v>
          </cell>
          <cell r="F207">
            <v>90.058329999999998</v>
          </cell>
          <cell r="G207">
            <v>101.685</v>
          </cell>
          <cell r="H207">
            <v>1519.5730000000001</v>
          </cell>
        </row>
        <row r="208">
          <cell r="C208" t="str">
            <v>Kusuri No Aoki Co. Ltd.</v>
          </cell>
          <cell r="D208" t="str">
            <v>NA</v>
          </cell>
          <cell r="E208" t="str">
            <v>NA</v>
          </cell>
          <cell r="F208" t="str">
            <v>NA</v>
          </cell>
          <cell r="G208" t="str">
            <v>NA</v>
          </cell>
          <cell r="H208" t="str">
            <v>NA</v>
          </cell>
        </row>
        <row r="209">
          <cell r="C209" t="str">
            <v>Terashima Co. Ltd.</v>
          </cell>
          <cell r="D209">
            <v>-94.085949999999997</v>
          </cell>
          <cell r="E209" t="str">
            <v>NA</v>
          </cell>
          <cell r="F209" t="str">
            <v>NA</v>
          </cell>
          <cell r="G209" t="str">
            <v>NA</v>
          </cell>
          <cell r="H209">
            <v>258.62950000000001</v>
          </cell>
        </row>
        <row r="210">
          <cell r="C210" t="str">
            <v>Yakuodo Co. Ltd.</v>
          </cell>
          <cell r="D210">
            <v>18927.18</v>
          </cell>
          <cell r="E210" t="str">
            <v>NA</v>
          </cell>
          <cell r="F210" t="str">
            <v>NA</v>
          </cell>
          <cell r="G210" t="str">
            <v>NA</v>
          </cell>
          <cell r="H210">
            <v>84618.22</v>
          </cell>
        </row>
        <row r="211">
          <cell r="C211" t="str">
            <v>QOL Co. Ltd.</v>
          </cell>
          <cell r="D211">
            <v>13269.982</v>
          </cell>
          <cell r="E211" t="str">
            <v>NA</v>
          </cell>
          <cell r="F211" t="str">
            <v>NA</v>
          </cell>
          <cell r="G211" t="str">
            <v>NA</v>
          </cell>
          <cell r="H211">
            <v>65128.88</v>
          </cell>
        </row>
        <row r="212">
          <cell r="C212" t="str">
            <v>Chukyo Iyakuhin Co. Ltd.</v>
          </cell>
          <cell r="D212">
            <v>1.410083</v>
          </cell>
          <cell r="E212" t="str">
            <v>NA</v>
          </cell>
          <cell r="F212" t="str">
            <v>NA</v>
          </cell>
          <cell r="G212" t="str">
            <v>NA</v>
          </cell>
          <cell r="H212">
            <v>78.614410000000007</v>
          </cell>
        </row>
        <row r="213">
          <cell r="C213" t="str">
            <v>Midoriyakuhin Co. Ltd.</v>
          </cell>
          <cell r="D213">
            <v>12547.834000000001</v>
          </cell>
          <cell r="E213" t="str">
            <v>NA</v>
          </cell>
          <cell r="F213" t="str">
            <v>NA</v>
          </cell>
          <cell r="G213" t="str">
            <v>NA</v>
          </cell>
          <cell r="H213">
            <v>193795.3</v>
          </cell>
        </row>
        <row r="214">
          <cell r="C214" t="str">
            <v>Hanshin Dispensing Pharmacy Co. Ltd.</v>
          </cell>
          <cell r="D214">
            <v>1.1105</v>
          </cell>
          <cell r="E214" t="str">
            <v>NA</v>
          </cell>
          <cell r="F214" t="str">
            <v>NA</v>
          </cell>
          <cell r="G214" t="str">
            <v>NA</v>
          </cell>
          <cell r="H214">
            <v>380.5009</v>
          </cell>
        </row>
        <row r="215">
          <cell r="C215" t="str">
            <v>Lady Drug Store Co. Ltd.</v>
          </cell>
          <cell r="D215">
            <v>19695.75</v>
          </cell>
          <cell r="E215" t="str">
            <v>NA</v>
          </cell>
          <cell r="F215" t="str">
            <v>NA</v>
          </cell>
          <cell r="G215" t="str">
            <v>NA</v>
          </cell>
          <cell r="H215">
            <v>457313.4</v>
          </cell>
        </row>
        <row r="216">
          <cell r="C216" t="str">
            <v>Medical System Network Co. Ltd.</v>
          </cell>
          <cell r="D216" t="str">
            <v>NA</v>
          </cell>
          <cell r="E216" t="str">
            <v>NA</v>
          </cell>
          <cell r="F216" t="str">
            <v>NA</v>
          </cell>
          <cell r="G216" t="str">
            <v>NA</v>
          </cell>
          <cell r="H216" t="str">
            <v>NA</v>
          </cell>
        </row>
        <row r="217">
          <cell r="C217" t="str">
            <v>Sapporo Drug Store Co. Ltd.</v>
          </cell>
          <cell r="D217">
            <v>25008.3</v>
          </cell>
          <cell r="E217" t="str">
            <v>NA</v>
          </cell>
          <cell r="F217" t="str">
            <v>NA</v>
          </cell>
          <cell r="G217" t="str">
            <v>NA</v>
          </cell>
          <cell r="H217">
            <v>207205.9</v>
          </cell>
        </row>
        <row r="218">
          <cell r="C218" t="str">
            <v>Ain Medical Systems Inc.</v>
          </cell>
          <cell r="D218">
            <v>30667.78</v>
          </cell>
          <cell r="E218" t="str">
            <v>NA</v>
          </cell>
          <cell r="F218" t="str">
            <v>NA</v>
          </cell>
          <cell r="G218" t="str">
            <v>NA</v>
          </cell>
          <cell r="H218">
            <v>-10557.928</v>
          </cell>
        </row>
        <row r="219">
          <cell r="C219" t="str">
            <v>CVS Caremark Corp.</v>
          </cell>
          <cell r="D219">
            <v>1.6409579999999999</v>
          </cell>
          <cell r="E219">
            <v>1.9</v>
          </cell>
          <cell r="F219">
            <v>2.3199999999999998</v>
          </cell>
          <cell r="G219">
            <v>2.665</v>
          </cell>
          <cell r="H219">
            <v>5.482011</v>
          </cell>
        </row>
        <row r="220">
          <cell r="C220" t="str">
            <v>Walgreen Co.</v>
          </cell>
          <cell r="D220">
            <v>1.8466670000000001</v>
          </cell>
          <cell r="E220">
            <v>2.1349999999999998</v>
          </cell>
          <cell r="F220">
            <v>2.3033329999999999</v>
          </cell>
          <cell r="G220">
            <v>2.6266669999999999</v>
          </cell>
          <cell r="H220" t="str">
            <v>NA</v>
          </cell>
        </row>
        <row r="221">
          <cell r="C221" t="str">
            <v>Rite Aid Corp.</v>
          </cell>
          <cell r="D221">
            <v>0.38251410000000002</v>
          </cell>
          <cell r="E221">
            <v>-0.17666670000000001</v>
          </cell>
          <cell r="F221">
            <v>-5.8333329999999996E-3</v>
          </cell>
          <cell r="G221">
            <v>0.1641667</v>
          </cell>
          <cell r="H221">
            <v>5.5952159999999997</v>
          </cell>
        </row>
        <row r="222">
          <cell r="C222" t="str">
            <v>Longs Drug Stores Corp.</v>
          </cell>
          <cell r="D222">
            <v>1.9901709999999999</v>
          </cell>
          <cell r="E222">
            <v>2.5724999999999998</v>
          </cell>
          <cell r="F222">
            <v>2.9224999999999999</v>
          </cell>
          <cell r="G222">
            <v>3.3166669999999998</v>
          </cell>
          <cell r="H222">
            <v>2.726607</v>
          </cell>
        </row>
        <row r="223">
          <cell r="C223" t="str">
            <v>Allion Healthcare Inc.</v>
          </cell>
          <cell r="D223">
            <v>0.1968838</v>
          </cell>
          <cell r="E223">
            <v>0.22</v>
          </cell>
          <cell r="F223">
            <v>0.33</v>
          </cell>
          <cell r="G223" t="str">
            <v>NA</v>
          </cell>
          <cell r="H223">
            <v>-1.4020950000000001</v>
          </cell>
        </row>
        <row r="224">
          <cell r="C224" t="str">
            <v>Shoppers Drug Mart Corp.</v>
          </cell>
          <cell r="D224">
            <v>1.9652940000000001</v>
          </cell>
          <cell r="E224">
            <v>2.27</v>
          </cell>
          <cell r="F224">
            <v>2.61</v>
          </cell>
          <cell r="G224">
            <v>3.03</v>
          </cell>
          <cell r="H224">
            <v>4.0710230000000003</v>
          </cell>
        </row>
        <row r="225">
          <cell r="C225" t="str">
            <v>Jean Coutu Group (PJC) Inc. (Cl A)</v>
          </cell>
          <cell r="D225">
            <v>0.64083330000000005</v>
          </cell>
          <cell r="E225">
            <v>0.6066667</v>
          </cell>
          <cell r="F225">
            <v>0.58216670000000004</v>
          </cell>
          <cell r="G225" t="str">
            <v>NA</v>
          </cell>
          <cell r="H225" t="str">
            <v>NA</v>
          </cell>
        </row>
        <row r="226">
          <cell r="C226" t="str">
            <v>Paragon Pharmacies Ltd</v>
          </cell>
          <cell r="D226" t="str">
            <v>NA</v>
          </cell>
          <cell r="E226">
            <v>-3.6666669999999998E-2</v>
          </cell>
          <cell r="F226">
            <v>-0.01</v>
          </cell>
          <cell r="G226" t="str">
            <v>NA</v>
          </cell>
          <cell r="H226" t="str">
            <v>NA</v>
          </cell>
        </row>
        <row r="227">
          <cell r="C227" t="str">
            <v>Alliance Boots</v>
          </cell>
          <cell r="D227">
            <v>0.49125360000000001</v>
          </cell>
          <cell r="E227" t="str">
            <v>NA</v>
          </cell>
          <cell r="F227" t="str">
            <v>NA</v>
          </cell>
          <cell r="G227" t="str">
            <v>NA</v>
          </cell>
          <cell r="H227">
            <v>0.66491820000000001</v>
          </cell>
        </row>
        <row r="228">
          <cell r="C228" t="str">
            <v>Corporativo Fragua S.A.B. de C.V.</v>
          </cell>
          <cell r="D228">
            <v>5.1985669999999997</v>
          </cell>
          <cell r="E228">
            <v>6.39</v>
          </cell>
          <cell r="F228">
            <v>8.8000000000000007</v>
          </cell>
          <cell r="G228" t="str">
            <v>NA</v>
          </cell>
          <cell r="H228">
            <v>-10.573129</v>
          </cell>
        </row>
        <row r="229">
          <cell r="C229" t="str">
            <v>Farmacias Ahumada S.A.</v>
          </cell>
          <cell r="D229">
            <v>47.008229999999998</v>
          </cell>
          <cell r="E229" t="str">
            <v>NA</v>
          </cell>
          <cell r="F229" t="str">
            <v>NA</v>
          </cell>
          <cell r="G229" t="str">
            <v>NA</v>
          </cell>
          <cell r="H229">
            <v>214.03370000000001</v>
          </cell>
        </row>
        <row r="230">
          <cell r="C230" t="str">
            <v>Farmacias Benavides S.A.B. de C.V.</v>
          </cell>
          <cell r="D230">
            <v>0.60830720000000005</v>
          </cell>
          <cell r="E230" t="str">
            <v>NA</v>
          </cell>
          <cell r="F230" t="str">
            <v>NA</v>
          </cell>
          <cell r="G230" t="str">
            <v>NA</v>
          </cell>
          <cell r="H230">
            <v>3.3093089999999999E-3</v>
          </cell>
        </row>
        <row r="231">
          <cell r="C231" t="str">
            <v>Dimed S/A</v>
          </cell>
          <cell r="D231">
            <v>3.079952</v>
          </cell>
          <cell r="E231" t="str">
            <v>NA</v>
          </cell>
          <cell r="F231" t="str">
            <v>NA</v>
          </cell>
          <cell r="G231" t="str">
            <v>NA</v>
          </cell>
          <cell r="H231">
            <v>-4.5579090000000004</v>
          </cell>
        </row>
        <row r="232">
          <cell r="C232" t="str">
            <v>Stella International Holdings Ltd.</v>
          </cell>
          <cell r="D232">
            <v>0.91020290000000004</v>
          </cell>
          <cell r="E232">
            <v>1.1928700000000001</v>
          </cell>
          <cell r="F232">
            <v>1.3721270000000001</v>
          </cell>
          <cell r="G232">
            <v>1.533668</v>
          </cell>
          <cell r="H232">
            <v>-1.2072940000000001</v>
          </cell>
        </row>
        <row r="233">
          <cell r="C233" t="str">
            <v>Integrated Distribution Services Group Ltd.</v>
          </cell>
          <cell r="D233">
            <v>0.58170379999999999</v>
          </cell>
          <cell r="E233">
            <v>0.63500000000000001</v>
          </cell>
          <cell r="F233">
            <v>0.73299999999999998</v>
          </cell>
          <cell r="G233">
            <v>0.86199999999999999</v>
          </cell>
          <cell r="H233">
            <v>0.3490144</v>
          </cell>
        </row>
        <row r="234">
          <cell r="C234" t="str">
            <v>New World Department Store China Ltd.</v>
          </cell>
          <cell r="D234" t="str">
            <v>NA</v>
          </cell>
          <cell r="E234">
            <v>0.1905</v>
          </cell>
          <cell r="F234">
            <v>0.253</v>
          </cell>
          <cell r="G234">
            <v>0.34</v>
          </cell>
          <cell r="H234" t="str">
            <v>NA</v>
          </cell>
        </row>
        <row r="235">
          <cell r="C235" t="str">
            <v>Times Ltd.</v>
          </cell>
          <cell r="D235">
            <v>8.9885880000000001E-2</v>
          </cell>
          <cell r="E235">
            <v>0.129</v>
          </cell>
          <cell r="F235">
            <v>0.186</v>
          </cell>
          <cell r="G235">
            <v>0.252</v>
          </cell>
          <cell r="H235">
            <v>5.2668039999999999E-2</v>
          </cell>
        </row>
        <row r="236">
          <cell r="C236" t="str">
            <v>Anta Sports Products Ltd.</v>
          </cell>
          <cell r="D236">
            <v>5.7803689999999998E-2</v>
          </cell>
          <cell r="E236">
            <v>0.19896</v>
          </cell>
          <cell r="F236">
            <v>0.29315740000000001</v>
          </cell>
          <cell r="G236">
            <v>0.42341000000000001</v>
          </cell>
          <cell r="H236">
            <v>-5.1929110000000001E-2</v>
          </cell>
        </row>
        <row r="237">
          <cell r="C237" t="str">
            <v>Vinda International Holdings Ltd.</v>
          </cell>
          <cell r="D237">
            <v>0.1243884</v>
          </cell>
          <cell r="E237" t="str">
            <v>NA</v>
          </cell>
          <cell r="F237" t="str">
            <v>NA</v>
          </cell>
          <cell r="G237" t="str">
            <v>NA</v>
          </cell>
          <cell r="H237">
            <v>0.94165589999999999</v>
          </cell>
        </row>
        <row r="238">
          <cell r="C238" t="str">
            <v>Glorious Sun Enterprises Ltd.</v>
          </cell>
          <cell r="D238">
            <v>0.25745689999999999</v>
          </cell>
          <cell r="E238">
            <v>0.28999999999999998</v>
          </cell>
          <cell r="F238">
            <v>0.32900000000000001</v>
          </cell>
          <cell r="G238">
            <v>0.36799999999999999</v>
          </cell>
          <cell r="H238">
            <v>-0.84115580000000001</v>
          </cell>
        </row>
        <row r="239">
          <cell r="C239" t="str">
            <v>Tongjitang Chinese Medicines Co. (ADS)</v>
          </cell>
          <cell r="D239" t="str">
            <v>NA</v>
          </cell>
          <cell r="E239">
            <v>0.83028860000000004</v>
          </cell>
          <cell r="F239">
            <v>1.0087619999999999</v>
          </cell>
          <cell r="G239">
            <v>1.381634</v>
          </cell>
          <cell r="H239" t="str">
            <v>NA</v>
          </cell>
        </row>
        <row r="240">
          <cell r="C240" t="str">
            <v>3SBio Inc. (ADS)</v>
          </cell>
          <cell r="D240">
            <v>0.2681846</v>
          </cell>
          <cell r="E240">
            <v>0.46</v>
          </cell>
          <cell r="F240">
            <v>0.64500000000000002</v>
          </cell>
          <cell r="G240">
            <v>0.79400000000000004</v>
          </cell>
          <cell r="H240">
            <v>0.13113720000000001</v>
          </cell>
        </row>
        <row r="241">
          <cell r="C241" t="str">
            <v>China Medical Technologies Inc. (ADS)</v>
          </cell>
          <cell r="D241">
            <v>1.2925</v>
          </cell>
          <cell r="E241">
            <v>1.4784999999999999</v>
          </cell>
          <cell r="F241">
            <v>1.8605</v>
          </cell>
          <cell r="G241">
            <v>2.5082499999999999</v>
          </cell>
          <cell r="H241" t="str">
            <v>NA</v>
          </cell>
        </row>
        <row r="242">
          <cell r="C242" t="str">
            <v>Mindray Medical International Ltd. (ADS)</v>
          </cell>
          <cell r="D242">
            <v>0.42999179999999998</v>
          </cell>
          <cell r="E242">
            <v>0.69</v>
          </cell>
          <cell r="F242">
            <v>0.95599999999999996</v>
          </cell>
          <cell r="G242">
            <v>1.31</v>
          </cell>
          <cell r="H242">
            <v>-2.0256690000000002</v>
          </cell>
        </row>
        <row r="243">
          <cell r="C243" t="str">
            <v>Shenzhen Accord Pharmaceutical Co. Ltd.</v>
          </cell>
          <cell r="D243">
            <v>0.13418389999999999</v>
          </cell>
          <cell r="E243">
            <v>0.35</v>
          </cell>
          <cell r="F243">
            <v>0.43099999999999999</v>
          </cell>
          <cell r="G243" t="str">
            <v>NA</v>
          </cell>
          <cell r="H243">
            <v>0.65717289999999995</v>
          </cell>
        </row>
        <row r="244">
          <cell r="C244" t="str">
            <v>Zhejiang Int'l Group Co. Ltd.</v>
          </cell>
          <cell r="D244">
            <v>5.8967480000000003E-2</v>
          </cell>
          <cell r="E244" t="str">
            <v>NA</v>
          </cell>
          <cell r="F244" t="str">
            <v>NA</v>
          </cell>
          <cell r="G244" t="str">
            <v>NA</v>
          </cell>
          <cell r="H244">
            <v>1.3519920000000001</v>
          </cell>
        </row>
        <row r="245">
          <cell r="C245" t="str">
            <v>Jilin Leading Technology Development Co. Ltd.</v>
          </cell>
          <cell r="D245">
            <v>0.14276</v>
          </cell>
          <cell r="E245" t="str">
            <v>NA</v>
          </cell>
          <cell r="F245" t="str">
            <v>NA</v>
          </cell>
          <cell r="G245" t="str">
            <v>NA</v>
          </cell>
          <cell r="H245">
            <v>1.127793</v>
          </cell>
        </row>
        <row r="246">
          <cell r="C246" t="str">
            <v>Huadong Medicine Co. Ltd.</v>
          </cell>
          <cell r="D246">
            <v>0.19202649999999999</v>
          </cell>
          <cell r="E246">
            <v>0.246</v>
          </cell>
          <cell r="F246">
            <v>0.30299999999999999</v>
          </cell>
          <cell r="G246" t="str">
            <v>NA</v>
          </cell>
          <cell r="H246">
            <v>1.251371</v>
          </cell>
        </row>
        <row r="247">
          <cell r="C247" t="str">
            <v>CNTIC Trading Co. Ltd.</v>
          </cell>
          <cell r="D247">
            <v>0.30232229999999999</v>
          </cell>
          <cell r="E247" t="str">
            <v>NA</v>
          </cell>
          <cell r="F247" t="str">
            <v>NA</v>
          </cell>
          <cell r="G247" t="str">
            <v>NA</v>
          </cell>
          <cell r="H247">
            <v>-2.8902960000000002</v>
          </cell>
        </row>
        <row r="248">
          <cell r="C248" t="str">
            <v>Shanghai Fosun Pharmaceutical (Group) Co. Ltd.</v>
          </cell>
          <cell r="D248">
            <v>0.20937410000000001</v>
          </cell>
          <cell r="E248">
            <v>0.26400000000000001</v>
          </cell>
          <cell r="F248">
            <v>0.32200000000000001</v>
          </cell>
          <cell r="G248" t="str">
            <v>NA</v>
          </cell>
          <cell r="H248">
            <v>0.92138410000000004</v>
          </cell>
        </row>
        <row r="249">
          <cell r="C249" t="str">
            <v>Zhuzhou Qianjin Pharmaceutical Co. Ltd.</v>
          </cell>
          <cell r="D249">
            <v>0.47472890000000001</v>
          </cell>
          <cell r="E249" t="str">
            <v>NA</v>
          </cell>
          <cell r="F249" t="str">
            <v>NA</v>
          </cell>
          <cell r="G249" t="str">
            <v>NA</v>
          </cell>
          <cell r="H249">
            <v>-2.8118449999999999</v>
          </cell>
        </row>
        <row r="250">
          <cell r="C250" t="str">
            <v>China National Medicines Co. Ltd.</v>
          </cell>
          <cell r="D250">
            <v>0.63617299999999999</v>
          </cell>
          <cell r="E250">
            <v>0.93</v>
          </cell>
          <cell r="F250">
            <v>1.2110000000000001</v>
          </cell>
          <cell r="G250" t="str">
            <v>NA</v>
          </cell>
          <cell r="H250">
            <v>-0.32675929999999997</v>
          </cell>
        </row>
        <row r="251">
          <cell r="C251" t="str">
            <v>Shanghai No. 1 Pharmacy Co. Ltd.</v>
          </cell>
          <cell r="D251">
            <v>8.139449E-2</v>
          </cell>
          <cell r="E251" t="str">
            <v>NA</v>
          </cell>
          <cell r="F251" t="str">
            <v>NA</v>
          </cell>
          <cell r="G251" t="str">
            <v>NA</v>
          </cell>
          <cell r="H251">
            <v>-0.37527440000000001</v>
          </cell>
        </row>
        <row r="252">
          <cell r="C252" t="str">
            <v>Nanjing Medical Co. Ltd.</v>
          </cell>
          <cell r="D252">
            <v>7.4108649999999998E-2</v>
          </cell>
          <cell r="E252" t="str">
            <v>NA</v>
          </cell>
          <cell r="F252" t="str">
            <v>NA</v>
          </cell>
          <cell r="G252" t="str">
            <v>NA</v>
          </cell>
          <cell r="H252">
            <v>2.870123</v>
          </cell>
        </row>
        <row r="253">
          <cell r="C253" t="str">
            <v>Shenzhen Neptunus Bioengineering Co. Ltd.</v>
          </cell>
          <cell r="D253">
            <v>6.8776180000000006E-2</v>
          </cell>
          <cell r="E253" t="str">
            <v>NA</v>
          </cell>
          <cell r="F253" t="str">
            <v>NA</v>
          </cell>
          <cell r="G253" t="str">
            <v>NA</v>
          </cell>
          <cell r="H253">
            <v>1.793312</v>
          </cell>
        </row>
        <row r="254">
          <cell r="C254" t="str">
            <v>Guangzhou Pharmaceutical Co. Ltd.</v>
          </cell>
          <cell r="D254">
            <v>0.26891969999999998</v>
          </cell>
          <cell r="E254">
            <v>0.4</v>
          </cell>
          <cell r="F254">
            <v>0.42</v>
          </cell>
          <cell r="G254">
            <v>0.53</v>
          </cell>
          <cell r="H254">
            <v>0.4921334</v>
          </cell>
        </row>
        <row r="255">
          <cell r="C255" t="str">
            <v>Zhejiang Zhenyuan Co. Ltd.</v>
          </cell>
          <cell r="D255">
            <v>6.1940790000000003E-2</v>
          </cell>
          <cell r="E255" t="str">
            <v>NA</v>
          </cell>
          <cell r="F255" t="str">
            <v>NA</v>
          </cell>
          <cell r="G255" t="str">
            <v>NA</v>
          </cell>
          <cell r="H255">
            <v>0.97503899999999999</v>
          </cell>
        </row>
        <row r="256">
          <cell r="C256" t="str">
            <v>Dalian Merro Pharmaceutical Co. Ltd.</v>
          </cell>
          <cell r="D256">
            <v>0.13010949999999999</v>
          </cell>
          <cell r="E256" t="str">
            <v>NA</v>
          </cell>
          <cell r="F256" t="str">
            <v>NA</v>
          </cell>
          <cell r="G256" t="str">
            <v>NA</v>
          </cell>
          <cell r="H256">
            <v>0.75290500000000005</v>
          </cell>
        </row>
        <row r="257">
          <cell r="C257" t="str">
            <v>Shanghai Pharmaceutical Co. Ltd.</v>
          </cell>
          <cell r="D257">
            <v>0.12071904</v>
          </cell>
          <cell r="E257">
            <v>0.30399999999999999</v>
          </cell>
          <cell r="F257">
            <v>0.33700000000000002</v>
          </cell>
          <cell r="G257" t="str">
            <v>NA</v>
          </cell>
          <cell r="H257">
            <v>3.3378800000000002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L"/>
      <sheetName val="Balance Sheet"/>
      <sheetName val="Service demand"/>
      <sheetName val="Delivery organization"/>
      <sheetName val="Service supply estimation"/>
      <sheetName val="Cost"/>
      <sheetName val="Chargeout"/>
      <sheetName val="charging"/>
      <sheetName val="Assumptions"/>
      <sheetName val="Wor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ly p&amp;l"/>
      <sheetName val="Assumptions"/>
      <sheetName val="Taxes"/>
      <sheetName val="Category Breakup"/>
      <sheetName val="Technology"/>
      <sheetName val="Marketing"/>
      <sheetName val="Customer Support"/>
      <sheetName val="HR"/>
      <sheetName val="General&amp;Admin"/>
      <sheetName val="Capex"/>
      <sheetName val="Working I"/>
      <sheetName val="P&amp;L"/>
      <sheetName val="Balance Sheet"/>
      <sheetName val="Cash Flow"/>
      <sheetName val="Utilisation of Funds"/>
    </sheetNames>
    <sheetDataSet>
      <sheetData sheetId="0"/>
      <sheetData sheetId="1"/>
      <sheetData sheetId="2"/>
      <sheetData sheetId="3">
        <row r="12">
          <cell r="AB12">
            <v>32010</v>
          </cell>
          <cell r="AE12">
            <v>4101</v>
          </cell>
          <cell r="AK12">
            <v>3.0149999999999996E-2</v>
          </cell>
          <cell r="AM12">
            <v>7.7525999999999992E-3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 Estimate - SFSO"/>
      <sheetName val="Revenue model"/>
      <sheetName val="Capex plan"/>
      <sheetName val="Costs"/>
      <sheetName val="Mktg"/>
      <sheetName val="Assump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Table"/>
      <sheetName val="Assumptions"/>
      <sheetName val="Capex Scheduling"/>
      <sheetName val="Tax Schedule"/>
      <sheetName val="Applicable Tariffs"/>
      <sheetName val="LT"/>
      <sheetName val="Workings"/>
      <sheetName val="Debt Schedule"/>
      <sheetName val="Working Capital Schedule"/>
      <sheetName val="Depreciation Schedule"/>
      <sheetName val="Statements"/>
      <sheetName val="Output"/>
      <sheetName val="PIM related"/>
      <sheetName val="PFSBU"/>
      <sheetName val="Sensitivity"/>
    </sheetNames>
    <sheetDataSet>
      <sheetData sheetId="0"/>
      <sheetData sheetId="1">
        <row r="4">
          <cell r="D4">
            <v>72</v>
          </cell>
        </row>
        <row r="31">
          <cell r="I31">
            <v>1.3222758083113</v>
          </cell>
        </row>
      </sheetData>
      <sheetData sheetId="2">
        <row r="35">
          <cell r="F35">
            <v>3.9659708650000005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86">
          <cell r="E86">
            <v>1017.711978364682</v>
          </cell>
        </row>
      </sheetData>
      <sheetData sheetId="11"/>
      <sheetData sheetId="12">
        <row r="10">
          <cell r="B10">
            <v>4.6701961265249059</v>
          </cell>
        </row>
      </sheetData>
      <sheetData sheetId="13"/>
      <sheetData sheetId="1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-P&amp;L"/>
      <sheetName val="Schedules"/>
      <sheetName val="Sch-3"/>
      <sheetName val="Groupings"/>
      <sheetName val="TB"/>
      <sheetName val="Form 3CD"/>
      <sheetName val="TaxComputn"/>
      <sheetName val="ITDprn"/>
      <sheetName val="Sec 40A(2)"/>
      <sheetName val="Sec 43B"/>
      <sheetName val="Prior Period Items"/>
      <sheetName val="TDS"/>
      <sheetName val="Workings"/>
      <sheetName val="Directors"/>
      <sheetName val="Comp"/>
    </sheetNames>
    <sheetDataSet>
      <sheetData sheetId="0">
        <row r="1">
          <cell r="F1">
            <v>36981</v>
          </cell>
        </row>
      </sheetData>
      <sheetData sheetId="1"/>
      <sheetData sheetId="2" refreshError="1"/>
      <sheetData sheetId="3"/>
      <sheetData sheetId="4"/>
      <sheetData sheetId="5"/>
      <sheetData sheetId="6">
        <row r="2">
          <cell r="A2" t="str">
            <v>ASST. YEAR :   2001 - 02</v>
          </cell>
        </row>
        <row r="3">
          <cell r="A3" t="str">
            <v>PREVIOUS YEAR :  MARCH 31, 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C-Standalone"/>
      <sheetName val="RCIL-Standalone"/>
      <sheetName val="RIC-conso"/>
      <sheetName val="RIC-Conso-details"/>
      <sheetName val="RCIL-conso"/>
      <sheetName val="RCIL-Conso-details"/>
      <sheetName val="Sheet1"/>
      <sheetName val="RCIL_Conso_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puts"/>
      <sheetName val="Assum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re Assumptions"/>
      <sheetName val="Scenarios"/>
      <sheetName val="Charts"/>
      <sheetName val="MAnalytic"/>
      <sheetName val="Rating Analytics -Draft"/>
      <sheetName val="Tariff_ATL"/>
      <sheetName val="Financial_ATL"/>
      <sheetName val="MoF_ATL"/>
      <sheetName val="ATL"/>
      <sheetName val="Mundra-Mohindergarh"/>
      <sheetName val="Tariff_M2M"/>
      <sheetName val="Financials_M2M"/>
      <sheetName val="MoF_M2M"/>
      <sheetName val="Analysis_M2M"/>
      <sheetName val="Mundra-Dahegam"/>
      <sheetName val="Tariff_M2D"/>
      <sheetName val="Financials_M2D"/>
      <sheetName val="MoF_M2D"/>
      <sheetName val="Tiroda-Warora"/>
      <sheetName val="Tariff_T2W"/>
      <sheetName val="Financials_T2W"/>
      <sheetName val="MoF_T2W"/>
      <sheetName val="Tiroda-Aurangabad"/>
      <sheetName val="Tariff_T2A"/>
      <sheetName val="Financials_T2A"/>
      <sheetName val="MoF_T2A"/>
      <sheetName val="Tariff_CWR"/>
      <sheetName val="C_WR"/>
      <sheetName val="Tariff_RRW"/>
      <sheetName val="RR_W"/>
      <sheetName val="Tariff_SBR"/>
      <sheetName val="S_BR"/>
      <sheetName val="SPV Standalone"/>
      <sheetName val="ATL-Standalone"/>
      <sheetName val="ATIL Financial"/>
      <sheetName val="MEGPTCL Financial"/>
      <sheetName val="Recon Statement"/>
      <sheetName val="Misc"/>
    </sheetNames>
    <sheetDataSet>
      <sheetData sheetId="0" refreshError="1"/>
      <sheetData sheetId="1">
        <row r="48">
          <cell r="F48">
            <v>0</v>
          </cell>
        </row>
        <row r="355">
          <cell r="E355">
            <v>1</v>
          </cell>
        </row>
      </sheetData>
      <sheetData sheetId="2" refreshError="1"/>
      <sheetData sheetId="3" refreshError="1"/>
      <sheetData sheetId="4" refreshError="1"/>
      <sheetData sheetId="5">
        <row r="13">
          <cell r="J13">
            <v>836.74</v>
          </cell>
        </row>
      </sheetData>
      <sheetData sheetId="6">
        <row r="4">
          <cell r="B4" t="str">
            <v>ATL (Total)</v>
          </cell>
        </row>
      </sheetData>
      <sheetData sheetId="7" refreshError="1"/>
      <sheetData sheetId="8">
        <row r="4">
          <cell r="F4">
            <v>1</v>
          </cell>
        </row>
      </sheetData>
      <sheetData sheetId="9" refreshError="1"/>
      <sheetData sheetId="10" refreshError="1"/>
      <sheetData sheetId="11" refreshError="1"/>
      <sheetData sheetId="12">
        <row r="25">
          <cell r="I25">
            <v>193.96478656015239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25">
          <cell r="I25">
            <v>29.627167277965665</v>
          </cell>
        </row>
      </sheetData>
      <sheetData sheetId="18" refreshError="1"/>
      <sheetData sheetId="19" refreshError="1"/>
      <sheetData sheetId="20" refreshError="1"/>
      <sheetData sheetId="21">
        <row r="25">
          <cell r="I25">
            <v>37.373952000000003</v>
          </cell>
        </row>
      </sheetData>
      <sheetData sheetId="22" refreshError="1"/>
      <sheetData sheetId="23" refreshError="1"/>
      <sheetData sheetId="24" refreshError="1"/>
      <sheetData sheetId="25">
        <row r="25">
          <cell r="I25">
            <v>303.73650900000007</v>
          </cell>
        </row>
      </sheetData>
      <sheetData sheetId="26" refreshError="1"/>
      <sheetData sheetId="27" refreshError="1"/>
      <sheetData sheetId="28">
        <row r="41">
          <cell r="E41">
            <v>43921</v>
          </cell>
        </row>
      </sheetData>
      <sheetData sheetId="29" refreshError="1"/>
      <sheetData sheetId="30">
        <row r="41">
          <cell r="E41">
            <v>43555</v>
          </cell>
        </row>
      </sheetData>
      <sheetData sheetId="31" refreshError="1"/>
      <sheetData sheetId="32">
        <row r="41">
          <cell r="E41">
            <v>43555</v>
          </cell>
        </row>
      </sheetData>
      <sheetData sheetId="33" refreshError="1"/>
      <sheetData sheetId="34">
        <row r="10">
          <cell r="I10">
            <v>728.4804660450103</v>
          </cell>
        </row>
      </sheetData>
      <sheetData sheetId="35">
        <row r="7">
          <cell r="I7">
            <v>982.86320604167372</v>
          </cell>
        </row>
      </sheetData>
      <sheetData sheetId="36">
        <row r="7">
          <cell r="I7">
            <v>1200.7781036429624</v>
          </cell>
        </row>
      </sheetData>
      <sheetData sheetId="37" refreshError="1"/>
      <sheetData sheetId="3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- bldg"/>
      <sheetName val="BAN"/>
      <sheetName val="SDCA"/>
      <sheetName val="Access-Interconnect-BW"/>
      <sheetName val="OSP cost"/>
      <sheetName val="Manpower"/>
      <sheetName val="S &amp; M"/>
      <sheetName val="capex1"/>
      <sheetName val="Capex"/>
      <sheetName val="power cost"/>
      <sheetName val="assumptions"/>
      <sheetName val="Sheet2"/>
      <sheetName val="Revenue 10 yr"/>
      <sheetName val="Revenue 10 FY"/>
      <sheetName val="Chart1"/>
      <sheetName val="Nw Cost"/>
      <sheetName val="capex workings"/>
      <sheetName val="rollout"/>
      <sheetName val="analysis"/>
      <sheetName val="percentage_analysis"/>
      <sheetName val="Factors-overall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7">
          <cell r="D37">
            <v>0.04</v>
          </cell>
        </row>
        <row r="42">
          <cell r="D42">
            <v>0.01</v>
          </cell>
        </row>
        <row r="43">
          <cell r="D43">
            <v>7.0000000000000007E-2</v>
          </cell>
        </row>
        <row r="44">
          <cell r="D44">
            <v>1.4999999999999999E-2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N T.B."/>
      <sheetName val="717 L&amp;E"/>
      <sheetName val="717 A"/>
      <sheetName val="717 IS"/>
      <sheetName val="MN T_B_"/>
      <sheetName val="Monthly"/>
      <sheetName val="Tablexxxxx"/>
      <sheetName val="Portfolio Summary"/>
      <sheetName val="factor sheet"/>
      <sheetName val="MN_T_B_"/>
      <sheetName val="717_L&amp;E"/>
      <sheetName val="717_A"/>
      <sheetName val="717_IS"/>
      <sheetName val="Fixed Expenses Summary"/>
      <sheetName val="C Sum"/>
      <sheetName val="Q4 2002 Income Statement"/>
      <sheetName val="selected operating results"/>
      <sheetName val="selected operating results PF"/>
      <sheetName val="Directory Publishing"/>
      <sheetName val="Budjet Categeries"/>
      <sheetName val="MN_T_B_1"/>
      <sheetName val="Names&amp;Cases"/>
      <sheetName val="MASTER_RATE ANALYSIS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Fee Rate Summary"/>
      <sheetName val="Debits as on 12.04.08"/>
      <sheetName val="Coalmine"/>
      <sheetName val="Code"/>
      <sheetName val="CASHFLOWS"/>
      <sheetName val="sheet6"/>
      <sheetName val="M-Book for Conc"/>
      <sheetName val="M-Book for FW"/>
      <sheetName val="P.O VS Actual"/>
      <sheetName val="OCT 06"/>
      <sheetName val="PAYMENT THROUGH CENVAT"/>
      <sheetName val="HPL"/>
      <sheetName val="Summ"/>
      <sheetName val="Fossil_DCF"/>
      <sheetName val="concrete"/>
      <sheetName val="Detail In Door Stad"/>
      <sheetName val="INT Block Work"/>
      <sheetName val="IBP I Hotel March 08 Vendorwise"/>
      <sheetName val="PA- Consutant "/>
      <sheetName val="Design"/>
      <sheetName val="final abstract"/>
      <sheetName val="Costing"/>
      <sheetName val="col-reinft1"/>
      <sheetName val="Rate analysis"/>
      <sheetName val="FITZ MORT 94"/>
      <sheetName val="ACAD_Finishes"/>
      <sheetName val="Site_Details"/>
      <sheetName val="Site_Area_Statement"/>
      <sheetName val="Fee_Rate_Summary"/>
      <sheetName val="Debits_as_on_12_04_08"/>
      <sheetName val="M-Book_for_Conc"/>
      <sheetName val="M-Book_for_FW"/>
      <sheetName val="717_L&amp;E1"/>
      <sheetName val="717_A1"/>
      <sheetName val="717_IS1"/>
      <sheetName val="ACAD_Finishes1"/>
      <sheetName val="Site_Details1"/>
      <sheetName val="Site_Area_Statement1"/>
      <sheetName val="Fee_Rate_Summary1"/>
      <sheetName val="Debits_as_on_12_04_081"/>
      <sheetName val="M-Book_for_Conc1"/>
      <sheetName val="M-Book_for_FW1"/>
      <sheetName val="MN_T_B_2"/>
      <sheetName val="717_L&amp;E2"/>
      <sheetName val="717_A2"/>
      <sheetName val="717_IS2"/>
      <sheetName val="ACAD_Finishes2"/>
      <sheetName val="Site_Details2"/>
      <sheetName val="Site_Area_Statement2"/>
      <sheetName val="Fee_Rate_Summary2"/>
      <sheetName val="Debits_as_on_12_04_082"/>
      <sheetName val="M-Book_for_Conc2"/>
      <sheetName val="M-Book_for_FW2"/>
      <sheetName val="ABB"/>
      <sheetName val="GE"/>
      <sheetName val="sch 1 thru 6 sans 4"/>
      <sheetName val="Earnings model"/>
      <sheetName val="SEPTMN"/>
      <sheetName val="MRICE"/>
      <sheetName val="부서코드표"/>
      <sheetName val="BEP-Old"/>
      <sheetName val="MN_T_B_3"/>
      <sheetName val="717_L&amp;E3"/>
      <sheetName val="717_A3"/>
      <sheetName val="717_IS3"/>
      <sheetName val="ACAD_Finishes3"/>
      <sheetName val="Site_Details3"/>
      <sheetName val="Site_Area_Statement3"/>
      <sheetName val="Fee_Rate_Summary3"/>
      <sheetName val="Debits_as_on_12_04_083"/>
      <sheetName val="M-Book_for_Conc3"/>
      <sheetName val="M-Book_for_FW3"/>
      <sheetName val="PA-_Consutant_"/>
      <sheetName val="MN_T_B_4"/>
      <sheetName val="717_L&amp;E4"/>
      <sheetName val="717_A4"/>
      <sheetName val="717_IS4"/>
      <sheetName val="ACAD_Finishes4"/>
      <sheetName val="Site_Details4"/>
      <sheetName val="Site_Area_Statement4"/>
      <sheetName val="Fee_Rate_Summary4"/>
      <sheetName val="Debits_as_on_12_04_084"/>
      <sheetName val="M-Book_for_Conc4"/>
      <sheetName val="M-Book_for_FW4"/>
      <sheetName val="PA-_Consutant_1"/>
      <sheetName val="det_est"/>
      <sheetName val="Data"/>
      <sheetName val="CPIPE"/>
      <sheetName val="A1-Continuous"/>
      <sheetName val="VCH-SLC"/>
      <sheetName val="Supplier"/>
      <sheetName val="analysis"/>
      <sheetName val="SPT vs PHI"/>
      <sheetName val="5000"/>
      <sheetName val="J1iexdtl"/>
      <sheetName val="FitOutConfCentre"/>
      <sheetName val="beam-reinft-IIInd floor"/>
      <sheetName val="Headings"/>
      <sheetName val="COMPLEXALL"/>
      <sheetName val="database"/>
      <sheetName val="XWR"/>
      <sheetName val="Mar-06"/>
      <sheetName val="Jul-05"/>
      <sheetName val="Shivaji"/>
      <sheetName val="SUMMARY"/>
      <sheetName val="Bill No 2 to 8 (Rev)"/>
      <sheetName val="Combined"/>
      <sheetName val="MASTER_RATE_ANALYSIS"/>
      <sheetName val="MASTER_RATE_ANALYSIS1"/>
      <sheetName val="P_O_VS_Actual"/>
      <sheetName val="RR"/>
      <sheetName val="Ten"/>
      <sheetName val="Inv_Data"/>
      <sheetName val="tngst1"/>
      <sheetName val="TGT"/>
      <sheetName val="4vs3"/>
      <sheetName val="girder"/>
      <sheetName val="Rocker"/>
      <sheetName val="Core Data"/>
      <sheetName val="cash budget"/>
      <sheetName val="pcQueryData"/>
      <sheetName val="MN_T_B_5"/>
      <sheetName val="717_L&amp;E5"/>
      <sheetName val="717_A5"/>
      <sheetName val="717_IS5"/>
      <sheetName val="MN_T_B_6"/>
      <sheetName val="ACAD_Finishes5"/>
      <sheetName val="Site_Details5"/>
      <sheetName val="Site_Area_Statement5"/>
      <sheetName val="Fee_Rate_Summary5"/>
      <sheetName val="Debits_as_on_12_04_085"/>
      <sheetName val="M-Book_for_Conc5"/>
      <sheetName val="M-Book_for_FW5"/>
      <sheetName val="Detail_In_Door_Stad"/>
      <sheetName val="INT_Block_Work"/>
      <sheetName val="IBP_I_Hotel_March_08_Vendorwise"/>
      <sheetName val="PA-_Consutant_2"/>
      <sheetName val="final_abstract"/>
      <sheetName val="Rate_analysis"/>
      <sheetName val="FITZ_MORT_94"/>
      <sheetName val="beam-reinft-IIInd_floor"/>
      <sheetName val="Bill_No_2_to_8_(Rev)"/>
      <sheetName val="Sheet1"/>
      <sheetName val="SOR"/>
      <sheetName val="공문"/>
      <sheetName val="대비표"/>
      <sheetName val="연돌일위집계"/>
      <sheetName val="P-Ins &amp; Bonds"/>
      <sheetName val="P&amp;L"/>
      <sheetName val="EAW Final Accounts - 99"/>
      <sheetName val="VIWSCo1"/>
      <sheetName val="1"/>
      <sheetName val="jobhist"/>
      <sheetName val="BQMPALOC"/>
      <sheetName val="Cash2"/>
      <sheetName val="Z"/>
      <sheetName val="MASTER_RATE_ANALYSIS2"/>
      <sheetName val="P_O_VS_Actual1"/>
      <sheetName val="Portfolio_Summary"/>
      <sheetName val="factor_sheet"/>
      <sheetName val="P-Ins_&amp;_Bonds"/>
      <sheetName val="Core_Data"/>
      <sheetName val="EAW_Final_Accounts_-_99"/>
      <sheetName val="CASH-FLOW"/>
      <sheetName val="ESCON"/>
      <sheetName val="BuildUp-IT"/>
      <sheetName val="Sensitivities-IT"/>
      <sheetName val="PRECAST lightconc-II"/>
      <sheetName val="Feb Analysts"/>
      <sheetName val="Form 6"/>
      <sheetName val="目录"/>
      <sheetName val="TBEAM"/>
      <sheetName val="newsales"/>
      <sheetName val="Sales &amp; Prod"/>
      <sheetName val="Hbi"/>
      <sheetName val="P&amp;i"/>
      <sheetName val="COMPLEXALi"/>
      <sheetName val="BKCSTOCKVAL"/>
      <sheetName val="MAHSTOCKVAL"/>
      <sheetName val="Notes"/>
      <sheetName val="Fixed_Expenses_Summary"/>
      <sheetName val="C_Sum"/>
      <sheetName val="Q4_2002_Income_Statement"/>
      <sheetName val="selected_operating_results"/>
      <sheetName val="selected_operating_results_PF"/>
      <sheetName val="Directory_Publishing"/>
      <sheetName val="Budjet_Categeries"/>
      <sheetName val="sch_1_thru_6_sans_4"/>
      <sheetName val="Earnings_model"/>
      <sheetName val="COLUMN"/>
      <sheetName val="MN_T_B_9"/>
      <sheetName val="717_L&amp;E7"/>
      <sheetName val="717_A7"/>
      <sheetName val="717_IS7"/>
      <sheetName val="MN_T_B_10"/>
      <sheetName val="ACAD_Finishes7"/>
      <sheetName val="Site_Details7"/>
      <sheetName val="Site_Area_Statement7"/>
      <sheetName val="Fee_Rate_Summary7"/>
      <sheetName val="Debits_as_on_12_04_087"/>
      <sheetName val="P_O_VS_Actual2"/>
      <sheetName val="M-Book_for_Conc7"/>
      <sheetName val="M-Book_for_FW7"/>
      <sheetName val="Detail_In_Door_Stad2"/>
      <sheetName val="INT_Block_Work2"/>
      <sheetName val="IBP_I_Hotel_March_08_Vendorwis2"/>
      <sheetName val="PA-_Consutant_4"/>
      <sheetName val="final_abstract2"/>
      <sheetName val="Rate_analysis2"/>
      <sheetName val="FITZ_MORT_942"/>
      <sheetName val="beam-reinft-IIInd_floor2"/>
      <sheetName val="Bill_No_2_to_8_(Rev)2"/>
      <sheetName val="MN_T_B_7"/>
      <sheetName val="717_L&amp;E6"/>
      <sheetName val="717_A6"/>
      <sheetName val="717_IS6"/>
      <sheetName val="MN_T_B_8"/>
      <sheetName val="ACAD_Finishes6"/>
      <sheetName val="Site_Details6"/>
      <sheetName val="Site_Area_Statement6"/>
      <sheetName val="Fee_Rate_Summary6"/>
      <sheetName val="Debits_as_on_12_04_086"/>
      <sheetName val="M-Book_for_Conc6"/>
      <sheetName val="M-Book_for_FW6"/>
      <sheetName val="Detail_In_Door_Stad1"/>
      <sheetName val="INT_Block_Work1"/>
      <sheetName val="IBP_I_Hotel_March_08_Vendorwis1"/>
      <sheetName val="PA-_Consutant_3"/>
      <sheetName val="final_abstract1"/>
      <sheetName val="Rate_analysis1"/>
      <sheetName val="FITZ_MORT_941"/>
      <sheetName val="beam-reinft-IIInd_floor1"/>
      <sheetName val="Bill_No_2_to_8_(Rev)1"/>
      <sheetName val="MN_T_B_11"/>
      <sheetName val="717_L&amp;E8"/>
      <sheetName val="717_A8"/>
      <sheetName val="717_IS8"/>
      <sheetName val="MN_T_B_12"/>
      <sheetName val="MASTER_RATE_ANALYSIS3"/>
      <sheetName val="ACAD_Finishes8"/>
      <sheetName val="Site_Details8"/>
      <sheetName val="Site_Area_Statement8"/>
      <sheetName val="Fee_Rate_Summary8"/>
      <sheetName val="Debits_as_on_12_04_088"/>
      <sheetName val="P_O_VS_Actual3"/>
      <sheetName val="M-Book_for_Conc8"/>
      <sheetName val="M-Book_for_FW8"/>
      <sheetName val="Detail_In_Door_Stad3"/>
      <sheetName val="INT_Block_Work3"/>
      <sheetName val="IBP_I_Hotel_March_08_Vendorwis3"/>
      <sheetName val="PA-_Consutant_5"/>
      <sheetName val="final_abstract3"/>
      <sheetName val="Rate_analysis3"/>
      <sheetName val="FITZ_MORT_943"/>
      <sheetName val="beam-reinft-IIInd_floor3"/>
      <sheetName val="Bill_No_2_to_8_(Rev)3"/>
      <sheetName val="Costing-blk-B"/>
      <sheetName val="BLK2"/>
      <sheetName val="BLK3"/>
      <sheetName val="E &amp; R"/>
      <sheetName val="radar"/>
      <sheetName val="UG"/>
      <sheetName val="INDIGINEOUS ITEMS "/>
      <sheetName val="GBW"/>
      <sheetName val="Master"/>
      <sheetName val="PointNo.5"/>
      <sheetName val="Details"/>
      <sheetName val="PCost"/>
      <sheetName val="Hot"/>
      <sheetName val="Fill this out first..."/>
      <sheetName val="Schedules PL"/>
      <sheetName val="Schedules BS"/>
      <sheetName val="Trial Balance"/>
      <sheetName val="HONOTES"/>
      <sheetName val="Old"/>
      <sheetName val="MERGER"/>
      <sheetName val="Site Dev BOQ"/>
      <sheetName val="BOQ (2)"/>
      <sheetName val="입찰내역 발주처 양식"/>
      <sheetName val="Bill 1"/>
      <sheetName val="Bill 2"/>
      <sheetName val="Bill 3"/>
      <sheetName val="Bill 4"/>
      <sheetName val="Bill 5"/>
      <sheetName val="Bill 6"/>
      <sheetName val="Bill 7"/>
      <sheetName val="IO List"/>
      <sheetName val="loadcal"/>
      <sheetName val="Sheet3 (2)"/>
      <sheetName val="Cover"/>
      <sheetName val="Basement Budget"/>
      <sheetName val="Break up Sheet"/>
      <sheetName val="sept-plan"/>
      <sheetName val="Insts"/>
      <sheetName val="PRICE COMP"/>
      <sheetName val="Detail"/>
      <sheetName val="ANCHOR BOLT QTY"/>
      <sheetName val="Internet"/>
      <sheetName val="beam-reinft"/>
      <sheetName val="Assumptions"/>
      <sheetName val="Sheet3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4"/>
      <sheetName val="detail'02"/>
      <sheetName val="TBAL9697 -group wise  sdpl"/>
      <sheetName val="Data sheet"/>
      <sheetName val="Per Unit"/>
      <sheetName val="BFS"/>
      <sheetName val="JULY"/>
      <sheetName val="Feb_Prfl_28"/>
    </sheetNames>
    <sheetDataSet>
      <sheetData sheetId="0">
        <row r="5">
          <cell r="H5" t="str">
            <v/>
          </cell>
        </row>
        <row r="6">
          <cell r="A6" t="str">
            <v>HOTEL OPERATIONS TRIAL BALANCE</v>
          </cell>
          <cell r="C6">
            <v>36525</v>
          </cell>
        </row>
        <row r="7">
          <cell r="A7" t="str">
            <v>---------------------------</v>
          </cell>
        </row>
        <row r="8">
          <cell r="C8" t="str">
            <v>GENERAL</v>
          </cell>
          <cell r="H8">
            <v>36525</v>
          </cell>
        </row>
        <row r="9">
          <cell r="C9" t="str">
            <v>LEDGER</v>
          </cell>
          <cell r="D9" t="str">
            <v xml:space="preserve">         DEBIT</v>
          </cell>
          <cell r="F9" t="str">
            <v xml:space="preserve">         CREDIT</v>
          </cell>
          <cell r="H9" t="str">
            <v>ADJUSTED</v>
          </cell>
        </row>
        <row r="10">
          <cell r="A10" t="str">
            <v>ACCOUNT CODE</v>
          </cell>
          <cell r="B10" t="str">
            <v>ACCOUNT DESCRIPTION</v>
          </cell>
          <cell r="C10" t="str">
            <v>BALANCE</v>
          </cell>
          <cell r="D10" t="str">
            <v>NUMBER</v>
          </cell>
          <cell r="E10" t="str">
            <v>AMOUNT</v>
          </cell>
          <cell r="F10" t="str">
            <v>NUMBER</v>
          </cell>
          <cell r="G10" t="str">
            <v>AMOUNT</v>
          </cell>
          <cell r="H10" t="str">
            <v>BALANCE</v>
          </cell>
        </row>
        <row r="11">
          <cell r="A11" t="str">
            <v>-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-------------------</v>
          </cell>
        </row>
        <row r="12">
          <cell r="C12" t="str">
            <v xml:space="preserve"> </v>
          </cell>
        </row>
        <row r="13">
          <cell r="A13" t="str">
            <v xml:space="preserve">                                                                                                                                </v>
          </cell>
          <cell r="B13" t="str">
            <v>PROFIT STATEMENT</v>
          </cell>
        </row>
        <row r="14">
          <cell r="A14" t="str">
            <v xml:space="preserve">                                                                                                                                </v>
          </cell>
          <cell r="B14" t="str">
            <v xml:space="preserve">----------------                                                                                                                </v>
          </cell>
        </row>
        <row r="15">
          <cell r="A15" t="str">
            <v>3006</v>
          </cell>
          <cell r="B15" t="str">
            <v>HOTEL OPERATING INCOME</v>
          </cell>
          <cell r="C15">
            <v>-29567041</v>
          </cell>
          <cell r="H15">
            <v>-29567041</v>
          </cell>
        </row>
        <row r="16">
          <cell r="A16" t="str">
            <v>3150</v>
          </cell>
          <cell r="B16" t="str">
            <v>INTEREST INCOME</v>
          </cell>
          <cell r="C16">
            <v>-166570</v>
          </cell>
          <cell r="E16">
            <v>0</v>
          </cell>
          <cell r="H16">
            <v>-166570</v>
          </cell>
        </row>
        <row r="17">
          <cell r="A17" t="str">
            <v>3010</v>
          </cell>
          <cell r="B17" t="str">
            <v>DISCOUNTS EARNED</v>
          </cell>
          <cell r="C17">
            <v>0</v>
          </cell>
          <cell r="H17">
            <v>0</v>
          </cell>
        </row>
        <row r="18">
          <cell r="A18" t="str">
            <v>3250</v>
          </cell>
          <cell r="B18" t="str">
            <v>GAIN (LOSS) SALE ASSETS</v>
          </cell>
          <cell r="C18">
            <v>0</v>
          </cell>
          <cell r="H18">
            <v>0</v>
          </cell>
        </row>
        <row r="19">
          <cell r="A19" t="str">
            <v>3200</v>
          </cell>
          <cell r="B19" t="str">
            <v>MISC INCOME</v>
          </cell>
          <cell r="C19">
            <v>0</v>
          </cell>
          <cell r="H19">
            <v>0</v>
          </cell>
        </row>
        <row r="20">
          <cell r="B20" t="str">
            <v>BEVERAGE RENT</v>
          </cell>
          <cell r="C20">
            <v>0</v>
          </cell>
          <cell r="H20">
            <v>0</v>
          </cell>
        </row>
        <row r="21">
          <cell r="A21" t="str">
            <v xml:space="preserve">                                                                                                                                </v>
          </cell>
          <cell r="B21" t="str">
            <v xml:space="preserve">                                                                                                                                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-------------------</v>
          </cell>
        </row>
        <row r="22">
          <cell r="A22" t="str">
            <v xml:space="preserve">                                                                                                                                </v>
          </cell>
          <cell r="B22" t="str">
            <v>SUB TOTAL REVENUE</v>
          </cell>
          <cell r="C22">
            <v>-29733611</v>
          </cell>
          <cell r="E22">
            <v>0</v>
          </cell>
          <cell r="G22">
            <v>0</v>
          </cell>
          <cell r="H22">
            <v>-29733611</v>
          </cell>
          <cell r="J22">
            <v>7.0000000000000007E-2</v>
          </cell>
        </row>
        <row r="23"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-------------------</v>
          </cell>
        </row>
        <row r="24">
          <cell r="A24" t="str">
            <v xml:space="preserve">                                                                                                                                </v>
          </cell>
          <cell r="B24" t="str">
            <v xml:space="preserve">                                                                                                                                </v>
          </cell>
        </row>
        <row r="25">
          <cell r="A25" t="str">
            <v>4600</v>
          </cell>
          <cell r="B25" t="str">
            <v>COST OF SALES</v>
          </cell>
          <cell r="C25">
            <v>10826110</v>
          </cell>
          <cell r="H25">
            <v>10826110</v>
          </cell>
        </row>
        <row r="26">
          <cell r="A26" t="str">
            <v>4600</v>
          </cell>
          <cell r="B26" t="str">
            <v>PENSION PLAN</v>
          </cell>
          <cell r="C26">
            <v>0</v>
          </cell>
          <cell r="H26">
            <v>0</v>
          </cell>
          <cell r="J26">
            <v>0.37</v>
          </cell>
        </row>
        <row r="27">
          <cell r="B27" t="str">
            <v xml:space="preserve">                                                                                                                                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-------------------</v>
          </cell>
        </row>
        <row r="28">
          <cell r="A28" t="str">
            <v xml:space="preserve">                                                                                                                                </v>
          </cell>
          <cell r="B28" t="str">
            <v>SUB TOTAL - DIR COST</v>
          </cell>
          <cell r="C28">
            <v>10826110</v>
          </cell>
          <cell r="E28">
            <v>0</v>
          </cell>
          <cell r="G28">
            <v>0</v>
          </cell>
          <cell r="H28">
            <v>10826110</v>
          </cell>
        </row>
        <row r="29"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-------------------</v>
          </cell>
        </row>
        <row r="30">
          <cell r="C30">
            <v>-18907501</v>
          </cell>
        </row>
        <row r="32">
          <cell r="A32" t="str">
            <v>5000</v>
          </cell>
          <cell r="B32" t="str">
            <v>SG&amp;A</v>
          </cell>
          <cell r="H32">
            <v>0</v>
          </cell>
        </row>
        <row r="33">
          <cell r="A33" t="str">
            <v>5001</v>
          </cell>
          <cell r="B33" t="str">
            <v xml:space="preserve">   PERSONAL PROPERTY TAXES</v>
          </cell>
          <cell r="C33">
            <v>2350682</v>
          </cell>
          <cell r="H33">
            <v>2350682</v>
          </cell>
        </row>
        <row r="34">
          <cell r="A34" t="str">
            <v>5050</v>
          </cell>
          <cell r="B34" t="str">
            <v xml:space="preserve">   ADMIN &amp; GENERAL</v>
          </cell>
          <cell r="C34">
            <v>2157266</v>
          </cell>
          <cell r="H34">
            <v>2157266</v>
          </cell>
        </row>
        <row r="35">
          <cell r="A35" t="str">
            <v>5051</v>
          </cell>
          <cell r="B35" t="str">
            <v xml:space="preserve">   MHT MARKETING</v>
          </cell>
          <cell r="C35">
            <v>1973255</v>
          </cell>
          <cell r="H35">
            <v>1973255</v>
          </cell>
        </row>
        <row r="36">
          <cell r="A36" t="str">
            <v>5052</v>
          </cell>
          <cell r="B36" t="str">
            <v xml:space="preserve">   MHT PROP OP</v>
          </cell>
          <cell r="C36">
            <v>1264811</v>
          </cell>
          <cell r="H36">
            <v>1264811</v>
          </cell>
        </row>
        <row r="37">
          <cell r="A37" t="str">
            <v>5180</v>
          </cell>
          <cell r="B37" t="str">
            <v xml:space="preserve">   INSURANCE</v>
          </cell>
          <cell r="C37">
            <v>0</v>
          </cell>
          <cell r="H37">
            <v>0</v>
          </cell>
        </row>
        <row r="38">
          <cell r="A38" t="str">
            <v>5206</v>
          </cell>
          <cell r="B38" t="str">
            <v xml:space="preserve">   MANAGEMENT FEES Hilton</v>
          </cell>
          <cell r="C38">
            <v>1138536</v>
          </cell>
          <cell r="H38">
            <v>1138536</v>
          </cell>
        </row>
        <row r="39">
          <cell r="B39" t="str">
            <v xml:space="preserve">   INCENTIVE MGMT FEE hil</v>
          </cell>
          <cell r="C39">
            <v>576717</v>
          </cell>
          <cell r="H39">
            <v>576717</v>
          </cell>
        </row>
        <row r="40">
          <cell r="B40" t="str">
            <v xml:space="preserve">   INCENTIVE MGMT FEE hbe</v>
          </cell>
          <cell r="C40">
            <v>72090</v>
          </cell>
          <cell r="H40">
            <v>72090</v>
          </cell>
        </row>
        <row r="41">
          <cell r="B41" t="str">
            <v xml:space="preserve">   MANAGEMENT FEES HBE</v>
          </cell>
          <cell r="C41">
            <v>146116</v>
          </cell>
          <cell r="H41">
            <v>146116</v>
          </cell>
        </row>
        <row r="42">
          <cell r="A42" t="str">
            <v>5225</v>
          </cell>
          <cell r="B42" t="str">
            <v xml:space="preserve">   UTILITIES</v>
          </cell>
          <cell r="C42">
            <v>719391</v>
          </cell>
          <cell r="H42">
            <v>719391</v>
          </cell>
        </row>
        <row r="43">
          <cell r="A43" t="str">
            <v>5340</v>
          </cell>
          <cell r="B43" t="str">
            <v xml:space="preserve">   BOILER/CHILLER RENT</v>
          </cell>
          <cell r="C43">
            <v>309006</v>
          </cell>
          <cell r="H43">
            <v>309006</v>
          </cell>
        </row>
        <row r="44">
          <cell r="B44" t="str">
            <v>MCDA PERCENTAGE RENT</v>
          </cell>
          <cell r="C44">
            <v>0</v>
          </cell>
          <cell r="H44">
            <v>0</v>
          </cell>
        </row>
        <row r="45">
          <cell r="B45" t="str">
            <v>UDAG PARTICIPATION PYMT</v>
          </cell>
          <cell r="C45">
            <v>0</v>
          </cell>
          <cell r="H45">
            <v>0</v>
          </cell>
        </row>
        <row r="46">
          <cell r="A46" t="str">
            <v>5180</v>
          </cell>
          <cell r="B46" t="str">
            <v xml:space="preserve">   INSURNCE-PROP/CONTENTS</v>
          </cell>
          <cell r="C46">
            <v>24589</v>
          </cell>
          <cell r="H46">
            <v>24589</v>
          </cell>
        </row>
        <row r="47">
          <cell r="B47" t="str">
            <v>PUBLIC SPACE-MAINTENANCE</v>
          </cell>
          <cell r="C47">
            <v>64117</v>
          </cell>
          <cell r="H47">
            <v>64117</v>
          </cell>
        </row>
        <row r="48">
          <cell r="B48" t="str">
            <v>SUNDRY CAPITAL</v>
          </cell>
          <cell r="C48">
            <v>206848</v>
          </cell>
          <cell r="H48">
            <v>206848</v>
          </cell>
        </row>
        <row r="49">
          <cell r="B49" t="str">
            <v>AMORTIZATION</v>
          </cell>
          <cell r="C49">
            <v>0</v>
          </cell>
          <cell r="H49">
            <v>0</v>
          </cell>
        </row>
        <row r="50">
          <cell r="B50" t="str">
            <v>SITE RENTAL</v>
          </cell>
          <cell r="C50">
            <v>1035622</v>
          </cell>
          <cell r="H50">
            <v>1035622</v>
          </cell>
        </row>
        <row r="51">
          <cell r="B51" t="str">
            <v xml:space="preserve"> ROUNDING BS&gt;INC STMT</v>
          </cell>
          <cell r="C51">
            <v>0</v>
          </cell>
          <cell r="H51">
            <v>0</v>
          </cell>
        </row>
        <row r="52">
          <cell r="A52" t="str">
            <v xml:space="preserve">                                                                                                                                </v>
          </cell>
          <cell r="B52" t="str">
            <v xml:space="preserve">                                                                                                                                </v>
          </cell>
          <cell r="C52" t="str">
            <v>-</v>
          </cell>
          <cell r="D52" t="str">
            <v>-</v>
          </cell>
          <cell r="E52" t="str">
            <v>-</v>
          </cell>
          <cell r="F52" t="str">
            <v>-</v>
          </cell>
          <cell r="G52" t="str">
            <v>-</v>
          </cell>
          <cell r="H52" t="str">
            <v>-------------------</v>
          </cell>
        </row>
        <row r="53">
          <cell r="A53" t="str">
            <v xml:space="preserve">                                                                                                                                </v>
          </cell>
          <cell r="B53" t="str">
            <v>SUB TOTAL SG&amp;A</v>
          </cell>
          <cell r="C53">
            <v>12039046</v>
          </cell>
          <cell r="E53">
            <v>0</v>
          </cell>
          <cell r="G53">
            <v>0</v>
          </cell>
          <cell r="H53">
            <v>12039046</v>
          </cell>
        </row>
        <row r="54">
          <cell r="C54" t="str">
            <v>-</v>
          </cell>
          <cell r="D54" t="str">
            <v>-</v>
          </cell>
          <cell r="E54" t="str">
            <v>-</v>
          </cell>
          <cell r="F54" t="str">
            <v>-</v>
          </cell>
          <cell r="G54" t="str">
            <v>-</v>
          </cell>
          <cell r="H54" t="str">
            <v>-------------------</v>
          </cell>
        </row>
        <row r="56">
          <cell r="A56" t="str">
            <v>5200</v>
          </cell>
          <cell r="B56" t="str">
            <v>INTEREST EXP</v>
          </cell>
          <cell r="C56">
            <v>2768380</v>
          </cell>
          <cell r="G56">
            <v>0</v>
          </cell>
          <cell r="H56">
            <v>2768380</v>
          </cell>
        </row>
        <row r="57">
          <cell r="A57" t="str">
            <v>5500</v>
          </cell>
          <cell r="B57" t="str">
            <v>DEPRECIATION</v>
          </cell>
          <cell r="C57">
            <v>3748785</v>
          </cell>
          <cell r="H57">
            <v>3748785</v>
          </cell>
        </row>
        <row r="58">
          <cell r="A58" t="str">
            <v>5505</v>
          </cell>
          <cell r="B58" t="str">
            <v>AMORT PRE-OPENING</v>
          </cell>
          <cell r="C58">
            <v>0</v>
          </cell>
          <cell r="H58">
            <v>0</v>
          </cell>
        </row>
        <row r="59">
          <cell r="A59" t="str">
            <v>5505</v>
          </cell>
          <cell r="B59" t="str">
            <v>AMORT DEFERRED FINANCING</v>
          </cell>
          <cell r="C59">
            <v>57942</v>
          </cell>
          <cell r="H59">
            <v>57942</v>
          </cell>
        </row>
        <row r="60">
          <cell r="A60" t="str">
            <v xml:space="preserve">                                                                                                                                </v>
          </cell>
          <cell r="B60" t="str">
            <v xml:space="preserve">                                                                                                                                </v>
          </cell>
          <cell r="C60" t="str">
            <v>-</v>
          </cell>
          <cell r="D60" t="str">
            <v>-</v>
          </cell>
          <cell r="E60" t="str">
            <v>-</v>
          </cell>
          <cell r="F60" t="str">
            <v>-</v>
          </cell>
          <cell r="G60" t="str">
            <v>-</v>
          </cell>
          <cell r="H60" t="str">
            <v>-------------------</v>
          </cell>
        </row>
        <row r="61">
          <cell r="C61">
            <v>6575107</v>
          </cell>
          <cell r="E61">
            <v>0</v>
          </cell>
          <cell r="G61">
            <v>0</v>
          </cell>
          <cell r="H61">
            <v>6575107</v>
          </cell>
        </row>
        <row r="62">
          <cell r="C62" t="str">
            <v>-</v>
          </cell>
          <cell r="D62" t="str">
            <v>-</v>
          </cell>
          <cell r="E62" t="str">
            <v>-</v>
          </cell>
          <cell r="F62" t="str">
            <v>-</v>
          </cell>
          <cell r="G62" t="str">
            <v>-</v>
          </cell>
          <cell r="H62" t="str">
            <v>-------------------</v>
          </cell>
        </row>
        <row r="64">
          <cell r="A64" t="str">
            <v xml:space="preserve">                                                                                                                                </v>
          </cell>
          <cell r="B64" t="str">
            <v>CURRENT YEAR EARNINGS</v>
          </cell>
          <cell r="C64">
            <v>-293348</v>
          </cell>
          <cell r="E64">
            <v>0</v>
          </cell>
          <cell r="G64">
            <v>0</v>
          </cell>
          <cell r="H64">
            <v>-293348</v>
          </cell>
        </row>
        <row r="65">
          <cell r="A65" t="str">
            <v xml:space="preserve">                                                                                                                                </v>
          </cell>
          <cell r="B65" t="str">
            <v xml:space="preserve">                                                                                                                                </v>
          </cell>
          <cell r="C65" t="str">
            <v>=</v>
          </cell>
          <cell r="D65" t="str">
            <v>=</v>
          </cell>
          <cell r="E65" t="str">
            <v>=</v>
          </cell>
          <cell r="F65" t="str">
            <v>=</v>
          </cell>
          <cell r="G65" t="str">
            <v>=</v>
          </cell>
          <cell r="H65" t="str">
            <v>===================</v>
          </cell>
        </row>
        <row r="66">
          <cell r="A66" t="str">
            <v xml:space="preserve">                                                                                                                                </v>
          </cell>
          <cell r="B66" t="str">
            <v>ASSETS</v>
          </cell>
        </row>
        <row r="67">
          <cell r="A67" t="str">
            <v xml:space="preserve">                                                                                                                                </v>
          </cell>
          <cell r="B67" t="str">
            <v>------</v>
          </cell>
          <cell r="N67" t="str">
            <v>=</v>
          </cell>
        </row>
        <row r="68">
          <cell r="A68" t="str">
            <v>1000</v>
          </cell>
          <cell r="B68" t="str">
            <v>CASH</v>
          </cell>
          <cell r="C68">
            <v>3067482.36</v>
          </cell>
          <cell r="H68">
            <v>3067482.36</v>
          </cell>
        </row>
        <row r="69">
          <cell r="B69" t="str">
            <v>CASH IN BANK - FIRST BANK</v>
          </cell>
          <cell r="C69">
            <v>-404038.36</v>
          </cell>
          <cell r="H69">
            <v>-404038.36</v>
          </cell>
        </row>
        <row r="70">
          <cell r="A70" t="str">
            <v>1115</v>
          </cell>
          <cell r="B70" t="str">
            <v>ACCTS REC - TRADE (net)</v>
          </cell>
          <cell r="C70">
            <v>3502912</v>
          </cell>
          <cell r="H70">
            <v>3502912</v>
          </cell>
        </row>
        <row r="71">
          <cell r="B71" t="str">
            <v>A/R HBE &amp; MCDA</v>
          </cell>
          <cell r="C71">
            <v>0</v>
          </cell>
          <cell r="H71">
            <v>0</v>
          </cell>
        </row>
        <row r="72">
          <cell r="A72" t="str">
            <v>1200</v>
          </cell>
          <cell r="B72" t="str">
            <v>INVENTORY</v>
          </cell>
          <cell r="C72">
            <v>144386</v>
          </cell>
          <cell r="H72">
            <v>144386</v>
          </cell>
        </row>
        <row r="73">
          <cell r="A73" t="str">
            <v>1300</v>
          </cell>
          <cell r="B73" t="str">
            <v>PREPAID EXPENSES</v>
          </cell>
          <cell r="C73">
            <v>193676</v>
          </cell>
          <cell r="H73">
            <v>193676</v>
          </cell>
        </row>
        <row r="74">
          <cell r="A74" t="str">
            <v xml:space="preserve">                                                                                                                                </v>
          </cell>
          <cell r="B74" t="str">
            <v xml:space="preserve">                                                                                                                                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-------------------</v>
          </cell>
        </row>
        <row r="75">
          <cell r="A75" t="str">
            <v xml:space="preserve">                                                                                                                                </v>
          </cell>
          <cell r="B75" t="str">
            <v>SUB TOTAL CURRENT ASSETS</v>
          </cell>
          <cell r="C75">
            <v>6504418</v>
          </cell>
          <cell r="E75">
            <v>0</v>
          </cell>
          <cell r="G75">
            <v>0</v>
          </cell>
          <cell r="H75">
            <v>6504418</v>
          </cell>
        </row>
        <row r="76">
          <cell r="A76" t="str">
            <v xml:space="preserve">                                                                                                                                </v>
          </cell>
          <cell r="C76" t="str">
            <v>-</v>
          </cell>
          <cell r="D76" t="str">
            <v>-</v>
          </cell>
          <cell r="E76" t="str">
            <v>-</v>
          </cell>
          <cell r="F76" t="str">
            <v>-</v>
          </cell>
          <cell r="G76" t="str">
            <v>-</v>
          </cell>
          <cell r="H76" t="str">
            <v>-------------------</v>
          </cell>
        </row>
        <row r="78">
          <cell r="A78" t="str">
            <v>1500</v>
          </cell>
          <cell r="B78" t="str">
            <v>AUTOS &amp; TRUCKS</v>
          </cell>
          <cell r="C78">
            <v>0</v>
          </cell>
          <cell r="H78">
            <v>0</v>
          </cell>
        </row>
        <row r="79">
          <cell r="A79" t="str">
            <v>1520</v>
          </cell>
          <cell r="B79" t="str">
            <v>HOTEL TOOLS &amp; EQUIPMENT</v>
          </cell>
          <cell r="C79">
            <v>0</v>
          </cell>
          <cell r="H79">
            <v>0</v>
          </cell>
        </row>
        <row r="80">
          <cell r="A80" t="str">
            <v>1610</v>
          </cell>
          <cell r="B80" t="str">
            <v>BUILDING</v>
          </cell>
          <cell r="C80">
            <v>44365827</v>
          </cell>
          <cell r="H80">
            <v>44365827</v>
          </cell>
        </row>
        <row r="81">
          <cell r="A81" t="str">
            <v>1540</v>
          </cell>
          <cell r="B81" t="str">
            <v>FURNITURE FIXTURES &amp; EQIP</v>
          </cell>
          <cell r="C81">
            <v>34399761</v>
          </cell>
          <cell r="H81">
            <v>34399761</v>
          </cell>
        </row>
        <row r="82">
          <cell r="A82" t="str">
            <v>1585</v>
          </cell>
          <cell r="B82" t="str">
            <v>CONSTRUCTION IN PROGRESS</v>
          </cell>
          <cell r="C82">
            <v>0</v>
          </cell>
          <cell r="H82">
            <v>0</v>
          </cell>
        </row>
        <row r="83">
          <cell r="A83" t="str">
            <v>1612</v>
          </cell>
          <cell r="B83" t="str">
            <v>BLDG REVISIONS &amp; ALTERATIONS</v>
          </cell>
          <cell r="C83">
            <v>0</v>
          </cell>
          <cell r="H83">
            <v>0</v>
          </cell>
        </row>
        <row r="84">
          <cell r="A84" t="str">
            <v>1720</v>
          </cell>
          <cell r="B84" t="str">
            <v>HOTEL HEAVY EQUIPMENT</v>
          </cell>
          <cell r="C84">
            <v>0</v>
          </cell>
          <cell r="H84">
            <v>0</v>
          </cell>
        </row>
        <row r="85">
          <cell r="C85" t="str">
            <v>-</v>
          </cell>
          <cell r="D85" t="str">
            <v>-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</row>
        <row r="86">
          <cell r="B86" t="str">
            <v>SUB TOTAL DEPR ASSETS</v>
          </cell>
          <cell r="C86">
            <v>78765588</v>
          </cell>
          <cell r="E86">
            <v>0</v>
          </cell>
          <cell r="G86">
            <v>0</v>
          </cell>
          <cell r="H86">
            <v>78765588</v>
          </cell>
        </row>
        <row r="87">
          <cell r="C87" t="str">
            <v>-</v>
          </cell>
          <cell r="D87" t="str">
            <v>-</v>
          </cell>
          <cell r="E87" t="str">
            <v>-</v>
          </cell>
          <cell r="F87" t="str">
            <v>-</v>
          </cell>
          <cell r="G87" t="str">
            <v>-</v>
          </cell>
          <cell r="H87" t="str">
            <v>-------------------</v>
          </cell>
        </row>
        <row r="89">
          <cell r="A89" t="str">
            <v>1510</v>
          </cell>
          <cell r="B89" t="str">
            <v>A/DEPR - AUTOS &amp; TRUCKS</v>
          </cell>
          <cell r="C89">
            <v>0</v>
          </cell>
          <cell r="H89">
            <v>0</v>
          </cell>
        </row>
        <row r="90">
          <cell r="A90" t="str">
            <v>1530</v>
          </cell>
          <cell r="B90" t="str">
            <v xml:space="preserve">      -HOTEL TOOL &amp; EQUIP</v>
          </cell>
          <cell r="C90">
            <v>0</v>
          </cell>
          <cell r="H90">
            <v>0</v>
          </cell>
        </row>
        <row r="91">
          <cell r="A91" t="str">
            <v>1880</v>
          </cell>
          <cell r="B91" t="str">
            <v xml:space="preserve">       - BUILDING</v>
          </cell>
          <cell r="C91">
            <v>-7651043</v>
          </cell>
          <cell r="H91">
            <v>-7651043</v>
          </cell>
        </row>
        <row r="92">
          <cell r="A92" t="str">
            <v>1730</v>
          </cell>
          <cell r="B92" t="str">
            <v xml:space="preserve">      -HOTEL HEAVY EQUIP</v>
          </cell>
          <cell r="C92">
            <v>0</v>
          </cell>
          <cell r="H92">
            <v>0</v>
          </cell>
        </row>
        <row r="93">
          <cell r="A93" t="str">
            <v>1550</v>
          </cell>
          <cell r="B93" t="str">
            <v xml:space="preserve">       - FF&amp;E</v>
          </cell>
          <cell r="C93">
            <v>-26053319</v>
          </cell>
          <cell r="H93">
            <v>-26053319</v>
          </cell>
        </row>
        <row r="94">
          <cell r="A94" t="str">
            <v>1882</v>
          </cell>
          <cell r="B94" t="str">
            <v xml:space="preserve">       - BLDG REVIS &amp; ALT</v>
          </cell>
          <cell r="C94">
            <v>0</v>
          </cell>
          <cell r="H94">
            <v>0</v>
          </cell>
        </row>
        <row r="95">
          <cell r="A95" t="str">
            <v>1890</v>
          </cell>
          <cell r="B95" t="str">
            <v>ADJ TO HILTON STMT</v>
          </cell>
          <cell r="C95">
            <v>0</v>
          </cell>
          <cell r="H95">
            <v>0</v>
          </cell>
        </row>
        <row r="96">
          <cell r="A96" t="str">
            <v xml:space="preserve">                                                                                                                                </v>
          </cell>
          <cell r="B96" t="str">
            <v xml:space="preserve">                                                                                                                                </v>
          </cell>
          <cell r="C96" t="str">
            <v>-</v>
          </cell>
          <cell r="D96" t="str">
            <v>-</v>
          </cell>
          <cell r="E96" t="str">
            <v>-</v>
          </cell>
          <cell r="F96" t="str">
            <v>-</v>
          </cell>
          <cell r="G96" t="str">
            <v>-</v>
          </cell>
          <cell r="H96" t="str">
            <v>-</v>
          </cell>
        </row>
        <row r="97">
          <cell r="A97" t="str">
            <v xml:space="preserve">                                                                                                                                </v>
          </cell>
          <cell r="B97" t="str">
            <v>SUB TOTAL ACC DEPR.</v>
          </cell>
          <cell r="C97">
            <v>-33704362</v>
          </cell>
          <cell r="E97">
            <v>0</v>
          </cell>
          <cell r="G97">
            <v>0</v>
          </cell>
          <cell r="H97">
            <v>-33704362</v>
          </cell>
        </row>
        <row r="98"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-------------------</v>
          </cell>
        </row>
        <row r="100">
          <cell r="A100" t="str">
            <v>1970</v>
          </cell>
          <cell r="B100" t="str">
            <v>CHINA SILVER GLASS LINENS</v>
          </cell>
          <cell r="C100">
            <v>276953</v>
          </cell>
          <cell r="H100">
            <v>276953</v>
          </cell>
        </row>
        <row r="101">
          <cell r="B101" t="str">
            <v>DEPOSITS</v>
          </cell>
          <cell r="C101">
            <v>0</v>
          </cell>
          <cell r="H101">
            <v>0</v>
          </cell>
        </row>
        <row r="102">
          <cell r="B102" t="str">
            <v>PREPAID INSURANCE</v>
          </cell>
          <cell r="C102">
            <v>0</v>
          </cell>
          <cell r="H102">
            <v>0</v>
          </cell>
        </row>
        <row r="103">
          <cell r="B103" t="str">
            <v>DEFERRED FINANCING COSTS</v>
          </cell>
          <cell r="C103">
            <v>558053</v>
          </cell>
          <cell r="H103">
            <v>558053</v>
          </cell>
        </row>
        <row r="104">
          <cell r="A104" t="str">
            <v>1460</v>
          </cell>
          <cell r="B104" t="str">
            <v>PRE-OPENING COSTS</v>
          </cell>
          <cell r="C104">
            <v>0</v>
          </cell>
          <cell r="H104">
            <v>0</v>
          </cell>
        </row>
        <row r="105">
          <cell r="B105" t="str">
            <v>ESCROWED TAX &amp; INSURANCE</v>
          </cell>
          <cell r="C105">
            <v>1857574</v>
          </cell>
          <cell r="H105">
            <v>1857574</v>
          </cell>
        </row>
        <row r="106">
          <cell r="B106" t="str">
            <v>ESCROWED EQUIPMENT RESERVE</v>
          </cell>
          <cell r="C106">
            <v>3440998</v>
          </cell>
          <cell r="H106">
            <v>3440998</v>
          </cell>
        </row>
        <row r="107">
          <cell r="A107" t="str">
            <v xml:space="preserve">                                                                                                                                </v>
          </cell>
          <cell r="B107" t="str">
            <v xml:space="preserve">                                                                                                                                </v>
          </cell>
          <cell r="C107" t="str">
            <v>-</v>
          </cell>
          <cell r="D107" t="str">
            <v>-</v>
          </cell>
          <cell r="E107" t="str">
            <v>-</v>
          </cell>
          <cell r="F107" t="str">
            <v>-</v>
          </cell>
          <cell r="G107" t="str">
            <v>-</v>
          </cell>
          <cell r="H107" t="str">
            <v>-</v>
          </cell>
        </row>
        <row r="108">
          <cell r="C108">
            <v>6133578</v>
          </cell>
          <cell r="E108">
            <v>0</v>
          </cell>
          <cell r="G108">
            <v>0</v>
          </cell>
          <cell r="H108">
            <v>6133578</v>
          </cell>
        </row>
        <row r="109"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-------------------</v>
          </cell>
        </row>
        <row r="111">
          <cell r="A111" t="str">
            <v xml:space="preserve">                                                                                                                                </v>
          </cell>
          <cell r="B111" t="str">
            <v>TOTAL ASSETS</v>
          </cell>
          <cell r="C111">
            <v>57699222</v>
          </cell>
          <cell r="E111">
            <v>0</v>
          </cell>
          <cell r="G111">
            <v>0</v>
          </cell>
          <cell r="H111">
            <v>57699222</v>
          </cell>
        </row>
        <row r="112">
          <cell r="A112" t="str">
            <v xml:space="preserve">                                                                                                                                </v>
          </cell>
          <cell r="B112" t="str">
            <v xml:space="preserve">                                                                                                                                </v>
          </cell>
          <cell r="C112" t="str">
            <v>=</v>
          </cell>
          <cell r="D112" t="str">
            <v>=</v>
          </cell>
          <cell r="E112" t="str">
            <v>=</v>
          </cell>
          <cell r="F112" t="str">
            <v>=</v>
          </cell>
          <cell r="G112" t="str">
            <v>=</v>
          </cell>
          <cell r="H112" t="str">
            <v>===================</v>
          </cell>
        </row>
        <row r="113">
          <cell r="A113" t="str">
            <v xml:space="preserve">                                                                                                                                </v>
          </cell>
          <cell r="B113" t="str">
            <v xml:space="preserve">                                                                                                                                </v>
          </cell>
        </row>
        <row r="114">
          <cell r="A114" t="str">
            <v xml:space="preserve">                                                                                                                                </v>
          </cell>
          <cell r="B114" t="str">
            <v xml:space="preserve">                                                                                                                                </v>
          </cell>
        </row>
        <row r="115">
          <cell r="A115" t="str">
            <v xml:space="preserve">                                                                                                                                </v>
          </cell>
          <cell r="B115" t="str">
            <v>LIABILITIES &amp; EQUITY</v>
          </cell>
        </row>
        <row r="116">
          <cell r="A116" t="str">
            <v xml:space="preserve">                                                                                                                                </v>
          </cell>
          <cell r="B116" t="str">
            <v>--------------------</v>
          </cell>
        </row>
        <row r="118">
          <cell r="B118" t="str">
            <v>LIABILITIES</v>
          </cell>
        </row>
        <row r="119">
          <cell r="B119" t="str">
            <v>-----------</v>
          </cell>
        </row>
        <row r="120">
          <cell r="A120" t="str">
            <v xml:space="preserve">                                                                                                                                </v>
          </cell>
          <cell r="B120" t="str">
            <v>CURR MAT L.T.DEBT</v>
          </cell>
          <cell r="C120">
            <v>0</v>
          </cell>
          <cell r="F120">
            <v>1</v>
          </cell>
          <cell r="G120" t="str">
            <v xml:space="preserve"> </v>
          </cell>
          <cell r="H120">
            <v>0</v>
          </cell>
        </row>
        <row r="121">
          <cell r="A121" t="str">
            <v>2005</v>
          </cell>
          <cell r="B121" t="str">
            <v>WORKING CAP LOAN</v>
          </cell>
          <cell r="C121">
            <v>0</v>
          </cell>
          <cell r="H121">
            <v>0</v>
          </cell>
        </row>
        <row r="122">
          <cell r="A122" t="str">
            <v>2100</v>
          </cell>
          <cell r="B122" t="str">
            <v>ACCOUNTS PAYABLE - TRADE</v>
          </cell>
          <cell r="C122">
            <v>-1456012</v>
          </cell>
          <cell r="H122">
            <v>-1456012</v>
          </cell>
        </row>
        <row r="123">
          <cell r="B123" t="str">
            <v>A/P-HILTON MGMT FEE</v>
          </cell>
          <cell r="C123">
            <v>0</v>
          </cell>
          <cell r="H123">
            <v>0</v>
          </cell>
        </row>
        <row r="124">
          <cell r="B124" t="str">
            <v>DISTRIBUTIONS PAYABLE</v>
          </cell>
          <cell r="C124">
            <v>0</v>
          </cell>
          <cell r="H124">
            <v>0</v>
          </cell>
        </row>
        <row r="125">
          <cell r="A125" t="str">
            <v>2400</v>
          </cell>
          <cell r="B125" t="str">
            <v>INCOME TAX PAYABLE</v>
          </cell>
          <cell r="C125">
            <v>0</v>
          </cell>
          <cell r="H125">
            <v>0</v>
          </cell>
        </row>
        <row r="126">
          <cell r="A126" t="str">
            <v>2135</v>
          </cell>
          <cell r="B126" t="str">
            <v>ACCRUED EXPENSES</v>
          </cell>
          <cell r="C126">
            <v>-2439606</v>
          </cell>
          <cell r="H126">
            <v>-2439606</v>
          </cell>
        </row>
        <row r="127">
          <cell r="A127" t="str">
            <v>2340</v>
          </cell>
          <cell r="B127" t="str">
            <v>ACCRUED PROPERTY TAX</v>
          </cell>
          <cell r="C127">
            <v>-3799536</v>
          </cell>
          <cell r="H127">
            <v>-3799536</v>
          </cell>
        </row>
        <row r="128">
          <cell r="A128" t="str">
            <v>2100</v>
          </cell>
          <cell r="B128" t="str">
            <v>OTHER CURR.LIAB</v>
          </cell>
          <cell r="C128">
            <v>0</v>
          </cell>
          <cell r="H128">
            <v>0</v>
          </cell>
        </row>
        <row r="129">
          <cell r="A129" t="str">
            <v>2410</v>
          </cell>
          <cell r="B129" t="str">
            <v>DEFERRED INCOME TAX CURR</v>
          </cell>
          <cell r="C129">
            <v>0</v>
          </cell>
          <cell r="H129">
            <v>0</v>
          </cell>
        </row>
        <row r="130">
          <cell r="C130" t="str">
            <v>-</v>
          </cell>
          <cell r="D130" t="str">
            <v>-</v>
          </cell>
          <cell r="E130" t="str">
            <v>-</v>
          </cell>
          <cell r="F130" t="str">
            <v>-</v>
          </cell>
          <cell r="G130" t="str">
            <v>-</v>
          </cell>
          <cell r="H130" t="str">
            <v>-------------------</v>
          </cell>
        </row>
        <row r="131">
          <cell r="B131" t="str">
            <v>SUB TOTAL CURRENT LIAB.</v>
          </cell>
          <cell r="C131">
            <v>-7695154</v>
          </cell>
          <cell r="E131">
            <v>0</v>
          </cell>
          <cell r="G131">
            <v>0</v>
          </cell>
          <cell r="H131">
            <v>-7695154</v>
          </cell>
        </row>
        <row r="132">
          <cell r="C132" t="str">
            <v>-</v>
          </cell>
          <cell r="D132" t="str">
            <v>-</v>
          </cell>
          <cell r="E132" t="str">
            <v>-</v>
          </cell>
          <cell r="F132" t="str">
            <v>-</v>
          </cell>
          <cell r="G132" t="str">
            <v>-</v>
          </cell>
          <cell r="H132" t="str">
            <v>-------------------</v>
          </cell>
        </row>
        <row r="134">
          <cell r="A134" t="str">
            <v>2411</v>
          </cell>
          <cell r="B134" t="str">
            <v>DEFERRED INCOME TAX L-T</v>
          </cell>
          <cell r="H134">
            <v>0</v>
          </cell>
        </row>
        <row r="135">
          <cell r="A135" t="str">
            <v>2205</v>
          </cell>
          <cell r="B135" t="str">
            <v>LONG TERM DEBT lincoln</v>
          </cell>
          <cell r="C135">
            <v>-39303398</v>
          </cell>
          <cell r="D135">
            <v>1</v>
          </cell>
          <cell r="E135" t="str">
            <v xml:space="preserve"> </v>
          </cell>
          <cell r="H135">
            <v>-39303398</v>
          </cell>
        </row>
        <row r="136">
          <cell r="A136" t="str">
            <v>2205</v>
          </cell>
          <cell r="B136" t="str">
            <v>LONG TERM DEBT UDAG</v>
          </cell>
          <cell r="C136">
            <v>-5890715</v>
          </cell>
          <cell r="H136">
            <v>-5890715</v>
          </cell>
        </row>
        <row r="137">
          <cell r="C137" t="str">
            <v>-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-------------------</v>
          </cell>
        </row>
        <row r="138">
          <cell r="B138" t="str">
            <v>SUB TOTAL NON-CURR LIAB.</v>
          </cell>
          <cell r="C138">
            <v>-45194113</v>
          </cell>
          <cell r="E138">
            <v>0</v>
          </cell>
          <cell r="G138">
            <v>0</v>
          </cell>
          <cell r="H138">
            <v>-45194113</v>
          </cell>
        </row>
        <row r="139">
          <cell r="C139" t="str">
            <v>-</v>
          </cell>
          <cell r="D139" t="str">
            <v>-</v>
          </cell>
          <cell r="E139" t="str">
            <v>-</v>
          </cell>
          <cell r="F139" t="str">
            <v>-</v>
          </cell>
          <cell r="G139" t="str">
            <v>-</v>
          </cell>
          <cell r="H139" t="str">
            <v>-------------------</v>
          </cell>
        </row>
        <row r="141">
          <cell r="B141" t="str">
            <v>TOTAL LIABILITIES</v>
          </cell>
          <cell r="C141">
            <v>-52889267</v>
          </cell>
          <cell r="E141">
            <v>0</v>
          </cell>
          <cell r="G141">
            <v>0</v>
          </cell>
          <cell r="H141">
            <v>-52889267</v>
          </cell>
        </row>
        <row r="142">
          <cell r="C142" t="str">
            <v>-</v>
          </cell>
          <cell r="D142" t="str">
            <v>-</v>
          </cell>
          <cell r="E142" t="str">
            <v>-</v>
          </cell>
          <cell r="F142" t="str">
            <v>-</v>
          </cell>
          <cell r="G142" t="str">
            <v>-</v>
          </cell>
          <cell r="H142" t="str">
            <v>-------------------</v>
          </cell>
        </row>
        <row r="144">
          <cell r="B144" t="str">
            <v>OWNER'S CONTROL</v>
          </cell>
        </row>
        <row r="145">
          <cell r="B145" t="str">
            <v>-------------------</v>
          </cell>
        </row>
        <row r="146">
          <cell r="A146" t="str">
            <v>2800</v>
          </cell>
          <cell r="B146" t="str">
            <v>OWNER'S CONTROL</v>
          </cell>
          <cell r="C146">
            <v>-40872199</v>
          </cell>
          <cell r="H146">
            <v>-40872199</v>
          </cell>
        </row>
        <row r="147">
          <cell r="B147" t="str">
            <v>RE DIST TO HBE(Current)</v>
          </cell>
          <cell r="C147">
            <v>1441211</v>
          </cell>
          <cell r="H147">
            <v>1441211</v>
          </cell>
        </row>
        <row r="148">
          <cell r="A148" t="str">
            <v>2905</v>
          </cell>
          <cell r="B148" t="str">
            <v>RE DIST TO HBE(Prior)</v>
          </cell>
          <cell r="C148">
            <v>9022243</v>
          </cell>
          <cell r="H148">
            <v>9022243</v>
          </cell>
        </row>
        <row r="149">
          <cell r="A149" t="str">
            <v>2900</v>
          </cell>
          <cell r="B149" t="str">
            <v>RETAINED EARNINGS</v>
          </cell>
          <cell r="C149">
            <v>25892138</v>
          </cell>
          <cell r="H149">
            <v>25892138</v>
          </cell>
        </row>
        <row r="150">
          <cell r="A150" t="str">
            <v xml:space="preserve">                                                                                                                                </v>
          </cell>
          <cell r="B150" t="str">
            <v>CURRENT YEAR INCOME</v>
          </cell>
          <cell r="C150">
            <v>-293348</v>
          </cell>
          <cell r="H150">
            <v>-293348</v>
          </cell>
        </row>
        <row r="151">
          <cell r="A151" t="str">
            <v xml:space="preserve">                                                                                                                                </v>
          </cell>
          <cell r="B151" t="str">
            <v xml:space="preserve">                                                                                                                                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-------------------</v>
          </cell>
        </row>
        <row r="152">
          <cell r="B152" t="str">
            <v>TOTAL SHAREHOLDERS EQUITY</v>
          </cell>
          <cell r="C152">
            <v>-4809955</v>
          </cell>
          <cell r="E152">
            <v>0</v>
          </cell>
          <cell r="G152">
            <v>0</v>
          </cell>
          <cell r="H152">
            <v>-4809955</v>
          </cell>
        </row>
        <row r="153">
          <cell r="C153" t="str">
            <v>-</v>
          </cell>
          <cell r="D153" t="str">
            <v>-</v>
          </cell>
          <cell r="E153" t="str">
            <v>-</v>
          </cell>
          <cell r="F153" t="str">
            <v>-</v>
          </cell>
          <cell r="G153" t="str">
            <v>-</v>
          </cell>
          <cell r="H153" t="str">
            <v>-------------------</v>
          </cell>
        </row>
        <row r="155">
          <cell r="A155" t="str">
            <v xml:space="preserve">                                                                                                                                </v>
          </cell>
          <cell r="B155" t="str">
            <v>TOTAL LIAB &amp; EQUITY</v>
          </cell>
          <cell r="C155">
            <v>-57699222</v>
          </cell>
          <cell r="E155">
            <v>0</v>
          </cell>
          <cell r="G155">
            <v>0</v>
          </cell>
          <cell r="H155">
            <v>-57699222</v>
          </cell>
        </row>
        <row r="156">
          <cell r="A156" t="str">
            <v xml:space="preserve">                                                                                                                                </v>
          </cell>
          <cell r="B156" t="str">
            <v xml:space="preserve">                                                                                                                                </v>
          </cell>
          <cell r="C156" t="str">
            <v>=</v>
          </cell>
          <cell r="D156" t="str">
            <v>=</v>
          </cell>
          <cell r="E156" t="str">
            <v>=</v>
          </cell>
          <cell r="F156" t="str">
            <v>=</v>
          </cell>
          <cell r="G156" t="str">
            <v>=</v>
          </cell>
          <cell r="H156" t="str">
            <v>===================</v>
          </cell>
        </row>
        <row r="157">
          <cell r="C157">
            <v>0</v>
          </cell>
          <cell r="H157">
            <v>0</v>
          </cell>
        </row>
        <row r="164">
          <cell r="A164" t="str">
            <v>717 HB MINNEAPOLIS (12 - BIDTEK)</v>
          </cell>
          <cell r="C164" t="str">
            <v>03/31/1999</v>
          </cell>
        </row>
        <row r="165">
          <cell r="A165" t="str">
            <v>---------------------------</v>
          </cell>
          <cell r="B165" t="str">
            <v>-----------------------------</v>
          </cell>
        </row>
        <row r="166">
          <cell r="C166" t="str">
            <v>GENERAL</v>
          </cell>
          <cell r="H166" t="str">
            <v>03/31/1999</v>
          </cell>
        </row>
        <row r="167">
          <cell r="C167" t="str">
            <v>LEDGER</v>
          </cell>
          <cell r="D167" t="str">
            <v xml:space="preserve">         DEBIT</v>
          </cell>
          <cell r="F167" t="str">
            <v xml:space="preserve">         CREDIT</v>
          </cell>
          <cell r="H167" t="str">
            <v>ADJUSTED</v>
          </cell>
        </row>
        <row r="168">
          <cell r="A168" t="str">
            <v>ACCOUNT CODE</v>
          </cell>
          <cell r="B168" t="str">
            <v>ACCOUNT DESCRIPTION</v>
          </cell>
          <cell r="C168" t="str">
            <v>BALANCE</v>
          </cell>
          <cell r="D168" t="str">
            <v>NUMBER</v>
          </cell>
          <cell r="E168" t="str">
            <v>AMOUNT</v>
          </cell>
          <cell r="F168" t="str">
            <v>NUMBER</v>
          </cell>
          <cell r="G168" t="str">
            <v>AMOUNT</v>
          </cell>
          <cell r="H168" t="str">
            <v>BALANCE</v>
          </cell>
        </row>
        <row r="169">
          <cell r="A169" t="str">
            <v>-</v>
          </cell>
          <cell r="B169" t="str">
            <v>-</v>
          </cell>
          <cell r="C169" t="str">
            <v>-</v>
          </cell>
          <cell r="D169" t="str">
            <v>-</v>
          </cell>
          <cell r="E169" t="str">
            <v>-</v>
          </cell>
          <cell r="F169" t="str">
            <v>-</v>
          </cell>
          <cell r="G169" t="str">
            <v>-</v>
          </cell>
          <cell r="H169" t="str">
            <v>-------------------</v>
          </cell>
        </row>
        <row r="171">
          <cell r="A171" t="str">
            <v xml:space="preserve">                                                                                                                                </v>
          </cell>
          <cell r="B171" t="str">
            <v xml:space="preserve">PROFIT STATEMENT                                                                                                                </v>
          </cell>
          <cell r="G171" t="str">
            <v/>
          </cell>
        </row>
        <row r="172">
          <cell r="A172" t="str">
            <v xml:space="preserve">                                                                                                                                </v>
          </cell>
          <cell r="B172" t="str">
            <v xml:space="preserve">----------------                                                                                                                </v>
          </cell>
        </row>
        <row r="173">
          <cell r="A173" t="str">
            <v>3010</v>
          </cell>
          <cell r="B173" t="str">
            <v>DISCOUNTS EARNED</v>
          </cell>
          <cell r="C173">
            <v>0</v>
          </cell>
          <cell r="H173">
            <v>0</v>
          </cell>
        </row>
        <row r="174">
          <cell r="A174" t="str">
            <v>3100</v>
          </cell>
          <cell r="B174" t="str">
            <v>MANAGEMENT FEES HILTON</v>
          </cell>
          <cell r="C174">
            <v>-157900</v>
          </cell>
          <cell r="F174">
            <v>0</v>
          </cell>
          <cell r="H174">
            <v>-157900</v>
          </cell>
        </row>
        <row r="175">
          <cell r="A175" t="str">
            <v>3100</v>
          </cell>
          <cell r="B175" t="str">
            <v>INCENTIVE FEE HILTON</v>
          </cell>
          <cell r="C175">
            <v>0</v>
          </cell>
          <cell r="H175">
            <v>0</v>
          </cell>
        </row>
        <row r="176">
          <cell r="A176" t="str">
            <v>3100</v>
          </cell>
          <cell r="B176" t="str">
            <v>MGMT FEE RETAIL</v>
          </cell>
          <cell r="C176">
            <v>0</v>
          </cell>
          <cell r="H176">
            <v>0</v>
          </cell>
        </row>
        <row r="177">
          <cell r="A177" t="str">
            <v>3200</v>
          </cell>
          <cell r="B177" t="str">
            <v>MISC INCOME</v>
          </cell>
          <cell r="C177">
            <v>-96753</v>
          </cell>
          <cell r="H177">
            <v>-96753</v>
          </cell>
        </row>
        <row r="178">
          <cell r="A178" t="str">
            <v>3201</v>
          </cell>
          <cell r="B178" t="str">
            <v>TENANT REIMBURSEMENT</v>
          </cell>
          <cell r="C178">
            <v>0</v>
          </cell>
          <cell r="H178">
            <v>0</v>
          </cell>
        </row>
        <row r="179">
          <cell r="A179" t="str">
            <v>3250</v>
          </cell>
          <cell r="B179" t="str">
            <v>(GAIN)LOSS SALE OF ASSET</v>
          </cell>
          <cell r="C179">
            <v>0</v>
          </cell>
          <cell r="H179">
            <v>0</v>
          </cell>
        </row>
        <row r="180">
          <cell r="A180" t="str">
            <v>3450</v>
          </cell>
          <cell r="B180" t="str">
            <v>BOILER/CHILLER RENT</v>
          </cell>
          <cell r="C180">
            <v>-309006</v>
          </cell>
          <cell r="H180">
            <v>-309006</v>
          </cell>
        </row>
        <row r="181">
          <cell r="C181" t="str">
            <v>-</v>
          </cell>
          <cell r="D181" t="str">
            <v>-</v>
          </cell>
          <cell r="E181" t="str">
            <v>-</v>
          </cell>
          <cell r="F181" t="str">
            <v>-</v>
          </cell>
          <cell r="G181" t="str">
            <v>-</v>
          </cell>
          <cell r="H181" t="str">
            <v>-</v>
          </cell>
        </row>
        <row r="182">
          <cell r="B182" t="str">
            <v>SUB TOTAL REVENUE</v>
          </cell>
          <cell r="C182">
            <v>-563659</v>
          </cell>
          <cell r="E182">
            <v>0</v>
          </cell>
          <cell r="G182">
            <v>0</v>
          </cell>
          <cell r="H182">
            <v>-563659</v>
          </cell>
        </row>
        <row r="183">
          <cell r="C183" t="str">
            <v>-</v>
          </cell>
          <cell r="D183" t="str">
            <v>-</v>
          </cell>
          <cell r="E183" t="str">
            <v>-</v>
          </cell>
          <cell r="F183" t="str">
            <v>-</v>
          </cell>
          <cell r="G183" t="str">
            <v>-</v>
          </cell>
          <cell r="H183" t="str">
            <v>-------------------</v>
          </cell>
        </row>
        <row r="185">
          <cell r="A185" t="str">
            <v>4020</v>
          </cell>
          <cell r="B185" t="str">
            <v xml:space="preserve">           - SUBCONTRACTS</v>
          </cell>
          <cell r="C185">
            <v>0</v>
          </cell>
          <cell r="H185">
            <v>0</v>
          </cell>
        </row>
        <row r="186">
          <cell r="A186">
            <v>4160</v>
          </cell>
          <cell r="B186" t="str">
            <v xml:space="preserve">          -MISC DIR COSTS</v>
          </cell>
          <cell r="C186">
            <v>502</v>
          </cell>
          <cell r="H186">
            <v>502</v>
          </cell>
        </row>
        <row r="187">
          <cell r="A187" t="str">
            <v>4050</v>
          </cell>
          <cell r="B187" t="str">
            <v>MATERIALS SUBCONTRACTS</v>
          </cell>
          <cell r="C187">
            <v>0</v>
          </cell>
          <cell r="H187">
            <v>0</v>
          </cell>
        </row>
        <row r="188">
          <cell r="C188" t="str">
            <v>-</v>
          </cell>
          <cell r="D188" t="str">
            <v>-</v>
          </cell>
          <cell r="E188" t="str">
            <v>-</v>
          </cell>
          <cell r="F188" t="str">
            <v>-</v>
          </cell>
          <cell r="G188" t="str">
            <v>-</v>
          </cell>
          <cell r="H188" t="str">
            <v>-</v>
          </cell>
        </row>
        <row r="189">
          <cell r="C189">
            <v>502</v>
          </cell>
          <cell r="E189">
            <v>0</v>
          </cell>
          <cell r="G189">
            <v>0</v>
          </cell>
          <cell r="H189">
            <v>502</v>
          </cell>
        </row>
        <row r="190">
          <cell r="C190" t="str">
            <v>-</v>
          </cell>
          <cell r="D190" t="str">
            <v>-</v>
          </cell>
          <cell r="E190" t="str">
            <v>-</v>
          </cell>
          <cell r="F190" t="str">
            <v>-</v>
          </cell>
          <cell r="G190" t="str">
            <v>-</v>
          </cell>
          <cell r="H190" t="str">
            <v>-------------------</v>
          </cell>
        </row>
        <row r="192">
          <cell r="A192" t="str">
            <v>5020</v>
          </cell>
          <cell r="B192" t="str">
            <v>AIR TRAVEL</v>
          </cell>
          <cell r="C192">
            <v>0</v>
          </cell>
          <cell r="H192">
            <v>0</v>
          </cell>
        </row>
        <row r="193">
          <cell r="A193" t="str">
            <v>5030</v>
          </cell>
          <cell r="B193" t="str">
            <v>AUTO RENTAL</v>
          </cell>
          <cell r="C193">
            <v>0</v>
          </cell>
          <cell r="H193">
            <v>0</v>
          </cell>
        </row>
        <row r="194">
          <cell r="A194">
            <v>500006</v>
          </cell>
          <cell r="B194" t="str">
            <v>DATA PROCESSING</v>
          </cell>
          <cell r="C194">
            <v>270</v>
          </cell>
          <cell r="H194">
            <v>270</v>
          </cell>
        </row>
        <row r="195">
          <cell r="A195" t="str">
            <v>5110</v>
          </cell>
          <cell r="B195" t="str">
            <v>MEALS &amp; ENTERTAINMENT</v>
          </cell>
          <cell r="C195">
            <v>0</v>
          </cell>
          <cell r="H195">
            <v>0</v>
          </cell>
        </row>
        <row r="196">
          <cell r="A196" t="str">
            <v>5125</v>
          </cell>
          <cell r="B196" t="str">
            <v>CONSTRUCT INTEREST REIMB</v>
          </cell>
          <cell r="C196">
            <v>0</v>
          </cell>
          <cell r="H196">
            <v>0</v>
          </cell>
        </row>
        <row r="197">
          <cell r="A197" t="str">
            <v>5140</v>
          </cell>
          <cell r="B197" t="str">
            <v xml:space="preserve">EMPLOYEE TRAVEL EXPENSE                                                                                                    </v>
          </cell>
          <cell r="C197">
            <v>0</v>
          </cell>
          <cell r="H197">
            <v>0</v>
          </cell>
        </row>
        <row r="198">
          <cell r="A198" t="str">
            <v>5180</v>
          </cell>
          <cell r="B198" t="str">
            <v xml:space="preserve">INSURANCE                                                                                                                       </v>
          </cell>
          <cell r="C198">
            <v>0</v>
          </cell>
          <cell r="H198">
            <v>0</v>
          </cell>
        </row>
        <row r="199">
          <cell r="A199">
            <v>580001</v>
          </cell>
          <cell r="B199" t="str">
            <v>LEGAL</v>
          </cell>
          <cell r="C199">
            <v>33245</v>
          </cell>
          <cell r="H199">
            <v>33245</v>
          </cell>
        </row>
        <row r="200">
          <cell r="A200" t="str">
            <v>5240</v>
          </cell>
          <cell r="B200" t="str">
            <v xml:space="preserve">MISC EXPENSE                                                                                                                    </v>
          </cell>
          <cell r="C200">
            <v>0</v>
          </cell>
          <cell r="H200">
            <v>0</v>
          </cell>
        </row>
        <row r="201">
          <cell r="A201" t="str">
            <v>5280</v>
          </cell>
          <cell r="B201" t="str">
            <v xml:space="preserve">SALARIES                                                                                                                       </v>
          </cell>
          <cell r="C201">
            <v>0</v>
          </cell>
          <cell r="H201">
            <v>0</v>
          </cell>
        </row>
        <row r="202">
          <cell r="A202">
            <v>500029</v>
          </cell>
          <cell r="B202" t="str">
            <v>TAXES &amp; LICENSES</v>
          </cell>
          <cell r="C202">
            <v>0</v>
          </cell>
          <cell r="H202">
            <v>0</v>
          </cell>
        </row>
        <row r="203">
          <cell r="A203" t="str">
            <v>5390</v>
          </cell>
          <cell r="B203" t="str">
            <v>PAYROLL TAXES</v>
          </cell>
          <cell r="C203">
            <v>0</v>
          </cell>
          <cell r="H203">
            <v>0</v>
          </cell>
        </row>
        <row r="204">
          <cell r="A204" t="str">
            <v>5480</v>
          </cell>
          <cell r="B204" t="str">
            <v>PROFESSIONAL FEES</v>
          </cell>
          <cell r="C204">
            <v>15280</v>
          </cell>
          <cell r="H204">
            <v>15280</v>
          </cell>
        </row>
        <row r="205">
          <cell r="A205" t="str">
            <v>5740</v>
          </cell>
          <cell r="B205" t="str">
            <v xml:space="preserve">ADMIN - OPERATING                                                                                                               </v>
          </cell>
          <cell r="C205">
            <v>0</v>
          </cell>
          <cell r="H205">
            <v>0</v>
          </cell>
        </row>
        <row r="206">
          <cell r="A206" t="str">
            <v>5851</v>
          </cell>
          <cell r="B206" t="str">
            <v>TENENT UPFITS</v>
          </cell>
          <cell r="C206">
            <v>0</v>
          </cell>
          <cell r="H206">
            <v>0</v>
          </cell>
        </row>
        <row r="207">
          <cell r="A207" t="str">
            <v>5995</v>
          </cell>
          <cell r="B207" t="str">
            <v>LOC FEES</v>
          </cell>
          <cell r="C207">
            <v>0</v>
          </cell>
          <cell r="H207">
            <v>0</v>
          </cell>
        </row>
        <row r="208">
          <cell r="A208" t="str">
            <v xml:space="preserve">                                                                                                                                </v>
          </cell>
          <cell r="B208" t="str">
            <v xml:space="preserve">                                                                                                                                </v>
          </cell>
          <cell r="C208" t="str">
            <v>-</v>
          </cell>
          <cell r="D208" t="str">
            <v>-</v>
          </cell>
          <cell r="E208" t="str">
            <v>-</v>
          </cell>
          <cell r="F208" t="str">
            <v>-</v>
          </cell>
          <cell r="G208" t="str">
            <v>-</v>
          </cell>
          <cell r="H208" t="str">
            <v>-</v>
          </cell>
        </row>
        <row r="209">
          <cell r="A209" t="str">
            <v xml:space="preserve">                                                                                                                                </v>
          </cell>
          <cell r="B209" t="str">
            <v>TOTAL SG &amp; A</v>
          </cell>
          <cell r="C209">
            <v>48795</v>
          </cell>
          <cell r="E209">
            <v>0</v>
          </cell>
          <cell r="G209">
            <v>0</v>
          </cell>
          <cell r="H209">
            <v>48795</v>
          </cell>
        </row>
        <row r="211">
          <cell r="A211">
            <v>900006</v>
          </cell>
          <cell r="B211" t="str">
            <v>INTEREST EXP</v>
          </cell>
          <cell r="C211">
            <v>181705</v>
          </cell>
          <cell r="H211">
            <v>181705</v>
          </cell>
        </row>
        <row r="212">
          <cell r="A212">
            <v>900001</v>
          </cell>
          <cell r="B212" t="str">
            <v>DEPRECIATION</v>
          </cell>
          <cell r="C212">
            <v>49050</v>
          </cell>
          <cell r="H212">
            <v>49050</v>
          </cell>
        </row>
        <row r="213">
          <cell r="A213">
            <v>900003</v>
          </cell>
          <cell r="B213" t="str">
            <v>CONTRA DEPRECIATION</v>
          </cell>
          <cell r="C213">
            <v>-2065486</v>
          </cell>
          <cell r="H213">
            <v>-2065486</v>
          </cell>
        </row>
        <row r="214">
          <cell r="C214" t="str">
            <v>-</v>
          </cell>
          <cell r="D214" t="str">
            <v>-</v>
          </cell>
          <cell r="E214" t="str">
            <v>-</v>
          </cell>
          <cell r="F214" t="str">
            <v>-</v>
          </cell>
          <cell r="G214" t="str">
            <v>-</v>
          </cell>
          <cell r="H214" t="str">
            <v>-</v>
          </cell>
        </row>
        <row r="215">
          <cell r="B215" t="str">
            <v>SUBTOTAL DEPR &amp; INTEREST</v>
          </cell>
          <cell r="C215">
            <v>-1834731</v>
          </cell>
          <cell r="E215">
            <v>0</v>
          </cell>
          <cell r="G215">
            <v>0</v>
          </cell>
          <cell r="H215">
            <v>-1834731</v>
          </cell>
        </row>
        <row r="216">
          <cell r="C216" t="str">
            <v>-</v>
          </cell>
          <cell r="D216" t="str">
            <v>-</v>
          </cell>
          <cell r="E216" t="str">
            <v>-</v>
          </cell>
          <cell r="F216" t="str">
            <v>-</v>
          </cell>
          <cell r="G216" t="str">
            <v>-</v>
          </cell>
          <cell r="H216" t="str">
            <v>-</v>
          </cell>
        </row>
        <row r="218">
          <cell r="A218" t="str">
            <v xml:space="preserve">                                                                                                                                </v>
          </cell>
          <cell r="B218" t="str">
            <v xml:space="preserve">CURRENT YEAR EARNINGS                                                                                                           </v>
          </cell>
          <cell r="C218">
            <v>-2349093</v>
          </cell>
          <cell r="E218">
            <v>0</v>
          </cell>
          <cell r="G218">
            <v>0</v>
          </cell>
          <cell r="H218">
            <v>-2349093</v>
          </cell>
        </row>
        <row r="219">
          <cell r="A219" t="str">
            <v xml:space="preserve">                                                                                                                                </v>
          </cell>
          <cell r="B219" t="str">
            <v xml:space="preserve">                                                                                                                                </v>
          </cell>
          <cell r="C219" t="str">
            <v>=</v>
          </cell>
          <cell r="D219" t="str">
            <v>=</v>
          </cell>
          <cell r="E219" t="str">
            <v>=</v>
          </cell>
          <cell r="F219" t="str">
            <v>=</v>
          </cell>
          <cell r="G219" t="str">
            <v>=</v>
          </cell>
          <cell r="H219" t="str">
            <v>===================</v>
          </cell>
        </row>
        <row r="221">
          <cell r="A221" t="str">
            <v xml:space="preserve">                                                                                                                                </v>
          </cell>
          <cell r="B221" t="str">
            <v xml:space="preserve">ASSETS                                                                                                                          </v>
          </cell>
        </row>
        <row r="222">
          <cell r="A222" t="str">
            <v xml:space="preserve">                                                                                                                                </v>
          </cell>
          <cell r="B222" t="str">
            <v xml:space="preserve">------                                                                                                                          </v>
          </cell>
        </row>
        <row r="223">
          <cell r="A223" t="str">
            <v>1000</v>
          </cell>
          <cell r="B223" t="str">
            <v xml:space="preserve">CASH                                                                                                                            </v>
          </cell>
          <cell r="C223">
            <v>0</v>
          </cell>
          <cell r="H223">
            <v>0</v>
          </cell>
        </row>
        <row r="224">
          <cell r="A224">
            <v>113000</v>
          </cell>
          <cell r="B224" t="str">
            <v>A/R HILTON MGMT FEES</v>
          </cell>
          <cell r="C224">
            <v>0</v>
          </cell>
          <cell r="E224">
            <v>0</v>
          </cell>
          <cell r="H224">
            <v>0</v>
          </cell>
        </row>
        <row r="225">
          <cell r="B225" t="str">
            <v>Distribution Receivable</v>
          </cell>
          <cell r="C225">
            <v>0</v>
          </cell>
          <cell r="H225">
            <v>0</v>
          </cell>
        </row>
        <row r="226">
          <cell r="B226" t="str">
            <v>A/R TENANTS</v>
          </cell>
          <cell r="C226">
            <v>0</v>
          </cell>
          <cell r="H226">
            <v>0</v>
          </cell>
        </row>
        <row r="227">
          <cell r="B227" t="str">
            <v>INVENTORY</v>
          </cell>
          <cell r="C227">
            <v>0</v>
          </cell>
          <cell r="H227">
            <v>0</v>
          </cell>
        </row>
        <row r="228">
          <cell r="A228" t="str">
            <v xml:space="preserve">                                                                                                                                </v>
          </cell>
          <cell r="B228" t="str">
            <v xml:space="preserve">                                                                                                                                </v>
          </cell>
          <cell r="C228" t="str">
            <v>-</v>
          </cell>
          <cell r="D228" t="str">
            <v>-</v>
          </cell>
          <cell r="E228" t="str">
            <v>-</v>
          </cell>
          <cell r="F228" t="str">
            <v>-</v>
          </cell>
          <cell r="G228" t="str">
            <v>-</v>
          </cell>
          <cell r="H228" t="str">
            <v>-</v>
          </cell>
        </row>
        <row r="229">
          <cell r="A229" t="str">
            <v xml:space="preserve">                                                                                                                                </v>
          </cell>
          <cell r="B229" t="str">
            <v>SUB TOTAL CURRENT ASSETS</v>
          </cell>
          <cell r="C229">
            <v>0</v>
          </cell>
          <cell r="E229">
            <v>0</v>
          </cell>
          <cell r="G229">
            <v>0</v>
          </cell>
          <cell r="H229">
            <v>0</v>
          </cell>
        </row>
        <row r="230">
          <cell r="A230" t="str">
            <v xml:space="preserve">                                                                                                                                </v>
          </cell>
          <cell r="B230" t="str">
            <v xml:space="preserve">                                                                                                                                </v>
          </cell>
          <cell r="C230" t="str">
            <v>-</v>
          </cell>
          <cell r="D230" t="str">
            <v>-</v>
          </cell>
          <cell r="E230" t="str">
            <v>-</v>
          </cell>
          <cell r="F230" t="str">
            <v>-</v>
          </cell>
          <cell r="G230" t="str">
            <v>-</v>
          </cell>
          <cell r="H230" t="str">
            <v>-------------------</v>
          </cell>
        </row>
        <row r="232">
          <cell r="A232" t="str">
            <v>1450-01</v>
          </cell>
          <cell r="B232" t="str">
            <v xml:space="preserve">INTERCO </v>
          </cell>
          <cell r="H232">
            <v>0</v>
          </cell>
        </row>
        <row r="233">
          <cell r="A233" t="str">
            <v>1450-01</v>
          </cell>
          <cell r="B233" t="str">
            <v>INTERCO - HDI</v>
          </cell>
          <cell r="C233">
            <v>0</v>
          </cell>
          <cell r="H233">
            <v>0</v>
          </cell>
        </row>
        <row r="234">
          <cell r="A234" t="str">
            <v>1450-02</v>
          </cell>
          <cell r="B234" t="str">
            <v xml:space="preserve">          DESIGN/BUILD</v>
          </cell>
          <cell r="C234">
            <v>0</v>
          </cell>
          <cell r="H234">
            <v>0</v>
          </cell>
        </row>
        <row r="235">
          <cell r="A235" t="str">
            <v>1450-03</v>
          </cell>
          <cell r="B235" t="str">
            <v xml:space="preserve">          HOSPITALS</v>
          </cell>
          <cell r="C235">
            <v>0</v>
          </cell>
          <cell r="H235">
            <v>0</v>
          </cell>
        </row>
        <row r="236">
          <cell r="A236">
            <v>145007</v>
          </cell>
          <cell r="B236" t="str">
            <v xml:space="preserve">          CORPORATE</v>
          </cell>
          <cell r="C236">
            <v>19092258</v>
          </cell>
          <cell r="H236">
            <v>19092258</v>
          </cell>
        </row>
        <row r="237">
          <cell r="B237" t="str">
            <v xml:space="preserve">          MN RETAIL</v>
          </cell>
          <cell r="C237">
            <v>0</v>
          </cell>
          <cell r="H237">
            <v>0</v>
          </cell>
        </row>
        <row r="238">
          <cell r="A238" t="str">
            <v xml:space="preserve">                                                                                                                                </v>
          </cell>
          <cell r="B238" t="str">
            <v xml:space="preserve">                                                                                                                                </v>
          </cell>
          <cell r="C238" t="str">
            <v>-</v>
          </cell>
          <cell r="D238" t="str">
            <v>-</v>
          </cell>
          <cell r="E238" t="str">
            <v>-</v>
          </cell>
          <cell r="F238" t="str">
            <v>-</v>
          </cell>
          <cell r="G238" t="str">
            <v>-</v>
          </cell>
          <cell r="H238" t="str">
            <v>-</v>
          </cell>
        </row>
        <row r="239">
          <cell r="A239" t="str">
            <v xml:space="preserve">                                                                                                                                </v>
          </cell>
          <cell r="B239" t="str">
            <v xml:space="preserve">SUB TOTAL I/C                                                                                                                   </v>
          </cell>
          <cell r="C239">
            <v>19092258</v>
          </cell>
          <cell r="E239">
            <v>0</v>
          </cell>
          <cell r="G239">
            <v>0</v>
          </cell>
          <cell r="H239">
            <v>19092258</v>
          </cell>
        </row>
        <row r="240">
          <cell r="C240" t="str">
            <v>-</v>
          </cell>
          <cell r="D240" t="str">
            <v>-</v>
          </cell>
          <cell r="E240" t="str">
            <v>-</v>
          </cell>
          <cell r="F240" t="str">
            <v>-</v>
          </cell>
          <cell r="G240" t="str">
            <v>-</v>
          </cell>
          <cell r="H240" t="str">
            <v>-------------------</v>
          </cell>
        </row>
        <row r="242">
          <cell r="A242" t="str">
            <v>1461</v>
          </cell>
          <cell r="B242" t="str">
            <v>CONSTRUCTION IN PROGRESS</v>
          </cell>
          <cell r="C242">
            <v>0</v>
          </cell>
          <cell r="H242">
            <v>0</v>
          </cell>
        </row>
        <row r="243">
          <cell r="A243">
            <v>172000</v>
          </cell>
          <cell r="B243" t="str">
            <v>BOILER/CHILLERS</v>
          </cell>
          <cell r="C243">
            <v>1635000</v>
          </cell>
          <cell r="H243">
            <v>1635000</v>
          </cell>
        </row>
        <row r="244">
          <cell r="A244" t="str">
            <v>1610</v>
          </cell>
          <cell r="B244" t="str">
            <v>RETAIL MALL</v>
          </cell>
          <cell r="C244">
            <v>0</v>
          </cell>
          <cell r="H244">
            <v>0</v>
          </cell>
        </row>
        <row r="245">
          <cell r="A245" t="str">
            <v>1540</v>
          </cell>
          <cell r="B245" t="str">
            <v>FF&amp;E</v>
          </cell>
          <cell r="C245">
            <v>0</v>
          </cell>
          <cell r="H245">
            <v>0</v>
          </cell>
        </row>
        <row r="246">
          <cell r="A246">
            <v>151500</v>
          </cell>
          <cell r="B246" t="str">
            <v>DATA PROCESSING EQUIP</v>
          </cell>
          <cell r="C246">
            <v>0</v>
          </cell>
          <cell r="H246">
            <v>0</v>
          </cell>
        </row>
        <row r="247">
          <cell r="C247" t="str">
            <v>-</v>
          </cell>
          <cell r="D247" t="str">
            <v>-</v>
          </cell>
          <cell r="E247" t="str">
            <v>-</v>
          </cell>
          <cell r="F247" t="str">
            <v>-</v>
          </cell>
          <cell r="G247" t="str">
            <v>-</v>
          </cell>
          <cell r="H247" t="str">
            <v>-</v>
          </cell>
        </row>
        <row r="248">
          <cell r="B248" t="str">
            <v>SUB TOTAL FIXED ASSETS</v>
          </cell>
          <cell r="C248">
            <v>1635000</v>
          </cell>
          <cell r="E248">
            <v>0</v>
          </cell>
          <cell r="G248">
            <v>0</v>
          </cell>
          <cell r="H248">
            <v>1635000</v>
          </cell>
        </row>
        <row r="249">
          <cell r="C249" t="str">
            <v>-</v>
          </cell>
          <cell r="D249" t="str">
            <v>-</v>
          </cell>
          <cell r="E249" t="str">
            <v>-</v>
          </cell>
          <cell r="F249" t="str">
            <v>-</v>
          </cell>
          <cell r="G249" t="str">
            <v>-</v>
          </cell>
          <cell r="H249" t="str">
            <v>-------------------</v>
          </cell>
        </row>
        <row r="251">
          <cell r="A251">
            <v>172500</v>
          </cell>
          <cell r="B251" t="str">
            <v>ACCUM. DEPR - BOILER/CHILLER</v>
          </cell>
          <cell r="C251">
            <v>-452350</v>
          </cell>
          <cell r="H251">
            <v>-452350</v>
          </cell>
        </row>
        <row r="252">
          <cell r="A252" t="str">
            <v>1880</v>
          </cell>
          <cell r="B252" t="str">
            <v>ACCUM. DEPR -BLDG &amp; IMPROVEMENTS</v>
          </cell>
          <cell r="C252">
            <v>0</v>
          </cell>
          <cell r="H252">
            <v>0</v>
          </cell>
        </row>
        <row r="253">
          <cell r="A253">
            <v>160015</v>
          </cell>
          <cell r="B253" t="str">
            <v>ACCUM. DEPR -DP EQUIP</v>
          </cell>
          <cell r="C253">
            <v>0</v>
          </cell>
          <cell r="H253">
            <v>0</v>
          </cell>
        </row>
        <row r="254">
          <cell r="C254" t="str">
            <v>-</v>
          </cell>
          <cell r="D254" t="str">
            <v>-</v>
          </cell>
          <cell r="E254" t="str">
            <v>-</v>
          </cell>
          <cell r="F254" t="str">
            <v>-</v>
          </cell>
          <cell r="G254" t="str">
            <v>-</v>
          </cell>
          <cell r="H254" t="str">
            <v>-</v>
          </cell>
        </row>
        <row r="255">
          <cell r="C255">
            <v>-452350</v>
          </cell>
          <cell r="E255">
            <v>0</v>
          </cell>
          <cell r="G255">
            <v>0</v>
          </cell>
          <cell r="H255">
            <v>-452350</v>
          </cell>
        </row>
        <row r="256">
          <cell r="C256" t="str">
            <v>-</v>
          </cell>
          <cell r="D256" t="str">
            <v>-</v>
          </cell>
          <cell r="E256" t="str">
            <v>-</v>
          </cell>
          <cell r="F256" t="str">
            <v>-</v>
          </cell>
          <cell r="G256" t="str">
            <v>-</v>
          </cell>
          <cell r="H256" t="str">
            <v>-------------------</v>
          </cell>
        </row>
        <row r="257">
          <cell r="A257">
            <v>173000</v>
          </cell>
          <cell r="B257" t="str">
            <v>NON-EQUITY SHARHLDR CONTR</v>
          </cell>
          <cell r="C257">
            <v>0</v>
          </cell>
          <cell r="H257">
            <v>0</v>
          </cell>
        </row>
        <row r="258">
          <cell r="B258" t="str">
            <v>- BUILDING</v>
          </cell>
          <cell r="C258">
            <v>-25081196</v>
          </cell>
          <cell r="H258">
            <v>-25081196</v>
          </cell>
        </row>
        <row r="259">
          <cell r="B259" t="str">
            <v>- FF&amp;E</v>
          </cell>
          <cell r="C259">
            <v>-14876279</v>
          </cell>
          <cell r="H259">
            <v>-14876279</v>
          </cell>
        </row>
        <row r="260">
          <cell r="B260" t="str">
            <v>-TOOLS &amp; EQUIPMENT</v>
          </cell>
          <cell r="C260">
            <v>-3381111</v>
          </cell>
          <cell r="H260">
            <v>-3381111</v>
          </cell>
        </row>
        <row r="261">
          <cell r="B261" t="str">
            <v>-HEAVY EQUIMENT</v>
          </cell>
          <cell r="C261">
            <v>-567049</v>
          </cell>
          <cell r="H261">
            <v>-567049</v>
          </cell>
        </row>
        <row r="262">
          <cell r="B262" t="str">
            <v>- RETAIL MALL</v>
          </cell>
          <cell r="C262">
            <v>-773080</v>
          </cell>
          <cell r="H262">
            <v>-773080</v>
          </cell>
        </row>
        <row r="263">
          <cell r="A263" t="str">
            <v xml:space="preserve">                                                                                                                                </v>
          </cell>
          <cell r="C263" t="str">
            <v>-</v>
          </cell>
          <cell r="D263" t="str">
            <v>-</v>
          </cell>
          <cell r="E263" t="str">
            <v>-</v>
          </cell>
          <cell r="F263" t="str">
            <v>-</v>
          </cell>
          <cell r="G263" t="str">
            <v>-</v>
          </cell>
          <cell r="H263" t="str">
            <v>-</v>
          </cell>
        </row>
        <row r="264">
          <cell r="A264" t="str">
            <v xml:space="preserve">                                                                                                                                </v>
          </cell>
          <cell r="B264" t="str">
            <v>NET NESC</v>
          </cell>
          <cell r="C264">
            <v>-44678715</v>
          </cell>
          <cell r="E264">
            <v>0</v>
          </cell>
          <cell r="G264">
            <v>0</v>
          </cell>
          <cell r="H264">
            <v>-44678715</v>
          </cell>
        </row>
        <row r="265">
          <cell r="C265" t="str">
            <v>-</v>
          </cell>
          <cell r="D265" t="str">
            <v>-</v>
          </cell>
          <cell r="E265" t="str">
            <v>-</v>
          </cell>
          <cell r="F265" t="str">
            <v>-</v>
          </cell>
          <cell r="G265" t="str">
            <v>-</v>
          </cell>
          <cell r="H265" t="str">
            <v>-</v>
          </cell>
        </row>
        <row r="267">
          <cell r="A267">
            <v>173500</v>
          </cell>
          <cell r="B267" t="str">
            <v>CONTRA NESC (accum amort)</v>
          </cell>
          <cell r="C267">
            <v>19033874</v>
          </cell>
          <cell r="H267">
            <v>19033874</v>
          </cell>
        </row>
        <row r="268">
          <cell r="A268" t="str">
            <v xml:space="preserve">                                                                                                                                </v>
          </cell>
          <cell r="B268" t="str">
            <v xml:space="preserve">                                                                                                                                </v>
          </cell>
          <cell r="C268" t="str">
            <v>-</v>
          </cell>
          <cell r="D268" t="str">
            <v>-</v>
          </cell>
          <cell r="E268" t="str">
            <v>-</v>
          </cell>
          <cell r="F268" t="str">
            <v>-</v>
          </cell>
          <cell r="G268" t="str">
            <v>-</v>
          </cell>
          <cell r="H268" t="str">
            <v>-</v>
          </cell>
        </row>
        <row r="269">
          <cell r="C269">
            <v>19033874</v>
          </cell>
          <cell r="E269">
            <v>0</v>
          </cell>
          <cell r="G269">
            <v>0</v>
          </cell>
          <cell r="H269">
            <v>19033874</v>
          </cell>
        </row>
        <row r="270">
          <cell r="C270" t="str">
            <v>-</v>
          </cell>
          <cell r="D270" t="str">
            <v>-</v>
          </cell>
          <cell r="E270" t="str">
            <v>-</v>
          </cell>
          <cell r="F270" t="str">
            <v>-</v>
          </cell>
          <cell r="G270" t="str">
            <v>-</v>
          </cell>
          <cell r="H270" t="str">
            <v>-</v>
          </cell>
        </row>
        <row r="272">
          <cell r="A272" t="str">
            <v xml:space="preserve">                                                                                                                                </v>
          </cell>
          <cell r="B272" t="str">
            <v xml:space="preserve">TOTAL ASSETS                                                                                                                    </v>
          </cell>
          <cell r="C272">
            <v>-5369933</v>
          </cell>
          <cell r="E272">
            <v>0</v>
          </cell>
          <cell r="G272">
            <v>0</v>
          </cell>
          <cell r="H272">
            <v>-5369933</v>
          </cell>
        </row>
        <row r="273">
          <cell r="A273" t="str">
            <v xml:space="preserve">                                                                                                                                </v>
          </cell>
          <cell r="B273" t="str">
            <v xml:space="preserve">                                                                                                                                </v>
          </cell>
          <cell r="C273" t="str">
            <v>=</v>
          </cell>
          <cell r="D273" t="str">
            <v>=</v>
          </cell>
          <cell r="E273" t="str">
            <v>=</v>
          </cell>
          <cell r="F273" t="str">
            <v>=</v>
          </cell>
          <cell r="G273" t="str">
            <v>=</v>
          </cell>
          <cell r="H273" t="str">
            <v>===================</v>
          </cell>
        </row>
        <row r="274">
          <cell r="A274" t="str">
            <v xml:space="preserve">                                                                                                                                </v>
          </cell>
          <cell r="B274" t="str">
            <v xml:space="preserve">                                                                                                                                </v>
          </cell>
        </row>
        <row r="275">
          <cell r="A275" t="str">
            <v xml:space="preserve">                                                                                                                                </v>
          </cell>
          <cell r="B275" t="str">
            <v xml:space="preserve">LIABILITIES &amp; EQUITY                                                                                                            </v>
          </cell>
        </row>
        <row r="276">
          <cell r="A276" t="str">
            <v xml:space="preserve">                                                                                                                                </v>
          </cell>
          <cell r="B276" t="str">
            <v xml:space="preserve">--------------------                                                                                                            </v>
          </cell>
        </row>
        <row r="278">
          <cell r="B278" t="str">
            <v xml:space="preserve">LIABILITIES                                                                                                             </v>
          </cell>
        </row>
        <row r="279">
          <cell r="B279" t="str">
            <v xml:space="preserve">-----------                                                                                                            </v>
          </cell>
        </row>
        <row r="280">
          <cell r="B280" t="str">
            <v>CURR MAT L.T. DEBT</v>
          </cell>
          <cell r="C280">
            <v>0</v>
          </cell>
          <cell r="H280">
            <v>0</v>
          </cell>
        </row>
        <row r="281">
          <cell r="A281">
            <v>210007</v>
          </cell>
          <cell r="B281" t="str">
            <v xml:space="preserve">ACCOUNTS PAYABLE                                                                                                                </v>
          </cell>
          <cell r="C281">
            <v>-1334399</v>
          </cell>
          <cell r="H281">
            <v>-1334399</v>
          </cell>
        </row>
        <row r="282">
          <cell r="A282">
            <v>203000</v>
          </cell>
          <cell r="B282" t="str">
            <v>PAYABLE TO Hilton</v>
          </cell>
          <cell r="H282">
            <v>0</v>
          </cell>
        </row>
        <row r="283">
          <cell r="A283" t="str">
            <v>2170</v>
          </cell>
          <cell r="B283" t="str">
            <v>REFUNDABLE SECURITY DEPOSITS</v>
          </cell>
          <cell r="C283">
            <v>0</v>
          </cell>
          <cell r="H283">
            <v>0</v>
          </cell>
        </row>
        <row r="284">
          <cell r="A284" t="str">
            <v>2010</v>
          </cell>
          <cell r="B284" t="str">
            <v>DISTRIBUTION PAYABLE</v>
          </cell>
          <cell r="C284">
            <v>0</v>
          </cell>
          <cell r="H284">
            <v>0</v>
          </cell>
        </row>
        <row r="285">
          <cell r="A285">
            <v>260001</v>
          </cell>
          <cell r="B285" t="str">
            <v>PREPAID BOILER/CHILLER</v>
          </cell>
          <cell r="C285">
            <v>182869</v>
          </cell>
          <cell r="H285">
            <v>182869</v>
          </cell>
        </row>
        <row r="286">
          <cell r="C286" t="str">
            <v>-</v>
          </cell>
          <cell r="D286" t="str">
            <v>-</v>
          </cell>
          <cell r="E286" t="str">
            <v>-</v>
          </cell>
          <cell r="F286" t="str">
            <v>-</v>
          </cell>
          <cell r="G286" t="str">
            <v>-</v>
          </cell>
          <cell r="H286" t="str">
            <v>-------------------</v>
          </cell>
        </row>
        <row r="287">
          <cell r="B287" t="str">
            <v>SUB TOTAL CURRENT LIAB.</v>
          </cell>
          <cell r="C287">
            <v>-1151530</v>
          </cell>
          <cell r="E287">
            <v>0</v>
          </cell>
          <cell r="G287">
            <v>0</v>
          </cell>
          <cell r="H287">
            <v>-1151530</v>
          </cell>
        </row>
        <row r="288">
          <cell r="C288" t="str">
            <v>-</v>
          </cell>
          <cell r="D288" t="str">
            <v>-</v>
          </cell>
          <cell r="E288" t="str">
            <v>-</v>
          </cell>
          <cell r="F288" t="str">
            <v>-</v>
          </cell>
          <cell r="G288" t="str">
            <v>-</v>
          </cell>
          <cell r="H288" t="str">
            <v>-------------------</v>
          </cell>
        </row>
        <row r="290">
          <cell r="A290">
            <v>282000</v>
          </cell>
          <cell r="B290" t="str">
            <v>OBLIGATN CAP LSE BOIL/CHL</v>
          </cell>
          <cell r="C290">
            <v>-756320</v>
          </cell>
          <cell r="H290">
            <v>-756320</v>
          </cell>
        </row>
        <row r="291">
          <cell r="A291" t="str">
            <v>2205</v>
          </cell>
          <cell r="B291" t="str">
            <v>LONG TERM DEBT UDAG</v>
          </cell>
          <cell r="C291">
            <v>0</v>
          </cell>
          <cell r="H291">
            <v>0</v>
          </cell>
        </row>
        <row r="292">
          <cell r="B292" t="str">
            <v>LONG TERM DEBT MITSUI BNK</v>
          </cell>
          <cell r="C292">
            <v>0</v>
          </cell>
          <cell r="H292">
            <v>0</v>
          </cell>
        </row>
        <row r="293">
          <cell r="C293" t="str">
            <v>-</v>
          </cell>
          <cell r="D293" t="str">
            <v>-</v>
          </cell>
          <cell r="E293" t="str">
            <v>-</v>
          </cell>
          <cell r="F293" t="str">
            <v>-</v>
          </cell>
          <cell r="G293" t="str">
            <v>-</v>
          </cell>
          <cell r="H293" t="str">
            <v>-------------------</v>
          </cell>
        </row>
        <row r="294">
          <cell r="B294" t="str">
            <v>SUB TOTAL NON-CURR LIAB</v>
          </cell>
          <cell r="C294">
            <v>-756320</v>
          </cell>
          <cell r="E294">
            <v>0</v>
          </cell>
          <cell r="G294">
            <v>0</v>
          </cell>
          <cell r="H294">
            <v>-756320</v>
          </cell>
        </row>
        <row r="295">
          <cell r="C295" t="str">
            <v>-</v>
          </cell>
          <cell r="D295" t="str">
            <v>-</v>
          </cell>
          <cell r="E295" t="str">
            <v>-</v>
          </cell>
          <cell r="F295" t="str">
            <v>-</v>
          </cell>
          <cell r="G295" t="str">
            <v>-</v>
          </cell>
          <cell r="H295" t="str">
            <v>-------------------</v>
          </cell>
        </row>
        <row r="297">
          <cell r="B297" t="str">
            <v>TOTAL LIABILITES</v>
          </cell>
          <cell r="C297">
            <v>-1907850</v>
          </cell>
          <cell r="E297">
            <v>0</v>
          </cell>
          <cell r="G297">
            <v>0</v>
          </cell>
          <cell r="H297">
            <v>-1907850</v>
          </cell>
        </row>
        <row r="298">
          <cell r="C298" t="str">
            <v>-</v>
          </cell>
          <cell r="D298" t="str">
            <v>-</v>
          </cell>
          <cell r="E298" t="str">
            <v>-</v>
          </cell>
          <cell r="F298" t="str">
            <v>-</v>
          </cell>
          <cell r="G298" t="str">
            <v>-</v>
          </cell>
          <cell r="H298" t="str">
            <v>-------------------</v>
          </cell>
        </row>
        <row r="299">
          <cell r="C299">
            <v>-1907850</v>
          </cell>
          <cell r="H299">
            <v>-27304112</v>
          </cell>
        </row>
        <row r="300">
          <cell r="B300" t="str">
            <v>SHAREHOLDERS EQUITY</v>
          </cell>
        </row>
        <row r="301">
          <cell r="B301" t="str">
            <v>-------------------</v>
          </cell>
        </row>
        <row r="302">
          <cell r="A302">
            <v>292000</v>
          </cell>
          <cell r="B302" t="str">
            <v>OPERATING CONTROL</v>
          </cell>
          <cell r="C302">
            <v>40872198.619999997</v>
          </cell>
          <cell r="H302">
            <v>40872198.619999997</v>
          </cell>
        </row>
        <row r="303">
          <cell r="A303">
            <v>291000</v>
          </cell>
          <cell r="B303" t="str">
            <v xml:space="preserve">COMMON STOCK                                                                                                                    </v>
          </cell>
          <cell r="C303">
            <v>-10</v>
          </cell>
          <cell r="H303">
            <v>-10</v>
          </cell>
        </row>
        <row r="304">
          <cell r="A304">
            <v>294000</v>
          </cell>
          <cell r="B304" t="str">
            <v>ADDITIONAL PD-IN CAPITAL</v>
          </cell>
          <cell r="C304">
            <v>-2499990</v>
          </cell>
          <cell r="H304">
            <v>-2499990</v>
          </cell>
        </row>
        <row r="305">
          <cell r="A305" t="str">
            <v>2905</v>
          </cell>
          <cell r="B305" t="str">
            <v>DISTRIBUTIONS(current)</v>
          </cell>
          <cell r="C305">
            <v>-1441211</v>
          </cell>
          <cell r="H305">
            <v>-1441211</v>
          </cell>
        </row>
        <row r="306">
          <cell r="B306" t="str">
            <v>DISTRIBUTIONS(prior)</v>
          </cell>
          <cell r="C306">
            <v>-9022243</v>
          </cell>
          <cell r="H306">
            <v>-9022243</v>
          </cell>
        </row>
        <row r="307">
          <cell r="A307">
            <v>299000</v>
          </cell>
          <cell r="B307" t="str">
            <v>RETAINED EARNINGS                                                                                                               f1</v>
          </cell>
          <cell r="C307">
            <v>-18281869</v>
          </cell>
          <cell r="H307">
            <v>-18281869</v>
          </cell>
        </row>
        <row r="308">
          <cell r="A308" t="str">
            <v xml:space="preserve">                                                                                                                                </v>
          </cell>
          <cell r="B308" t="str">
            <v xml:space="preserve">CURRENT YEAR EARNINGS                                                                                                           </v>
          </cell>
          <cell r="C308">
            <v>-2349093</v>
          </cell>
          <cell r="H308">
            <v>-2349093</v>
          </cell>
        </row>
        <row r="309">
          <cell r="A309" t="str">
            <v xml:space="preserve">                                                                                                                                </v>
          </cell>
          <cell r="B309" t="str">
            <v xml:space="preserve">                                                                                                                                </v>
          </cell>
          <cell r="C309" t="str">
            <v>-</v>
          </cell>
          <cell r="D309" t="str">
            <v>-</v>
          </cell>
          <cell r="E309" t="str">
            <v>-</v>
          </cell>
          <cell r="F309" t="str">
            <v>-</v>
          </cell>
          <cell r="G309" t="str">
            <v>-</v>
          </cell>
          <cell r="H309" t="str">
            <v>-------------------</v>
          </cell>
        </row>
        <row r="310">
          <cell r="B310" t="str">
            <v>TOTAL SHAREHOLDERS EQUITY</v>
          </cell>
          <cell r="C310">
            <v>7277782.6199999973</v>
          </cell>
          <cell r="E310">
            <v>0</v>
          </cell>
          <cell r="G310">
            <v>0</v>
          </cell>
          <cell r="H310">
            <v>7277782.6199999973</v>
          </cell>
        </row>
        <row r="311">
          <cell r="C311" t="str">
            <v>-</v>
          </cell>
          <cell r="D311" t="str">
            <v>-</v>
          </cell>
          <cell r="E311" t="str">
            <v>-</v>
          </cell>
          <cell r="F311" t="str">
            <v>-</v>
          </cell>
          <cell r="G311" t="str">
            <v>-</v>
          </cell>
          <cell r="H311" t="str">
            <v>-------------------</v>
          </cell>
        </row>
        <row r="313">
          <cell r="A313" t="str">
            <v xml:space="preserve">                                                                                                                                </v>
          </cell>
          <cell r="B313" t="str">
            <v xml:space="preserve">TOTAL LIAB &amp; EQUITY                                                                                                             </v>
          </cell>
          <cell r="C313">
            <v>5369932.6199999973</v>
          </cell>
          <cell r="E313">
            <v>0</v>
          </cell>
          <cell r="G313">
            <v>0</v>
          </cell>
          <cell r="H313">
            <v>5369932.6199999973</v>
          </cell>
        </row>
        <row r="314">
          <cell r="A314" t="str">
            <v xml:space="preserve">                                                                                                                                </v>
          </cell>
          <cell r="B314" t="str">
            <v xml:space="preserve">                                                                                                                                </v>
          </cell>
          <cell r="C314" t="str">
            <v>=</v>
          </cell>
          <cell r="D314" t="str">
            <v>=</v>
          </cell>
          <cell r="E314" t="str">
            <v>=</v>
          </cell>
          <cell r="F314" t="str">
            <v>=</v>
          </cell>
          <cell r="G314" t="str">
            <v>=</v>
          </cell>
          <cell r="H314" t="str">
            <v>===================</v>
          </cell>
        </row>
        <row r="315">
          <cell r="C315">
            <v>-0.38000000268220901</v>
          </cell>
          <cell r="H315">
            <v>-0.38000000268220901</v>
          </cell>
        </row>
        <row r="318">
          <cell r="A318" t="str">
            <v>RETAIL RENTAL (SKYLINE)</v>
          </cell>
          <cell r="C318" t="str">
            <v>03/31/1999</v>
          </cell>
        </row>
        <row r="319">
          <cell r="A319" t="str">
            <v>---------------------------</v>
          </cell>
          <cell r="B319" t="str">
            <v>-----------------------------</v>
          </cell>
        </row>
        <row r="320">
          <cell r="C320" t="str">
            <v>GENERAL</v>
          </cell>
          <cell r="H320">
            <v>36525</v>
          </cell>
        </row>
        <row r="321">
          <cell r="C321" t="str">
            <v>LEDGER</v>
          </cell>
          <cell r="D321" t="str">
            <v xml:space="preserve">         DEBIT</v>
          </cell>
          <cell r="F321" t="str">
            <v xml:space="preserve">         CREDIT</v>
          </cell>
          <cell r="H321" t="str">
            <v>ADJUSTED</v>
          </cell>
        </row>
        <row r="322">
          <cell r="A322" t="str">
            <v>ACCOUNT CODE</v>
          </cell>
          <cell r="B322" t="str">
            <v>ACCOUNT DESCRIPTION</v>
          </cell>
          <cell r="C322" t="str">
            <v>BALANCE</v>
          </cell>
          <cell r="D322" t="str">
            <v>NUMBER</v>
          </cell>
          <cell r="E322" t="str">
            <v>AMOUNT</v>
          </cell>
          <cell r="F322" t="str">
            <v>NUMBER</v>
          </cell>
          <cell r="G322" t="str">
            <v>AMOUNT</v>
          </cell>
          <cell r="H322" t="str">
            <v>BALANCE</v>
          </cell>
        </row>
        <row r="323">
          <cell r="A323" t="str">
            <v>-</v>
          </cell>
          <cell r="B323" t="str">
            <v>-</v>
          </cell>
          <cell r="C323" t="str">
            <v>-</v>
          </cell>
          <cell r="D323" t="str">
            <v>-</v>
          </cell>
          <cell r="E323" t="str">
            <v>-</v>
          </cell>
          <cell r="F323" t="str">
            <v>-</v>
          </cell>
          <cell r="G323" t="str">
            <v>-</v>
          </cell>
          <cell r="H323" t="str">
            <v>-------------------</v>
          </cell>
        </row>
        <row r="325">
          <cell r="A325" t="str">
            <v xml:space="preserve">                                                                                                                                </v>
          </cell>
          <cell r="B325" t="str">
            <v xml:space="preserve">PROFIT STATEMENT                                                                                                                </v>
          </cell>
        </row>
        <row r="326">
          <cell r="A326" t="str">
            <v xml:space="preserve">                                                                                                                                </v>
          </cell>
          <cell r="B326" t="str">
            <v xml:space="preserve">----------------                                                                                                                </v>
          </cell>
        </row>
        <row r="327">
          <cell r="B327" t="str">
            <v>RENTAL INCOME -BASE</v>
          </cell>
          <cell r="C327">
            <v>-95032</v>
          </cell>
          <cell r="H327">
            <v>-95032</v>
          </cell>
        </row>
        <row r="328">
          <cell r="B328" t="str">
            <v>RENTAL INCOME -ESCALATION</v>
          </cell>
          <cell r="C328">
            <v>0</v>
          </cell>
          <cell r="H328">
            <v>0</v>
          </cell>
        </row>
        <row r="329">
          <cell r="B329" t="str">
            <v>RENT-UPFIT INCOME</v>
          </cell>
          <cell r="C329">
            <v>-41663</v>
          </cell>
          <cell r="H329">
            <v>-41663</v>
          </cell>
        </row>
        <row r="330">
          <cell r="B330" t="str">
            <v>MANAGEMENT FEES</v>
          </cell>
          <cell r="C330">
            <v>0</v>
          </cell>
          <cell r="H330">
            <v>0</v>
          </cell>
        </row>
        <row r="331">
          <cell r="B331" t="str">
            <v>INTEREST INCOME</v>
          </cell>
          <cell r="C331">
            <v>0</v>
          </cell>
          <cell r="H331">
            <v>0</v>
          </cell>
        </row>
        <row r="332">
          <cell r="B332" t="str">
            <v>Reclass to tenant inprovements</v>
          </cell>
          <cell r="C332">
            <v>0</v>
          </cell>
          <cell r="H332">
            <v>0</v>
          </cell>
        </row>
        <row r="333">
          <cell r="B333" t="str">
            <v>MISC INCOME</v>
          </cell>
          <cell r="C333">
            <v>-3475</v>
          </cell>
          <cell r="E333">
            <v>-26966.130000000005</v>
          </cell>
          <cell r="H333">
            <v>-30441.130000000005</v>
          </cell>
        </row>
        <row r="334">
          <cell r="B334" t="str">
            <v>COMMON AREA MAINTENANCE</v>
          </cell>
          <cell r="C334">
            <v>-107398</v>
          </cell>
          <cell r="H334">
            <v>-107398</v>
          </cell>
        </row>
        <row r="335">
          <cell r="B335" t="str">
            <v>(GAIN)LOSS SALE OF ASSET</v>
          </cell>
          <cell r="C335">
            <v>0</v>
          </cell>
          <cell r="H335">
            <v>0</v>
          </cell>
        </row>
        <row r="336">
          <cell r="C336" t="str">
            <v>-</v>
          </cell>
          <cell r="D336" t="str">
            <v>-</v>
          </cell>
          <cell r="E336" t="str">
            <v>-</v>
          </cell>
          <cell r="F336" t="str">
            <v>-</v>
          </cell>
          <cell r="G336" t="str">
            <v>-</v>
          </cell>
          <cell r="H336" t="str">
            <v>-</v>
          </cell>
        </row>
        <row r="337">
          <cell r="B337" t="str">
            <v>SUB TOTAL REVENUE</v>
          </cell>
          <cell r="C337">
            <v>-247568</v>
          </cell>
          <cell r="E337">
            <v>-26966.130000000005</v>
          </cell>
          <cell r="G337">
            <v>0</v>
          </cell>
          <cell r="H337">
            <v>-274534.13</v>
          </cell>
        </row>
        <row r="338">
          <cell r="C338" t="str">
            <v>-</v>
          </cell>
          <cell r="D338" t="str">
            <v>-</v>
          </cell>
          <cell r="E338" t="str">
            <v>-</v>
          </cell>
          <cell r="F338" t="str">
            <v>-</v>
          </cell>
          <cell r="G338" t="str">
            <v>-</v>
          </cell>
          <cell r="H338" t="str">
            <v>-------------------</v>
          </cell>
        </row>
        <row r="340">
          <cell r="B340" t="str">
            <v>CLEANING CONTRACTED SERVICES</v>
          </cell>
          <cell r="C340">
            <v>3981</v>
          </cell>
          <cell r="H340">
            <v>3981</v>
          </cell>
        </row>
        <row r="341">
          <cell r="B341" t="str">
            <v>TRASH REMOVAL</v>
          </cell>
          <cell r="C341">
            <v>797</v>
          </cell>
          <cell r="H341">
            <v>797</v>
          </cell>
        </row>
        <row r="342">
          <cell r="B342" t="str">
            <v>R&amp;M ELECTRICAL</v>
          </cell>
          <cell r="C342">
            <v>0</v>
          </cell>
          <cell r="H342">
            <v>0</v>
          </cell>
        </row>
        <row r="343">
          <cell r="B343" t="str">
            <v>R&amp;M FIRE &amp; SAFETY</v>
          </cell>
          <cell r="C343">
            <v>0</v>
          </cell>
          <cell r="H343">
            <v>0</v>
          </cell>
        </row>
        <row r="344">
          <cell r="B344" t="str">
            <v>OTHER BLDG REPAIR &amp; MAINT</v>
          </cell>
          <cell r="C344">
            <v>1372</v>
          </cell>
          <cell r="H344">
            <v>1372</v>
          </cell>
        </row>
        <row r="345">
          <cell r="B345" t="str">
            <v>ELECTRICITY</v>
          </cell>
          <cell r="C345">
            <v>1833</v>
          </cell>
          <cell r="H345">
            <v>1833</v>
          </cell>
        </row>
        <row r="346">
          <cell r="B346" t="str">
            <v>GAS/FUEL OIL</v>
          </cell>
          <cell r="C346">
            <v>808</v>
          </cell>
          <cell r="H346">
            <v>808</v>
          </cell>
        </row>
        <row r="347">
          <cell r="B347" t="str">
            <v>HEAT PUMP LOOP</v>
          </cell>
          <cell r="C347">
            <v>1703</v>
          </cell>
          <cell r="H347">
            <v>1703</v>
          </cell>
        </row>
        <row r="348">
          <cell r="B348" t="str">
            <v>BUILDING SECURITY SERVICE</v>
          </cell>
          <cell r="C348">
            <v>4321</v>
          </cell>
          <cell r="H348">
            <v>4321</v>
          </cell>
        </row>
        <row r="349">
          <cell r="B349" t="str">
            <v>ADMIN ALLOCATION</v>
          </cell>
          <cell r="C349">
            <v>456</v>
          </cell>
          <cell r="H349">
            <v>456</v>
          </cell>
        </row>
        <row r="350">
          <cell r="B350" t="str">
            <v>COMPUTER SOFTWARE/SUPPLIES</v>
          </cell>
          <cell r="C350">
            <v>87</v>
          </cell>
          <cell r="H350">
            <v>87</v>
          </cell>
        </row>
        <row r="351">
          <cell r="B351" t="str">
            <v>MANAGEMENT FEES</v>
          </cell>
          <cell r="C351">
            <v>0</v>
          </cell>
          <cell r="H351">
            <v>0</v>
          </cell>
        </row>
        <row r="352">
          <cell r="B352" t="str">
            <v>LEGAL EXPENSE</v>
          </cell>
          <cell r="C352">
            <v>0</v>
          </cell>
          <cell r="H352">
            <v>0</v>
          </cell>
        </row>
        <row r="353">
          <cell r="B353" t="str">
            <v>REAL ESTATE TAXES</v>
          </cell>
          <cell r="C353">
            <v>40916</v>
          </cell>
          <cell r="H353">
            <v>40916</v>
          </cell>
        </row>
        <row r="354">
          <cell r="B354" t="str">
            <v>INSURANCE</v>
          </cell>
          <cell r="C354">
            <v>607</v>
          </cell>
          <cell r="H354">
            <v>607</v>
          </cell>
        </row>
        <row r="355">
          <cell r="B355" t="str">
            <v>COMMISSION-OUTSIDE BROKERS</v>
          </cell>
          <cell r="C355">
            <v>1700</v>
          </cell>
          <cell r="H355">
            <v>1700</v>
          </cell>
        </row>
        <row r="356">
          <cell r="B356" t="str">
            <v>OTHER LEASING EXPENSE</v>
          </cell>
          <cell r="C356">
            <v>0</v>
          </cell>
          <cell r="H356">
            <v>0</v>
          </cell>
        </row>
        <row r="357">
          <cell r="B357" t="str">
            <v>TO BALANCE BS/INCOME STMT</v>
          </cell>
          <cell r="C357">
            <v>0</v>
          </cell>
          <cell r="H357">
            <v>0</v>
          </cell>
        </row>
        <row r="358">
          <cell r="A358" t="str">
            <v xml:space="preserve">                                                                                                                                </v>
          </cell>
          <cell r="B358" t="str">
            <v xml:space="preserve">                                                                                                                                </v>
          </cell>
          <cell r="C358" t="str">
            <v>-</v>
          </cell>
          <cell r="D358" t="str">
            <v>-</v>
          </cell>
          <cell r="E358" t="str">
            <v>-</v>
          </cell>
          <cell r="F358" t="str">
            <v>-</v>
          </cell>
          <cell r="G358" t="str">
            <v>-</v>
          </cell>
          <cell r="H358" t="str">
            <v>-</v>
          </cell>
        </row>
        <row r="359">
          <cell r="A359" t="str">
            <v xml:space="preserve">                                                                                                                                </v>
          </cell>
          <cell r="B359" t="str">
            <v>TOTAL SG &amp; A</v>
          </cell>
          <cell r="C359">
            <v>58581</v>
          </cell>
          <cell r="E359">
            <v>0</v>
          </cell>
          <cell r="G359">
            <v>0</v>
          </cell>
          <cell r="H359">
            <v>58581</v>
          </cell>
        </row>
        <row r="361">
          <cell r="B361" t="str">
            <v>INTEREST EXP</v>
          </cell>
          <cell r="C361">
            <v>0</v>
          </cell>
          <cell r="H361">
            <v>0</v>
          </cell>
        </row>
        <row r="362">
          <cell r="A362" t="str">
            <v>5500</v>
          </cell>
          <cell r="B362" t="str">
            <v>DEPRECIATION</v>
          </cell>
          <cell r="C362">
            <v>27290</v>
          </cell>
          <cell r="H362">
            <v>27290</v>
          </cell>
        </row>
        <row r="363">
          <cell r="C363" t="str">
            <v>-</v>
          </cell>
          <cell r="D363" t="str">
            <v>-</v>
          </cell>
          <cell r="E363" t="str">
            <v>-</v>
          </cell>
          <cell r="F363" t="str">
            <v>-</v>
          </cell>
          <cell r="G363" t="str">
            <v>-</v>
          </cell>
          <cell r="H363" t="str">
            <v>-</v>
          </cell>
        </row>
        <row r="364">
          <cell r="B364" t="str">
            <v>SUBTOTAL DEPR &amp; INTEREST</v>
          </cell>
          <cell r="C364">
            <v>27290</v>
          </cell>
          <cell r="E364">
            <v>0</v>
          </cell>
          <cell r="G364">
            <v>0</v>
          </cell>
          <cell r="H364">
            <v>27290</v>
          </cell>
        </row>
        <row r="365">
          <cell r="C365" t="str">
            <v>-</v>
          </cell>
          <cell r="D365" t="str">
            <v>-</v>
          </cell>
          <cell r="E365" t="str">
            <v>-</v>
          </cell>
          <cell r="F365" t="str">
            <v>-</v>
          </cell>
          <cell r="G365" t="str">
            <v>-</v>
          </cell>
          <cell r="H365" t="str">
            <v>-</v>
          </cell>
        </row>
        <row r="367">
          <cell r="A367" t="str">
            <v xml:space="preserve">                                                                                                                                </v>
          </cell>
          <cell r="B367" t="str">
            <v xml:space="preserve">CURRENT YEAR EARNINGS                                                                                                           </v>
          </cell>
          <cell r="C367">
            <v>-161697</v>
          </cell>
          <cell r="E367">
            <v>-26966.130000000005</v>
          </cell>
          <cell r="G367">
            <v>0</v>
          </cell>
          <cell r="H367">
            <v>-188663.13</v>
          </cell>
        </row>
        <row r="368">
          <cell r="A368" t="str">
            <v xml:space="preserve">                                                                                                                                </v>
          </cell>
          <cell r="B368" t="str">
            <v xml:space="preserve">                                                                                                                                </v>
          </cell>
          <cell r="C368" t="str">
            <v>=</v>
          </cell>
          <cell r="D368" t="str">
            <v>=</v>
          </cell>
          <cell r="E368" t="str">
            <v>=</v>
          </cell>
          <cell r="F368" t="str">
            <v>=</v>
          </cell>
          <cell r="G368" t="str">
            <v>=</v>
          </cell>
          <cell r="H368" t="str">
            <v>===================</v>
          </cell>
        </row>
        <row r="370">
          <cell r="A370" t="str">
            <v xml:space="preserve">                                                                                                                                </v>
          </cell>
          <cell r="B370" t="str">
            <v xml:space="preserve">ASSETS                                                                                                                          </v>
          </cell>
        </row>
        <row r="371">
          <cell r="A371" t="str">
            <v xml:space="preserve">                                                                                                                                </v>
          </cell>
          <cell r="B371" t="str">
            <v xml:space="preserve">------                                                                                                                          </v>
          </cell>
        </row>
        <row r="372">
          <cell r="A372" t="str">
            <v>1000</v>
          </cell>
          <cell r="B372" t="str">
            <v xml:space="preserve">CASH                                                                                                                            </v>
          </cell>
          <cell r="C372">
            <v>0</v>
          </cell>
          <cell r="H372">
            <v>0</v>
          </cell>
        </row>
        <row r="373">
          <cell r="B373" t="str">
            <v>Dividends in transit</v>
          </cell>
          <cell r="C373">
            <v>0</v>
          </cell>
          <cell r="H373">
            <v>0</v>
          </cell>
        </row>
        <row r="374">
          <cell r="B374" t="str">
            <v>A/R TENANTS</v>
          </cell>
          <cell r="C374">
            <v>4068</v>
          </cell>
          <cell r="H374">
            <v>4068</v>
          </cell>
        </row>
        <row r="375">
          <cell r="A375" t="str">
            <v xml:space="preserve">                                                                                                                                </v>
          </cell>
          <cell r="B375" t="str">
            <v xml:space="preserve">                                                                                                                                </v>
          </cell>
          <cell r="C375" t="str">
            <v>-</v>
          </cell>
          <cell r="D375" t="str">
            <v>-</v>
          </cell>
          <cell r="E375" t="str">
            <v>-</v>
          </cell>
          <cell r="F375" t="str">
            <v>-</v>
          </cell>
          <cell r="G375" t="str">
            <v>-</v>
          </cell>
          <cell r="H375" t="str">
            <v>-</v>
          </cell>
        </row>
        <row r="376">
          <cell r="A376" t="str">
            <v xml:space="preserve">                                                                                                                                </v>
          </cell>
          <cell r="B376" t="str">
            <v>SUB TOTAL CURRENT ASSETS</v>
          </cell>
          <cell r="C376">
            <v>4068</v>
          </cell>
          <cell r="E376">
            <v>0</v>
          </cell>
          <cell r="G376">
            <v>0</v>
          </cell>
          <cell r="H376">
            <v>4068</v>
          </cell>
        </row>
        <row r="377">
          <cell r="A377" t="str">
            <v xml:space="preserve">                                                                                                                                </v>
          </cell>
          <cell r="B377" t="str">
            <v xml:space="preserve">                                                                                                                                </v>
          </cell>
          <cell r="C377" t="str">
            <v>-</v>
          </cell>
          <cell r="D377" t="str">
            <v>-</v>
          </cell>
          <cell r="E377" t="str">
            <v>-</v>
          </cell>
          <cell r="F377" t="str">
            <v>-</v>
          </cell>
          <cell r="G377" t="str">
            <v>-</v>
          </cell>
          <cell r="H377" t="str">
            <v>-------------------</v>
          </cell>
        </row>
        <row r="379">
          <cell r="A379" t="str">
            <v>1450-07</v>
          </cell>
          <cell r="B379" t="str">
            <v xml:space="preserve">          CORPORATE INTERCOMPANY</v>
          </cell>
          <cell r="C379">
            <v>-1638340</v>
          </cell>
          <cell r="G379">
            <v>-26966.130000000005</v>
          </cell>
          <cell r="H379">
            <v>-1611373.87</v>
          </cell>
        </row>
        <row r="380">
          <cell r="B380" t="str">
            <v xml:space="preserve">          MN OTHER</v>
          </cell>
          <cell r="C380">
            <v>631431</v>
          </cell>
          <cell r="H380">
            <v>631431</v>
          </cell>
        </row>
        <row r="381">
          <cell r="A381" t="str">
            <v xml:space="preserve">                                                                                                                                </v>
          </cell>
          <cell r="B381" t="str">
            <v xml:space="preserve">                                                                                                                                </v>
          </cell>
          <cell r="C381" t="str">
            <v>-</v>
          </cell>
          <cell r="D381" t="str">
            <v>-</v>
          </cell>
          <cell r="E381" t="str">
            <v>-</v>
          </cell>
          <cell r="F381" t="str">
            <v>-</v>
          </cell>
          <cell r="G381" t="str">
            <v>-</v>
          </cell>
          <cell r="H381" t="str">
            <v>-</v>
          </cell>
        </row>
        <row r="382">
          <cell r="A382" t="str">
            <v xml:space="preserve">                                                                                                                                </v>
          </cell>
          <cell r="B382" t="str">
            <v xml:space="preserve">SUB TOTAL I/C                                                                                                                   </v>
          </cell>
          <cell r="C382">
            <v>-1006909</v>
          </cell>
          <cell r="E382">
            <v>0</v>
          </cell>
          <cell r="G382">
            <v>-26966.130000000005</v>
          </cell>
          <cell r="H382">
            <v>-979942.87000000011</v>
          </cell>
        </row>
        <row r="383">
          <cell r="C383" t="str">
            <v>-</v>
          </cell>
          <cell r="D383" t="str">
            <v>-</v>
          </cell>
          <cell r="E383" t="str">
            <v>-</v>
          </cell>
          <cell r="F383" t="str">
            <v>-</v>
          </cell>
          <cell r="G383" t="str">
            <v>-</v>
          </cell>
          <cell r="H383" t="str">
            <v>-------------------</v>
          </cell>
        </row>
        <row r="385">
          <cell r="A385" t="str">
            <v>1461</v>
          </cell>
          <cell r="B385" t="str">
            <v>CONSTRUCTION IN PROGRESS</v>
          </cell>
          <cell r="C385">
            <v>0</v>
          </cell>
          <cell r="H385">
            <v>0</v>
          </cell>
        </row>
        <row r="386">
          <cell r="A386" t="str">
            <v>1610</v>
          </cell>
          <cell r="B386" t="str">
            <v>RETAIL MALL</v>
          </cell>
          <cell r="C386">
            <v>1455009</v>
          </cell>
          <cell r="H386">
            <v>1455009</v>
          </cell>
        </row>
        <row r="387">
          <cell r="A387" t="str">
            <v>1540</v>
          </cell>
          <cell r="B387" t="str">
            <v>FF&amp;E</v>
          </cell>
          <cell r="C387">
            <v>0</v>
          </cell>
          <cell r="H387">
            <v>0</v>
          </cell>
        </row>
        <row r="388">
          <cell r="A388" t="str">
            <v>1940</v>
          </cell>
          <cell r="B388" t="str">
            <v>DATA PROCESSING EQUIP</v>
          </cell>
          <cell r="C388">
            <v>0</v>
          </cell>
          <cell r="H388">
            <v>0</v>
          </cell>
        </row>
        <row r="389">
          <cell r="C389" t="str">
            <v>-</v>
          </cell>
          <cell r="D389" t="str">
            <v>-</v>
          </cell>
          <cell r="E389" t="str">
            <v>-</v>
          </cell>
          <cell r="F389" t="str">
            <v>-</v>
          </cell>
          <cell r="G389" t="str">
            <v>-</v>
          </cell>
          <cell r="H389" t="str">
            <v>-</v>
          </cell>
        </row>
        <row r="390">
          <cell r="B390" t="str">
            <v>SUB TOTAL FIXED ASSETS</v>
          </cell>
          <cell r="C390">
            <v>1455009</v>
          </cell>
          <cell r="E390">
            <v>0</v>
          </cell>
          <cell r="G390">
            <v>0</v>
          </cell>
          <cell r="H390">
            <v>1455009</v>
          </cell>
        </row>
        <row r="391">
          <cell r="C391" t="str">
            <v>-</v>
          </cell>
          <cell r="D391" t="str">
            <v>-</v>
          </cell>
          <cell r="E391" t="str">
            <v>-</v>
          </cell>
          <cell r="F391" t="str">
            <v>-</v>
          </cell>
          <cell r="G391" t="str">
            <v>-</v>
          </cell>
          <cell r="H391" t="str">
            <v>-------------------</v>
          </cell>
        </row>
        <row r="393">
          <cell r="A393" t="str">
            <v>1880</v>
          </cell>
          <cell r="B393" t="str">
            <v>DEPR -BLDG &amp; IMPROVEMENTS</v>
          </cell>
          <cell r="C393">
            <v>-225991</v>
          </cell>
          <cell r="H393">
            <v>-225991</v>
          </cell>
        </row>
        <row r="394">
          <cell r="A394" t="str">
            <v>1890</v>
          </cell>
          <cell r="B394" t="str">
            <v>DEPR -DP EQUIP</v>
          </cell>
          <cell r="C394">
            <v>0</v>
          </cell>
          <cell r="H394">
            <v>0</v>
          </cell>
        </row>
        <row r="395">
          <cell r="C395" t="str">
            <v>-</v>
          </cell>
          <cell r="D395" t="str">
            <v>-</v>
          </cell>
          <cell r="E395" t="str">
            <v>-</v>
          </cell>
          <cell r="F395" t="str">
            <v>-</v>
          </cell>
          <cell r="G395" t="str">
            <v>-</v>
          </cell>
          <cell r="H395" t="str">
            <v>-</v>
          </cell>
        </row>
        <row r="396">
          <cell r="C396">
            <v>-225991</v>
          </cell>
          <cell r="E396">
            <v>0</v>
          </cell>
          <cell r="G396">
            <v>0</v>
          </cell>
          <cell r="H396">
            <v>-225991</v>
          </cell>
        </row>
        <row r="397">
          <cell r="C397" t="str">
            <v>-</v>
          </cell>
          <cell r="D397" t="str">
            <v>-</v>
          </cell>
          <cell r="E397" t="str">
            <v>-</v>
          </cell>
          <cell r="F397" t="str">
            <v>-</v>
          </cell>
          <cell r="G397" t="str">
            <v>-</v>
          </cell>
          <cell r="H397" t="str">
            <v>-------------------</v>
          </cell>
        </row>
        <row r="399">
          <cell r="B399" t="str">
            <v>A/R TENANT IMPROVEMENTS</v>
          </cell>
          <cell r="C399">
            <v>0</v>
          </cell>
          <cell r="E399">
            <v>0</v>
          </cell>
          <cell r="H399">
            <v>0</v>
          </cell>
        </row>
        <row r="400">
          <cell r="C400" t="str">
            <v>-</v>
          </cell>
          <cell r="D400" t="str">
            <v>-</v>
          </cell>
          <cell r="E400" t="str">
            <v>-</v>
          </cell>
          <cell r="F400" t="str">
            <v>-</v>
          </cell>
          <cell r="G400" t="str">
            <v>-</v>
          </cell>
          <cell r="H400" t="str">
            <v>-</v>
          </cell>
        </row>
        <row r="401">
          <cell r="C401">
            <v>0</v>
          </cell>
          <cell r="E401">
            <v>0</v>
          </cell>
          <cell r="G401">
            <v>0</v>
          </cell>
          <cell r="H401">
            <v>0</v>
          </cell>
        </row>
        <row r="402">
          <cell r="C402" t="str">
            <v>-</v>
          </cell>
          <cell r="D402" t="str">
            <v>-</v>
          </cell>
          <cell r="E402" t="str">
            <v>-</v>
          </cell>
          <cell r="F402" t="str">
            <v>-</v>
          </cell>
          <cell r="G402" t="str">
            <v>-</v>
          </cell>
          <cell r="H402" t="str">
            <v>-</v>
          </cell>
        </row>
        <row r="404">
          <cell r="A404" t="str">
            <v xml:space="preserve">                                                                                                                                </v>
          </cell>
          <cell r="B404" t="str">
            <v xml:space="preserve">TOTAL ASSETS                                                                                                                    </v>
          </cell>
          <cell r="C404">
            <v>226177</v>
          </cell>
          <cell r="E404">
            <v>0</v>
          </cell>
          <cell r="G404">
            <v>-26966.130000000005</v>
          </cell>
          <cell r="H404">
            <v>253143.12999999989</v>
          </cell>
        </row>
        <row r="405">
          <cell r="A405" t="str">
            <v xml:space="preserve">                                                                                                                                </v>
          </cell>
          <cell r="B405" t="str">
            <v xml:space="preserve">                                                                                                                                </v>
          </cell>
          <cell r="C405" t="str">
            <v>=</v>
          </cell>
          <cell r="D405" t="str">
            <v>=</v>
          </cell>
          <cell r="E405" t="str">
            <v>=</v>
          </cell>
          <cell r="F405" t="str">
            <v>=</v>
          </cell>
          <cell r="G405" t="str">
            <v>=</v>
          </cell>
          <cell r="H405" t="str">
            <v>===================</v>
          </cell>
        </row>
        <row r="406">
          <cell r="A406" t="str">
            <v xml:space="preserve">                                                                                                                                </v>
          </cell>
          <cell r="B406" t="str">
            <v xml:space="preserve">                                                                                                                                </v>
          </cell>
        </row>
        <row r="407">
          <cell r="A407" t="str">
            <v xml:space="preserve">                                                                                                                                </v>
          </cell>
          <cell r="B407" t="str">
            <v xml:space="preserve">LIABILITIES &amp; EQUITY                                                                                                            </v>
          </cell>
        </row>
        <row r="408">
          <cell r="A408" t="str">
            <v xml:space="preserve">                                                                                                                                </v>
          </cell>
          <cell r="B408" t="str">
            <v xml:space="preserve">--------------------                                                                                                            </v>
          </cell>
        </row>
        <row r="410">
          <cell r="B410" t="str">
            <v xml:space="preserve">LIABILITIES                                                                                                             </v>
          </cell>
        </row>
        <row r="411">
          <cell r="B411" t="str">
            <v xml:space="preserve">-----------                                                                                                            </v>
          </cell>
        </row>
        <row r="412">
          <cell r="B412" t="str">
            <v>CURR MAT L.T. DEBT</v>
          </cell>
          <cell r="C412">
            <v>0</v>
          </cell>
          <cell r="H412">
            <v>0</v>
          </cell>
        </row>
        <row r="413">
          <cell r="A413" t="str">
            <v>2100</v>
          </cell>
          <cell r="B413" t="str">
            <v xml:space="preserve">ACCOUNTS PAYABLE                                                                                                                </v>
          </cell>
          <cell r="C413">
            <v>-4590</v>
          </cell>
          <cell r="H413">
            <v>-4590</v>
          </cell>
        </row>
        <row r="414">
          <cell r="B414" t="str">
            <v>ACCRUED EXPENSES</v>
          </cell>
          <cell r="C414">
            <v>-40587</v>
          </cell>
          <cell r="H414">
            <v>-40587</v>
          </cell>
        </row>
        <row r="415">
          <cell r="A415" t="str">
            <v>2170</v>
          </cell>
          <cell r="B415" t="str">
            <v>REFUNDABLE SECURITY DEPOSITS</v>
          </cell>
          <cell r="C415">
            <v>-24046</v>
          </cell>
          <cell r="H415">
            <v>-24046</v>
          </cell>
        </row>
        <row r="416">
          <cell r="A416" t="str">
            <v>2010</v>
          </cell>
          <cell r="B416" t="str">
            <v>PREPAID RENT</v>
          </cell>
          <cell r="C416">
            <v>-2324</v>
          </cell>
          <cell r="H416">
            <v>-2324</v>
          </cell>
        </row>
        <row r="417">
          <cell r="C417" t="str">
            <v>-</v>
          </cell>
          <cell r="D417" t="str">
            <v>-</v>
          </cell>
          <cell r="E417" t="str">
            <v>-</v>
          </cell>
          <cell r="F417" t="str">
            <v>-</v>
          </cell>
          <cell r="G417" t="str">
            <v>-</v>
          </cell>
          <cell r="H417" t="str">
            <v>-------------------</v>
          </cell>
        </row>
        <row r="418">
          <cell r="B418" t="str">
            <v>TOTAL CURRENT LIAB.</v>
          </cell>
          <cell r="C418">
            <v>-71547</v>
          </cell>
          <cell r="E418">
            <v>0</v>
          </cell>
          <cell r="G418">
            <v>0</v>
          </cell>
          <cell r="H418">
            <v>-71547</v>
          </cell>
        </row>
        <row r="419">
          <cell r="C419" t="str">
            <v>-</v>
          </cell>
          <cell r="D419" t="str">
            <v>-</v>
          </cell>
          <cell r="E419" t="str">
            <v>-</v>
          </cell>
          <cell r="F419" t="str">
            <v>-</v>
          </cell>
          <cell r="G419" t="str">
            <v>-</v>
          </cell>
          <cell r="H419" t="str">
            <v>-------------------</v>
          </cell>
        </row>
        <row r="422">
          <cell r="B422" t="str">
            <v>SHAREHOLDERS EQUITY</v>
          </cell>
        </row>
        <row r="423">
          <cell r="B423" t="str">
            <v>-------------------</v>
          </cell>
        </row>
        <row r="424">
          <cell r="B424" t="str">
            <v>OWNER'S CONTROL</v>
          </cell>
          <cell r="C424">
            <v>0</v>
          </cell>
          <cell r="H424">
            <v>0</v>
          </cell>
        </row>
        <row r="425">
          <cell r="A425" t="str">
            <v>2800</v>
          </cell>
          <cell r="B425" t="str">
            <v xml:space="preserve">COMMON STOCK                                                                                                                    </v>
          </cell>
          <cell r="C425">
            <v>0</v>
          </cell>
          <cell r="H425">
            <v>0</v>
          </cell>
        </row>
        <row r="426">
          <cell r="A426" t="str">
            <v>2791</v>
          </cell>
          <cell r="B426" t="str">
            <v>ADDITIONAL PD-IN CAPITAL</v>
          </cell>
          <cell r="C426">
            <v>0</v>
          </cell>
          <cell r="H426">
            <v>0</v>
          </cell>
        </row>
        <row r="427">
          <cell r="A427" t="str">
            <v>2905</v>
          </cell>
          <cell r="B427" t="str">
            <v>DIVIDENDS PAYABLE</v>
          </cell>
          <cell r="C427">
            <v>0</v>
          </cell>
          <cell r="H427">
            <v>0</v>
          </cell>
        </row>
        <row r="428">
          <cell r="A428" t="str">
            <v>2900</v>
          </cell>
          <cell r="B428" t="str">
            <v xml:space="preserve">RETAINED EARNINGS                                                                                                               </v>
          </cell>
          <cell r="C428">
            <v>7067</v>
          </cell>
          <cell r="H428">
            <v>7067</v>
          </cell>
        </row>
        <row r="429">
          <cell r="A429" t="str">
            <v xml:space="preserve">                                                                                                                                </v>
          </cell>
          <cell r="B429" t="str">
            <v xml:space="preserve">CURRENT YEAR EARNINGS                                                                                                           </v>
          </cell>
          <cell r="C429">
            <v>-161697</v>
          </cell>
          <cell r="D429">
            <v>0</v>
          </cell>
          <cell r="E429">
            <v>-26966.130000000005</v>
          </cell>
          <cell r="H429">
            <v>-188663.13</v>
          </cell>
        </row>
        <row r="430">
          <cell r="A430" t="str">
            <v xml:space="preserve">                                                                                                                                </v>
          </cell>
          <cell r="B430" t="str">
            <v xml:space="preserve">                                                                                                                                </v>
          </cell>
          <cell r="C430" t="str">
            <v>-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-------------------</v>
          </cell>
        </row>
        <row r="431">
          <cell r="B431" t="str">
            <v>TOTAL SHAREHOLDERS EQUITY</v>
          </cell>
          <cell r="C431">
            <v>-154630</v>
          </cell>
          <cell r="E431">
            <v>-26966.130000000005</v>
          </cell>
          <cell r="G431">
            <v>0</v>
          </cell>
          <cell r="H431">
            <v>-181596.13</v>
          </cell>
        </row>
        <row r="432">
          <cell r="C432" t="str">
            <v>-</v>
          </cell>
          <cell r="D432" t="str">
            <v>-</v>
          </cell>
          <cell r="E432" t="str">
            <v>-</v>
          </cell>
          <cell r="F432" t="str">
            <v>-</v>
          </cell>
          <cell r="G432" t="str">
            <v>-</v>
          </cell>
          <cell r="H432" t="str">
            <v>-------------------</v>
          </cell>
        </row>
        <row r="434">
          <cell r="A434" t="str">
            <v xml:space="preserve">                                                                                                                                </v>
          </cell>
          <cell r="B434" t="str">
            <v xml:space="preserve">TOTAL LIAB &amp; EQUITY                                                                                                             </v>
          </cell>
          <cell r="C434">
            <v>-226177</v>
          </cell>
          <cell r="E434">
            <v>-26966.130000000005</v>
          </cell>
          <cell r="G434">
            <v>0</v>
          </cell>
          <cell r="H434">
            <v>-253143.13</v>
          </cell>
        </row>
        <row r="435">
          <cell r="A435" t="str">
            <v xml:space="preserve">                                                                                                                                </v>
          </cell>
          <cell r="B435" t="str">
            <v xml:space="preserve">                                                                                                                                </v>
          </cell>
          <cell r="C435" t="str">
            <v>=</v>
          </cell>
          <cell r="D435" t="str">
            <v>=</v>
          </cell>
          <cell r="E435" t="str">
            <v>=</v>
          </cell>
          <cell r="F435" t="str">
            <v>=</v>
          </cell>
          <cell r="G435" t="str">
            <v>=</v>
          </cell>
          <cell r="H435" t="str">
            <v>===================</v>
          </cell>
        </row>
        <row r="436">
          <cell r="C436">
            <v>0</v>
          </cell>
          <cell r="E436">
            <v>-26966.130000000005</v>
          </cell>
          <cell r="G436">
            <v>-26966.130000000005</v>
          </cell>
          <cell r="H436">
            <v>0</v>
          </cell>
        </row>
      </sheetData>
      <sheetData sheetId="1">
        <row r="5">
          <cell r="H5" t="str">
            <v/>
          </cell>
        </row>
      </sheetData>
      <sheetData sheetId="2">
        <row r="5">
          <cell r="H5" t="str">
            <v/>
          </cell>
        </row>
      </sheetData>
      <sheetData sheetId="3">
        <row r="5">
          <cell r="H5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5">
          <cell r="H5" t="str">
            <v xml:space="preserve"> 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sults"/>
      <sheetName val="p-2  (WEXTRA)"/>
      <sheetName val="p-2 "/>
      <sheetName val="p-2 (OLD)"/>
      <sheetName val="p-2 (2)"/>
      <sheetName val="P-3 (2)"/>
      <sheetName val="PAGE-3"/>
      <sheetName val="P-1 (2)"/>
      <sheetName val="P-1"/>
      <sheetName val="P-4 (2)"/>
      <sheetName val="P-4"/>
      <sheetName val="P-5F"/>
      <sheetName val="SHARE"/>
      <sheetName val="P-6 (2)"/>
      <sheetName val="P-6"/>
      <sheetName val="P-10(2)"/>
      <sheetName val="P-7"/>
      <sheetName val="P-8 (1)"/>
      <sheetName val="P-8"/>
      <sheetName val="P-9 (1)"/>
      <sheetName val="P-9"/>
      <sheetName val="P-10(1)"/>
      <sheetName val="P-10"/>
      <sheetName val="Ratio (2)"/>
      <sheetName val="P-11"/>
      <sheetName val="DIVIDEND"/>
      <sheetName val="2003-04"/>
      <sheetName val="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HAN888"/>
    </sheetNames>
    <definedNames>
      <definedName name="GoCallbackImpact"/>
      <definedName name="GoDCFValuation"/>
      <definedName name="GoFixedTelAcqCosts"/>
      <definedName name="GoFixedTelBusMarket"/>
      <definedName name="GoFixedTelHanMarket"/>
      <definedName name="GoFixedTelHanRev"/>
      <definedName name="GoFixedTelMarketAss"/>
      <definedName name="GoFixedTelPrices"/>
      <definedName name="GoFixedTelResMarket"/>
      <definedName name="GoHanADCRev"/>
      <definedName name="GoHanComputerRev"/>
      <definedName name="GoHanDataRev"/>
      <definedName name="GoHanFinancials"/>
      <definedName name="GoHanIMSRev"/>
      <definedName name="GoHanINSRev"/>
      <definedName name="GoHanInternetRev"/>
      <definedName name="GoHanLLRev"/>
      <definedName name="GoHanPagingRev"/>
      <definedName name="GoHanSettlementRev"/>
      <definedName name="GoHanTotalRev"/>
      <definedName name="GoHanVASRev"/>
      <definedName name="GoIntercoHanCosts"/>
      <definedName name="GoIntercoHanRev"/>
      <definedName name="GoIntercoHanVolume"/>
      <definedName name="GoMobileOne"/>
      <definedName name="GoMobTelBusMarket"/>
      <definedName name="GoMobTelHanMarket"/>
      <definedName name="GoMobTelHanMarketShare"/>
      <definedName name="GoMobTelHanPriceAss"/>
      <definedName name="GoMobTelHanRev"/>
      <definedName name="GoMobTelMarketAss"/>
      <definedName name="GoMobTelPrices"/>
      <definedName name="GoMobTelResMarket"/>
      <definedName name="GoScenarios"/>
      <definedName name="GoTelMarketShareAss"/>
      <definedName name="GoTotalCosts"/>
      <definedName name="PrintHanBusinessMode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Reset-Module"/>
      <sheetName val="Hide-Module"/>
      <sheetName val="ruSure-Module"/>
      <sheetName val="Print Module"/>
      <sheetName val="TB"/>
      <sheetName val="oresreqsum"/>
      <sheetName val="TB9899"/>
      <sheetName val="Capital_by_Years_Valuation"/>
      <sheetName val="ReportsParameters"/>
      <sheetName val="Nopat_by_Years_Valuation"/>
      <sheetName val="Data"/>
      <sheetName val="factors"/>
      <sheetName val="PARTY"/>
      <sheetName val="prg"/>
      <sheetName val="prod"/>
      <sheetName val="COA_20040726"/>
      <sheetName val="coa_ramco_168"/>
      <sheetName val="Forecast_Input"/>
      <sheetName val="INV"/>
      <sheetName val="Copy of AAsamtel"/>
      <sheetName val="PE CHARGES"/>
      <sheetName val="inc rec"/>
      <sheetName val="Total Machine Cost"/>
      <sheetName val="discounts_XP140"/>
      <sheetName val="FLASH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Copy_of_AAsamtel"/>
      <sheetName val="PE_CHARGES"/>
      <sheetName val="inc_rec"/>
      <sheetName val="Total_Machine_Cost"/>
      <sheetName val="HI-TARGE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CF"/>
      <sheetName val="Print_Module1"/>
      <sheetName val="LOB_TABLE"/>
      <sheetName val="Hid_x0000__x0000_odule"/>
      <sheetName val="FORM-16"/>
      <sheetName val="CBDGT979"/>
      <sheetName val="TGT"/>
      <sheetName val="tbc"/>
      <sheetName val="Controls"/>
      <sheetName val="Print Controls"/>
      <sheetName val="MODEL"/>
      <sheetName val="Print_Module2"/>
      <sheetName val="USER"/>
      <sheetName val="HP Inv"/>
      <sheetName val="Parameters"/>
      <sheetName val="Timeoffice"/>
      <sheetName val="Int - Cum02"/>
      <sheetName val="Summry Sheet"/>
      <sheetName val="UK"/>
      <sheetName val="sdrs_mar"/>
      <sheetName val="index"/>
      <sheetName val="Input"/>
      <sheetName val="Hid_x005f_x0000__x005f_x0000_odule"/>
      <sheetName val="SOLUT001"/>
      <sheetName val="#REF!"/>
      <sheetName val="Hid_x005f_x005f_x005f_x0000__x005f_x005f_x005f_x0000_od"/>
      <sheetName val="Assum SG&amp;A-ROW"/>
      <sheetName val="Assumptions US-Rev"/>
      <sheetName val="Hid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opy_of_AAsamtel1"/>
      <sheetName val="PE_CHARGES1"/>
      <sheetName val="inc_rec1"/>
      <sheetName val="Total_Machine_Cost1"/>
      <sheetName val="Hidodule"/>
      <sheetName val="HP_Inv"/>
      <sheetName val="Int_-_Cum02"/>
      <sheetName val="Cancel &amp; Rollover"/>
      <sheetName val="Report"/>
      <sheetName val="Cancel_&amp;_Rollover"/>
      <sheetName val="SAP code"/>
      <sheetName val="Bathinda"/>
      <sheetName val="export-PM"/>
      <sheetName val="export-TN"/>
      <sheetName val="himachal"/>
      <sheetName val="ludhiana"/>
      <sheetName val="orissa"/>
      <sheetName val="PM"/>
      <sheetName val="Power &amp; Fuel(SMS)"/>
      <sheetName val="Options"/>
      <sheetName val="Financials Forecast"/>
      <sheetName val="Admin &amp; Assumptions"/>
      <sheetName val="Print Tables - Financials"/>
      <sheetName val="Recast of Comparable P&amp;L's "/>
      <sheetName val="Market Demand Forecast"/>
      <sheetName val="Market Print Tables"/>
      <sheetName val="Accts Blk'd for Posting3-21-05"/>
      <sheetName val="additions to fixed assets"/>
      <sheetName val="10A"/>
      <sheetName val="CFL"/>
      <sheetName val="CYLA BFLA"/>
      <sheetName val="CG_OS"/>
      <sheetName val="GENERAL"/>
      <sheetName val="DDT_TDS_TCS"/>
      <sheetName val="FRINGE_BENEFIT_INFO"/>
      <sheetName val="HOUSE_PROPERTY"/>
      <sheetName val="NATUREOFBUSINESS"/>
      <sheetName val="OTHER_INFORMATION"/>
      <sheetName val="GENERAL2"/>
      <sheetName val="SUBSIDIARY DETAILS"/>
      <sheetName val="80G"/>
      <sheetName val="QUANTITATIVE_DETAILS"/>
      <sheetName val="SI"/>
      <sheetName val="IT_FBT_DDTP"/>
      <sheetName val="DEP_DCG"/>
      <sheetName val="80_"/>
      <sheetName val="PART_C"/>
      <sheetName val="BP"/>
      <sheetName val="PART_B"/>
      <sheetName val="Aug 03"/>
      <sheetName val="SALE&amp;COST"/>
      <sheetName val="Jul 96 Worksheet"/>
      <sheetName val="Turnover"/>
      <sheetName val="Breadown"/>
      <sheetName val="Nasik"/>
      <sheetName val="List_ratios"/>
      <sheetName val="Interest rates"/>
      <sheetName val="Depletion and abandonment rates"/>
      <sheetName val="Royalties, cess and bonus rates"/>
      <sheetName val="A"/>
      <sheetName val="Setup Variables"/>
      <sheetName val="C_flow 95"/>
      <sheetName val="BS PNL"/>
      <sheetName val="Links"/>
      <sheetName val="DAILY"/>
      <sheetName val="Alok"/>
      <sheetName val="Amol"/>
      <sheetName val="Anand"/>
      <sheetName val="Anindya "/>
      <sheetName val="Chetan"/>
      <sheetName val="Chitnis"/>
      <sheetName val="Deepak"/>
      <sheetName val="R. Devarajan"/>
      <sheetName val="Girish"/>
      <sheetName val="Harry"/>
      <sheetName val="Jeetu"/>
      <sheetName val="Kuldeepak"/>
      <sheetName val="Mahesh "/>
      <sheetName val="Mandar"/>
      <sheetName val="Manoj"/>
      <sheetName val="Milind Acharya"/>
      <sheetName val="Milind Pande"/>
      <sheetName val="MLMahindra"/>
      <sheetName val="Mohan"/>
      <sheetName val="Navjit"/>
      <sheetName val="Nozer"/>
      <sheetName val="Ram Pattabhi"/>
      <sheetName val="Prabhanjan"/>
      <sheetName val="Revati"/>
      <sheetName val="R Chatterjee"/>
      <sheetName val="Roy"/>
      <sheetName val="Sagar"/>
      <sheetName val="salaj"/>
      <sheetName val="Sameer"/>
      <sheetName val="Sandeep C"/>
      <sheetName val="Sandeep Tulshyan"/>
      <sheetName val="Sanjay"/>
      <sheetName val="Santosh"/>
      <sheetName val="Shardul"/>
      <sheetName val="Shivkumar"/>
      <sheetName val="Subir "/>
      <sheetName val="Suman"/>
      <sheetName val="Swami"/>
      <sheetName val="Vighnesh"/>
      <sheetName val="Vishal"/>
      <sheetName val="FIND THE PART"/>
      <sheetName val="PL"/>
      <sheetName val="Masters"/>
      <sheetName val="P &amp; l "/>
    </sheetNames>
    <sheetDataSet>
      <sheetData sheetId="0" refreshError="1"/>
      <sheetData sheetId="1" refreshError="1">
        <row r="4">
          <cell r="A4">
            <v>8</v>
          </cell>
        </row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4">
            <v>8</v>
          </cell>
        </row>
        <row r="82">
          <cell r="Q82">
            <v>0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297.91000000000003</v>
          </cell>
        </row>
        <row r="87">
          <cell r="Q87">
            <v>831.28</v>
          </cell>
        </row>
        <row r="88">
          <cell r="Q8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4">
          <cell r="A4">
            <v>8</v>
          </cell>
        </row>
        <row r="13">
          <cell r="U13">
            <v>5633.1400999999996</v>
          </cell>
        </row>
      </sheetData>
      <sheetData sheetId="29" refreshError="1"/>
      <sheetData sheetId="30" refreshError="1">
        <row r="10"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</row>
        <row r="17">
          <cell r="C17" t="b">
            <v>1</v>
          </cell>
          <cell r="D17" t="b">
            <v>1</v>
          </cell>
          <cell r="E17" t="b">
            <v>1</v>
          </cell>
          <cell r="F17" t="b">
            <v>1</v>
          </cell>
          <cell r="G17" t="b">
            <v>1</v>
          </cell>
          <cell r="H17" t="b">
            <v>1</v>
          </cell>
          <cell r="I17" t="b">
            <v>1</v>
          </cell>
          <cell r="J17" t="b">
            <v>1</v>
          </cell>
          <cell r="K17" t="b">
            <v>1</v>
          </cell>
          <cell r="L17" t="b">
            <v>1</v>
          </cell>
          <cell r="M17" t="b">
            <v>0</v>
          </cell>
          <cell r="N17" t="b">
            <v>0</v>
          </cell>
          <cell r="O17" t="b">
            <v>0</v>
          </cell>
        </row>
        <row r="22">
          <cell r="D22" t="b">
            <v>1</v>
          </cell>
          <cell r="E22" t="b">
            <v>1</v>
          </cell>
          <cell r="F22" t="b">
            <v>1</v>
          </cell>
          <cell r="G22" t="b">
            <v>1</v>
          </cell>
          <cell r="H22" t="b">
            <v>1</v>
          </cell>
          <cell r="I22" t="b">
            <v>1</v>
          </cell>
          <cell r="J22" t="b">
            <v>1</v>
          </cell>
          <cell r="K22" t="b">
            <v>1</v>
          </cell>
          <cell r="L22" t="b">
            <v>1</v>
          </cell>
          <cell r="M22" t="b">
            <v>0</v>
          </cell>
          <cell r="N22" t="b">
            <v>0</v>
          </cell>
          <cell r="O22" t="b">
            <v>0</v>
          </cell>
        </row>
        <row r="27">
          <cell r="C27" t="b">
            <v>1</v>
          </cell>
          <cell r="D27" t="b">
            <v>1</v>
          </cell>
          <cell r="E27" t="b">
            <v>1</v>
          </cell>
          <cell r="F27" t="b">
            <v>1</v>
          </cell>
          <cell r="G27" t="b">
            <v>1</v>
          </cell>
          <cell r="H27" t="b">
            <v>1</v>
          </cell>
          <cell r="I27" t="b">
            <v>1</v>
          </cell>
          <cell r="J27" t="b">
            <v>1</v>
          </cell>
          <cell r="K27" t="b">
            <v>1</v>
          </cell>
          <cell r="L27" t="b">
            <v>1</v>
          </cell>
          <cell r="M27" t="b">
            <v>0</v>
          </cell>
          <cell r="N27" t="b">
            <v>0</v>
          </cell>
          <cell r="O27" t="b">
            <v>0</v>
          </cell>
        </row>
      </sheetData>
      <sheetData sheetId="31" refreshError="1"/>
      <sheetData sheetId="32" refreshError="1"/>
      <sheetData sheetId="33" refreshError="1">
        <row r="64">
          <cell r="D64" t="b">
            <v>1</v>
          </cell>
          <cell r="F64">
            <v>1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1376.2280000000019</v>
          </cell>
          <cell r="O67">
            <v>1067.4921999999999</v>
          </cell>
          <cell r="P67">
            <v>1532.1284999999998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-471.0813999999981</v>
          </cell>
          <cell r="O69">
            <v>-1482.4250000000031</v>
          </cell>
          <cell r="P69">
            <v>-1332.4639999999986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-471.0813999999981</v>
          </cell>
          <cell r="O70">
            <v>-1482.4250000000031</v>
          </cell>
          <cell r="P70">
            <v>-1332.4639999999986</v>
          </cell>
        </row>
        <row r="77">
          <cell r="P77">
            <v>1.9172729373953573E-3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 refreshError="1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data - Industries-size"/>
      <sheetName val="consumer vl est"/>
      <sheetName val="Subs"/>
      <sheetName val="Kolkata"/>
      <sheetName val="Bangalore"/>
      <sheetName val="Ahd"/>
      <sheetName val="Chennai"/>
      <sheetName val="Delhi"/>
      <sheetName val="Hyderabad"/>
      <sheetName val="Mumbai"/>
      <sheetName val="Pune"/>
      <sheetName val="Surat"/>
      <sheetName val="Vadodara"/>
      <sheetName val="Subs - 10 cities"/>
      <sheetName val="Infocom scope"/>
      <sheetName val="Reliance subs"/>
      <sheetName val="IRR&amp;EV write up"/>
      <sheetName val="Sheet1"/>
      <sheetName val="Usage"/>
      <sheetName val="WLL addressable mkt"/>
      <sheetName val="CDMA-Capex prices"/>
      <sheetName val="CDMA-CAPEX"/>
      <sheetName val="Capex-fixed"/>
      <sheetName val="NLD- Capex"/>
      <sheetName val="Staff-fixed"/>
      <sheetName val="Assumptions-fixed"/>
      <sheetName val="CDMA-Assumptions"/>
      <sheetName val="NLD - Assum"/>
      <sheetName val="P&amp;L-fixed"/>
      <sheetName val="CDMA-BENCHMARKS"/>
      <sheetName val="CDMA-VALUATIONS"/>
      <sheetName val="CDMA-P&amp;L"/>
      <sheetName val="NLD - P&amp;L"/>
      <sheetName val="CDMA-ratios"/>
      <sheetName val="RCPL-P&amp;L"/>
      <sheetName val="RCPL EV"/>
      <sheetName val="EV-WLL"/>
      <sheetName val="EV-fixed"/>
      <sheetName val="EV-NLD"/>
      <sheetName val="TRAI Tariffs"/>
      <sheetName val="MC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Travel"/>
      <sheetName val="MATERIAL"/>
      <sheetName val="Summary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97-98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S_Bud"/>
      <sheetName val="BS_Bud"/>
      <sheetName val="TB_Bud"/>
      <sheetName val="BL_Bud"/>
      <sheetName val="TM_Bud"/>
      <sheetName val="MS_Bud"/>
      <sheetName val="GW_Bud"/>
      <sheetName val="PL_Bud"/>
      <sheetName val="Head Office_Bud"/>
      <sheetName val="Input"/>
      <sheetName val="YS"/>
      <sheetName val="BS"/>
      <sheetName val="TB"/>
      <sheetName val="BL"/>
      <sheetName val="TM"/>
      <sheetName val="MS"/>
      <sheetName val="GW"/>
      <sheetName val="PL"/>
      <sheetName val="EP"/>
      <sheetName val="Head Office"/>
      <sheetName val="Consolidated"/>
      <sheetName val="Summary"/>
      <sheetName val="Bal.Sheet"/>
      <sheetName val="Bal.Sheet(2)"/>
      <sheetName val="Balance Sheet"/>
      <sheetName val="Cash Flow"/>
      <sheetName val="Capex"/>
      <sheetName val="Facilities4Funding"/>
      <sheetName val="Loan details"/>
      <sheetName val="YS-Bud"/>
      <sheetName val="BS-Bud"/>
      <sheetName val="TB-Bud"/>
      <sheetName val="BL-Bud"/>
      <sheetName val="TM-Bud"/>
      <sheetName val="MS-Bud"/>
      <sheetName val="GW-Bud"/>
      <sheetName val="PL-Bud"/>
      <sheetName val="EP-Bud"/>
      <sheetName val="Head Office-Bud"/>
      <sheetName val="Excise on RM"/>
      <sheetName val="Power&amp;Fuel"/>
      <sheetName val="MFG-EXP"/>
      <sheetName val="Debtor Ageing_31.12.2010"/>
      <sheetName val="#REF"/>
      <sheetName val="BRP&amp;L"/>
      <sheetName val="Cap"/>
      <sheetName val="NEW O.S. 06-07"/>
      <sheetName val="Masters"/>
      <sheetName val="Macrow"/>
      <sheetName val="working"/>
      <sheetName val="sales "/>
      <sheetName val="Stock"/>
      <sheetName val="liability"/>
      <sheetName val="Do not delete"/>
      <sheetName val="Sch"/>
      <sheetName val="SALES-VAL"/>
      <sheetName val="chiet tinh"/>
      <sheetName val="Sheet1"/>
      <sheetName val="BS Summary"/>
      <sheetName val="Head_Office"/>
      <sheetName val="Bal_Sheet"/>
      <sheetName val="Bal_Sheet(2)"/>
      <sheetName val="Balance_Sheet"/>
      <sheetName val="Cash_Flow"/>
      <sheetName val="Loan_details"/>
      <sheetName val="Head_Office-Bud"/>
      <sheetName val="Head_Office_Bud"/>
      <sheetName val="Excise_on_RM"/>
      <sheetName val="Debtor_Ageing_31_12_2010"/>
      <sheetName val="ADDNS"/>
      <sheetName val="dhlrates (AOP 2008)"/>
      <sheetName val="dhlrates (NER 2009)"/>
      <sheetName val="UNIDADES"/>
      <sheetName val="spares"/>
      <sheetName val="Nskveh"/>
      <sheetName val="Support - US"/>
      <sheetName val="Dropdowns"/>
      <sheetName val="Revenue-Invoicewise"/>
      <sheetName val="Pr.-hist."/>
    </sheetNames>
    <sheetDataSet>
      <sheetData sheetId="0">
        <row r="11">
          <cell r="A11">
            <v>1</v>
          </cell>
        </row>
      </sheetData>
      <sheetData sheetId="1">
        <row r="11">
          <cell r="A11">
            <v>1</v>
          </cell>
        </row>
      </sheetData>
      <sheetData sheetId="2">
        <row r="11">
          <cell r="A11">
            <v>1</v>
          </cell>
        </row>
      </sheetData>
      <sheetData sheetId="3">
        <row r="11">
          <cell r="A11">
            <v>1</v>
          </cell>
        </row>
      </sheetData>
      <sheetData sheetId="4">
        <row r="11">
          <cell r="A11">
            <v>1</v>
          </cell>
        </row>
      </sheetData>
      <sheetData sheetId="5">
        <row r="11">
          <cell r="A11">
            <v>1</v>
          </cell>
        </row>
      </sheetData>
      <sheetData sheetId="6">
        <row r="11">
          <cell r="A11">
            <v>1</v>
          </cell>
        </row>
      </sheetData>
      <sheetData sheetId="7"/>
      <sheetData sheetId="8">
        <row r="11">
          <cell r="A11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A11">
            <v>1</v>
          </cell>
          <cell r="B11" t="str">
            <v>Net Film Revenue</v>
          </cell>
          <cell r="E11">
            <v>428.8</v>
          </cell>
          <cell r="F11">
            <v>435.5</v>
          </cell>
          <cell r="G11">
            <v>569.5</v>
          </cell>
          <cell r="H11">
            <v>428.8</v>
          </cell>
          <cell r="I11">
            <v>455.6</v>
          </cell>
          <cell r="J11">
            <v>643.20000000000005</v>
          </cell>
          <cell r="K11">
            <v>442.2</v>
          </cell>
          <cell r="L11">
            <v>502.5</v>
          </cell>
          <cell r="M11">
            <v>569.5</v>
          </cell>
          <cell r="N11">
            <v>428.8</v>
          </cell>
          <cell r="O11">
            <v>562.79999999999995</v>
          </cell>
          <cell r="P11">
            <v>515.9</v>
          </cell>
          <cell r="Q11">
            <v>0</v>
          </cell>
          <cell r="T11">
            <v>0</v>
          </cell>
          <cell r="U11">
            <v>5983.1</v>
          </cell>
          <cell r="V11">
            <v>6314.3334699999987</v>
          </cell>
          <cell r="W11">
            <v>8724.0589999999993</v>
          </cell>
          <cell r="X11">
            <v>-331.23346999999922</v>
          </cell>
          <cell r="Y11">
            <v>-2740.9589999999998</v>
          </cell>
        </row>
        <row r="12">
          <cell r="A12">
            <v>2</v>
          </cell>
          <cell r="B12" t="str">
            <v>Concession Sales</v>
          </cell>
          <cell r="E12">
            <v>73.599999999999994</v>
          </cell>
          <cell r="F12">
            <v>74.75</v>
          </cell>
          <cell r="G12">
            <v>97.75</v>
          </cell>
          <cell r="H12">
            <v>73.599999999999994</v>
          </cell>
          <cell r="I12">
            <v>78.2</v>
          </cell>
          <cell r="J12">
            <v>110.4</v>
          </cell>
          <cell r="K12">
            <v>75.900000000000006</v>
          </cell>
          <cell r="L12">
            <v>86.25</v>
          </cell>
          <cell r="M12">
            <v>97.75</v>
          </cell>
          <cell r="N12">
            <v>73.599999999999994</v>
          </cell>
          <cell r="O12">
            <v>96.6</v>
          </cell>
          <cell r="P12">
            <v>88.55</v>
          </cell>
          <cell r="T12">
            <v>0</v>
          </cell>
          <cell r="U12">
            <v>1026.95</v>
          </cell>
          <cell r="V12">
            <v>1061.2433399999998</v>
          </cell>
          <cell r="W12">
            <v>1287.2809999999999</v>
          </cell>
          <cell r="X12">
            <v>-34.293339999999716</v>
          </cell>
          <cell r="Y12">
            <v>-260.3309999999999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355.49998999999997</v>
          </cell>
          <cell r="W15">
            <v>274.60199999999998</v>
          </cell>
          <cell r="X15">
            <v>34.500010000000032</v>
          </cell>
          <cell r="Y15">
            <v>115.39800000000002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140.56952999999999</v>
          </cell>
          <cell r="W16">
            <v>79.453000000000003</v>
          </cell>
          <cell r="X16">
            <v>-27.318030000000007</v>
          </cell>
          <cell r="Y16">
            <v>33.798499999999976</v>
          </cell>
        </row>
        <row r="17">
          <cell r="B17" t="str">
            <v>TOTAL REVENUE</v>
          </cell>
          <cell r="C17">
            <v>0</v>
          </cell>
          <cell r="E17">
            <v>544.337625</v>
          </cell>
          <cell r="F17">
            <v>552.18762500000003</v>
          </cell>
          <cell r="G17">
            <v>709.18762500000003</v>
          </cell>
          <cell r="H17">
            <v>544.337625</v>
          </cell>
          <cell r="I17">
            <v>575.73762499999998</v>
          </cell>
          <cell r="J17">
            <v>795.53762500000005</v>
          </cell>
          <cell r="K17">
            <v>560.03762500000005</v>
          </cell>
          <cell r="L17">
            <v>630.68762500000003</v>
          </cell>
          <cell r="M17">
            <v>709.18762500000003</v>
          </cell>
          <cell r="N17">
            <v>544.337625</v>
          </cell>
          <cell r="O17">
            <v>701.33762500000012</v>
          </cell>
          <cell r="P17">
            <v>646.38762499999996</v>
          </cell>
          <cell r="R17">
            <v>0</v>
          </cell>
          <cell r="S17">
            <v>0</v>
          </cell>
          <cell r="T17">
            <v>0</v>
          </cell>
          <cell r="U17">
            <v>7513.3015000000005</v>
          </cell>
          <cell r="V17">
            <v>7871.6463299999987</v>
          </cell>
          <cell r="W17">
            <v>10365.395</v>
          </cell>
          <cell r="X17">
            <v>-358.34482999999818</v>
          </cell>
          <cell r="Y17">
            <v>-2852.0934999999999</v>
          </cell>
        </row>
        <row r="19">
          <cell r="A19">
            <v>7</v>
          </cell>
          <cell r="B19" t="str">
            <v>Film Hire</v>
          </cell>
          <cell r="E19">
            <v>199.39200000000002</v>
          </cell>
          <cell r="F19">
            <v>202.50749999999999</v>
          </cell>
          <cell r="G19">
            <v>264.8175</v>
          </cell>
          <cell r="H19">
            <v>199.39200000000002</v>
          </cell>
          <cell r="I19">
            <v>211.85400000000001</v>
          </cell>
          <cell r="J19">
            <v>299.08800000000002</v>
          </cell>
          <cell r="K19">
            <v>205.62300000000002</v>
          </cell>
          <cell r="L19">
            <v>233.66249999999999</v>
          </cell>
          <cell r="M19">
            <v>264.8175</v>
          </cell>
          <cell r="N19">
            <v>199.39200000000002</v>
          </cell>
          <cell r="O19">
            <v>261.70200000000006</v>
          </cell>
          <cell r="P19">
            <v>239.89349999999999</v>
          </cell>
          <cell r="U19">
            <v>2782.1415000000006</v>
          </cell>
          <cell r="V19">
            <v>2918.7243400000002</v>
          </cell>
          <cell r="W19">
            <v>3991.942</v>
          </cell>
          <cell r="X19">
            <v>-136.58283999999958</v>
          </cell>
          <cell r="Y19">
            <v>-1209.8004999999994</v>
          </cell>
        </row>
        <row r="20">
          <cell r="A20">
            <v>8</v>
          </cell>
          <cell r="B20" t="str">
            <v>Concession Cost</v>
          </cell>
          <cell r="E20">
            <v>16.192</v>
          </cell>
          <cell r="F20">
            <v>16.445</v>
          </cell>
          <cell r="G20">
            <v>21.504999999999999</v>
          </cell>
          <cell r="H20">
            <v>16.192</v>
          </cell>
          <cell r="I20">
            <v>17.203999999999997</v>
          </cell>
          <cell r="J20">
            <v>24.287999999999997</v>
          </cell>
          <cell r="K20">
            <v>16.697999999999997</v>
          </cell>
          <cell r="L20">
            <v>18.975000000000001</v>
          </cell>
          <cell r="M20">
            <v>21.504999999999999</v>
          </cell>
          <cell r="N20">
            <v>16.192</v>
          </cell>
          <cell r="O20">
            <v>21.251999999999999</v>
          </cell>
          <cell r="P20">
            <v>19.480999999999998</v>
          </cell>
          <cell r="T20">
            <v>0</v>
          </cell>
          <cell r="U20">
            <v>225.929</v>
          </cell>
          <cell r="V20">
            <v>222.33358999999999</v>
          </cell>
          <cell r="W20">
            <v>332.161</v>
          </cell>
          <cell r="X20">
            <v>3.5954100000000153</v>
          </cell>
          <cell r="Y20">
            <v>-106.232</v>
          </cell>
        </row>
        <row r="21">
          <cell r="A21">
            <v>9</v>
          </cell>
          <cell r="B21" t="str">
            <v>Less Concession Rebates</v>
          </cell>
          <cell r="E21">
            <v>-1.84</v>
          </cell>
          <cell r="F21">
            <v>-1.8687499999999999</v>
          </cell>
          <cell r="G21">
            <v>-2.4437500000000001</v>
          </cell>
          <cell r="H21">
            <v>-1.84</v>
          </cell>
          <cell r="I21">
            <v>-1.9550000000000001</v>
          </cell>
          <cell r="J21">
            <v>-2.76</v>
          </cell>
          <cell r="K21">
            <v>-1.8975</v>
          </cell>
          <cell r="L21">
            <v>-2.15625</v>
          </cell>
          <cell r="M21">
            <v>-2.4437500000000001</v>
          </cell>
          <cell r="N21">
            <v>-1.84</v>
          </cell>
          <cell r="O21">
            <v>-2.415</v>
          </cell>
          <cell r="P21">
            <v>-2.2137500000000001</v>
          </cell>
          <cell r="U21">
            <v>-25.673749999999998</v>
          </cell>
          <cell r="V21">
            <v>-32.79</v>
          </cell>
          <cell r="W21">
            <v>-54.335999999999999</v>
          </cell>
          <cell r="X21">
            <v>7.11625</v>
          </cell>
          <cell r="Y21">
            <v>28.66225</v>
          </cell>
        </row>
        <row r="22">
          <cell r="A22">
            <v>10</v>
          </cell>
          <cell r="B22" t="str">
            <v>Advertising Cost</v>
          </cell>
          <cell r="E22">
            <v>9.8624000000000009</v>
          </cell>
          <cell r="F22">
            <v>10.016500000000001</v>
          </cell>
          <cell r="G22">
            <v>13.0985</v>
          </cell>
          <cell r="H22">
            <v>9.8624000000000009</v>
          </cell>
          <cell r="I22">
            <v>10.4788</v>
          </cell>
          <cell r="J22">
            <v>14.793600000000001</v>
          </cell>
          <cell r="K22">
            <v>10.1706</v>
          </cell>
          <cell r="L22">
            <v>11.557499999999999</v>
          </cell>
          <cell r="M22">
            <v>13.0985</v>
          </cell>
          <cell r="N22">
            <v>9.8624000000000009</v>
          </cell>
          <cell r="O22">
            <v>12.944400000000002</v>
          </cell>
          <cell r="P22">
            <v>11.865699999999999</v>
          </cell>
          <cell r="T22">
            <v>0</v>
          </cell>
          <cell r="U22">
            <v>137.61130000000003</v>
          </cell>
          <cell r="V22">
            <v>157.63596999999999</v>
          </cell>
          <cell r="W22">
            <v>206.21799999999999</v>
          </cell>
          <cell r="X22">
            <v>-20.024669999999958</v>
          </cell>
          <cell r="Y22">
            <v>-68.606699999999961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0.85760000000000003</v>
          </cell>
          <cell r="F23">
            <v>0.871</v>
          </cell>
          <cell r="G23">
            <v>1.139</v>
          </cell>
          <cell r="H23">
            <v>0.85760000000000003</v>
          </cell>
          <cell r="I23">
            <v>0.91120000000000001</v>
          </cell>
          <cell r="J23">
            <v>1.2864000000000002</v>
          </cell>
          <cell r="K23">
            <v>0.88439999999999996</v>
          </cell>
          <cell r="L23">
            <v>1.0049999999999999</v>
          </cell>
          <cell r="M23">
            <v>1.139</v>
          </cell>
          <cell r="N23">
            <v>0.85760000000000003</v>
          </cell>
          <cell r="O23">
            <v>1.1256000000000002</v>
          </cell>
          <cell r="P23">
            <v>1.0318000000000001</v>
          </cell>
          <cell r="R23">
            <v>0</v>
          </cell>
          <cell r="S23">
            <v>0</v>
          </cell>
          <cell r="T23">
            <v>0</v>
          </cell>
          <cell r="U23">
            <v>11.966200000000001</v>
          </cell>
          <cell r="V23">
            <v>12.628666939999997</v>
          </cell>
          <cell r="W23">
            <v>17.448117999999997</v>
          </cell>
          <cell r="X23">
            <v>-0.66246693999999628</v>
          </cell>
          <cell r="Y23">
            <v>-5.4819179999999967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37.290862671494246</v>
          </cell>
          <cell r="F24">
            <v>37.290862671494246</v>
          </cell>
          <cell r="G24">
            <v>38.390862671494247</v>
          </cell>
          <cell r="H24">
            <v>37.290862671494246</v>
          </cell>
          <cell r="I24">
            <v>37.290862671494246</v>
          </cell>
          <cell r="J24">
            <v>38.390862671494247</v>
          </cell>
          <cell r="K24">
            <v>38.091679218794241</v>
          </cell>
          <cell r="L24">
            <v>38.091679218794241</v>
          </cell>
          <cell r="M24">
            <v>39.191679218794242</v>
          </cell>
          <cell r="N24">
            <v>38.091679218794241</v>
          </cell>
          <cell r="O24">
            <v>39.191679218794242</v>
          </cell>
          <cell r="P24">
            <v>39.191679218794242</v>
          </cell>
          <cell r="R24">
            <v>0</v>
          </cell>
          <cell r="S24">
            <v>0</v>
          </cell>
          <cell r="T24">
            <v>0</v>
          </cell>
          <cell r="U24">
            <v>457.79525134173099</v>
          </cell>
          <cell r="V24">
            <v>597.6969049999999</v>
          </cell>
          <cell r="W24">
            <v>827.36200000000008</v>
          </cell>
          <cell r="X24">
            <v>-139.90165365826891</v>
          </cell>
          <cell r="Y24">
            <v>-369.56674865826909</v>
          </cell>
        </row>
        <row r="25">
          <cell r="B25" t="str">
            <v>TOTAL COST</v>
          </cell>
          <cell r="C25">
            <v>0</v>
          </cell>
          <cell r="E25">
            <v>261.75486267149427</v>
          </cell>
          <cell r="F25">
            <v>265.26211267149426</v>
          </cell>
          <cell r="G25">
            <v>336.50711267149421</v>
          </cell>
          <cell r="H25">
            <v>261.75486267149427</v>
          </cell>
          <cell r="I25">
            <v>275.78386267149426</v>
          </cell>
          <cell r="J25">
            <v>375.08686267149432</v>
          </cell>
          <cell r="K25">
            <v>269.57017921879424</v>
          </cell>
          <cell r="L25">
            <v>301.13542921879423</v>
          </cell>
          <cell r="M25">
            <v>337.30792921879424</v>
          </cell>
          <cell r="N25">
            <v>262.55567921879424</v>
          </cell>
          <cell r="O25">
            <v>333.80067921879436</v>
          </cell>
          <cell r="P25">
            <v>309.24992921879425</v>
          </cell>
          <cell r="R25">
            <v>0</v>
          </cell>
          <cell r="S25">
            <v>0</v>
          </cell>
          <cell r="T25">
            <v>0</v>
          </cell>
          <cell r="U25">
            <v>3589.7695013417315</v>
          </cell>
          <cell r="V25">
            <v>3876.2294719400002</v>
          </cell>
          <cell r="W25">
            <v>5320.795118</v>
          </cell>
          <cell r="X25">
            <v>-286.45997059826868</v>
          </cell>
          <cell r="Y25">
            <v>-1731.0256166582685</v>
          </cell>
        </row>
        <row r="27">
          <cell r="B27" t="str">
            <v>GROSS MARGIN</v>
          </cell>
          <cell r="C27">
            <v>0</v>
          </cell>
          <cell r="E27">
            <v>282.58276232850574</v>
          </cell>
          <cell r="F27">
            <v>286.92551232850576</v>
          </cell>
          <cell r="G27">
            <v>372.68051232850581</v>
          </cell>
          <cell r="H27">
            <v>282.58276232850574</v>
          </cell>
          <cell r="I27">
            <v>299.95376232850572</v>
          </cell>
          <cell r="J27">
            <v>420.45076232850573</v>
          </cell>
          <cell r="K27">
            <v>290.46744578120581</v>
          </cell>
          <cell r="L27">
            <v>329.5521957812058</v>
          </cell>
          <cell r="M27">
            <v>371.87969578120578</v>
          </cell>
          <cell r="N27">
            <v>281.78194578120576</v>
          </cell>
          <cell r="O27">
            <v>367.53694578120576</v>
          </cell>
          <cell r="P27">
            <v>337.13769578120571</v>
          </cell>
          <cell r="R27">
            <v>0</v>
          </cell>
          <cell r="S27">
            <v>0</v>
          </cell>
          <cell r="T27">
            <v>0</v>
          </cell>
          <cell r="U27">
            <v>3923.5319986582695</v>
          </cell>
          <cell r="V27">
            <v>3995.4168580599985</v>
          </cell>
          <cell r="W27">
            <v>5044.5998820000004</v>
          </cell>
          <cell r="X27">
            <v>-71.884859401729045</v>
          </cell>
          <cell r="Y27">
            <v>-1121.067883341731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20.2</v>
          </cell>
          <cell r="F30">
            <v>20.2</v>
          </cell>
          <cell r="G30">
            <v>20.2</v>
          </cell>
          <cell r="H30">
            <v>20.2</v>
          </cell>
          <cell r="I30">
            <v>20.2</v>
          </cell>
          <cell r="J30">
            <v>20.2</v>
          </cell>
          <cell r="K30">
            <v>20.2</v>
          </cell>
          <cell r="L30">
            <v>20.2</v>
          </cell>
          <cell r="M30">
            <v>20.2</v>
          </cell>
          <cell r="N30">
            <v>20.2</v>
          </cell>
          <cell r="O30">
            <v>20.2</v>
          </cell>
          <cell r="P30">
            <v>20.2</v>
          </cell>
          <cell r="T30">
            <v>0</v>
          </cell>
          <cell r="U30">
            <v>242.4</v>
          </cell>
          <cell r="V30">
            <v>246.33176000000003</v>
          </cell>
          <cell r="W30">
            <v>271.14699999999999</v>
          </cell>
          <cell r="X30">
            <v>-3.9317600000000823</v>
          </cell>
          <cell r="Y30">
            <v>-28.747000000000043</v>
          </cell>
        </row>
        <row r="31">
          <cell r="A31">
            <v>15</v>
          </cell>
          <cell r="B31" t="str">
            <v>Repair &amp; Maintenance</v>
          </cell>
          <cell r="E31">
            <v>13.25</v>
          </cell>
          <cell r="F31">
            <v>13.25</v>
          </cell>
          <cell r="G31">
            <v>13.25</v>
          </cell>
          <cell r="H31">
            <v>18.25</v>
          </cell>
          <cell r="I31">
            <v>13.25</v>
          </cell>
          <cell r="J31">
            <v>13.25</v>
          </cell>
          <cell r="K31">
            <v>13.25</v>
          </cell>
          <cell r="L31">
            <v>13.25</v>
          </cell>
          <cell r="M31">
            <v>13.25</v>
          </cell>
          <cell r="N31">
            <v>13.25</v>
          </cell>
          <cell r="O31">
            <v>13.25</v>
          </cell>
          <cell r="P31">
            <v>13.25</v>
          </cell>
          <cell r="T31">
            <v>0</v>
          </cell>
          <cell r="U31">
            <v>164</v>
          </cell>
          <cell r="V31">
            <v>217.57400666666669</v>
          </cell>
          <cell r="W31">
            <v>328.58800000000002</v>
          </cell>
          <cell r="X31">
            <v>-53.574006666666691</v>
          </cell>
          <cell r="Y31">
            <v>-164.58800000000002</v>
          </cell>
        </row>
        <row r="32">
          <cell r="A32">
            <v>16</v>
          </cell>
          <cell r="B32" t="str">
            <v>Common Area Maintenance</v>
          </cell>
          <cell r="E32">
            <v>15.888</v>
          </cell>
          <cell r="F32">
            <v>15.888</v>
          </cell>
          <cell r="G32">
            <v>15.888</v>
          </cell>
          <cell r="H32">
            <v>15.888</v>
          </cell>
          <cell r="I32">
            <v>15.888</v>
          </cell>
          <cell r="J32">
            <v>15.888</v>
          </cell>
          <cell r="K32">
            <v>15.888</v>
          </cell>
          <cell r="L32">
            <v>15.888</v>
          </cell>
          <cell r="M32">
            <v>15.888</v>
          </cell>
          <cell r="N32">
            <v>15.888</v>
          </cell>
          <cell r="O32">
            <v>15.888</v>
          </cell>
          <cell r="P32">
            <v>15.888</v>
          </cell>
          <cell r="T32">
            <v>0</v>
          </cell>
          <cell r="U32">
            <v>190.65600000000003</v>
          </cell>
          <cell r="V32">
            <v>190.65660000000003</v>
          </cell>
          <cell r="W32">
            <v>186.501</v>
          </cell>
          <cell r="X32">
            <v>-5.9999999999149622E-4</v>
          </cell>
          <cell r="Y32">
            <v>4.1550000000000296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22.180588626714943</v>
          </cell>
          <cell r="F33">
            <v>22.180188626714941</v>
          </cell>
          <cell r="G33">
            <v>22.01230862671494</v>
          </cell>
          <cell r="H33">
            <v>22.180188626714941</v>
          </cell>
          <cell r="I33">
            <v>24.501308626714941</v>
          </cell>
          <cell r="J33">
            <v>22.19118862671494</v>
          </cell>
          <cell r="K33">
            <v>22.188196792187941</v>
          </cell>
          <cell r="L33">
            <v>24.151556792187943</v>
          </cell>
          <cell r="M33">
            <v>22.199196792187941</v>
          </cell>
          <cell r="N33">
            <v>22.009316792187942</v>
          </cell>
          <cell r="O33">
            <v>22.199196792187941</v>
          </cell>
          <cell r="P33">
            <v>22.020316792187941</v>
          </cell>
          <cell r="R33">
            <v>0</v>
          </cell>
          <cell r="S33">
            <v>0</v>
          </cell>
          <cell r="T33">
            <v>0</v>
          </cell>
          <cell r="U33">
            <v>270.01355251341727</v>
          </cell>
          <cell r="V33">
            <v>334.65881855333333</v>
          </cell>
          <cell r="W33">
            <v>415.33888200000001</v>
          </cell>
          <cell r="X33">
            <v>-64.645266039916066</v>
          </cell>
          <cell r="Y33">
            <v>-145.32532948658275</v>
          </cell>
        </row>
        <row r="35">
          <cell r="B35" t="str">
            <v>Total Overhead Expenses</v>
          </cell>
          <cell r="C35">
            <v>0</v>
          </cell>
          <cell r="E35">
            <v>71.518588626714944</v>
          </cell>
          <cell r="F35">
            <v>71.518188626714945</v>
          </cell>
          <cell r="G35">
            <v>121.2987</v>
          </cell>
          <cell r="H35">
            <v>76.518188626714945</v>
          </cell>
          <cell r="I35">
            <v>73.839308626714939</v>
          </cell>
          <cell r="J35">
            <v>71.529188626714941</v>
          </cell>
          <cell r="K35">
            <v>71.526196792187946</v>
          </cell>
          <cell r="L35">
            <v>73.48955679218794</v>
          </cell>
          <cell r="M35">
            <v>71.537196792187942</v>
          </cell>
          <cell r="N35">
            <v>71.347316792187939</v>
          </cell>
          <cell r="O35">
            <v>71.537196792187942</v>
          </cell>
          <cell r="P35">
            <v>71.358316792187935</v>
          </cell>
          <cell r="R35">
            <v>0</v>
          </cell>
          <cell r="S35">
            <v>0</v>
          </cell>
          <cell r="T35">
            <v>0</v>
          </cell>
          <cell r="U35">
            <v>867.06955251341731</v>
          </cell>
          <cell r="V35">
            <v>989.22118522000005</v>
          </cell>
          <cell r="W35">
            <v>1201.5748819999999</v>
          </cell>
          <cell r="X35">
            <v>-122.15163270658275</v>
          </cell>
          <cell r="Y35">
            <v>-334.50532948658258</v>
          </cell>
        </row>
        <row r="37">
          <cell r="B37" t="str">
            <v>E.B.I.T.D.</v>
          </cell>
          <cell r="C37">
            <v>0</v>
          </cell>
          <cell r="E37">
            <v>211.06417370179079</v>
          </cell>
          <cell r="F37">
            <v>215.4073237017908</v>
          </cell>
          <cell r="G37">
            <v>251.38181232850582</v>
          </cell>
          <cell r="H37">
            <v>206.06457370179078</v>
          </cell>
          <cell r="I37">
            <v>226.11445370179078</v>
          </cell>
          <cell r="J37">
            <v>348.92157370179081</v>
          </cell>
          <cell r="K37">
            <v>218.94124898901788</v>
          </cell>
          <cell r="L37">
            <v>256.06263898901784</v>
          </cell>
          <cell r="M37">
            <v>300.34249898901783</v>
          </cell>
          <cell r="N37">
            <v>210.43462898901782</v>
          </cell>
          <cell r="O37">
            <v>295.9997489890178</v>
          </cell>
          <cell r="P37">
            <v>265.7793789890178</v>
          </cell>
          <cell r="R37">
            <v>0</v>
          </cell>
          <cell r="S37">
            <v>0</v>
          </cell>
          <cell r="T37">
            <v>0</v>
          </cell>
          <cell r="U37">
            <v>3056.462446144852</v>
          </cell>
          <cell r="V37">
            <v>3006.1956728399982</v>
          </cell>
          <cell r="W37">
            <v>3843.0250000000005</v>
          </cell>
          <cell r="X37">
            <v>50.2667733048537</v>
          </cell>
          <cell r="Y37">
            <v>-786.56255385514839</v>
          </cell>
        </row>
        <row r="39">
          <cell r="A39">
            <v>18</v>
          </cell>
          <cell r="B39" t="str">
            <v>Depreciation</v>
          </cell>
          <cell r="E39">
            <v>72.451840277777762</v>
          </cell>
          <cell r="F39">
            <v>72.451840277777762</v>
          </cell>
          <cell r="G39">
            <v>72.451840277777762</v>
          </cell>
          <cell r="H39">
            <v>72.451840277777762</v>
          </cell>
          <cell r="I39">
            <v>72.451840277777762</v>
          </cell>
          <cell r="J39">
            <v>72.451840277777762</v>
          </cell>
          <cell r="K39">
            <v>72.451840277777762</v>
          </cell>
          <cell r="L39">
            <v>72.451840277777762</v>
          </cell>
          <cell r="M39">
            <v>72.451840277777762</v>
          </cell>
          <cell r="N39">
            <v>72.451840277777762</v>
          </cell>
          <cell r="O39">
            <v>72.451840277777762</v>
          </cell>
          <cell r="P39">
            <v>72.451840277777762</v>
          </cell>
          <cell r="T39">
            <v>0</v>
          </cell>
          <cell r="U39">
            <v>869.42208333333338</v>
          </cell>
          <cell r="V39">
            <v>861.3788936574075</v>
          </cell>
          <cell r="W39">
            <v>838.29700000000003</v>
          </cell>
          <cell r="X39">
            <v>8.0431896759258734</v>
          </cell>
          <cell r="Y39">
            <v>31.12508333333335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72.63</v>
          </cell>
          <cell r="W40">
            <v>226.50200000000001</v>
          </cell>
          <cell r="X40">
            <v>-72.63</v>
          </cell>
          <cell r="Y40">
            <v>-226.50200000000001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0</v>
          </cell>
          <cell r="V41">
            <v>99.225781369863014</v>
          </cell>
          <cell r="W41">
            <v>157.886</v>
          </cell>
          <cell r="X41">
            <v>-99.225781369863014</v>
          </cell>
          <cell r="Y41">
            <v>-157.886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</v>
          </cell>
          <cell r="V43">
            <v>2.7231000000000001</v>
          </cell>
          <cell r="W43">
            <v>0.90700000000000003</v>
          </cell>
          <cell r="X43">
            <v>-2.7231000000000001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138.61233342401303</v>
          </cell>
          <cell r="F44">
            <v>142.95548342401304</v>
          </cell>
          <cell r="G44">
            <v>178.92997205072805</v>
          </cell>
          <cell r="H44">
            <v>133.61273342401302</v>
          </cell>
          <cell r="I44">
            <v>153.66261342401302</v>
          </cell>
          <cell r="J44">
            <v>276.46973342401304</v>
          </cell>
          <cell r="K44">
            <v>146.48940871124012</v>
          </cell>
          <cell r="L44">
            <v>183.61079871124008</v>
          </cell>
          <cell r="M44">
            <v>227.89065871124006</v>
          </cell>
          <cell r="N44">
            <v>137.98278871124006</v>
          </cell>
          <cell r="O44">
            <v>223.54790871124004</v>
          </cell>
          <cell r="P44">
            <v>193.32753871124004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2187.0403628115187</v>
          </cell>
          <cell r="V44">
            <v>1975.6840978127277</v>
          </cell>
          <cell r="W44">
            <v>2621.2470000000008</v>
          </cell>
          <cell r="X44">
            <v>211.35626499879095</v>
          </cell>
          <cell r="Y44">
            <v>-434.20663718848209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138.61233342401303</v>
          </cell>
          <cell r="F50">
            <v>142.95548342401304</v>
          </cell>
          <cell r="G50">
            <v>178.92997205072805</v>
          </cell>
          <cell r="H50">
            <v>133.61273342401302</v>
          </cell>
          <cell r="I50">
            <v>153.66261342401302</v>
          </cell>
          <cell r="J50">
            <v>276.46973342401304</v>
          </cell>
          <cell r="K50">
            <v>146.48940871124012</v>
          </cell>
          <cell r="L50">
            <v>183.61079871124008</v>
          </cell>
          <cell r="M50">
            <v>227.89065871124006</v>
          </cell>
          <cell r="N50">
            <v>137.98278871124006</v>
          </cell>
          <cell r="O50">
            <v>223.54790871124004</v>
          </cell>
          <cell r="P50">
            <v>193.32753871124004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2187.0403628115187</v>
          </cell>
          <cell r="V50">
            <v>1975.6840978127277</v>
          </cell>
          <cell r="W50">
            <v>2621.2470000000008</v>
          </cell>
          <cell r="X50">
            <v>211.35626499879095</v>
          </cell>
          <cell r="Y50">
            <v>-434.20663718848209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62.72</v>
          </cell>
          <cell r="F54">
            <v>63.7</v>
          </cell>
          <cell r="G54">
            <v>83.3</v>
          </cell>
          <cell r="H54">
            <v>62.72</v>
          </cell>
          <cell r="I54">
            <v>66.64</v>
          </cell>
          <cell r="J54">
            <v>94.08</v>
          </cell>
          <cell r="K54">
            <v>64.680000000000007</v>
          </cell>
          <cell r="L54">
            <v>73.5</v>
          </cell>
          <cell r="M54">
            <v>83.3</v>
          </cell>
          <cell r="N54">
            <v>62.72</v>
          </cell>
          <cell r="O54">
            <v>82.32</v>
          </cell>
          <cell r="P54">
            <v>75.459999999999994</v>
          </cell>
          <cell r="T54">
            <v>0</v>
          </cell>
          <cell r="U54">
            <v>875.14</v>
          </cell>
          <cell r="V54">
            <v>946</v>
          </cell>
          <cell r="W54">
            <v>1285.933</v>
          </cell>
          <cell r="X54">
            <v>-70.860000000000127</v>
          </cell>
          <cell r="Y54">
            <v>-410.79300000000012</v>
          </cell>
        </row>
        <row r="55">
          <cell r="A55">
            <v>28</v>
          </cell>
          <cell r="B55" t="str">
            <v>Admissions</v>
          </cell>
          <cell r="E55">
            <v>64</v>
          </cell>
          <cell r="F55">
            <v>65</v>
          </cell>
          <cell r="G55">
            <v>85</v>
          </cell>
          <cell r="H55">
            <v>64</v>
          </cell>
          <cell r="I55">
            <v>68</v>
          </cell>
          <cell r="J55">
            <v>96</v>
          </cell>
          <cell r="K55">
            <v>66</v>
          </cell>
          <cell r="L55">
            <v>75</v>
          </cell>
          <cell r="M55">
            <v>85</v>
          </cell>
          <cell r="N55">
            <v>64</v>
          </cell>
          <cell r="O55">
            <v>84</v>
          </cell>
          <cell r="P55">
            <v>77</v>
          </cell>
          <cell r="T55">
            <v>0</v>
          </cell>
          <cell r="U55">
            <v>893</v>
          </cell>
          <cell r="V55">
            <v>946</v>
          </cell>
          <cell r="W55">
            <v>1285.933</v>
          </cell>
          <cell r="X55">
            <v>-53</v>
          </cell>
          <cell r="Y55">
            <v>-392.93299999999999</v>
          </cell>
        </row>
        <row r="56">
          <cell r="B56" t="str">
            <v>Utilisation Rate</v>
          </cell>
          <cell r="E56">
            <v>0.16498927569707969</v>
          </cell>
          <cell r="F56">
            <v>0.16756723312984656</v>
          </cell>
          <cell r="G56">
            <v>0.17530110542814717</v>
          </cell>
          <cell r="H56">
            <v>0.16498927569707969</v>
          </cell>
          <cell r="I56">
            <v>0.17530110542814717</v>
          </cell>
          <cell r="J56">
            <v>0.19798713083649563</v>
          </cell>
          <cell r="K56">
            <v>0.17014519056261343</v>
          </cell>
          <cell r="L56">
            <v>0.19334680745751526</v>
          </cell>
          <cell r="M56">
            <v>0.17530110542814717</v>
          </cell>
          <cell r="N56">
            <v>0.16498927569707969</v>
          </cell>
          <cell r="O56">
            <v>0.17323873948193366</v>
          </cell>
          <cell r="P56">
            <v>0.198502722323049</v>
          </cell>
          <cell r="U56">
            <v>0.17708584518929346</v>
          </cell>
          <cell r="V56">
            <v>0.18759597933826608</v>
          </cell>
          <cell r="W56">
            <v>0.23937873699729709</v>
          </cell>
          <cell r="X56">
            <v>-1.0510134148972616E-2</v>
          </cell>
          <cell r="Y56">
            <v>-6.2292891808003625E-2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T57" t="str">
            <v>N.A.</v>
          </cell>
          <cell r="U57">
            <v>6.7</v>
          </cell>
          <cell r="V57">
            <v>6.6747711099365734</v>
          </cell>
          <cell r="W57">
            <v>6.7842251501439028</v>
          </cell>
          <cell r="X57">
            <v>2.5228890063425879E-2</v>
          </cell>
          <cell r="Y57">
            <v>-8.4225150143903527E-2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2.3000000000000007E-2</v>
          </cell>
          <cell r="V58">
            <v>2.496478381272442E-2</v>
          </cell>
          <cell r="W58">
            <v>2.363785022545125E-2</v>
          </cell>
          <cell r="X58">
            <v>-1.9647838127244133E-3</v>
          </cell>
          <cell r="Y58">
            <v>-6.3785022545124331E-4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T59" t="str">
            <v>N.A.</v>
          </cell>
          <cell r="U59">
            <v>0.19500000000000001</v>
          </cell>
          <cell r="V59">
            <v>0.17860521037521898</v>
          </cell>
          <cell r="W59">
            <v>0.21582311865086179</v>
          </cell>
          <cell r="X59">
            <v>1.6394789624780998E-2</v>
          </cell>
          <cell r="Y59">
            <v>-2.082311865086181E-2</v>
          </cell>
        </row>
        <row r="60">
          <cell r="B60" t="str">
            <v>Concess. Rev per Patron (S$)</v>
          </cell>
          <cell r="C60" t="str">
            <v>N.A.</v>
          </cell>
          <cell r="E60">
            <v>1.1499999999999999</v>
          </cell>
          <cell r="F60">
            <v>1.1499999999999999</v>
          </cell>
          <cell r="G60">
            <v>1.1499999999999999</v>
          </cell>
          <cell r="H60">
            <v>1.1499999999999999</v>
          </cell>
          <cell r="I60">
            <v>1.1499999999999999</v>
          </cell>
          <cell r="J60">
            <v>1.1499999999999999</v>
          </cell>
          <cell r="K60">
            <v>1.1499999999999999</v>
          </cell>
          <cell r="L60">
            <v>1.1499999999999999</v>
          </cell>
          <cell r="M60">
            <v>1.1499999999999999</v>
          </cell>
          <cell r="N60">
            <v>1.1499999999999999</v>
          </cell>
          <cell r="O60">
            <v>1.1499999999999999</v>
          </cell>
          <cell r="P60">
            <v>1.1499999999999999</v>
          </cell>
          <cell r="R60" t="str">
            <v>N.A.</v>
          </cell>
          <cell r="S60" t="str">
            <v>N.A.</v>
          </cell>
          <cell r="T60" t="str">
            <v>N.A.</v>
          </cell>
          <cell r="U60">
            <v>1.1499999999999999</v>
          </cell>
          <cell r="V60">
            <v>1.1218217124735728</v>
          </cell>
          <cell r="W60">
            <v>1.0010482661227296</v>
          </cell>
          <cell r="X60">
            <v>2.817828752642737E-2</v>
          </cell>
          <cell r="Y60">
            <v>0.14895173387727056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T61" t="str">
            <v>N.A.</v>
          </cell>
          <cell r="U61">
            <v>0.46500000000000002</v>
          </cell>
          <cell r="V61">
            <v>0.46223791535039105</v>
          </cell>
          <cell r="W61">
            <v>0.45757851935664356</v>
          </cell>
          <cell r="X61">
            <v>2.7620846496090867E-3</v>
          </cell>
          <cell r="Y61">
            <v>7.4214806433565705E-3</v>
          </cell>
        </row>
        <row r="62">
          <cell r="B62" t="str">
            <v>Direct Payroll : Net Box</v>
          </cell>
          <cell r="C62" t="str">
            <v>N.A.</v>
          </cell>
          <cell r="E62">
            <v>8.696563123016382E-2</v>
          </cell>
          <cell r="F62">
            <v>8.5627698442007447E-2</v>
          </cell>
          <cell r="G62">
            <v>6.7411523567154075E-2</v>
          </cell>
          <cell r="H62">
            <v>8.696563123016382E-2</v>
          </cell>
          <cell r="I62">
            <v>8.1850005863683586E-2</v>
          </cell>
          <cell r="J62">
            <v>5.9687286491751E-2</v>
          </cell>
          <cell r="K62">
            <v>8.6141291765703842E-2</v>
          </cell>
          <cell r="L62">
            <v>7.5804336753819382E-2</v>
          </cell>
          <cell r="M62">
            <v>6.8817698364871366E-2</v>
          </cell>
          <cell r="N62">
            <v>8.8833207133382094E-2</v>
          </cell>
          <cell r="O62">
            <v>6.9636956678738871E-2</v>
          </cell>
          <cell r="P62">
            <v>7.5967589104078775E-2</v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7.6514725032463274E-2</v>
          </cell>
          <cell r="V62">
            <v>9.465716497864976E-2</v>
          </cell>
          <cell r="W62">
            <v>9.4836818503863871E-2</v>
          </cell>
          <cell r="X62">
            <v>-1.8142439946186487E-2</v>
          </cell>
          <cell r="Y62">
            <v>-1.8322093471400597E-2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7.4225443215553841E-2</v>
          </cell>
          <cell r="F63">
            <v>7.3083513319929932E-2</v>
          </cell>
          <cell r="G63">
            <v>5.7535950050946791E-2</v>
          </cell>
          <cell r="H63">
            <v>7.4225443215553841E-2</v>
          </cell>
          <cell r="I63">
            <v>6.9859240673462442E-2</v>
          </cell>
          <cell r="J63">
            <v>5.094328910760914E-2</v>
          </cell>
          <cell r="K63">
            <v>7.3521866857352319E-2</v>
          </cell>
          <cell r="L63">
            <v>6.4699242834470053E-2</v>
          </cell>
          <cell r="M63">
            <v>5.8736124719062185E-2</v>
          </cell>
          <cell r="N63">
            <v>7.5819425196644585E-2</v>
          </cell>
          <cell r="O63">
            <v>5.9435364299051011E-2</v>
          </cell>
          <cell r="P63">
            <v>6.4838579235328389E-2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6.5305561492675662E-2</v>
          </cell>
          <cell r="V63">
            <v>8.1037310083955316E-2</v>
          </cell>
          <cell r="W63">
            <v>8.2642483423797417E-2</v>
          </cell>
          <cell r="X63">
            <v>-1.5731748591279654E-2</v>
          </cell>
          <cell r="Y63">
            <v>-1.7336921931121754E-2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0.58266972924209759</v>
          </cell>
          <cell r="F64">
            <v>0.57370557956144996</v>
          </cell>
          <cell r="G64">
            <v>0.4516572078999323</v>
          </cell>
          <cell r="H64">
            <v>0.58266972924209759</v>
          </cell>
          <cell r="I64">
            <v>0.5483950392866801</v>
          </cell>
          <cell r="J64">
            <v>0.39990481949473172</v>
          </cell>
          <cell r="K64">
            <v>0.57714665483021577</v>
          </cell>
          <cell r="L64">
            <v>0.50788905625058989</v>
          </cell>
          <cell r="M64">
            <v>0.46107857904463811</v>
          </cell>
          <cell r="N64">
            <v>0.59518248779366001</v>
          </cell>
          <cell r="O64">
            <v>0.46656760974755052</v>
          </cell>
          <cell r="P64">
            <v>0.50898284699732776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0.5126486577175039</v>
          </cell>
          <cell r="V64">
            <v>0.6318149101479914</v>
          </cell>
          <cell r="W64">
            <v>0.64339432925354589</v>
          </cell>
          <cell r="X64">
            <v>-0.11916625243048751</v>
          </cell>
          <cell r="Y64">
            <v>-0.130745671536042</v>
          </cell>
        </row>
        <row r="65">
          <cell r="B65" t="str">
            <v>Gross Margin :Total Rev</v>
          </cell>
          <cell r="C65" t="str">
            <v>N.A.</v>
          </cell>
          <cell r="E65">
            <v>0.51913141651471495</v>
          </cell>
          <cell r="F65">
            <v>0.51961597713912144</v>
          </cell>
          <cell r="G65">
            <v>0.52550340585611011</v>
          </cell>
          <cell r="H65">
            <v>0.51913141651471495</v>
          </cell>
          <cell r="I65">
            <v>0.52099037704632511</v>
          </cell>
          <cell r="J65">
            <v>0.52851147339323601</v>
          </cell>
          <cell r="K65">
            <v>0.51865702019789439</v>
          </cell>
          <cell r="L65">
            <v>0.52252840030150549</v>
          </cell>
          <cell r="M65">
            <v>0.52437420320356798</v>
          </cell>
          <cell r="N65">
            <v>0.51766024033559277</v>
          </cell>
          <cell r="O65">
            <v>0.52405137366073251</v>
          </cell>
          <cell r="P65">
            <v>0.5215720145960494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0.52221144042446177</v>
          </cell>
          <cell r="V65">
            <v>0.50757067715718873</v>
          </cell>
          <cell r="W65">
            <v>0.48667705205638573</v>
          </cell>
          <cell r="X65">
            <v>1.4640763267273038E-2</v>
          </cell>
          <cell r="Y65">
            <v>3.5534388368076042E-2</v>
          </cell>
        </row>
        <row r="66">
          <cell r="B66" t="str">
            <v>G&amp;A % of total revenue</v>
          </cell>
          <cell r="C66" t="str">
            <v>N.A.</v>
          </cell>
          <cell r="E66">
            <v>4.0747851348168232E-2</v>
          </cell>
          <cell r="F66">
            <v>4.0167848069240848E-2</v>
          </cell>
          <cell r="G66">
            <v>3.103876583677689E-2</v>
          </cell>
          <cell r="H66">
            <v>4.0747116510116199E-2</v>
          </cell>
          <cell r="I66">
            <v>4.2556379091456709E-2</v>
          </cell>
          <cell r="J66">
            <v>2.789458088385818E-2</v>
          </cell>
          <cell r="K66">
            <v>3.9619118076554126E-2</v>
          </cell>
          <cell r="L66">
            <v>3.8294007738280803E-2</v>
          </cell>
          <cell r="M66">
            <v>3.1302290126943404E-2</v>
          </cell>
          <cell r="N66">
            <v>4.0433208695040954E-2</v>
          </cell>
          <cell r="O66">
            <v>3.165265344517619E-2</v>
          </cell>
          <cell r="P66">
            <v>3.4066736336711187E-2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3.5938069637351466E-2</v>
          </cell>
          <cell r="V66">
            <v>4.2514463242320666E-2</v>
          </cell>
          <cell r="W66">
            <v>4.0069759232523219E-2</v>
          </cell>
          <cell r="X66">
            <v>-6.5763936049691996E-3</v>
          </cell>
          <cell r="Y66">
            <v>-4.131689595171753E-3</v>
          </cell>
        </row>
        <row r="67">
          <cell r="B67" t="str">
            <v>E.B.I.T.D. : Total Rev</v>
          </cell>
          <cell r="C67" t="str">
            <v>N.A.</v>
          </cell>
          <cell r="E67">
            <v>0.38774496563927724</v>
          </cell>
          <cell r="F67">
            <v>0.39009806440662409</v>
          </cell>
          <cell r="G67">
            <v>0.35446446535006276</v>
          </cell>
          <cell r="H67">
            <v>0.37856022482699186</v>
          </cell>
          <cell r="I67">
            <v>0.39273871271100408</v>
          </cell>
          <cell r="J67">
            <v>0.43859845560640931</v>
          </cell>
          <cell r="K67">
            <v>0.39094024975378727</v>
          </cell>
          <cell r="L67">
            <v>0.40600549121130741</v>
          </cell>
          <cell r="M67">
            <v>0.42350217121881928</v>
          </cell>
          <cell r="N67">
            <v>0.38658843211328231</v>
          </cell>
          <cell r="O67">
            <v>0.42205029138286676</v>
          </cell>
          <cell r="P67">
            <v>0.41117646549780068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0.40680684066050748</v>
          </cell>
          <cell r="V67">
            <v>0.38190177083832461</v>
          </cell>
          <cell r="W67">
            <v>0.37075528718394235</v>
          </cell>
          <cell r="X67">
            <v>2.4905069822182879E-2</v>
          </cell>
          <cell r="Y67">
            <v>3.6051553476565135E-2</v>
          </cell>
        </row>
        <row r="68">
          <cell r="B68" t="str">
            <v>No of Concession Transactions</v>
          </cell>
          <cell r="E68">
            <v>18</v>
          </cell>
          <cell r="F68">
            <v>18</v>
          </cell>
          <cell r="G68">
            <v>24</v>
          </cell>
          <cell r="H68">
            <v>17</v>
          </cell>
          <cell r="I68">
            <v>20</v>
          </cell>
          <cell r="J68">
            <v>26</v>
          </cell>
          <cell r="K68">
            <v>18</v>
          </cell>
          <cell r="L68">
            <v>20</v>
          </cell>
          <cell r="M68">
            <v>25</v>
          </cell>
          <cell r="N68">
            <v>18</v>
          </cell>
          <cell r="O68">
            <v>24</v>
          </cell>
          <cell r="P68">
            <v>28</v>
          </cell>
          <cell r="Q68" t="str">
            <v/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>
            <v>256</v>
          </cell>
          <cell r="V68">
            <v>240</v>
          </cell>
          <cell r="W68">
            <v>0</v>
          </cell>
          <cell r="X68">
            <v>16</v>
          </cell>
          <cell r="Y68">
            <v>256</v>
          </cell>
        </row>
        <row r="69">
          <cell r="B69" t="str">
            <v>Strike Rate %(No of Trans/Adm)</v>
          </cell>
          <cell r="E69">
            <v>0.28125</v>
          </cell>
          <cell r="F69">
            <v>0.27692307692307694</v>
          </cell>
          <cell r="G69">
            <v>0.28235294117647058</v>
          </cell>
          <cell r="H69">
            <v>0.265625</v>
          </cell>
          <cell r="I69">
            <v>0.29411764705882354</v>
          </cell>
          <cell r="J69">
            <v>0.27083333333333331</v>
          </cell>
          <cell r="K69">
            <v>0.27272727272727271</v>
          </cell>
          <cell r="L69">
            <v>0.26666666666666666</v>
          </cell>
          <cell r="M69">
            <v>0.29411764705882354</v>
          </cell>
          <cell r="N69">
            <v>0.28125</v>
          </cell>
          <cell r="O69">
            <v>0.2857142857142857</v>
          </cell>
          <cell r="P69">
            <v>0.36363636363636365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0.28667413213885778</v>
          </cell>
          <cell r="V69">
            <v>0.2536997885835095</v>
          </cell>
          <cell r="W69">
            <v>0</v>
          </cell>
          <cell r="X69">
            <v>3.2974343555348284E-2</v>
          </cell>
          <cell r="Y69">
            <v>0.28667413213885778</v>
          </cell>
        </row>
        <row r="70">
          <cell r="B70" t="str">
            <v>Ave Sales (Total Sale/No of Trans) (S$)</v>
          </cell>
          <cell r="E70">
            <v>4.0888888888888886</v>
          </cell>
          <cell r="F70">
            <v>4.1527777777777777</v>
          </cell>
          <cell r="G70">
            <v>4.0729166666666661</v>
          </cell>
          <cell r="H70">
            <v>4.3294117647058821</v>
          </cell>
          <cell r="I70">
            <v>3.91</v>
          </cell>
          <cell r="J70">
            <v>4.2461538461538462</v>
          </cell>
          <cell r="K70">
            <v>4.2166666666666659</v>
          </cell>
          <cell r="L70">
            <v>4.3125</v>
          </cell>
          <cell r="M70">
            <v>3.91</v>
          </cell>
          <cell r="N70">
            <v>4.0888888888888886</v>
          </cell>
          <cell r="O70">
            <v>4.0250000000000004</v>
          </cell>
          <cell r="P70">
            <v>3.1625000000000001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4.0115234375000002</v>
          </cell>
          <cell r="V70">
            <v>4.421847249999999</v>
          </cell>
          <cell r="W70" t="str">
            <v>N.A.</v>
          </cell>
          <cell r="X70">
            <v>-0.41032381249999883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55</v>
          </cell>
          <cell r="H71">
            <v>37</v>
          </cell>
          <cell r="I71">
            <v>38</v>
          </cell>
          <cell r="J71">
            <v>53</v>
          </cell>
          <cell r="K71">
            <v>37</v>
          </cell>
          <cell r="L71">
            <v>40</v>
          </cell>
          <cell r="M71">
            <v>51</v>
          </cell>
          <cell r="N71">
            <v>36</v>
          </cell>
          <cell r="O71">
            <v>50</v>
          </cell>
          <cell r="P71">
            <v>51</v>
          </cell>
          <cell r="Q71" t="str">
            <v/>
          </cell>
          <cell r="R71">
            <v>74.369</v>
          </cell>
          <cell r="S71">
            <v>75.369</v>
          </cell>
          <cell r="T71">
            <v>76.369</v>
          </cell>
          <cell r="U71">
            <v>526</v>
          </cell>
          <cell r="V71">
            <v>522</v>
          </cell>
          <cell r="W71">
            <v>0</v>
          </cell>
          <cell r="X71">
            <v>4</v>
          </cell>
          <cell r="Y71">
            <v>526</v>
          </cell>
        </row>
        <row r="72">
          <cell r="B72" t="str">
            <v>Combo Sales as % of Total Sales</v>
          </cell>
          <cell r="E72">
            <v>0.51630434782608703</v>
          </cell>
          <cell r="F72">
            <v>0.53511705685618727</v>
          </cell>
          <cell r="G72">
            <v>0.56265984654731471</v>
          </cell>
          <cell r="H72">
            <v>0.50271739130434789</v>
          </cell>
          <cell r="I72">
            <v>0.48593350383631723</v>
          </cell>
          <cell r="J72">
            <v>0.48007246376811596</v>
          </cell>
          <cell r="K72">
            <v>0.48748353096179187</v>
          </cell>
          <cell r="L72">
            <v>0.46376811594202899</v>
          </cell>
          <cell r="M72">
            <v>0.52173913043478271</v>
          </cell>
          <cell r="N72">
            <v>0.48913043478260876</v>
          </cell>
          <cell r="O72">
            <v>0.51759834368530022</v>
          </cell>
          <cell r="P72">
            <v>0.57594579333709772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0.51219630946005157</v>
          </cell>
          <cell r="V72">
            <v>0.4918758783447349</v>
          </cell>
          <cell r="W72">
            <v>0</v>
          </cell>
          <cell r="X72">
            <v>2.0320431115316673E-2</v>
          </cell>
          <cell r="Y72">
            <v>0.51219630946005157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>
            <v>81.075000000000003</v>
          </cell>
          <cell r="V73">
            <v>75</v>
          </cell>
          <cell r="W73">
            <v>0</v>
          </cell>
          <cell r="X73">
            <v>6.0750000000000002</v>
          </cell>
          <cell r="Y73">
            <v>81.075000000000003</v>
          </cell>
        </row>
        <row r="74">
          <cell r="B74" t="str">
            <v>Admissions/labour hour paid</v>
          </cell>
          <cell r="E74">
            <v>10.503856884949943</v>
          </cell>
          <cell r="F74">
            <v>10.833333333333334</v>
          </cell>
          <cell r="G74">
            <v>10.758131882040248</v>
          </cell>
          <cell r="H74">
            <v>10.503856884949943</v>
          </cell>
          <cell r="I74">
            <v>11.333333333333334</v>
          </cell>
          <cell r="J74">
            <v>12.150360713833692</v>
          </cell>
          <cell r="K74">
            <v>10.832102412604629</v>
          </cell>
          <cell r="L74">
            <v>12.5</v>
          </cell>
          <cell r="M74">
            <v>10.758131882040248</v>
          </cell>
          <cell r="N74">
            <v>10.503856884949943</v>
          </cell>
          <cell r="O74">
            <v>10.5</v>
          </cell>
          <cell r="P74">
            <v>11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11.014492753623188</v>
          </cell>
          <cell r="V74">
            <v>12.613333333333333</v>
          </cell>
          <cell r="W74" t="str">
            <v>N.A.</v>
          </cell>
          <cell r="X74">
            <v>-1.5988405797101457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47.739530000000002</v>
          </cell>
          <cell r="W77">
            <v>3.8690000000000002</v>
          </cell>
          <cell r="X77">
            <v>-20.552030000000002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45.44</v>
          </cell>
          <cell r="W78">
            <v>22.137</v>
          </cell>
          <cell r="X78">
            <v>2.56</v>
          </cell>
          <cell r="Y78">
            <v>25.863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47.39</v>
          </cell>
          <cell r="W82">
            <v>53.447000000000003</v>
          </cell>
          <cell r="X82">
            <v>-9.3260000000000005</v>
          </cell>
          <cell r="Y82">
            <v>-15.383000000000003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140.56952999999999</v>
          </cell>
          <cell r="W83">
            <v>79.453000000000003</v>
          </cell>
          <cell r="X83">
            <v>-27.318029999999993</v>
          </cell>
          <cell r="Y83">
            <v>33.79849999999999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0.85760000000000003</v>
          </cell>
          <cell r="F86">
            <v>0.871</v>
          </cell>
          <cell r="G86">
            <v>1.139</v>
          </cell>
          <cell r="H86">
            <v>0.85760000000000003</v>
          </cell>
          <cell r="I86">
            <v>0.91120000000000001</v>
          </cell>
          <cell r="J86">
            <v>1.2864000000000002</v>
          </cell>
          <cell r="K86">
            <v>0.88439999999999996</v>
          </cell>
          <cell r="L86">
            <v>1.0049999999999999</v>
          </cell>
          <cell r="M86">
            <v>1.139</v>
          </cell>
          <cell r="N86">
            <v>0.85760000000000003</v>
          </cell>
          <cell r="O86">
            <v>1.1256000000000002</v>
          </cell>
          <cell r="P86">
            <v>1.0318000000000001</v>
          </cell>
          <cell r="U86">
            <v>11.966200000000001</v>
          </cell>
          <cell r="V86">
            <v>12.628666939999997</v>
          </cell>
          <cell r="W86">
            <v>17.448117999999997</v>
          </cell>
          <cell r="X86">
            <v>-0.66246693999999628</v>
          </cell>
          <cell r="Y86">
            <v>-5.4819179999999967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0.85760000000000003</v>
          </cell>
          <cell r="F91">
            <v>0.871</v>
          </cell>
          <cell r="G91">
            <v>1.139</v>
          </cell>
          <cell r="H91">
            <v>0.85760000000000003</v>
          </cell>
          <cell r="I91">
            <v>0.91120000000000001</v>
          </cell>
          <cell r="J91">
            <v>1.2864000000000002</v>
          </cell>
          <cell r="K91">
            <v>0.88439999999999996</v>
          </cell>
          <cell r="L91">
            <v>1.0049999999999999</v>
          </cell>
          <cell r="M91">
            <v>1.139</v>
          </cell>
          <cell r="N91">
            <v>0.85760000000000003</v>
          </cell>
          <cell r="O91">
            <v>1.1256000000000002</v>
          </cell>
          <cell r="P91">
            <v>1.0318000000000001</v>
          </cell>
          <cell r="U91">
            <v>11.966200000000001</v>
          </cell>
          <cell r="V91">
            <v>12.628666939999997</v>
          </cell>
          <cell r="W91">
            <v>17.448117999999997</v>
          </cell>
          <cell r="X91">
            <v>-0.66246693999999628</v>
          </cell>
          <cell r="Y91">
            <v>-5.4819179999999967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34.256723504827583</v>
          </cell>
          <cell r="F94">
            <v>34.256723504827583</v>
          </cell>
          <cell r="G94">
            <v>35.356723504827585</v>
          </cell>
          <cell r="H94">
            <v>34.256723504827583</v>
          </cell>
          <cell r="I94">
            <v>34.256723504827583</v>
          </cell>
          <cell r="J94">
            <v>35.356723504827585</v>
          </cell>
          <cell r="K94">
            <v>35.057540052127578</v>
          </cell>
          <cell r="L94">
            <v>35.057540052127578</v>
          </cell>
          <cell r="M94">
            <v>36.15754005212758</v>
          </cell>
          <cell r="N94">
            <v>35.057540052127578</v>
          </cell>
          <cell r="O94">
            <v>36.15754005212758</v>
          </cell>
          <cell r="P94">
            <v>36.15754005212758</v>
          </cell>
          <cell r="Q94" t="str">
            <v/>
          </cell>
          <cell r="T94">
            <v>0</v>
          </cell>
          <cell r="U94">
            <v>421.38558134173093</v>
          </cell>
          <cell r="V94">
            <v>547.94183499999997</v>
          </cell>
          <cell r="W94">
            <v>730.81500000000005</v>
          </cell>
          <cell r="X94">
            <v>-126.55625365826904</v>
          </cell>
          <cell r="Y94">
            <v>-309.42941865826913</v>
          </cell>
        </row>
        <row r="95">
          <cell r="A95">
            <v>67</v>
          </cell>
          <cell r="B95" t="str">
            <v>Bonus/Commission</v>
          </cell>
          <cell r="E95">
            <v>1.6967391666666665</v>
          </cell>
          <cell r="F95">
            <v>1.6967391666666665</v>
          </cell>
          <cell r="G95">
            <v>1.6967391666666665</v>
          </cell>
          <cell r="H95">
            <v>1.6967391666666665</v>
          </cell>
          <cell r="I95">
            <v>1.6967391666666665</v>
          </cell>
          <cell r="J95">
            <v>1.6967391666666665</v>
          </cell>
          <cell r="K95">
            <v>1.6967391666666665</v>
          </cell>
          <cell r="L95">
            <v>1.6967391666666665</v>
          </cell>
          <cell r="M95">
            <v>1.6967391666666665</v>
          </cell>
          <cell r="N95">
            <v>1.6967391666666665</v>
          </cell>
          <cell r="O95">
            <v>1.6967391666666665</v>
          </cell>
          <cell r="P95">
            <v>1.6967391666666665</v>
          </cell>
          <cell r="Q95" t="str">
            <v/>
          </cell>
          <cell r="T95">
            <v>0</v>
          </cell>
          <cell r="U95">
            <v>20.360870000000002</v>
          </cell>
          <cell r="V95">
            <v>29.305899999999998</v>
          </cell>
          <cell r="W95">
            <v>53.343000000000004</v>
          </cell>
          <cell r="X95">
            <v>-8.9450299999999956</v>
          </cell>
          <cell r="Y95">
            <v>-32.982129999999998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 t="str">
            <v/>
          </cell>
          <cell r="T97">
            <v>0</v>
          </cell>
          <cell r="U97">
            <v>6.6360000000000001</v>
          </cell>
          <cell r="V97">
            <v>10.023599999999998</v>
          </cell>
          <cell r="W97">
            <v>28.282</v>
          </cell>
          <cell r="X97">
            <v>-3.3875999999999982</v>
          </cell>
          <cell r="Y97">
            <v>-21.646000000000001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Q98" t="str">
            <v/>
          </cell>
          <cell r="T98">
            <v>0</v>
          </cell>
          <cell r="U98">
            <v>9.4127999999999989</v>
          </cell>
          <cell r="V98">
            <v>10.42557</v>
          </cell>
          <cell r="W98">
            <v>14.922000000000001</v>
          </cell>
          <cell r="X98">
            <v>-1.0127700000000015</v>
          </cell>
          <cell r="Y98">
            <v>-5.5092000000000017</v>
          </cell>
        </row>
        <row r="99">
          <cell r="C99">
            <v>0</v>
          </cell>
          <cell r="E99">
            <v>37.290862671494246</v>
          </cell>
          <cell r="F99">
            <v>37.290862671494246</v>
          </cell>
          <cell r="G99">
            <v>38.390862671494247</v>
          </cell>
          <cell r="H99">
            <v>37.290862671494246</v>
          </cell>
          <cell r="I99">
            <v>37.290862671494246</v>
          </cell>
          <cell r="J99">
            <v>38.390862671494247</v>
          </cell>
          <cell r="K99">
            <v>38.091679218794241</v>
          </cell>
          <cell r="L99">
            <v>38.091679218794241</v>
          </cell>
          <cell r="M99">
            <v>39.191679218794242</v>
          </cell>
          <cell r="N99">
            <v>38.091679218794241</v>
          </cell>
          <cell r="O99">
            <v>39.191679218794242</v>
          </cell>
          <cell r="P99">
            <v>39.191679218794242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457.79525134173093</v>
          </cell>
          <cell r="V99">
            <v>597.6969049999999</v>
          </cell>
          <cell r="W99">
            <v>827.36200000000008</v>
          </cell>
          <cell r="X99">
            <v>-139.90165365826897</v>
          </cell>
          <cell r="Y99">
            <v>-369.56674865826915</v>
          </cell>
        </row>
        <row r="100">
          <cell r="Q100" t="str">
            <v/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/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 t="str">
            <v/>
          </cell>
          <cell r="T102">
            <v>0</v>
          </cell>
          <cell r="U102">
            <v>15.6</v>
          </cell>
          <cell r="V102">
            <v>15.299569999999996</v>
          </cell>
          <cell r="W102">
            <v>17.048999999999999</v>
          </cell>
          <cell r="X102">
            <v>0.30043000000000752</v>
          </cell>
          <cell r="Y102">
            <v>-1.4489999999999963</v>
          </cell>
        </row>
        <row r="103">
          <cell r="A103">
            <v>72</v>
          </cell>
          <cell r="B103" t="str">
            <v>Property Taxes</v>
          </cell>
          <cell r="E103">
            <v>4.0194000000000001</v>
          </cell>
          <cell r="F103">
            <v>4.0190000000000001</v>
          </cell>
          <cell r="G103">
            <v>4.0190000000000001</v>
          </cell>
          <cell r="H103">
            <v>4.0190000000000001</v>
          </cell>
          <cell r="I103">
            <v>4.0190000000000001</v>
          </cell>
          <cell r="J103">
            <v>4.0190000000000001</v>
          </cell>
          <cell r="K103">
            <v>4.0190000000000001</v>
          </cell>
          <cell r="L103">
            <v>4.0190000000000001</v>
          </cell>
          <cell r="M103">
            <v>4.0190000000000001</v>
          </cell>
          <cell r="N103">
            <v>4.0190000000000001</v>
          </cell>
          <cell r="O103">
            <v>4.0190000000000001</v>
          </cell>
          <cell r="P103">
            <v>4.0190000000000001</v>
          </cell>
          <cell r="Q103" t="str">
            <v/>
          </cell>
          <cell r="T103">
            <v>0</v>
          </cell>
          <cell r="U103">
            <v>48.228399999999986</v>
          </cell>
          <cell r="V103">
            <v>48.228399999999986</v>
          </cell>
          <cell r="W103">
            <v>107.184</v>
          </cell>
          <cell r="X103">
            <v>0</v>
          </cell>
          <cell r="Y103">
            <v>-58.955600000000011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20.267083333333332</v>
          </cell>
          <cell r="W104">
            <v>20.210999999999999</v>
          </cell>
          <cell r="X104">
            <v>3.732916666666668</v>
          </cell>
          <cell r="Y104">
            <v>3.7890000000000015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12.994800000000001</v>
          </cell>
          <cell r="W105">
            <v>22.789000000000001</v>
          </cell>
          <cell r="X105">
            <v>-0.99480000000000146</v>
          </cell>
          <cell r="Y105">
            <v>-10.789000000000001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2.9394600000000008</v>
          </cell>
          <cell r="W106">
            <v>0</v>
          </cell>
          <cell r="X106">
            <v>3.0605399999999992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0.218</v>
          </cell>
          <cell r="F108">
            <v>0.218</v>
          </cell>
          <cell r="G108">
            <v>0.218</v>
          </cell>
          <cell r="H108">
            <v>0.218</v>
          </cell>
          <cell r="I108">
            <v>0.218</v>
          </cell>
          <cell r="J108">
            <v>0.218</v>
          </cell>
          <cell r="K108">
            <v>0.218</v>
          </cell>
          <cell r="L108">
            <v>0.218</v>
          </cell>
          <cell r="M108">
            <v>0.218</v>
          </cell>
          <cell r="N108">
            <v>0.218</v>
          </cell>
          <cell r="O108">
            <v>0.218</v>
          </cell>
          <cell r="P108">
            <v>0.218</v>
          </cell>
          <cell r="T108">
            <v>0</v>
          </cell>
          <cell r="U108">
            <v>2.6160000000000001</v>
          </cell>
          <cell r="V108">
            <v>5.9783652200000024</v>
          </cell>
          <cell r="W108">
            <v>21.227882000000005</v>
          </cell>
          <cell r="X108">
            <v>-3.3623652200000023</v>
          </cell>
          <cell r="Y108">
            <v>-18.611882000000005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5.54528</v>
          </cell>
          <cell r="F111">
            <v>5.54528</v>
          </cell>
          <cell r="G111">
            <v>5.3664000000000005</v>
          </cell>
          <cell r="H111">
            <v>5.54528</v>
          </cell>
          <cell r="I111">
            <v>7.8664000000000005</v>
          </cell>
          <cell r="J111">
            <v>5.54528</v>
          </cell>
          <cell r="K111">
            <v>5.54528</v>
          </cell>
          <cell r="L111">
            <v>7.5086399999999998</v>
          </cell>
          <cell r="M111">
            <v>5.54528</v>
          </cell>
          <cell r="N111">
            <v>5.3664000000000005</v>
          </cell>
          <cell r="O111">
            <v>5.54528</v>
          </cell>
          <cell r="P111">
            <v>5.3664000000000005</v>
          </cell>
          <cell r="T111">
            <v>0</v>
          </cell>
          <cell r="U111">
            <v>70.291199999999989</v>
          </cell>
          <cell r="V111">
            <v>133.85639999999998</v>
          </cell>
          <cell r="W111">
            <v>139.471</v>
          </cell>
          <cell r="X111">
            <v>-63.56519999999999</v>
          </cell>
          <cell r="Y111">
            <v>-69.179800000000014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56.679920000000003</v>
          </cell>
          <cell r="W112">
            <v>36.619</v>
          </cell>
          <cell r="X112">
            <v>-8.6799200000000027</v>
          </cell>
          <cell r="Y112">
            <v>11.381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7.4699699999999982</v>
          </cell>
          <cell r="W113">
            <v>7.5039999999999996</v>
          </cell>
          <cell r="X113">
            <v>-0.26996999999999982</v>
          </cell>
          <cell r="Y113">
            <v>-0.30400000000000116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0.60799999999999998</v>
          </cell>
          <cell r="W114">
            <v>6.2679999999999998</v>
          </cell>
          <cell r="X114">
            <v>1.7919999999999998</v>
          </cell>
          <cell r="Y114">
            <v>-3.8679999999999999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6.3080999999999996</v>
          </cell>
          <cell r="W115">
            <v>4.5119999999999996</v>
          </cell>
          <cell r="X115">
            <v>-0.3080999999999996</v>
          </cell>
          <cell r="Y115">
            <v>1.4880000000000004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1.0617499999999997</v>
          </cell>
          <cell r="W117">
            <v>2.919</v>
          </cell>
          <cell r="X117">
            <v>1.3382500000000002</v>
          </cell>
          <cell r="Y117">
            <v>-0.51900000000000013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0.49790862671494251</v>
          </cell>
          <cell r="F119">
            <v>0.49790862671494251</v>
          </cell>
          <cell r="G119">
            <v>0.50890862671494252</v>
          </cell>
          <cell r="H119">
            <v>0.49790862671494251</v>
          </cell>
          <cell r="I119">
            <v>0.49790862671494251</v>
          </cell>
          <cell r="J119">
            <v>0.50890862671494252</v>
          </cell>
          <cell r="K119">
            <v>0.5059167921879425</v>
          </cell>
          <cell r="L119">
            <v>0.5059167921879425</v>
          </cell>
          <cell r="M119">
            <v>0.51691679218794251</v>
          </cell>
          <cell r="N119">
            <v>0.5059167921879425</v>
          </cell>
          <cell r="O119">
            <v>0.51691679218794251</v>
          </cell>
          <cell r="P119">
            <v>0.51691679218794251</v>
          </cell>
          <cell r="T119">
            <v>0</v>
          </cell>
          <cell r="U119">
            <v>6.0779525134173102</v>
          </cell>
          <cell r="V119">
            <v>6.1970000000000001</v>
          </cell>
          <cell r="W119">
            <v>9.8239999999999998</v>
          </cell>
          <cell r="X119">
            <v>-0.11904748658268982</v>
          </cell>
          <cell r="Y119">
            <v>-3.7460474865826896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1.17</v>
          </cell>
          <cell r="W124">
            <v>4.1609999999999978</v>
          </cell>
          <cell r="X124">
            <v>2.4300000000000002</v>
          </cell>
          <cell r="Y124">
            <v>-0.56099999999999861</v>
          </cell>
        </row>
        <row r="125">
          <cell r="C125">
            <v>0</v>
          </cell>
          <cell r="E125">
            <v>22.180588626714943</v>
          </cell>
          <cell r="F125">
            <v>22.180188626714941</v>
          </cell>
          <cell r="G125">
            <v>22.01230862671494</v>
          </cell>
          <cell r="H125">
            <v>22.180188626714941</v>
          </cell>
          <cell r="I125">
            <v>24.501308626714941</v>
          </cell>
          <cell r="J125">
            <v>22.19118862671494</v>
          </cell>
          <cell r="K125">
            <v>22.188196792187941</v>
          </cell>
          <cell r="L125">
            <v>24.151556792187943</v>
          </cell>
          <cell r="M125">
            <v>22.199196792187941</v>
          </cell>
          <cell r="N125">
            <v>22.009316792187942</v>
          </cell>
          <cell r="O125">
            <v>22.199196792187941</v>
          </cell>
          <cell r="P125">
            <v>22.020316792187941</v>
          </cell>
          <cell r="R125">
            <v>0</v>
          </cell>
          <cell r="S125">
            <v>0</v>
          </cell>
          <cell r="T125">
            <v>0</v>
          </cell>
          <cell r="U125">
            <v>270.01355251341732</v>
          </cell>
          <cell r="V125">
            <v>334.65881855333333</v>
          </cell>
          <cell r="W125">
            <v>415.33888200000001</v>
          </cell>
          <cell r="X125">
            <v>-64.64526603991601</v>
          </cell>
          <cell r="Y125">
            <v>-145.32532948658269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 t="str">
            <v/>
          </cell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0" refreshError="1">
        <row r="11">
          <cell r="A11">
            <v>1</v>
          </cell>
          <cell r="B11" t="str">
            <v>Net Film Revenue</v>
          </cell>
          <cell r="E11">
            <v>377.34</v>
          </cell>
          <cell r="F11">
            <v>397.2</v>
          </cell>
          <cell r="G11">
            <v>463.4</v>
          </cell>
          <cell r="H11">
            <v>383.96</v>
          </cell>
          <cell r="I11">
            <v>410.44</v>
          </cell>
          <cell r="J11">
            <v>562.70000000000005</v>
          </cell>
          <cell r="K11">
            <v>383.96</v>
          </cell>
          <cell r="L11">
            <v>410.44</v>
          </cell>
          <cell r="M11">
            <v>476.64</v>
          </cell>
          <cell r="N11">
            <v>410.44</v>
          </cell>
          <cell r="O11">
            <v>529.6</v>
          </cell>
          <cell r="P11">
            <v>496.5</v>
          </cell>
          <cell r="Q11">
            <v>0</v>
          </cell>
          <cell r="T11">
            <v>0</v>
          </cell>
          <cell r="U11">
            <v>5302.62</v>
          </cell>
          <cell r="V11">
            <v>5536.4605899999988</v>
          </cell>
          <cell r="W11">
            <v>7381.3370000000004</v>
          </cell>
          <cell r="X11">
            <v>-233.84058999999888</v>
          </cell>
          <cell r="Y11">
            <v>-2078.7170000000006</v>
          </cell>
        </row>
        <row r="12">
          <cell r="A12">
            <v>2</v>
          </cell>
          <cell r="B12" t="str">
            <v>Concession Sales</v>
          </cell>
          <cell r="E12">
            <v>76.95</v>
          </cell>
          <cell r="F12">
            <v>81</v>
          </cell>
          <cell r="G12">
            <v>94.5</v>
          </cell>
          <cell r="H12">
            <v>78.3</v>
          </cell>
          <cell r="I12">
            <v>83.7</v>
          </cell>
          <cell r="J12">
            <v>114.75</v>
          </cell>
          <cell r="K12">
            <v>78.3</v>
          </cell>
          <cell r="L12">
            <v>83.7</v>
          </cell>
          <cell r="M12">
            <v>97.2</v>
          </cell>
          <cell r="N12">
            <v>83.7</v>
          </cell>
          <cell r="O12">
            <v>108</v>
          </cell>
          <cell r="P12">
            <v>101.25</v>
          </cell>
          <cell r="T12">
            <v>0</v>
          </cell>
          <cell r="U12">
            <v>1081.3499999999999</v>
          </cell>
          <cell r="V12">
            <v>1151.98856</v>
          </cell>
          <cell r="W12">
            <v>1433.0309999999999</v>
          </cell>
          <cell r="X12">
            <v>-70.63855999999987</v>
          </cell>
          <cell r="Y12">
            <v>-351.68099999999981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321.01042000000001</v>
          </cell>
          <cell r="W15">
            <v>283.57299999999998</v>
          </cell>
          <cell r="X15">
            <v>-87.010420000000011</v>
          </cell>
          <cell r="Y15">
            <v>-49.572999999999979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115.01553</v>
          </cell>
          <cell r="W16">
            <v>62.262999999999998</v>
          </cell>
          <cell r="X16">
            <v>-37.76403000000002</v>
          </cell>
          <cell r="Y16">
            <v>14.988499999999981</v>
          </cell>
        </row>
        <row r="17">
          <cell r="B17" t="str">
            <v>TOTAL REVENUE</v>
          </cell>
          <cell r="C17">
            <v>0</v>
          </cell>
          <cell r="E17">
            <v>480.22762500000005</v>
          </cell>
          <cell r="F17">
            <v>504.13762500000001</v>
          </cell>
          <cell r="G17">
            <v>583.83762500000012</v>
          </cell>
          <cell r="H17">
            <v>488.19762500000002</v>
          </cell>
          <cell r="I17">
            <v>520.07762500000001</v>
          </cell>
          <cell r="J17">
            <v>703.38762500000007</v>
          </cell>
          <cell r="K17">
            <v>488.19762500000002</v>
          </cell>
          <cell r="L17">
            <v>520.07762500000001</v>
          </cell>
          <cell r="M17">
            <v>599.77762500000006</v>
          </cell>
          <cell r="N17">
            <v>520.07762500000001</v>
          </cell>
          <cell r="O17">
            <v>663.53762500000005</v>
          </cell>
          <cell r="P17">
            <v>623.68762500000003</v>
          </cell>
          <cell r="R17">
            <v>0</v>
          </cell>
          <cell r="S17">
            <v>0</v>
          </cell>
          <cell r="T17">
            <v>0</v>
          </cell>
          <cell r="U17">
            <v>6695.2214999999997</v>
          </cell>
          <cell r="V17">
            <v>7124.4750999999978</v>
          </cell>
          <cell r="W17">
            <v>9160.2040000000015</v>
          </cell>
          <cell r="X17">
            <v>-429.25359999999819</v>
          </cell>
          <cell r="Y17">
            <v>-2464.9825000000019</v>
          </cell>
        </row>
        <row r="19">
          <cell r="A19">
            <v>7</v>
          </cell>
          <cell r="B19" t="str">
            <v>Film Hire</v>
          </cell>
          <cell r="E19">
            <v>175.46310000000003</v>
          </cell>
          <cell r="F19">
            <v>184.69800000000001</v>
          </cell>
          <cell r="G19">
            <v>215.48100000000002</v>
          </cell>
          <cell r="H19">
            <v>178.54140000000001</v>
          </cell>
          <cell r="I19">
            <v>190.8546</v>
          </cell>
          <cell r="J19">
            <v>261.65550000000002</v>
          </cell>
          <cell r="K19">
            <v>178.54140000000001</v>
          </cell>
          <cell r="L19">
            <v>190.8546</v>
          </cell>
          <cell r="M19">
            <v>221.63759999999999</v>
          </cell>
          <cell r="N19">
            <v>190.8546</v>
          </cell>
          <cell r="O19">
            <v>246.26400000000001</v>
          </cell>
          <cell r="P19">
            <v>230.8725</v>
          </cell>
          <cell r="U19">
            <v>2465.7183000000005</v>
          </cell>
          <cell r="V19">
            <v>2580.9407300000003</v>
          </cell>
          <cell r="W19">
            <v>3438.9110000000001</v>
          </cell>
          <cell r="X19">
            <v>-115.2224299999998</v>
          </cell>
          <cell r="Y19">
            <v>-973.1926999999996</v>
          </cell>
        </row>
        <row r="20">
          <cell r="A20">
            <v>8</v>
          </cell>
          <cell r="B20" t="str">
            <v>Concession Cost</v>
          </cell>
          <cell r="E20">
            <v>16.929000000000002</v>
          </cell>
          <cell r="F20">
            <v>17.82</v>
          </cell>
          <cell r="G20">
            <v>20.79</v>
          </cell>
          <cell r="H20">
            <v>17.226000000000003</v>
          </cell>
          <cell r="I20">
            <v>18.414000000000001</v>
          </cell>
          <cell r="J20">
            <v>25.245000000000001</v>
          </cell>
          <cell r="K20">
            <v>17.226000000000003</v>
          </cell>
          <cell r="L20">
            <v>18.414000000000001</v>
          </cell>
          <cell r="M20">
            <v>21.384</v>
          </cell>
          <cell r="N20">
            <v>18.414000000000001</v>
          </cell>
          <cell r="O20">
            <v>23.76</v>
          </cell>
          <cell r="P20">
            <v>22.274999999999999</v>
          </cell>
          <cell r="T20">
            <v>0</v>
          </cell>
          <cell r="U20">
            <v>237.89700000000002</v>
          </cell>
          <cell r="V20">
            <v>244.43542999999997</v>
          </cell>
          <cell r="W20">
            <v>337.90199999999999</v>
          </cell>
          <cell r="X20">
            <v>-6.5384299999999484</v>
          </cell>
          <cell r="Y20">
            <v>-100.005</v>
          </cell>
        </row>
        <row r="21">
          <cell r="A21">
            <v>9</v>
          </cell>
          <cell r="B21" t="str">
            <v>Less Concession Rebates</v>
          </cell>
          <cell r="E21">
            <v>-1.9237500000000001</v>
          </cell>
          <cell r="F21">
            <v>-2.0249999999999999</v>
          </cell>
          <cell r="G21">
            <v>-2.3624999999999998</v>
          </cell>
          <cell r="H21">
            <v>-1.9575</v>
          </cell>
          <cell r="I21">
            <v>-2.0924999999999998</v>
          </cell>
          <cell r="J21">
            <v>-2.8687499999999999</v>
          </cell>
          <cell r="K21">
            <v>-1.9575</v>
          </cell>
          <cell r="L21">
            <v>-2.0924999999999998</v>
          </cell>
          <cell r="M21">
            <v>-2.4300000000000002</v>
          </cell>
          <cell r="N21">
            <v>-2.0924999999999998</v>
          </cell>
          <cell r="O21">
            <v>-2.7</v>
          </cell>
          <cell r="P21">
            <v>-2.53125</v>
          </cell>
          <cell r="U21">
            <v>-27.033750000000001</v>
          </cell>
          <cell r="V21">
            <v>-35.18</v>
          </cell>
          <cell r="W21">
            <v>-51.578000000000003</v>
          </cell>
          <cell r="X21">
            <v>8.1462500000000002</v>
          </cell>
          <cell r="Y21">
            <v>24.544249999999998</v>
          </cell>
        </row>
        <row r="22">
          <cell r="A22">
            <v>10</v>
          </cell>
          <cell r="B22" t="str">
            <v>Advertising Cost</v>
          </cell>
          <cell r="E22">
            <v>8.67882</v>
          </cell>
          <cell r="F22">
            <v>9.1356000000000002</v>
          </cell>
          <cell r="G22">
            <v>10.658200000000001</v>
          </cell>
          <cell r="H22">
            <v>8.83108</v>
          </cell>
          <cell r="I22">
            <v>9.4401200000000003</v>
          </cell>
          <cell r="J22">
            <v>12.942100000000002</v>
          </cell>
          <cell r="K22">
            <v>8.83108</v>
          </cell>
          <cell r="L22">
            <v>9.4401200000000003</v>
          </cell>
          <cell r="M22">
            <v>10.962719999999999</v>
          </cell>
          <cell r="N22">
            <v>9.4401200000000003</v>
          </cell>
          <cell r="O22">
            <v>12.1808</v>
          </cell>
          <cell r="P22">
            <v>11.419499999999999</v>
          </cell>
          <cell r="T22">
            <v>0</v>
          </cell>
          <cell r="U22">
            <v>121.96026000000001</v>
          </cell>
          <cell r="V22">
            <v>116.84968000000001</v>
          </cell>
          <cell r="W22">
            <v>136.47999999999999</v>
          </cell>
          <cell r="X22">
            <v>5.1105799999999988</v>
          </cell>
          <cell r="Y22">
            <v>-14.519739999999985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0.75468000000000013</v>
          </cell>
          <cell r="F23">
            <v>0.7944</v>
          </cell>
          <cell r="G23">
            <v>0.92680000000000007</v>
          </cell>
          <cell r="H23">
            <v>0.76791999999999994</v>
          </cell>
          <cell r="I23">
            <v>0.82088000000000005</v>
          </cell>
          <cell r="J23">
            <v>1.1254000000000002</v>
          </cell>
          <cell r="K23">
            <v>0.76791999999999994</v>
          </cell>
          <cell r="L23">
            <v>0.82088000000000005</v>
          </cell>
          <cell r="M23">
            <v>0.95328000000000002</v>
          </cell>
          <cell r="N23">
            <v>0.82088000000000005</v>
          </cell>
          <cell r="O23">
            <v>1.0592000000000001</v>
          </cell>
          <cell r="P23">
            <v>0.99299999999999999</v>
          </cell>
          <cell r="R23">
            <v>0</v>
          </cell>
          <cell r="S23">
            <v>0</v>
          </cell>
          <cell r="T23">
            <v>0</v>
          </cell>
          <cell r="U23">
            <v>10.605240000000002</v>
          </cell>
          <cell r="V23">
            <v>11.072921179999998</v>
          </cell>
          <cell r="W23">
            <v>14.762674000000001</v>
          </cell>
          <cell r="X23">
            <v>-0.46768117999999603</v>
          </cell>
          <cell r="Y23">
            <v>-4.1574339999999985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33.497996330229874</v>
          </cell>
          <cell r="F24">
            <v>33.497996330229874</v>
          </cell>
          <cell r="G24">
            <v>34.597996330229876</v>
          </cell>
          <cell r="H24">
            <v>33.497996330229874</v>
          </cell>
          <cell r="I24">
            <v>33.497996330229874</v>
          </cell>
          <cell r="J24">
            <v>34.597996330229876</v>
          </cell>
          <cell r="K24">
            <v>34.150789093929873</v>
          </cell>
          <cell r="L24">
            <v>34.150789093929873</v>
          </cell>
          <cell r="M24">
            <v>35.250789093929875</v>
          </cell>
          <cell r="N24">
            <v>34.150789093929873</v>
          </cell>
          <cell r="O24">
            <v>35.250789093929875</v>
          </cell>
          <cell r="P24">
            <v>35.250789093929875</v>
          </cell>
          <cell r="R24">
            <v>0</v>
          </cell>
          <cell r="S24">
            <v>0</v>
          </cell>
          <cell r="T24">
            <v>0</v>
          </cell>
          <cell r="U24">
            <v>411.3927125449585</v>
          </cell>
          <cell r="V24">
            <v>518.26446499999986</v>
          </cell>
          <cell r="W24">
            <v>670.90099999999995</v>
          </cell>
          <cell r="X24">
            <v>-106.87175245504136</v>
          </cell>
          <cell r="Y24">
            <v>-259.50828745504145</v>
          </cell>
        </row>
        <row r="25">
          <cell r="B25" t="str">
            <v>TOTAL COST</v>
          </cell>
          <cell r="C25">
            <v>0</v>
          </cell>
          <cell r="E25">
            <v>233.39984633022991</v>
          </cell>
          <cell r="F25">
            <v>243.92099633022988</v>
          </cell>
          <cell r="G25">
            <v>280.09149633022986</v>
          </cell>
          <cell r="H25">
            <v>236.9068963302299</v>
          </cell>
          <cell r="I25">
            <v>250.93509633022987</v>
          </cell>
          <cell r="J25">
            <v>332.69724633022992</v>
          </cell>
          <cell r="K25">
            <v>237.55968909392988</v>
          </cell>
          <cell r="L25">
            <v>251.58788909392985</v>
          </cell>
          <cell r="M25">
            <v>287.75838909392985</v>
          </cell>
          <cell r="N25">
            <v>251.58788909392985</v>
          </cell>
          <cell r="O25">
            <v>315.81478909392985</v>
          </cell>
          <cell r="P25">
            <v>298.27953909392988</v>
          </cell>
          <cell r="R25">
            <v>0</v>
          </cell>
          <cell r="S25">
            <v>0</v>
          </cell>
          <cell r="T25">
            <v>0</v>
          </cell>
          <cell r="U25">
            <v>3220.5397625449586</v>
          </cell>
          <cell r="V25">
            <v>3436.3832261799998</v>
          </cell>
          <cell r="W25">
            <v>4547.3786740000005</v>
          </cell>
          <cell r="X25">
            <v>-215.84346363504119</v>
          </cell>
          <cell r="Y25">
            <v>-1326.8389114550419</v>
          </cell>
        </row>
        <row r="27">
          <cell r="B27" t="str">
            <v>GROSS MARGIN</v>
          </cell>
          <cell r="C27">
            <v>0</v>
          </cell>
          <cell r="E27">
            <v>246.82777866977014</v>
          </cell>
          <cell r="F27">
            <v>260.2166286697701</v>
          </cell>
          <cell r="G27">
            <v>303.74612866977026</v>
          </cell>
          <cell r="H27">
            <v>251.29072866977012</v>
          </cell>
          <cell r="I27">
            <v>269.14252866977017</v>
          </cell>
          <cell r="J27">
            <v>370.69037866977015</v>
          </cell>
          <cell r="K27">
            <v>250.63793590607014</v>
          </cell>
          <cell r="L27">
            <v>268.48973590607017</v>
          </cell>
          <cell r="M27">
            <v>312.01923590607021</v>
          </cell>
          <cell r="N27">
            <v>268.48973590607017</v>
          </cell>
          <cell r="O27">
            <v>347.7228359060702</v>
          </cell>
          <cell r="P27">
            <v>325.40808590607014</v>
          </cell>
          <cell r="R27">
            <v>0</v>
          </cell>
          <cell r="S27">
            <v>0</v>
          </cell>
          <cell r="T27">
            <v>0</v>
          </cell>
          <cell r="U27">
            <v>3474.681737455041</v>
          </cell>
          <cell r="V27">
            <v>3688.091873819998</v>
          </cell>
          <cell r="W27">
            <v>4612.825326000001</v>
          </cell>
          <cell r="X27">
            <v>-213.410136364957</v>
          </cell>
          <cell r="Y27">
            <v>-1138.14358854496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94.909199999999998</v>
          </cell>
          <cell r="F29">
            <v>95.504999999999995</v>
          </cell>
          <cell r="G29">
            <v>97.491</v>
          </cell>
          <cell r="H29">
            <v>95.107799999999997</v>
          </cell>
          <cell r="I29">
            <v>95.902199999999993</v>
          </cell>
          <cell r="J29">
            <v>108.8289</v>
          </cell>
          <cell r="K29">
            <v>103.4667</v>
          </cell>
          <cell r="L29">
            <v>104.2611</v>
          </cell>
          <cell r="M29">
            <v>106.2471</v>
          </cell>
          <cell r="N29">
            <v>104.2611</v>
          </cell>
          <cell r="O29">
            <v>107.83590000000001</v>
          </cell>
          <cell r="P29">
            <v>106.8429</v>
          </cell>
          <cell r="T29">
            <v>0</v>
          </cell>
          <cell r="U29">
            <v>1220.6589000000001</v>
          </cell>
          <cell r="V29">
            <v>1142.45373</v>
          </cell>
          <cell r="W29">
            <v>1224.508</v>
          </cell>
          <cell r="X29">
            <v>78.20517000000018</v>
          </cell>
          <cell r="Y29">
            <v>-3.8490999999999076</v>
          </cell>
        </row>
        <row r="30">
          <cell r="A30">
            <v>14</v>
          </cell>
          <cell r="B30" t="str">
            <v>Light, Heat and Power</v>
          </cell>
          <cell r="E30">
            <v>10.01</v>
          </cell>
          <cell r="F30">
            <v>10.01</v>
          </cell>
          <cell r="G30">
            <v>10.01</v>
          </cell>
          <cell r="H30">
            <v>10.01</v>
          </cell>
          <cell r="I30">
            <v>10.01</v>
          </cell>
          <cell r="J30">
            <v>10.01</v>
          </cell>
          <cell r="K30">
            <v>10.01</v>
          </cell>
          <cell r="L30">
            <v>10.01</v>
          </cell>
          <cell r="M30">
            <v>10.01</v>
          </cell>
          <cell r="N30">
            <v>10.01</v>
          </cell>
          <cell r="O30">
            <v>10.01</v>
          </cell>
          <cell r="P30">
            <v>10.01</v>
          </cell>
          <cell r="T30">
            <v>0</v>
          </cell>
          <cell r="U30">
            <v>120.12</v>
          </cell>
          <cell r="V30">
            <v>125.91146000000001</v>
          </cell>
          <cell r="W30">
            <v>149.56899999999999</v>
          </cell>
          <cell r="X30">
            <v>-5.7914599999999865</v>
          </cell>
          <cell r="Y30">
            <v>-29.44899999999997</v>
          </cell>
        </row>
        <row r="31">
          <cell r="A31">
            <v>15</v>
          </cell>
          <cell r="B31" t="str">
            <v>Repair &amp; Maintenance</v>
          </cell>
          <cell r="E31">
            <v>9.9890000000000008</v>
          </cell>
          <cell r="F31">
            <v>9.9890000000000008</v>
          </cell>
          <cell r="G31">
            <v>9.9890000000000008</v>
          </cell>
          <cell r="H31">
            <v>22.989000000000001</v>
          </cell>
          <cell r="I31">
            <v>9.9890000000000008</v>
          </cell>
          <cell r="J31">
            <v>9.9890000000000008</v>
          </cell>
          <cell r="K31">
            <v>9.9890000000000008</v>
          </cell>
          <cell r="L31">
            <v>9.9890000000000008</v>
          </cell>
          <cell r="M31">
            <v>9.9890000000000008</v>
          </cell>
          <cell r="N31">
            <v>9.9890000000000008</v>
          </cell>
          <cell r="O31">
            <v>9.9890000000000008</v>
          </cell>
          <cell r="P31">
            <v>9.9890000000000008</v>
          </cell>
          <cell r="T31">
            <v>0</v>
          </cell>
          <cell r="U31">
            <v>132.86800000000002</v>
          </cell>
          <cell r="V31">
            <v>121.43692666666666</v>
          </cell>
          <cell r="W31">
            <v>216.595</v>
          </cell>
          <cell r="X31">
            <v>11.431073333333359</v>
          </cell>
          <cell r="Y31">
            <v>-83.726999999999975</v>
          </cell>
        </row>
        <row r="32">
          <cell r="A32">
            <v>16</v>
          </cell>
          <cell r="B32" t="str">
            <v>Common Area Maintenance</v>
          </cell>
          <cell r="E32">
            <v>25.33</v>
          </cell>
          <cell r="F32">
            <v>25.33</v>
          </cell>
          <cell r="G32">
            <v>25.33</v>
          </cell>
          <cell r="H32">
            <v>25.33</v>
          </cell>
          <cell r="I32">
            <v>25.33</v>
          </cell>
          <cell r="J32">
            <v>27.863</v>
          </cell>
          <cell r="K32">
            <v>27.863</v>
          </cell>
          <cell r="L32">
            <v>27.863</v>
          </cell>
          <cell r="M32">
            <v>27.863</v>
          </cell>
          <cell r="N32">
            <v>27.863</v>
          </cell>
          <cell r="O32">
            <v>27.863</v>
          </cell>
          <cell r="P32">
            <v>27.863</v>
          </cell>
          <cell r="T32">
            <v>0</v>
          </cell>
          <cell r="U32">
            <v>321.69099999999997</v>
          </cell>
          <cell r="V32">
            <v>303.95999999999998</v>
          </cell>
          <cell r="W32">
            <v>303.95999999999998</v>
          </cell>
          <cell r="X32">
            <v>17.730999999999995</v>
          </cell>
          <cell r="Y32">
            <v>17.730999999999995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17.665459963302297</v>
          </cell>
          <cell r="F33">
            <v>17.665459963302297</v>
          </cell>
          <cell r="G33">
            <v>17.518379963302298</v>
          </cell>
          <cell r="H33">
            <v>17.665459963302297</v>
          </cell>
          <cell r="I33">
            <v>18.957379963302301</v>
          </cell>
          <cell r="J33">
            <v>17.6764599633023</v>
          </cell>
          <cell r="K33">
            <v>17.671987890939299</v>
          </cell>
          <cell r="L33">
            <v>19.697747890939301</v>
          </cell>
          <cell r="M33">
            <v>17.682987890939298</v>
          </cell>
          <cell r="N33">
            <v>17.513907890939297</v>
          </cell>
          <cell r="O33">
            <v>17.682987890939298</v>
          </cell>
          <cell r="P33">
            <v>17.524907890939296</v>
          </cell>
          <cell r="R33">
            <v>0</v>
          </cell>
          <cell r="S33">
            <v>0</v>
          </cell>
          <cell r="T33">
            <v>0</v>
          </cell>
          <cell r="U33">
            <v>214.92312712544958</v>
          </cell>
          <cell r="V33">
            <v>237.55307627333329</v>
          </cell>
          <cell r="W33">
            <v>275.02032600000001</v>
          </cell>
          <cell r="X33">
            <v>-22.629949147883707</v>
          </cell>
          <cell r="Y33">
            <v>-60.097198874550429</v>
          </cell>
        </row>
        <row r="35">
          <cell r="B35" t="str">
            <v>Total Overhead Expenses</v>
          </cell>
          <cell r="C35">
            <v>0</v>
          </cell>
          <cell r="E35">
            <v>157.90365996330229</v>
          </cell>
          <cell r="F35">
            <v>158.49945996330229</v>
          </cell>
          <cell r="G35">
            <v>160.33837996330229</v>
          </cell>
          <cell r="H35">
            <v>171.10225996330229</v>
          </cell>
          <cell r="I35">
            <v>160.18857996330229</v>
          </cell>
          <cell r="J35">
            <v>174.36735996330231</v>
          </cell>
          <cell r="K35">
            <v>169.00068789093933</v>
          </cell>
          <cell r="L35">
            <v>171.82084789093932</v>
          </cell>
          <cell r="M35">
            <v>171.79208789093931</v>
          </cell>
          <cell r="N35">
            <v>169.63700789093932</v>
          </cell>
          <cell r="O35">
            <v>173.38088789093931</v>
          </cell>
          <cell r="P35">
            <v>172.2298078909393</v>
          </cell>
          <cell r="R35">
            <v>0</v>
          </cell>
          <cell r="S35">
            <v>0</v>
          </cell>
          <cell r="T35">
            <v>0</v>
          </cell>
          <cell r="U35">
            <v>2010.2610271254496</v>
          </cell>
          <cell r="V35">
            <v>1931.3151929400001</v>
          </cell>
          <cell r="W35">
            <v>2169.6523259999999</v>
          </cell>
          <cell r="X35">
            <v>1533.5195272355429</v>
          </cell>
          <cell r="Y35">
            <v>-159.39129887455033</v>
          </cell>
        </row>
        <row r="36">
          <cell r="V36" t="str">
            <v/>
          </cell>
        </row>
        <row r="37">
          <cell r="B37" t="str">
            <v>E.B.I.T.D.</v>
          </cell>
          <cell r="C37">
            <v>0</v>
          </cell>
          <cell r="E37">
            <v>88.924118706467851</v>
          </cell>
          <cell r="F37">
            <v>101.71716870646782</v>
          </cell>
          <cell r="G37">
            <v>200.26200000000011</v>
          </cell>
          <cell r="H37">
            <v>80.18846870646783</v>
          </cell>
          <cell r="I37">
            <v>108.95394870646788</v>
          </cell>
          <cell r="J37">
            <v>196.32301870646785</v>
          </cell>
          <cell r="K37">
            <v>81.637248015130808</v>
          </cell>
          <cell r="L37">
            <v>96.668888015130847</v>
          </cell>
          <cell r="M37">
            <v>140.22714801513089</v>
          </cell>
          <cell r="N37">
            <v>98.85272801513085</v>
          </cell>
          <cell r="O37">
            <v>174.3419480151309</v>
          </cell>
          <cell r="P37">
            <v>153.17827801513084</v>
          </cell>
          <cell r="R37">
            <v>0</v>
          </cell>
          <cell r="S37">
            <v>0</v>
          </cell>
          <cell r="T37">
            <v>0</v>
          </cell>
          <cell r="U37">
            <v>1464.4207103295914</v>
          </cell>
          <cell r="V37">
            <v>1756.7766808799979</v>
          </cell>
          <cell r="W37">
            <v>2443.1730000000011</v>
          </cell>
          <cell r="X37">
            <v>-1746.9296636004999</v>
          </cell>
          <cell r="Y37">
            <v>-978.75228967040971</v>
          </cell>
        </row>
        <row r="38">
          <cell r="V38" t="str">
            <v/>
          </cell>
        </row>
        <row r="39">
          <cell r="A39">
            <v>18</v>
          </cell>
          <cell r="B39" t="str">
            <v>Depreciation</v>
          </cell>
          <cell r="E39">
            <v>25.501840277777777</v>
          </cell>
          <cell r="F39">
            <v>25.501840277777777</v>
          </cell>
          <cell r="G39">
            <v>25.501840277777777</v>
          </cell>
          <cell r="H39">
            <v>28.008131944444443</v>
          </cell>
          <cell r="I39">
            <v>28.008131944444443</v>
          </cell>
          <cell r="J39">
            <v>28.008131944444443</v>
          </cell>
          <cell r="K39">
            <v>28.008131944444443</v>
          </cell>
          <cell r="L39">
            <v>28.008131944444443</v>
          </cell>
          <cell r="M39">
            <v>28.008131944444443</v>
          </cell>
          <cell r="N39">
            <v>28.008131944444443</v>
          </cell>
          <cell r="O39">
            <v>28.008131944444443</v>
          </cell>
          <cell r="P39">
            <v>28.008131944444443</v>
          </cell>
          <cell r="T39">
            <v>0</v>
          </cell>
          <cell r="U39">
            <v>328.57870833333334</v>
          </cell>
          <cell r="V39">
            <v>308.70829157407411</v>
          </cell>
          <cell r="W39">
            <v>291.90600000000001</v>
          </cell>
          <cell r="X39">
            <v>19.870416759259228</v>
          </cell>
          <cell r="Y39">
            <v>36.672708333333333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21.166999999999998</v>
          </cell>
          <cell r="W40">
            <v>198.422</v>
          </cell>
          <cell r="X40">
            <v>-21.166999999999998</v>
          </cell>
          <cell r="Y40">
            <v>-198.422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132.06682849589041</v>
          </cell>
          <cell r="W41">
            <v>148.93799999999999</v>
          </cell>
          <cell r="X41">
            <v>-132.06682849589041</v>
          </cell>
          <cell r="Y41">
            <v>-148.93799999999999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63.422278428690078</v>
          </cell>
          <cell r="F44">
            <v>76.215328428690043</v>
          </cell>
          <cell r="G44">
            <v>174.76015972222234</v>
          </cell>
          <cell r="H44">
            <v>52.180336762023387</v>
          </cell>
          <cell r="I44">
            <v>80.945816762023441</v>
          </cell>
          <cell r="J44">
            <v>168.31488676202341</v>
          </cell>
          <cell r="K44">
            <v>53.629116070686365</v>
          </cell>
          <cell r="L44">
            <v>68.660756070686404</v>
          </cell>
          <cell r="M44">
            <v>112.21901607068645</v>
          </cell>
          <cell r="N44">
            <v>70.844596070686407</v>
          </cell>
          <cell r="O44">
            <v>146.33381607068645</v>
          </cell>
          <cell r="P44">
            <v>125.1701460706864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1135.8420019962582</v>
          </cell>
          <cell r="V44">
            <v>1297.5579908100335</v>
          </cell>
          <cell r="W44">
            <v>1804.814000000001</v>
          </cell>
          <cell r="X44">
            <v>-161.71598881377531</v>
          </cell>
          <cell r="Y44">
            <v>-668.97199800374278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63.422278428690078</v>
          </cell>
          <cell r="F50">
            <v>76.215328428690043</v>
          </cell>
          <cell r="G50">
            <v>174.76015972222234</v>
          </cell>
          <cell r="H50">
            <v>52.180336762023387</v>
          </cell>
          <cell r="I50">
            <v>80.945816762023441</v>
          </cell>
          <cell r="J50">
            <v>168.31488676202341</v>
          </cell>
          <cell r="K50">
            <v>53.629116070686365</v>
          </cell>
          <cell r="L50">
            <v>68.660756070686404</v>
          </cell>
          <cell r="M50">
            <v>112.21901607068645</v>
          </cell>
          <cell r="N50">
            <v>70.844596070686407</v>
          </cell>
          <cell r="O50">
            <v>146.33381607068645</v>
          </cell>
          <cell r="P50">
            <v>125.1701460706864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1135.8420019962582</v>
          </cell>
          <cell r="V50">
            <v>1297.5579908100335</v>
          </cell>
          <cell r="W50">
            <v>1804.814000000001</v>
          </cell>
          <cell r="X50">
            <v>-161.71598881377531</v>
          </cell>
          <cell r="Y50">
            <v>-668.97199800374278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55.86</v>
          </cell>
          <cell r="F54">
            <v>58.8</v>
          </cell>
          <cell r="G54">
            <v>68.599999999999994</v>
          </cell>
          <cell r="H54">
            <v>56.84</v>
          </cell>
          <cell r="I54">
            <v>60.76</v>
          </cell>
          <cell r="J54">
            <v>83.3</v>
          </cell>
          <cell r="K54">
            <v>56.84</v>
          </cell>
          <cell r="L54">
            <v>60.76</v>
          </cell>
          <cell r="M54">
            <v>70.56</v>
          </cell>
          <cell r="N54">
            <v>60.76</v>
          </cell>
          <cell r="O54">
            <v>78.400000000000006</v>
          </cell>
          <cell r="P54">
            <v>73.5</v>
          </cell>
          <cell r="T54">
            <v>0</v>
          </cell>
          <cell r="U54">
            <v>784.98</v>
          </cell>
          <cell r="V54">
            <v>834</v>
          </cell>
          <cell r="W54">
            <v>1091.548</v>
          </cell>
          <cell r="X54">
            <v>-49.020000000000095</v>
          </cell>
          <cell r="Y54">
            <v>-306.5680000000001</v>
          </cell>
        </row>
        <row r="55">
          <cell r="A55">
            <v>28</v>
          </cell>
          <cell r="B55" t="str">
            <v>Admissions</v>
          </cell>
          <cell r="E55">
            <v>57</v>
          </cell>
          <cell r="F55">
            <v>60</v>
          </cell>
          <cell r="G55">
            <v>70</v>
          </cell>
          <cell r="H55">
            <v>58</v>
          </cell>
          <cell r="I55">
            <v>62</v>
          </cell>
          <cell r="J55">
            <v>85</v>
          </cell>
          <cell r="K55">
            <v>58</v>
          </cell>
          <cell r="L55">
            <v>62</v>
          </cell>
          <cell r="M55">
            <v>72</v>
          </cell>
          <cell r="N55">
            <v>62</v>
          </cell>
          <cell r="O55">
            <v>80</v>
          </cell>
          <cell r="P55">
            <v>75</v>
          </cell>
          <cell r="T55">
            <v>0</v>
          </cell>
          <cell r="U55">
            <v>801</v>
          </cell>
          <cell r="V55">
            <v>834</v>
          </cell>
          <cell r="W55">
            <v>1091.548</v>
          </cell>
          <cell r="X55">
            <v>-33</v>
          </cell>
          <cell r="Y55">
            <v>-290.548</v>
          </cell>
        </row>
        <row r="56">
          <cell r="B56" t="str">
            <v>Utilisation Rate</v>
          </cell>
          <cell r="E56">
            <v>0.26096033402922758</v>
          </cell>
          <cell r="F56">
            <v>0.2746950884518185</v>
          </cell>
          <cell r="G56">
            <v>0.25638208255503059</v>
          </cell>
          <cell r="H56">
            <v>0.26553858550342452</v>
          </cell>
          <cell r="I56">
            <v>0.28385159140021243</v>
          </cell>
          <cell r="J56">
            <v>0.31132110024539428</v>
          </cell>
          <cell r="K56">
            <v>0.26553858550342452</v>
          </cell>
          <cell r="L56">
            <v>0.28385159140021243</v>
          </cell>
          <cell r="M56">
            <v>0.26370728491374573</v>
          </cell>
          <cell r="N56">
            <v>0.28385159140021243</v>
          </cell>
          <cell r="O56">
            <v>0.29300809434860636</v>
          </cell>
          <cell r="P56">
            <v>0.34336886056477312</v>
          </cell>
          <cell r="U56">
            <v>0.2820907254485982</v>
          </cell>
          <cell r="V56">
            <v>0.29371244072925207</v>
          </cell>
          <cell r="W56">
            <v>0.36240550978236041</v>
          </cell>
          <cell r="X56">
            <v>-1.1621715280653866E-2</v>
          </cell>
          <cell r="Y56">
            <v>-8.0314784333762212E-2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6.6384419544364492</v>
          </cell>
          <cell r="W57">
            <v>6.7622651500437918</v>
          </cell>
          <cell r="X57">
            <v>-1.8441954436449137E-2</v>
          </cell>
          <cell r="Y57">
            <v>-0.1422651500437917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2.110548392795478E-2</v>
          </cell>
          <cell r="W58">
            <v>1.8489875208244792E-2</v>
          </cell>
          <cell r="X58">
            <v>1.8945160720452228E-3</v>
          </cell>
          <cell r="Y58">
            <v>4.5101247917552108E-3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0.18164714239870572</v>
          </cell>
          <cell r="W59">
            <v>0.19980307474157918</v>
          </cell>
          <cell r="X59">
            <v>1.3352857601294288E-2</v>
          </cell>
          <cell r="Y59">
            <v>-4.8030747415791775E-3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1.3812812470023981</v>
          </cell>
          <cell r="W60">
            <v>1.3128428616973324</v>
          </cell>
          <cell r="X60">
            <v>-3.1281247002397983E-2</v>
          </cell>
          <cell r="Y60">
            <v>3.7157138302667647E-2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0.46617160693994947</v>
          </cell>
          <cell r="W61">
            <v>0.46589269667541255</v>
          </cell>
          <cell r="X61">
            <v>-1.1716069399493878E-3</v>
          </cell>
          <cell r="Y61">
            <v>-8.9269667541247433E-4</v>
          </cell>
        </row>
        <row r="62">
          <cell r="B62" t="str">
            <v>Direct Payroll : Net Box</v>
          </cell>
          <cell r="C62" t="str">
            <v>N.A.</v>
          </cell>
          <cell r="E62">
            <v>8.8774040203079108E-2</v>
          </cell>
          <cell r="F62">
            <v>8.4335338192925158E-2</v>
          </cell>
          <cell r="G62">
            <v>7.4661191908135249E-2</v>
          </cell>
          <cell r="H62">
            <v>8.7243453303026033E-2</v>
          </cell>
          <cell r="I62">
            <v>8.1614843412508215E-2</v>
          </cell>
          <cell r="J62">
            <v>6.1485687453758438E-2</v>
          </cell>
          <cell r="K62">
            <v>8.894361155831304E-2</v>
          </cell>
          <cell r="L62">
            <v>8.3205314038421879E-2</v>
          </cell>
          <cell r="M62">
            <v>7.3956841838557136E-2</v>
          </cell>
          <cell r="N62">
            <v>8.3205314038421879E-2</v>
          </cell>
          <cell r="O62">
            <v>6.6561157654701428E-2</v>
          </cell>
          <cell r="P62">
            <v>7.0998568165014847E-2</v>
          </cell>
          <cell r="R62" t="str">
            <v>N.A.</v>
          </cell>
          <cell r="S62" t="str">
            <v>N.A.</v>
          </cell>
          <cell r="U62">
            <v>7.7582914209383E-2</v>
          </cell>
          <cell r="V62">
            <v>9.360934780897627E-2</v>
          </cell>
          <cell r="W62">
            <v>9.0891528187915002E-2</v>
          </cell>
          <cell r="X62">
            <v>-1.6026433599593271E-2</v>
          </cell>
          <cell r="Y62">
            <v>-1.3308613978532002E-2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7.3737032138567596E-2</v>
          </cell>
          <cell r="F63">
            <v>7.0050180531639222E-2</v>
          </cell>
          <cell r="G63">
            <v>6.2014691396719612E-2</v>
          </cell>
          <cell r="H63">
            <v>7.2465703998247463E-2</v>
          </cell>
          <cell r="I63">
            <v>6.779049728868311E-2</v>
          </cell>
          <cell r="J63">
            <v>5.1070922326710275E-2</v>
          </cell>
          <cell r="K63">
            <v>7.3877880616817104E-2</v>
          </cell>
          <cell r="L63">
            <v>6.9111565738312772E-2</v>
          </cell>
          <cell r="M63">
            <v>6.1429647800658502E-2</v>
          </cell>
          <cell r="N63">
            <v>6.9111565738312772E-2</v>
          </cell>
          <cell r="O63">
            <v>5.5286683020592649E-2</v>
          </cell>
          <cell r="P63">
            <v>5.8972461888632165E-2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6.4441517197756024E-2</v>
          </cell>
          <cell r="V63">
            <v>7.7486492515234262E-2</v>
          </cell>
          <cell r="W63">
            <v>7.6114475819480179E-2</v>
          </cell>
          <cell r="X63">
            <v>-1.3044975317478238E-2</v>
          </cell>
          <cell r="Y63">
            <v>-1.1672958621724155E-2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0.5876841461443838</v>
          </cell>
          <cell r="F64">
            <v>0.55829993883716456</v>
          </cell>
          <cell r="G64">
            <v>0.49425709043185534</v>
          </cell>
          <cell r="H64">
            <v>0.57755166086603227</v>
          </cell>
          <cell r="I64">
            <v>0.54029026339080444</v>
          </cell>
          <cell r="J64">
            <v>0.40703525094388088</v>
          </cell>
          <cell r="K64">
            <v>0.58880670851603234</v>
          </cell>
          <cell r="L64">
            <v>0.55081917893435284</v>
          </cell>
          <cell r="M64">
            <v>0.48959429297124823</v>
          </cell>
          <cell r="N64">
            <v>0.55081917893435284</v>
          </cell>
          <cell r="O64">
            <v>0.44063486367412341</v>
          </cell>
          <cell r="P64">
            <v>0.47001052125239834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0.51359889206611553</v>
          </cell>
          <cell r="V64">
            <v>0.62142022182254175</v>
          </cell>
          <cell r="W64">
            <v>0.61463261349936049</v>
          </cell>
          <cell r="X64">
            <v>-0.10782132975642622</v>
          </cell>
          <cell r="Y64">
            <v>-0.10103372143324496</v>
          </cell>
        </row>
        <row r="65">
          <cell r="B65" t="str">
            <v>Gross Margin :Total Rev</v>
          </cell>
          <cell r="C65" t="str">
            <v>N.A.</v>
          </cell>
          <cell r="E65">
            <v>0.51398079956306164</v>
          </cell>
          <cell r="F65">
            <v>0.51616188867032109</v>
          </cell>
          <cell r="G65">
            <v>0.5202578862055528</v>
          </cell>
          <cell r="H65">
            <v>0.51473156730283176</v>
          </cell>
          <cell r="I65">
            <v>0.51750453342377523</v>
          </cell>
          <cell r="J65">
            <v>0.52700725104421642</v>
          </cell>
          <cell r="K65">
            <v>0.5133944187173588</v>
          </cell>
          <cell r="L65">
            <v>0.51624935009667094</v>
          </cell>
          <cell r="M65">
            <v>0.5202248681852214</v>
          </cell>
          <cell r="N65">
            <v>0.51624935009667094</v>
          </cell>
          <cell r="O65">
            <v>0.52404388659357515</v>
          </cell>
          <cell r="P65">
            <v>0.52174850496042813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0.51897935526928285</v>
          </cell>
          <cell r="V65">
            <v>0.51766506613518781</v>
          </cell>
          <cell r="W65">
            <v>0.50357233594361006</v>
          </cell>
          <cell r="X65">
            <v>1.3142891340950369E-3</v>
          </cell>
          <cell r="Y65">
            <v>1.5407019325672788E-2</v>
          </cell>
        </row>
        <row r="66">
          <cell r="B66" t="str">
            <v>G&amp;A % of total revenue</v>
          </cell>
          <cell r="C66" t="str">
            <v>N.A.</v>
          </cell>
          <cell r="E66">
            <v>3.6785597170305009E-2</v>
          </cell>
          <cell r="F66">
            <v>3.5040947327234895E-2</v>
          </cell>
          <cell r="G66">
            <v>3.0005568694381927E-2</v>
          </cell>
          <cell r="H66">
            <v>3.6185059202822417E-2</v>
          </cell>
          <cell r="I66">
            <v>3.6451058557464958E-2</v>
          </cell>
          <cell r="J66">
            <v>2.5130467661131084E-2</v>
          </cell>
          <cell r="K66">
            <v>3.6198430688677147E-2</v>
          </cell>
          <cell r="L66">
            <v>3.7874630524509297E-2</v>
          </cell>
          <cell r="M66">
            <v>2.9482573463688808E-2</v>
          </cell>
          <cell r="N66">
            <v>3.3675565048466173E-2</v>
          </cell>
          <cell r="O66">
            <v>2.6649563227012632E-2</v>
          </cell>
          <cell r="P66">
            <v>2.8098854600392777E-2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3.2100973377124205E-2</v>
          </cell>
          <cell r="V66">
            <v>3.3343239037123364E-2</v>
          </cell>
          <cell r="W66">
            <v>3.002338441370956E-2</v>
          </cell>
          <cell r="X66">
            <v>-1.2422656599991588E-3</v>
          </cell>
          <cell r="Y66">
            <v>2.0775889634146449E-3</v>
          </cell>
        </row>
        <row r="67">
          <cell r="B67" t="str">
            <v>E.B.I.T.D. : Total Rev</v>
          </cell>
          <cell r="C67" t="str">
            <v>N.A.</v>
          </cell>
          <cell r="E67">
            <v>0.18517076918777392</v>
          </cell>
          <cell r="F67">
            <v>0.20176468420992744</v>
          </cell>
          <cell r="G67">
            <v>0.34300975378214116</v>
          </cell>
          <cell r="H67">
            <v>0.1642541147275508</v>
          </cell>
          <cell r="I67">
            <v>0.20949555118136043</v>
          </cell>
          <cell r="J67">
            <v>0.27911070898705082</v>
          </cell>
          <cell r="K67">
            <v>0.16722172299615509</v>
          </cell>
          <cell r="L67">
            <v>0.18587396067102646</v>
          </cell>
          <cell r="M67">
            <v>0.23379856495168669</v>
          </cell>
          <cell r="N67">
            <v>0.19007302614706958</v>
          </cell>
          <cell r="O67">
            <v>0.26274613744040648</v>
          </cell>
          <cell r="P67">
            <v>0.24560095771521975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0.21872625279530952</v>
          </cell>
          <cell r="V67">
            <v>0.24658331402968878</v>
          </cell>
          <cell r="W67">
            <v>0.26671600326804956</v>
          </cell>
          <cell r="X67">
            <v>-2.7857061234379255E-2</v>
          </cell>
          <cell r="Y67">
            <v>-4.7989750472740039E-2</v>
          </cell>
        </row>
        <row r="68">
          <cell r="B68" t="str">
            <v>No of Concession Transactions</v>
          </cell>
          <cell r="E68">
            <v>17</v>
          </cell>
          <cell r="F68">
            <v>18</v>
          </cell>
          <cell r="G68">
            <v>21</v>
          </cell>
          <cell r="H68">
            <v>17</v>
          </cell>
          <cell r="I68">
            <v>18</v>
          </cell>
          <cell r="J68">
            <v>25</v>
          </cell>
          <cell r="K68">
            <v>17</v>
          </cell>
          <cell r="L68">
            <v>18</v>
          </cell>
          <cell r="M68">
            <v>21</v>
          </cell>
          <cell r="N68">
            <v>18</v>
          </cell>
          <cell r="O68">
            <v>24</v>
          </cell>
          <cell r="P68">
            <v>22</v>
          </cell>
          <cell r="U68">
            <v>236</v>
          </cell>
          <cell r="V68">
            <v>219</v>
          </cell>
          <cell r="W68">
            <v>0</v>
          </cell>
          <cell r="X68">
            <v>17</v>
          </cell>
          <cell r="Y68">
            <v>236</v>
          </cell>
        </row>
        <row r="69">
          <cell r="B69" t="str">
            <v>Strike Rate %(No of Trans/Adm)</v>
          </cell>
          <cell r="E69">
            <v>0.2982456140350877</v>
          </cell>
          <cell r="F69">
            <v>0.3</v>
          </cell>
          <cell r="G69">
            <v>0.3</v>
          </cell>
          <cell r="H69">
            <v>0.29310344827586204</v>
          </cell>
          <cell r="I69">
            <v>0.29032258064516131</v>
          </cell>
          <cell r="J69">
            <v>0.29411764705882354</v>
          </cell>
          <cell r="K69">
            <v>0.29310344827586204</v>
          </cell>
          <cell r="L69">
            <v>0.29032258064516131</v>
          </cell>
          <cell r="M69">
            <v>0.29166666666666669</v>
          </cell>
          <cell r="N69">
            <v>0.29032258064516131</v>
          </cell>
          <cell r="O69">
            <v>0.3</v>
          </cell>
          <cell r="P69">
            <v>0.29333333333333333</v>
          </cell>
          <cell r="U69">
            <v>0.29463171036204744</v>
          </cell>
          <cell r="V69">
            <v>0.26258992805755393</v>
          </cell>
          <cell r="W69">
            <v>0</v>
          </cell>
          <cell r="X69">
            <v>3.2041782304493505E-2</v>
          </cell>
          <cell r="Y69">
            <v>0.29463171036204744</v>
          </cell>
        </row>
        <row r="70">
          <cell r="B70" t="str">
            <v>Ave Sales (Total Sale/No of Trans) (S$)</v>
          </cell>
          <cell r="E70">
            <v>4.526470588235294</v>
          </cell>
          <cell r="F70">
            <v>4.5</v>
          </cell>
          <cell r="G70">
            <v>4.5</v>
          </cell>
          <cell r="H70">
            <v>4.605882352941177</v>
          </cell>
          <cell r="I70">
            <v>4.6500000000000004</v>
          </cell>
          <cell r="J70">
            <v>4.59</v>
          </cell>
          <cell r="K70">
            <v>4.605882352941177</v>
          </cell>
          <cell r="L70">
            <v>4.6500000000000004</v>
          </cell>
          <cell r="M70">
            <v>4.628571428571429</v>
          </cell>
          <cell r="N70">
            <v>4.6500000000000004</v>
          </cell>
          <cell r="O70">
            <v>4.5</v>
          </cell>
          <cell r="P70">
            <v>4.6022727272727275</v>
          </cell>
          <cell r="U70">
            <v>4.5819915254237298</v>
          </cell>
          <cell r="V70">
            <v>5.2602217351598171</v>
          </cell>
          <cell r="W70" t="str">
            <v>N.A.</v>
          </cell>
          <cell r="X70">
            <v>-0.67823020973608728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48</v>
          </cell>
          <cell r="H71">
            <v>37</v>
          </cell>
          <cell r="I71">
            <v>40</v>
          </cell>
          <cell r="J71">
            <v>57</v>
          </cell>
          <cell r="K71">
            <v>38</v>
          </cell>
          <cell r="L71">
            <v>42</v>
          </cell>
          <cell r="M71">
            <v>47</v>
          </cell>
          <cell r="N71">
            <v>40</v>
          </cell>
          <cell r="O71">
            <v>54</v>
          </cell>
          <cell r="P71">
            <v>51</v>
          </cell>
          <cell r="U71">
            <v>532</v>
          </cell>
          <cell r="V71">
            <v>494</v>
          </cell>
          <cell r="W71">
            <v>0</v>
          </cell>
          <cell r="X71">
            <v>38</v>
          </cell>
          <cell r="Y71">
            <v>532</v>
          </cell>
        </row>
        <row r="72">
          <cell r="B72" t="str">
            <v>Combo Sales as % of Total Sales</v>
          </cell>
          <cell r="E72">
            <v>0.49382716049382713</v>
          </cell>
          <cell r="F72">
            <v>0.49382716049382713</v>
          </cell>
          <cell r="G72">
            <v>0.50793650793650791</v>
          </cell>
          <cell r="H72">
            <v>0.47254150702426556</v>
          </cell>
          <cell r="I72">
            <v>0.47789725209080047</v>
          </cell>
          <cell r="J72">
            <v>0.49673202614379081</v>
          </cell>
          <cell r="K72">
            <v>0.4853128991060025</v>
          </cell>
          <cell r="L72">
            <v>0.50179211469534046</v>
          </cell>
          <cell r="M72">
            <v>0.48353909465020573</v>
          </cell>
          <cell r="N72">
            <v>0.47789725209080047</v>
          </cell>
          <cell r="O72">
            <v>0.5</v>
          </cell>
          <cell r="P72">
            <v>0.50370370370370365</v>
          </cell>
          <cell r="U72">
            <v>0.49197762056688393</v>
          </cell>
          <cell r="V72">
            <v>0.42882370290204963</v>
          </cell>
          <cell r="W72">
            <v>0</v>
          </cell>
          <cell r="X72">
            <v>6.3153917664834303E-2</v>
          </cell>
          <cell r="Y72">
            <v>0.49197762056688393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73.013999999999996</v>
          </cell>
          <cell r="V73">
            <v>67.687999999999988</v>
          </cell>
          <cell r="W73">
            <v>0</v>
          </cell>
          <cell r="X73">
            <v>5.3260000000000076</v>
          </cell>
          <cell r="Y73">
            <v>73.013999999999996</v>
          </cell>
        </row>
        <row r="74">
          <cell r="B74" t="str">
            <v>Admissions/labour hour paid</v>
          </cell>
          <cell r="E74">
            <v>10.702215546376268</v>
          </cell>
          <cell r="F74">
            <v>10.46207497820401</v>
          </cell>
          <cell r="G74">
            <v>9.5667623342900097</v>
          </cell>
          <cell r="H74">
            <v>11.6</v>
          </cell>
          <cell r="I74">
            <v>10.333333333333334</v>
          </cell>
          <cell r="J74">
            <v>12.142857142857142</v>
          </cell>
          <cell r="K74">
            <v>10.906355772846934</v>
          </cell>
          <cell r="L74">
            <v>10.333333333333334</v>
          </cell>
          <cell r="M74">
            <v>10.285714285714286</v>
          </cell>
          <cell r="N74">
            <v>11.658518239939825</v>
          </cell>
          <cell r="O74">
            <v>11.428571428571429</v>
          </cell>
          <cell r="P74">
            <v>12.5</v>
          </cell>
          <cell r="U74">
            <v>10.970498808447696</v>
          </cell>
          <cell r="V74">
            <v>12.321238624276093</v>
          </cell>
          <cell r="W74" t="str">
            <v>N.A.</v>
          </cell>
          <cell r="X74">
            <v>-1.3507398158283976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48.62153</v>
          </cell>
          <cell r="W77">
            <v>3.8690000000000002</v>
          </cell>
          <cell r="X77">
            <v>-21.43403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7.6340000000000021</v>
          </cell>
          <cell r="W78">
            <v>3.923</v>
          </cell>
          <cell r="X78">
            <v>4.3659999999999979</v>
          </cell>
          <cell r="Y78">
            <v>8.077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58.76</v>
          </cell>
          <cell r="W82">
            <v>54.470999999999997</v>
          </cell>
          <cell r="X82">
            <v>-20.695999999999998</v>
          </cell>
          <cell r="Y82">
            <v>-16.406999999999996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115.01553</v>
          </cell>
          <cell r="W83">
            <v>62.262999999999998</v>
          </cell>
          <cell r="X83">
            <v>-37.764030000000005</v>
          </cell>
          <cell r="Y83">
            <v>14.988499999999995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0.75468000000000013</v>
          </cell>
          <cell r="F86">
            <v>0.7944</v>
          </cell>
          <cell r="G86">
            <v>0.92680000000000007</v>
          </cell>
          <cell r="H86">
            <v>0.76791999999999994</v>
          </cell>
          <cell r="I86">
            <v>0.82088000000000005</v>
          </cell>
          <cell r="J86">
            <v>1.1254000000000002</v>
          </cell>
          <cell r="K86">
            <v>0.76791999999999994</v>
          </cell>
          <cell r="L86">
            <v>0.82088000000000005</v>
          </cell>
          <cell r="M86">
            <v>0.95328000000000002</v>
          </cell>
          <cell r="N86">
            <v>0.82088000000000005</v>
          </cell>
          <cell r="O86">
            <v>1.0592000000000001</v>
          </cell>
          <cell r="P86">
            <v>0.99299999999999999</v>
          </cell>
          <cell r="U86">
            <v>10.605240000000002</v>
          </cell>
          <cell r="V86">
            <v>11.072921179999998</v>
          </cell>
          <cell r="W86">
            <v>14.762674000000001</v>
          </cell>
          <cell r="X86">
            <v>-0.46768117999999603</v>
          </cell>
          <cell r="Y86">
            <v>-4.1574339999999985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0.75468000000000013</v>
          </cell>
          <cell r="F91">
            <v>0.7944</v>
          </cell>
          <cell r="G91">
            <v>0.92680000000000007</v>
          </cell>
          <cell r="H91">
            <v>0.76791999999999994</v>
          </cell>
          <cell r="I91">
            <v>0.82088000000000005</v>
          </cell>
          <cell r="J91">
            <v>1.1254000000000002</v>
          </cell>
          <cell r="K91">
            <v>0.76791999999999994</v>
          </cell>
          <cell r="L91">
            <v>0.82088000000000005</v>
          </cell>
          <cell r="M91">
            <v>0.95328000000000002</v>
          </cell>
          <cell r="N91">
            <v>0.82088000000000005</v>
          </cell>
          <cell r="O91">
            <v>1.0592000000000001</v>
          </cell>
          <cell r="P91">
            <v>0.99299999999999999</v>
          </cell>
          <cell r="U91">
            <v>10.605240000000002</v>
          </cell>
          <cell r="V91">
            <v>11.072921179999998</v>
          </cell>
          <cell r="W91">
            <v>14.762674000000001</v>
          </cell>
          <cell r="X91">
            <v>-0.46768117999999603</v>
          </cell>
          <cell r="Y91">
            <v>-4.1574339999999985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30.818469663563214</v>
          </cell>
          <cell r="F94">
            <v>30.818469663563214</v>
          </cell>
          <cell r="G94">
            <v>31.918469663563215</v>
          </cell>
          <cell r="H94">
            <v>30.818469663563214</v>
          </cell>
          <cell r="I94">
            <v>30.818469663563214</v>
          </cell>
          <cell r="J94">
            <v>31.918469663563215</v>
          </cell>
          <cell r="K94">
            <v>31.471262427263216</v>
          </cell>
          <cell r="L94">
            <v>31.471262427263216</v>
          </cell>
          <cell r="M94">
            <v>32.571262427263214</v>
          </cell>
          <cell r="N94">
            <v>31.471262427263216</v>
          </cell>
          <cell r="O94">
            <v>32.571262427263214</v>
          </cell>
          <cell r="P94">
            <v>32.571262427263214</v>
          </cell>
          <cell r="T94">
            <v>0</v>
          </cell>
          <cell r="U94">
            <v>379.23839254495857</v>
          </cell>
          <cell r="V94">
            <v>474.64974999999987</v>
          </cell>
          <cell r="W94">
            <v>588.10900000000004</v>
          </cell>
          <cell r="X94">
            <v>-95.411357455041298</v>
          </cell>
          <cell r="Y94">
            <v>-208.87060745504147</v>
          </cell>
        </row>
        <row r="95">
          <cell r="A95">
            <v>67</v>
          </cell>
          <cell r="B95" t="str">
            <v>Bonus/Commission</v>
          </cell>
          <cell r="E95">
            <v>1.6555266666666666</v>
          </cell>
          <cell r="F95">
            <v>1.6555266666666666</v>
          </cell>
          <cell r="G95">
            <v>1.6555266666666666</v>
          </cell>
          <cell r="H95">
            <v>1.6555266666666666</v>
          </cell>
          <cell r="I95">
            <v>1.6555266666666666</v>
          </cell>
          <cell r="J95">
            <v>1.6555266666666666</v>
          </cell>
          <cell r="K95">
            <v>1.6555266666666666</v>
          </cell>
          <cell r="L95">
            <v>1.6555266666666666</v>
          </cell>
          <cell r="M95">
            <v>1.6555266666666666</v>
          </cell>
          <cell r="N95">
            <v>1.6555266666666666</v>
          </cell>
          <cell r="O95">
            <v>1.6555266666666666</v>
          </cell>
          <cell r="P95">
            <v>1.6555266666666666</v>
          </cell>
          <cell r="T95">
            <v>0</v>
          </cell>
          <cell r="U95">
            <v>19.866319999999998</v>
          </cell>
          <cell r="V95">
            <v>25.927974999999996</v>
          </cell>
          <cell r="W95">
            <v>50.03</v>
          </cell>
          <cell r="X95">
            <v>-6.0616549999999982</v>
          </cell>
          <cell r="Y95">
            <v>-30.163680000000003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11.432999999999998</v>
          </cell>
          <cell r="W97">
            <v>22.122</v>
          </cell>
          <cell r="X97">
            <v>-4.7969999999999979</v>
          </cell>
          <cell r="Y97">
            <v>-15.486000000000001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6.2537400000000014</v>
          </cell>
          <cell r="W98">
            <v>10.64</v>
          </cell>
          <cell r="X98">
            <v>-0.60174000000000127</v>
          </cell>
          <cell r="Y98">
            <v>-4.9880000000000004</v>
          </cell>
        </row>
        <row r="99">
          <cell r="C99">
            <v>0</v>
          </cell>
          <cell r="E99">
            <v>33.497996330229874</v>
          </cell>
          <cell r="F99">
            <v>33.497996330229874</v>
          </cell>
          <cell r="G99">
            <v>34.597996330229876</v>
          </cell>
          <cell r="H99">
            <v>33.497996330229874</v>
          </cell>
          <cell r="I99">
            <v>33.497996330229874</v>
          </cell>
          <cell r="J99">
            <v>34.597996330229876</v>
          </cell>
          <cell r="K99">
            <v>34.150789093929873</v>
          </cell>
          <cell r="L99">
            <v>34.150789093929873</v>
          </cell>
          <cell r="M99">
            <v>35.250789093929875</v>
          </cell>
          <cell r="N99">
            <v>34.150789093929873</v>
          </cell>
          <cell r="O99">
            <v>35.250789093929875</v>
          </cell>
          <cell r="P99">
            <v>35.250789093929875</v>
          </cell>
          <cell r="R99">
            <v>0</v>
          </cell>
          <cell r="S99">
            <v>0</v>
          </cell>
          <cell r="T99">
            <v>0</v>
          </cell>
          <cell r="U99">
            <v>411.39271254495856</v>
          </cell>
          <cell r="V99">
            <v>518.26446499999986</v>
          </cell>
          <cell r="W99">
            <v>670.90099999999995</v>
          </cell>
          <cell r="X99">
            <v>-106.8717524550413</v>
          </cell>
          <cell r="Y99">
            <v>-259.5082874550414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13.756609999999998</v>
          </cell>
          <cell r="W102">
            <v>15.471</v>
          </cell>
          <cell r="X102">
            <v>1.8433900000000047</v>
          </cell>
          <cell r="Y102">
            <v>0.12900000000000311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23.907093333333329</v>
          </cell>
          <cell r="W104">
            <v>24.76</v>
          </cell>
          <cell r="X104">
            <v>9.2906666666671356E-2</v>
          </cell>
          <cell r="Y104">
            <v>-0.76000000000000156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9.5634599999999992</v>
          </cell>
          <cell r="W105">
            <v>11.818</v>
          </cell>
          <cell r="X105">
            <v>2.4365400000000008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3.0898899999999991</v>
          </cell>
          <cell r="W106">
            <v>0</v>
          </cell>
          <cell r="X106">
            <v>2.9101100000000009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0.35499999999999998</v>
          </cell>
          <cell r="F108">
            <v>0.35499999999999998</v>
          </cell>
          <cell r="G108">
            <v>0.35499999999999998</v>
          </cell>
          <cell r="H108">
            <v>0.35499999999999998</v>
          </cell>
          <cell r="I108">
            <v>0.35499999999999998</v>
          </cell>
          <cell r="J108">
            <v>0.35499999999999998</v>
          </cell>
          <cell r="K108">
            <v>0.35499999999999998</v>
          </cell>
          <cell r="L108">
            <v>0.35499999999999998</v>
          </cell>
          <cell r="M108">
            <v>0.35499999999999998</v>
          </cell>
          <cell r="N108">
            <v>0.35499999999999998</v>
          </cell>
          <cell r="O108">
            <v>0.35499999999999998</v>
          </cell>
          <cell r="P108">
            <v>0.35499999999999998</v>
          </cell>
          <cell r="T108">
            <v>0</v>
          </cell>
          <cell r="U108">
            <v>4.26</v>
          </cell>
          <cell r="V108">
            <v>6.9903329400000018</v>
          </cell>
          <cell r="W108">
            <v>13.173325999999999</v>
          </cell>
          <cell r="X108">
            <v>-2.730332940000002</v>
          </cell>
          <cell r="Y108">
            <v>-8.9133259999999996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4.9004799999999999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6.1924000000000001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61.649200000000008</v>
          </cell>
          <cell r="V111">
            <v>87.973470000000006</v>
          </cell>
          <cell r="W111">
            <v>118.69</v>
          </cell>
          <cell r="X111">
            <v>-26.324269999999999</v>
          </cell>
          <cell r="Y111">
            <v>-57.04079999999999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53.609690000000001</v>
          </cell>
          <cell r="W112">
            <v>40.445</v>
          </cell>
          <cell r="X112">
            <v>-5.6096900000000005</v>
          </cell>
          <cell r="Y112">
            <v>7.5549999999999997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6.8279599999999991</v>
          </cell>
          <cell r="W113">
            <v>8.1020000000000003</v>
          </cell>
          <cell r="X113">
            <v>0.37203999999999926</v>
          </cell>
          <cell r="Y113">
            <v>-0.90200000000000191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1.075</v>
          </cell>
          <cell r="W114">
            <v>1.8140000000000001</v>
          </cell>
          <cell r="X114">
            <v>1.325</v>
          </cell>
          <cell r="Y114">
            <v>0.58599999999999985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4.5141099999999996</v>
          </cell>
          <cell r="W115">
            <v>5.0839999999999996</v>
          </cell>
          <cell r="X115">
            <v>1.4858900000000004</v>
          </cell>
          <cell r="Y115">
            <v>0.91600000000000037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0.25</v>
          </cell>
          <cell r="F117">
            <v>0.25</v>
          </cell>
          <cell r="G117">
            <v>0.25</v>
          </cell>
          <cell r="H117">
            <v>0.25</v>
          </cell>
          <cell r="I117">
            <v>0.25</v>
          </cell>
          <cell r="J117">
            <v>0.25</v>
          </cell>
          <cell r="K117">
            <v>0.25</v>
          </cell>
          <cell r="L117">
            <v>0.25</v>
          </cell>
          <cell r="M117">
            <v>0.25</v>
          </cell>
          <cell r="N117">
            <v>0.25</v>
          </cell>
          <cell r="O117">
            <v>0.25</v>
          </cell>
          <cell r="P117">
            <v>0.25</v>
          </cell>
          <cell r="T117">
            <v>0</v>
          </cell>
          <cell r="U117">
            <v>3</v>
          </cell>
          <cell r="V117">
            <v>2.2673299999999994</v>
          </cell>
          <cell r="W117">
            <v>5.5659999999999998</v>
          </cell>
          <cell r="X117">
            <v>0.7326700000000006</v>
          </cell>
          <cell r="Y117">
            <v>-2.5659999999999998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0.45997996330229879</v>
          </cell>
          <cell r="F119">
            <v>0.45997996330229879</v>
          </cell>
          <cell r="G119">
            <v>0.4709799633022988</v>
          </cell>
          <cell r="H119">
            <v>0.45997996330229879</v>
          </cell>
          <cell r="I119">
            <v>0.45997996330229879</v>
          </cell>
          <cell r="J119">
            <v>0.4709799633022988</v>
          </cell>
          <cell r="K119">
            <v>0.46650789093929884</v>
          </cell>
          <cell r="L119">
            <v>0.46650789093929884</v>
          </cell>
          <cell r="M119">
            <v>0.4775078909392988</v>
          </cell>
          <cell r="N119">
            <v>0.46650789093929884</v>
          </cell>
          <cell r="O119">
            <v>0.4775078909392988</v>
          </cell>
          <cell r="P119">
            <v>0.4775078909392988</v>
          </cell>
          <cell r="T119">
            <v>0</v>
          </cell>
          <cell r="U119">
            <v>5.6139271254495853</v>
          </cell>
          <cell r="V119">
            <v>5.7906599999999999</v>
          </cell>
          <cell r="W119">
            <v>9.5779999999999994</v>
          </cell>
          <cell r="X119">
            <v>-0.17673287455041464</v>
          </cell>
          <cell r="Y119">
            <v>-3.9640728745504141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2.5874699999999997</v>
          </cell>
          <cell r="W124">
            <v>4.9189999999999969</v>
          </cell>
          <cell r="X124">
            <v>1.0125299999999995</v>
          </cell>
          <cell r="Y124">
            <v>-1.3189999999999977</v>
          </cell>
        </row>
        <row r="125">
          <cell r="C125">
            <v>0</v>
          </cell>
          <cell r="E125">
            <v>17.665459963302297</v>
          </cell>
          <cell r="F125">
            <v>17.665459963302297</v>
          </cell>
          <cell r="G125">
            <v>17.518379963302298</v>
          </cell>
          <cell r="H125">
            <v>17.665459963302297</v>
          </cell>
          <cell r="I125">
            <v>18.957379963302301</v>
          </cell>
          <cell r="J125">
            <v>17.6764599633023</v>
          </cell>
          <cell r="K125">
            <v>17.671987890939299</v>
          </cell>
          <cell r="L125">
            <v>19.697747890939301</v>
          </cell>
          <cell r="M125">
            <v>17.682987890939298</v>
          </cell>
          <cell r="N125">
            <v>17.513907890939297</v>
          </cell>
          <cell r="O125">
            <v>17.682987890939298</v>
          </cell>
          <cell r="P125">
            <v>17.524907890939296</v>
          </cell>
          <cell r="R125">
            <v>0</v>
          </cell>
          <cell r="S125">
            <v>0</v>
          </cell>
          <cell r="T125">
            <v>0</v>
          </cell>
          <cell r="U125">
            <v>214.92312712544958</v>
          </cell>
          <cell r="V125">
            <v>237.55307627333329</v>
          </cell>
          <cell r="W125">
            <v>275.02032600000001</v>
          </cell>
          <cell r="X125">
            <v>-22.629949147883707</v>
          </cell>
          <cell r="Y125">
            <v>-60.097198874550429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1" refreshError="1">
        <row r="11">
          <cell r="A11">
            <v>1</v>
          </cell>
          <cell r="B11" t="str">
            <v>Net Film Revenue</v>
          </cell>
          <cell r="E11">
            <v>317.76</v>
          </cell>
          <cell r="F11">
            <v>331</v>
          </cell>
          <cell r="G11">
            <v>423.68</v>
          </cell>
          <cell r="H11">
            <v>297.89999999999998</v>
          </cell>
          <cell r="I11">
            <v>344.24</v>
          </cell>
          <cell r="J11">
            <v>496.5</v>
          </cell>
          <cell r="K11">
            <v>344.24</v>
          </cell>
          <cell r="L11">
            <v>357.48</v>
          </cell>
          <cell r="M11">
            <v>397.2</v>
          </cell>
          <cell r="N11">
            <v>337.62</v>
          </cell>
          <cell r="O11">
            <v>390.58</v>
          </cell>
          <cell r="P11">
            <v>430.3</v>
          </cell>
          <cell r="Q11">
            <v>0</v>
          </cell>
          <cell r="T11">
            <v>0</v>
          </cell>
          <cell r="U11">
            <v>4468.5</v>
          </cell>
          <cell r="V11">
            <v>4654.9493000000002</v>
          </cell>
          <cell r="W11">
            <v>6780.2759999999998</v>
          </cell>
          <cell r="X11">
            <v>-186.44930000000113</v>
          </cell>
          <cell r="Y11">
            <v>-2311.7760000000007</v>
          </cell>
        </row>
        <row r="12">
          <cell r="A12">
            <v>2</v>
          </cell>
          <cell r="B12" t="str">
            <v>Concession Sales</v>
          </cell>
          <cell r="E12">
            <v>57.6</v>
          </cell>
          <cell r="F12">
            <v>60</v>
          </cell>
          <cell r="G12">
            <v>76.8</v>
          </cell>
          <cell r="H12">
            <v>54</v>
          </cell>
          <cell r="I12">
            <v>62.4</v>
          </cell>
          <cell r="J12">
            <v>90</v>
          </cell>
          <cell r="K12">
            <v>62.4</v>
          </cell>
          <cell r="L12">
            <v>64.8</v>
          </cell>
          <cell r="M12">
            <v>72</v>
          </cell>
          <cell r="N12">
            <v>61.2</v>
          </cell>
          <cell r="O12">
            <v>70.8</v>
          </cell>
          <cell r="P12">
            <v>78</v>
          </cell>
          <cell r="T12">
            <v>0</v>
          </cell>
          <cell r="U12">
            <v>810</v>
          </cell>
          <cell r="V12">
            <v>791.82263</v>
          </cell>
          <cell r="W12">
            <v>1057.2180000000001</v>
          </cell>
          <cell r="X12">
            <v>18.177369999999883</v>
          </cell>
          <cell r="Y12">
            <v>-247.21800000000019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12</v>
          </cell>
          <cell r="F14">
            <v>12</v>
          </cell>
          <cell r="G14">
            <v>16</v>
          </cell>
          <cell r="H14">
            <v>10</v>
          </cell>
          <cell r="I14">
            <v>12</v>
          </cell>
          <cell r="J14">
            <v>15</v>
          </cell>
          <cell r="K14">
            <v>10</v>
          </cell>
          <cell r="L14">
            <v>15</v>
          </cell>
          <cell r="M14">
            <v>12</v>
          </cell>
          <cell r="N14">
            <v>10</v>
          </cell>
          <cell r="O14">
            <v>12</v>
          </cell>
          <cell r="P14">
            <v>15</v>
          </cell>
          <cell r="T14">
            <v>0</v>
          </cell>
          <cell r="U14">
            <v>151</v>
          </cell>
          <cell r="V14">
            <v>168.21816999999999</v>
          </cell>
          <cell r="W14">
            <v>200.64500000000001</v>
          </cell>
          <cell r="X14">
            <v>-17.218169999999986</v>
          </cell>
          <cell r="Y14">
            <v>-49.645000000000003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288.80450999999999</v>
          </cell>
          <cell r="W15">
            <v>260.94299999999998</v>
          </cell>
          <cell r="X15">
            <v>-54.804509999999993</v>
          </cell>
          <cell r="Y15">
            <v>-26.942999999999984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121.23273</v>
          </cell>
          <cell r="W16">
            <v>86.550999999999988</v>
          </cell>
          <cell r="X16">
            <v>-43.981230000000025</v>
          </cell>
          <cell r="Y16">
            <v>-9.299500000000009</v>
          </cell>
        </row>
        <row r="17">
          <cell r="B17" t="str">
            <v>TOTAL REVENUE</v>
          </cell>
          <cell r="C17">
            <v>0</v>
          </cell>
          <cell r="E17">
            <v>413.29762500000004</v>
          </cell>
          <cell r="F17">
            <v>428.93762500000003</v>
          </cell>
          <cell r="G17">
            <v>542.41762500000004</v>
          </cell>
          <cell r="H17">
            <v>387.837625</v>
          </cell>
          <cell r="I17">
            <v>444.57762500000001</v>
          </cell>
          <cell r="J17">
            <v>627.43762500000003</v>
          </cell>
          <cell r="K17">
            <v>442.57762500000001</v>
          </cell>
          <cell r="L17">
            <v>463.21762500000006</v>
          </cell>
          <cell r="M17">
            <v>507.13762500000001</v>
          </cell>
          <cell r="N17">
            <v>434.75762500000002</v>
          </cell>
          <cell r="O17">
            <v>499.31762500000002</v>
          </cell>
          <cell r="P17">
            <v>549.23762499999998</v>
          </cell>
          <cell r="R17">
            <v>0</v>
          </cell>
          <cell r="S17">
            <v>0</v>
          </cell>
          <cell r="T17">
            <v>0</v>
          </cell>
          <cell r="U17">
            <v>5740.7515000000003</v>
          </cell>
          <cell r="V17">
            <v>6025.0273399999996</v>
          </cell>
          <cell r="W17">
            <v>8385.6329999999998</v>
          </cell>
          <cell r="X17">
            <v>-284.27583999999933</v>
          </cell>
          <cell r="Y17">
            <v>-2644.8814999999995</v>
          </cell>
        </row>
        <row r="19">
          <cell r="A19">
            <v>7</v>
          </cell>
          <cell r="B19" t="str">
            <v>Film Hire</v>
          </cell>
          <cell r="E19">
            <v>147.75839999999999</v>
          </cell>
          <cell r="F19">
            <v>153.91499999999999</v>
          </cell>
          <cell r="G19">
            <v>197.0112</v>
          </cell>
          <cell r="H19">
            <v>138.52349999999998</v>
          </cell>
          <cell r="I19">
            <v>160.07160000000002</v>
          </cell>
          <cell r="J19">
            <v>230.8725</v>
          </cell>
          <cell r="K19">
            <v>160.07160000000002</v>
          </cell>
          <cell r="L19">
            <v>166.22820000000002</v>
          </cell>
          <cell r="M19">
            <v>184.69800000000001</v>
          </cell>
          <cell r="N19">
            <v>156.9933</v>
          </cell>
          <cell r="O19">
            <v>181.61969999999999</v>
          </cell>
          <cell r="P19">
            <v>200.08950000000002</v>
          </cell>
          <cell r="U19">
            <v>2077.8525</v>
          </cell>
          <cell r="V19">
            <v>2163.2345749999999</v>
          </cell>
          <cell r="W19">
            <v>3170.377</v>
          </cell>
          <cell r="X19">
            <v>-85.382074999999986</v>
          </cell>
          <cell r="Y19">
            <v>-1092.5245</v>
          </cell>
        </row>
        <row r="20">
          <cell r="A20">
            <v>8</v>
          </cell>
          <cell r="B20" t="str">
            <v>Concession Cost</v>
          </cell>
          <cell r="E20">
            <v>12.671999999999999</v>
          </cell>
          <cell r="F20">
            <v>13.2</v>
          </cell>
          <cell r="G20">
            <v>16.896000000000001</v>
          </cell>
          <cell r="H20">
            <v>11.88</v>
          </cell>
          <cell r="I20">
            <v>13.728</v>
          </cell>
          <cell r="J20">
            <v>19.8</v>
          </cell>
          <cell r="K20">
            <v>13.728</v>
          </cell>
          <cell r="L20">
            <v>14.256</v>
          </cell>
          <cell r="M20">
            <v>15.84</v>
          </cell>
          <cell r="N20">
            <v>13.463999999999999</v>
          </cell>
          <cell r="O20">
            <v>15.575999999999999</v>
          </cell>
          <cell r="P20">
            <v>17.16</v>
          </cell>
          <cell r="T20">
            <v>0</v>
          </cell>
          <cell r="U20">
            <v>178.2</v>
          </cell>
          <cell r="V20">
            <v>166.74259999999998</v>
          </cell>
          <cell r="W20">
            <v>267.28199999999998</v>
          </cell>
          <cell r="X20">
            <v>11.457400000000007</v>
          </cell>
          <cell r="Y20">
            <v>-89.081999999999994</v>
          </cell>
        </row>
        <row r="21">
          <cell r="A21">
            <v>9</v>
          </cell>
          <cell r="B21" t="str">
            <v>Less Concession Rebates</v>
          </cell>
          <cell r="E21">
            <v>-1.44</v>
          </cell>
          <cell r="F21">
            <v>-1.5</v>
          </cell>
          <cell r="G21">
            <v>-1.92</v>
          </cell>
          <cell r="H21">
            <v>-1.35</v>
          </cell>
          <cell r="I21">
            <v>-1.56</v>
          </cell>
          <cell r="J21">
            <v>-2.25</v>
          </cell>
          <cell r="K21">
            <v>-1.56</v>
          </cell>
          <cell r="L21">
            <v>-1.62</v>
          </cell>
          <cell r="M21">
            <v>-1.8</v>
          </cell>
          <cell r="N21">
            <v>-1.53</v>
          </cell>
          <cell r="O21">
            <v>-1.77</v>
          </cell>
          <cell r="P21">
            <v>-1.95</v>
          </cell>
          <cell r="U21">
            <v>-20.25</v>
          </cell>
          <cell r="V21">
            <v>-25.43</v>
          </cell>
          <cell r="W21">
            <v>-48.585000000000001</v>
          </cell>
          <cell r="X21">
            <v>5.18</v>
          </cell>
          <cell r="Y21">
            <v>28.335000000000001</v>
          </cell>
        </row>
        <row r="22">
          <cell r="A22">
            <v>10</v>
          </cell>
          <cell r="B22" t="str">
            <v>Advertising Cost</v>
          </cell>
          <cell r="E22">
            <v>7.3084799999999994</v>
          </cell>
          <cell r="F22">
            <v>7.6129999999999995</v>
          </cell>
          <cell r="G22">
            <v>9.7446400000000004</v>
          </cell>
          <cell r="H22">
            <v>6.8516999999999992</v>
          </cell>
          <cell r="I22">
            <v>7.9175199999999997</v>
          </cell>
          <cell r="J22">
            <v>11.419499999999999</v>
          </cell>
          <cell r="K22">
            <v>7.9175199999999997</v>
          </cell>
          <cell r="L22">
            <v>8.2220399999999998</v>
          </cell>
          <cell r="M22">
            <v>9.1356000000000002</v>
          </cell>
          <cell r="N22">
            <v>7.7652599999999996</v>
          </cell>
          <cell r="O22">
            <v>8.9833400000000001</v>
          </cell>
          <cell r="P22">
            <v>9.8969000000000005</v>
          </cell>
          <cell r="T22">
            <v>0</v>
          </cell>
          <cell r="U22">
            <v>102.77549999999998</v>
          </cell>
          <cell r="V22">
            <v>114.00804500000001</v>
          </cell>
          <cell r="W22">
            <v>147.23500000000001</v>
          </cell>
          <cell r="X22">
            <v>-11.23254500000003</v>
          </cell>
          <cell r="Y22">
            <v>-44.459500000000034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0.63551999999999997</v>
          </cell>
          <cell r="F23">
            <v>0.66200000000000003</v>
          </cell>
          <cell r="G23">
            <v>0.84736</v>
          </cell>
          <cell r="H23">
            <v>0.5958</v>
          </cell>
          <cell r="I23">
            <v>0.68847999999999998</v>
          </cell>
          <cell r="J23">
            <v>0.99299999999999999</v>
          </cell>
          <cell r="K23">
            <v>0.68847999999999998</v>
          </cell>
          <cell r="L23">
            <v>0.71496000000000004</v>
          </cell>
          <cell r="M23">
            <v>0.7944</v>
          </cell>
          <cell r="N23">
            <v>0.67524000000000006</v>
          </cell>
          <cell r="O23">
            <v>0.78115999999999997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8.9370000000000012</v>
          </cell>
          <cell r="V23">
            <v>9.3098986000000004</v>
          </cell>
          <cell r="W23">
            <v>13.560551999999999</v>
          </cell>
          <cell r="X23">
            <v>-0.37289859999999919</v>
          </cell>
          <cell r="Y23">
            <v>-4.6235519999999983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31.82965695689655</v>
          </cell>
          <cell r="F24">
            <v>31.82965695689655</v>
          </cell>
          <cell r="G24">
            <v>31.82965695689655</v>
          </cell>
          <cell r="H24">
            <v>31.82965695689655</v>
          </cell>
          <cell r="I24">
            <v>31.82965695689655</v>
          </cell>
          <cell r="J24">
            <v>31.82965695689655</v>
          </cell>
          <cell r="K24">
            <v>32.483311881896547</v>
          </cell>
          <cell r="L24">
            <v>32.483311881896547</v>
          </cell>
          <cell r="M24">
            <v>32.483311881896547</v>
          </cell>
          <cell r="N24">
            <v>32.483311881896547</v>
          </cell>
          <cell r="O24">
            <v>32.483311881896547</v>
          </cell>
          <cell r="P24">
            <v>32.483311881896547</v>
          </cell>
          <cell r="R24">
            <v>0</v>
          </cell>
          <cell r="S24">
            <v>0</v>
          </cell>
          <cell r="T24">
            <v>0</v>
          </cell>
          <cell r="U24">
            <v>385.87781303275858</v>
          </cell>
          <cell r="V24">
            <v>467.71003666666684</v>
          </cell>
          <cell r="W24">
            <v>659.72299999999996</v>
          </cell>
          <cell r="X24">
            <v>-81.832223633908256</v>
          </cell>
          <cell r="Y24">
            <v>-273.84518696724137</v>
          </cell>
        </row>
        <row r="25">
          <cell r="B25" t="str">
            <v>TOTAL COST</v>
          </cell>
          <cell r="C25">
            <v>0</v>
          </cell>
          <cell r="E25">
            <v>198.76405695689655</v>
          </cell>
          <cell r="F25">
            <v>205.71965695689656</v>
          </cell>
          <cell r="G25">
            <v>254.40885695689656</v>
          </cell>
          <cell r="H25">
            <v>188.33065695689652</v>
          </cell>
          <cell r="I25">
            <v>212.67525695689656</v>
          </cell>
          <cell r="J25">
            <v>292.66465695689652</v>
          </cell>
          <cell r="K25">
            <v>213.32891188189657</v>
          </cell>
          <cell r="L25">
            <v>220.28451188189655</v>
          </cell>
          <cell r="M25">
            <v>241.15131188189656</v>
          </cell>
          <cell r="N25">
            <v>209.85111188189657</v>
          </cell>
          <cell r="O25">
            <v>237.67351188189653</v>
          </cell>
          <cell r="P25">
            <v>258.54031188189657</v>
          </cell>
          <cell r="R25">
            <v>0</v>
          </cell>
          <cell r="S25">
            <v>0</v>
          </cell>
          <cell r="T25">
            <v>0</v>
          </cell>
          <cell r="U25">
            <v>2733.392813032759</v>
          </cell>
          <cell r="V25">
            <v>2895.575155266667</v>
          </cell>
          <cell r="W25">
            <v>4209.5925520000001</v>
          </cell>
          <cell r="X25">
            <v>-162.182342233908</v>
          </cell>
          <cell r="Y25">
            <v>-1476.199738967241</v>
          </cell>
        </row>
        <row r="27">
          <cell r="B27" t="str">
            <v>GROSS MARGIN</v>
          </cell>
          <cell r="C27">
            <v>0</v>
          </cell>
          <cell r="E27">
            <v>214.53356804310349</v>
          </cell>
          <cell r="F27">
            <v>223.21796804310347</v>
          </cell>
          <cell r="G27">
            <v>288.00876804310349</v>
          </cell>
          <cell r="H27">
            <v>199.50696804310348</v>
          </cell>
          <cell r="I27">
            <v>231.90236804310345</v>
          </cell>
          <cell r="J27">
            <v>334.7729680431035</v>
          </cell>
          <cell r="K27">
            <v>229.24871311810344</v>
          </cell>
          <cell r="L27">
            <v>242.93311311810351</v>
          </cell>
          <cell r="M27">
            <v>265.98631311810345</v>
          </cell>
          <cell r="N27">
            <v>224.90651311810345</v>
          </cell>
          <cell r="O27">
            <v>261.64411311810352</v>
          </cell>
          <cell r="P27">
            <v>290.69731311810341</v>
          </cell>
          <cell r="R27">
            <v>0</v>
          </cell>
          <cell r="S27">
            <v>0</v>
          </cell>
          <cell r="T27">
            <v>0</v>
          </cell>
          <cell r="U27">
            <v>3007.3586869672413</v>
          </cell>
          <cell r="V27">
            <v>3129.4521847333326</v>
          </cell>
          <cell r="W27">
            <v>4176.0404479999997</v>
          </cell>
          <cell r="X27">
            <v>-122.09349776609133</v>
          </cell>
          <cell r="Y27">
            <v>-1168.6817610327585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95.525500000000008</v>
          </cell>
          <cell r="F29">
            <v>95.525500000000008</v>
          </cell>
          <cell r="G29">
            <v>95.525500000000008</v>
          </cell>
          <cell r="H29">
            <v>95.525500000000008</v>
          </cell>
          <cell r="I29">
            <v>95.525500000000008</v>
          </cell>
          <cell r="J29">
            <v>95.525500000000008</v>
          </cell>
          <cell r="K29">
            <v>95.525500000000008</v>
          </cell>
          <cell r="L29">
            <v>95.525500000000008</v>
          </cell>
          <cell r="M29">
            <v>95.525500000000008</v>
          </cell>
          <cell r="N29">
            <v>95.525500000000008</v>
          </cell>
          <cell r="O29">
            <v>95.525500000000008</v>
          </cell>
          <cell r="P29">
            <v>95.525500000000008</v>
          </cell>
          <cell r="T29">
            <v>0</v>
          </cell>
          <cell r="U29">
            <v>1146.3059999999998</v>
          </cell>
          <cell r="V29">
            <v>1146.59656</v>
          </cell>
          <cell r="W29">
            <v>1157.9059999999999</v>
          </cell>
          <cell r="X29">
            <v>-0.29056000000014137</v>
          </cell>
          <cell r="Y29">
            <v>-11.600000000000136</v>
          </cell>
        </row>
        <row r="30">
          <cell r="A30">
            <v>14</v>
          </cell>
          <cell r="B30" t="str">
            <v>Light, Heat and Power</v>
          </cell>
          <cell r="E30">
            <v>13.4</v>
          </cell>
          <cell r="F30">
            <v>13.4</v>
          </cell>
          <cell r="G30">
            <v>13.4</v>
          </cell>
          <cell r="H30">
            <v>13.4</v>
          </cell>
          <cell r="I30">
            <v>13.4</v>
          </cell>
          <cell r="J30">
            <v>13.4</v>
          </cell>
          <cell r="K30">
            <v>13.4</v>
          </cell>
          <cell r="L30">
            <v>13.4</v>
          </cell>
          <cell r="M30">
            <v>13.4</v>
          </cell>
          <cell r="N30">
            <v>13.4</v>
          </cell>
          <cell r="O30">
            <v>13.4</v>
          </cell>
          <cell r="P30">
            <v>13.4</v>
          </cell>
          <cell r="T30">
            <v>0</v>
          </cell>
          <cell r="U30">
            <v>160.80000000000001</v>
          </cell>
          <cell r="V30">
            <v>162.47427999999999</v>
          </cell>
          <cell r="W30">
            <v>187.61699999999999</v>
          </cell>
          <cell r="X30">
            <v>-1.6742799999999534</v>
          </cell>
          <cell r="Y30">
            <v>-26.81699999999995</v>
          </cell>
        </row>
        <row r="31">
          <cell r="A31">
            <v>15</v>
          </cell>
          <cell r="B31" t="str">
            <v>Repair &amp; Maintenance</v>
          </cell>
          <cell r="E31">
            <v>10.536</v>
          </cell>
          <cell r="F31">
            <v>10.536</v>
          </cell>
          <cell r="G31">
            <v>15.536</v>
          </cell>
          <cell r="H31">
            <v>15.536</v>
          </cell>
          <cell r="I31">
            <v>10.536</v>
          </cell>
          <cell r="J31">
            <v>10.536</v>
          </cell>
          <cell r="K31">
            <v>10.536</v>
          </cell>
          <cell r="L31">
            <v>10.536</v>
          </cell>
          <cell r="M31">
            <v>52.536000000000001</v>
          </cell>
          <cell r="N31">
            <v>10.536</v>
          </cell>
          <cell r="O31">
            <v>10.536</v>
          </cell>
          <cell r="P31">
            <v>10.536</v>
          </cell>
          <cell r="T31">
            <v>0</v>
          </cell>
          <cell r="U31">
            <v>178.43200000000002</v>
          </cell>
          <cell r="V31">
            <v>146.07933666666668</v>
          </cell>
          <cell r="W31">
            <v>222.77800000000002</v>
          </cell>
          <cell r="X31">
            <v>32.352663333333339</v>
          </cell>
          <cell r="Y31">
            <v>-44.346000000000004</v>
          </cell>
        </row>
        <row r="32">
          <cell r="A32">
            <v>16</v>
          </cell>
          <cell r="B32" t="str">
            <v>Common Area Maintenance</v>
          </cell>
          <cell r="E32">
            <v>23.380500000000001</v>
          </cell>
          <cell r="F32">
            <v>23.380500000000001</v>
          </cell>
          <cell r="G32">
            <v>23.380500000000001</v>
          </cell>
          <cell r="H32">
            <v>23.380500000000001</v>
          </cell>
          <cell r="I32">
            <v>23.380500000000001</v>
          </cell>
          <cell r="J32">
            <v>23.380500000000001</v>
          </cell>
          <cell r="K32">
            <v>23.380500000000001</v>
          </cell>
          <cell r="L32">
            <v>23.380500000000001</v>
          </cell>
          <cell r="M32">
            <v>23.380500000000001</v>
          </cell>
          <cell r="N32">
            <v>23.380500000000001</v>
          </cell>
          <cell r="O32">
            <v>23.380500000000001</v>
          </cell>
          <cell r="P32">
            <v>23.380500000000001</v>
          </cell>
          <cell r="T32">
            <v>0</v>
          </cell>
          <cell r="U32">
            <v>280.56600000000003</v>
          </cell>
          <cell r="V32">
            <v>280.56414000000007</v>
          </cell>
          <cell r="W32">
            <v>276.94799999999998</v>
          </cell>
          <cell r="X32">
            <v>1.8599999999651118E-3</v>
          </cell>
          <cell r="Y32">
            <v>3.6180000000000518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17.224726569568965</v>
          </cell>
          <cell r="F33">
            <v>17.413206569568967</v>
          </cell>
          <cell r="G33">
            <v>17.255126569568965</v>
          </cell>
          <cell r="H33">
            <v>17.413206569568967</v>
          </cell>
          <cell r="I33">
            <v>20.255126569568969</v>
          </cell>
          <cell r="J33">
            <v>17.413206569568967</v>
          </cell>
          <cell r="K33">
            <v>17.419743118818968</v>
          </cell>
          <cell r="L33">
            <v>19.445503118818966</v>
          </cell>
          <cell r="M33">
            <v>17.419743118818968</v>
          </cell>
          <cell r="N33">
            <v>17.261663118818966</v>
          </cell>
          <cell r="O33">
            <v>17.419743118818968</v>
          </cell>
          <cell r="P33">
            <v>17.261663118818966</v>
          </cell>
          <cell r="R33">
            <v>0</v>
          </cell>
          <cell r="S33">
            <v>0</v>
          </cell>
          <cell r="T33">
            <v>0</v>
          </cell>
          <cell r="U33">
            <v>213.20265813032759</v>
          </cell>
          <cell r="V33">
            <v>253.71766661333336</v>
          </cell>
          <cell r="W33">
            <v>305.630448</v>
          </cell>
          <cell r="X33">
            <v>-40.515008483005772</v>
          </cell>
          <cell r="Y33">
            <v>-92.427789869672409</v>
          </cell>
        </row>
        <row r="35">
          <cell r="B35" t="str">
            <v>Total Overhead Expenses</v>
          </cell>
          <cell r="C35">
            <v>0</v>
          </cell>
          <cell r="E35">
            <v>160.06672656956897</v>
          </cell>
          <cell r="F35">
            <v>160.25520656956897</v>
          </cell>
          <cell r="G35">
            <v>165.09712656956899</v>
          </cell>
          <cell r="H35">
            <v>165.25520656956897</v>
          </cell>
          <cell r="I35">
            <v>163.09712656956899</v>
          </cell>
          <cell r="J35">
            <v>160.25520656956897</v>
          </cell>
          <cell r="K35">
            <v>160.26174311881897</v>
          </cell>
          <cell r="L35">
            <v>162.28750311881899</v>
          </cell>
          <cell r="M35">
            <v>202.26174311881897</v>
          </cell>
          <cell r="N35">
            <v>160.10366311881899</v>
          </cell>
          <cell r="O35">
            <v>160.26174311881897</v>
          </cell>
          <cell r="P35">
            <v>160.10366311881899</v>
          </cell>
          <cell r="R35">
            <v>0</v>
          </cell>
          <cell r="S35">
            <v>0</v>
          </cell>
          <cell r="T35">
            <v>0</v>
          </cell>
          <cell r="U35">
            <v>1979.3066581303276</v>
          </cell>
          <cell r="V35">
            <v>1989.4319832799999</v>
          </cell>
          <cell r="W35">
            <v>2150.8794479999997</v>
          </cell>
          <cell r="X35">
            <v>-10.125325149672335</v>
          </cell>
          <cell r="Y35">
            <v>-171.57278986967208</v>
          </cell>
        </row>
        <row r="37">
          <cell r="B37" t="str">
            <v>E.B.I.T.D.</v>
          </cell>
          <cell r="C37">
            <v>0</v>
          </cell>
          <cell r="E37">
            <v>54.466841473534515</v>
          </cell>
          <cell r="F37">
            <v>62.962761473534499</v>
          </cell>
          <cell r="G37">
            <v>122.9116414735345</v>
          </cell>
          <cell r="H37">
            <v>34.251761473534515</v>
          </cell>
          <cell r="I37">
            <v>68.805241473534466</v>
          </cell>
          <cell r="J37">
            <v>174.51776147353453</v>
          </cell>
          <cell r="K37">
            <v>68.986969999284469</v>
          </cell>
          <cell r="L37">
            <v>80.645609999284517</v>
          </cell>
          <cell r="M37">
            <v>63.724569999284483</v>
          </cell>
          <cell r="N37">
            <v>64.802849999284462</v>
          </cell>
          <cell r="O37">
            <v>101.38236999928455</v>
          </cell>
          <cell r="P37">
            <v>130.59364999928442</v>
          </cell>
          <cell r="R37">
            <v>0</v>
          </cell>
          <cell r="S37">
            <v>0</v>
          </cell>
          <cell r="T37">
            <v>0</v>
          </cell>
          <cell r="U37">
            <v>1028.0520288369137</v>
          </cell>
          <cell r="V37">
            <v>1140.0202014533327</v>
          </cell>
          <cell r="W37">
            <v>2025.1610000000001</v>
          </cell>
          <cell r="X37">
            <v>-111.968172616419</v>
          </cell>
          <cell r="Y37">
            <v>-997.10897116308638</v>
          </cell>
        </row>
        <row r="39">
          <cell r="A39">
            <v>18</v>
          </cell>
          <cell r="B39" t="str">
            <v>Depreciation</v>
          </cell>
          <cell r="E39">
            <v>32.664836111111114</v>
          </cell>
          <cell r="F39">
            <v>32.664836111111114</v>
          </cell>
          <cell r="G39">
            <v>32.664836111111114</v>
          </cell>
          <cell r="H39">
            <v>32.664836111111114</v>
          </cell>
          <cell r="I39">
            <v>32.664836111111114</v>
          </cell>
          <cell r="J39">
            <v>32.664836111111114</v>
          </cell>
          <cell r="K39">
            <v>33.641502777777781</v>
          </cell>
          <cell r="L39">
            <v>33.641502777777781</v>
          </cell>
          <cell r="M39">
            <v>33.641502777777781</v>
          </cell>
          <cell r="N39">
            <v>33.641502777777781</v>
          </cell>
          <cell r="O39">
            <v>33.641502777777781</v>
          </cell>
          <cell r="P39">
            <v>33.641502777777781</v>
          </cell>
          <cell r="T39">
            <v>0</v>
          </cell>
          <cell r="U39">
            <v>397.83803333333333</v>
          </cell>
          <cell r="V39">
            <v>392.34369657407404</v>
          </cell>
          <cell r="W39">
            <v>383.59</v>
          </cell>
          <cell r="X39">
            <v>5.4943367592592836</v>
          </cell>
          <cell r="Y39">
            <v>14.248033333333296</v>
          </cell>
        </row>
        <row r="40">
          <cell r="A40">
            <v>19</v>
          </cell>
          <cell r="B40" t="str">
            <v>Fixed Assets Written Off</v>
          </cell>
          <cell r="E40">
            <v>5.8293400000000002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5.8293400000000002</v>
          </cell>
          <cell r="V40">
            <v>22.727</v>
          </cell>
          <cell r="W40">
            <v>183.446</v>
          </cell>
          <cell r="X40">
            <v>-16.897660000000002</v>
          </cell>
          <cell r="Y40">
            <v>-177.61666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175.00614948356167</v>
          </cell>
          <cell r="W41">
            <v>197.39400000000001</v>
          </cell>
          <cell r="X41">
            <v>-175.00614948356167</v>
          </cell>
          <cell r="Y41">
            <v>-197.39400000000001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2.7230799999999999</v>
          </cell>
          <cell r="W43">
            <v>0.90700000000000003</v>
          </cell>
          <cell r="X43">
            <v>-2.7230799999999999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15.972665362423401</v>
          </cell>
          <cell r="F44">
            <v>30.297925362423385</v>
          </cell>
          <cell r="G44">
            <v>90.246805362423387</v>
          </cell>
          <cell r="H44">
            <v>1.5869253624234005</v>
          </cell>
          <cell r="I44">
            <v>36.140405362423351</v>
          </cell>
          <cell r="J44">
            <v>141.85292536242343</v>
          </cell>
          <cell r="K44">
            <v>35.345467221506688</v>
          </cell>
          <cell r="L44">
            <v>47.004107221506736</v>
          </cell>
          <cell r="M44">
            <v>30.083067221506703</v>
          </cell>
          <cell r="N44">
            <v>31.161347221506681</v>
          </cell>
          <cell r="O44">
            <v>67.740867221506761</v>
          </cell>
          <cell r="P44">
            <v>96.952147221506635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624.38465550358035</v>
          </cell>
          <cell r="V44">
            <v>552.66643539569691</v>
          </cell>
          <cell r="W44">
            <v>1261.6379999999999</v>
          </cell>
          <cell r="X44">
            <v>71.71822010788344</v>
          </cell>
          <cell r="Y44">
            <v>-637.25334449641957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15.972665362423401</v>
          </cell>
          <cell r="F50">
            <v>30.297925362423385</v>
          </cell>
          <cell r="G50">
            <v>90.246805362423387</v>
          </cell>
          <cell r="H50">
            <v>1.5869253624234005</v>
          </cell>
          <cell r="I50">
            <v>36.140405362423351</v>
          </cell>
          <cell r="J50">
            <v>141.85292536242343</v>
          </cell>
          <cell r="K50">
            <v>35.345467221506688</v>
          </cell>
          <cell r="L50">
            <v>47.004107221506736</v>
          </cell>
          <cell r="M50">
            <v>30.083067221506703</v>
          </cell>
          <cell r="N50">
            <v>31.161347221506681</v>
          </cell>
          <cell r="O50">
            <v>67.740867221506761</v>
          </cell>
          <cell r="P50">
            <v>96.952147221506635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624.38465550358035</v>
          </cell>
          <cell r="V50">
            <v>552.66643539569691</v>
          </cell>
          <cell r="W50">
            <v>1261.6379999999999</v>
          </cell>
          <cell r="X50">
            <v>71.71822010788344</v>
          </cell>
          <cell r="Y50">
            <v>-637.25334449641957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47.04</v>
          </cell>
          <cell r="F54">
            <v>49</v>
          </cell>
          <cell r="G54">
            <v>62.72</v>
          </cell>
          <cell r="H54">
            <v>44.1</v>
          </cell>
          <cell r="I54">
            <v>50.96</v>
          </cell>
          <cell r="J54">
            <v>73.5</v>
          </cell>
          <cell r="K54">
            <v>50.96</v>
          </cell>
          <cell r="L54">
            <v>52.92</v>
          </cell>
          <cell r="M54">
            <v>58.8</v>
          </cell>
          <cell r="N54">
            <v>49.98</v>
          </cell>
          <cell r="O54">
            <v>57.82</v>
          </cell>
          <cell r="P54">
            <v>63.7</v>
          </cell>
          <cell r="T54">
            <v>0</v>
          </cell>
          <cell r="U54">
            <v>661.5</v>
          </cell>
          <cell r="V54">
            <v>701</v>
          </cell>
          <cell r="W54">
            <v>1003.141</v>
          </cell>
          <cell r="X54">
            <v>-39.499999999999886</v>
          </cell>
          <cell r="Y54">
            <v>-341.64099999999985</v>
          </cell>
        </row>
        <row r="55">
          <cell r="A55">
            <v>28</v>
          </cell>
          <cell r="B55" t="str">
            <v>Admissions</v>
          </cell>
          <cell r="E55">
            <v>48</v>
          </cell>
          <cell r="F55">
            <v>50</v>
          </cell>
          <cell r="G55">
            <v>64</v>
          </cell>
          <cell r="H55">
            <v>45</v>
          </cell>
          <cell r="I55">
            <v>52</v>
          </cell>
          <cell r="J55">
            <v>75</v>
          </cell>
          <cell r="K55">
            <v>52</v>
          </cell>
          <cell r="L55">
            <v>54</v>
          </cell>
          <cell r="M55">
            <v>60</v>
          </cell>
          <cell r="N55">
            <v>51</v>
          </cell>
          <cell r="O55">
            <v>59</v>
          </cell>
          <cell r="P55">
            <v>65</v>
          </cell>
          <cell r="T55">
            <v>0</v>
          </cell>
          <cell r="U55">
            <v>675</v>
          </cell>
          <cell r="V55">
            <v>701</v>
          </cell>
          <cell r="W55">
            <v>1003.141</v>
          </cell>
          <cell r="X55">
            <v>-26</v>
          </cell>
          <cell r="Y55">
            <v>-328.14099999999996</v>
          </cell>
        </row>
        <row r="56">
          <cell r="B56" t="str">
            <v>Utilisation Rate</v>
          </cell>
          <cell r="E56">
            <v>0.20748322843903452</v>
          </cell>
          <cell r="F56">
            <v>0.21612836295732762</v>
          </cell>
          <cell r="G56">
            <v>0.22131544366830347</v>
          </cell>
          <cell r="H56">
            <v>0.19451552666159486</v>
          </cell>
          <cell r="I56">
            <v>0.22477349747562073</v>
          </cell>
          <cell r="J56">
            <v>0.25935403554879316</v>
          </cell>
          <cell r="K56">
            <v>0.22477349747562073</v>
          </cell>
          <cell r="L56">
            <v>0.23341863199391383</v>
          </cell>
          <cell r="M56">
            <v>0.20748322843903452</v>
          </cell>
          <cell r="N56">
            <v>0.22045093021647416</v>
          </cell>
          <cell r="O56">
            <v>0.20402517463171727</v>
          </cell>
          <cell r="P56">
            <v>0.2809668718445259</v>
          </cell>
          <cell r="U56">
            <v>0.22444099230184023</v>
          </cell>
          <cell r="V56">
            <v>0.23308612682013333</v>
          </cell>
          <cell r="W56">
            <v>0.31687209390478116</v>
          </cell>
          <cell r="X56">
            <v>-8.6451345182931016E-3</v>
          </cell>
          <cell r="Y56">
            <v>-9.2431101602940935E-2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Q57" t="str">
            <v xml:space="preserve"> 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6.6404412268188304</v>
          </cell>
          <cell r="W57">
            <v>6.7590458370259014</v>
          </cell>
          <cell r="X57">
            <v>-2.0441226818832092E-2</v>
          </cell>
          <cell r="Y57">
            <v>-0.13904583702590312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2.4491790920257713E-2</v>
          </cell>
          <cell r="W58">
            <v>2.1715192714868835E-2</v>
          </cell>
          <cell r="X58">
            <v>-1.4917909202577136E-3</v>
          </cell>
          <cell r="Y58">
            <v>1.2848072851311641E-3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0.17846496759002703</v>
          </cell>
          <cell r="W59">
            <v>0.20686083664863819</v>
          </cell>
          <cell r="X59">
            <v>1.6535032409972977E-2</v>
          </cell>
          <cell r="Y59">
            <v>-1.1860836648638184E-2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1.1295615263908703</v>
          </cell>
          <cell r="W60">
            <v>1.0539076759897164</v>
          </cell>
          <cell r="X60">
            <v>7.0438473609129471E-2</v>
          </cell>
          <cell r="Y60">
            <v>0.14609232401028338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0.46471710766001251</v>
          </cell>
          <cell r="W61">
            <v>0.46758819257505152</v>
          </cell>
          <cell r="X61">
            <v>2.8289233998757268E-4</v>
          </cell>
          <cell r="Y61">
            <v>-2.5881925750514401E-3</v>
          </cell>
        </row>
        <row r="62">
          <cell r="B62" t="str">
            <v>Direct Payroll : Net Box</v>
          </cell>
          <cell r="C62" t="str">
            <v>N.A.</v>
          </cell>
          <cell r="E62">
            <v>0.10016886001037434</v>
          </cell>
          <cell r="F62">
            <v>9.6162105609959359E-2</v>
          </cell>
          <cell r="G62">
            <v>7.5126645007780754E-2</v>
          </cell>
          <cell r="H62">
            <v>0.10684678401106597</v>
          </cell>
          <cell r="I62">
            <v>9.246356308649939E-2</v>
          </cell>
          <cell r="J62">
            <v>6.4108070406639572E-2</v>
          </cell>
          <cell r="K62">
            <v>9.4362397983664151E-2</v>
          </cell>
          <cell r="L62">
            <v>9.0867494354639547E-2</v>
          </cell>
          <cell r="M62">
            <v>8.1780744919175599E-2</v>
          </cell>
          <cell r="N62">
            <v>9.6212641081383055E-2</v>
          </cell>
          <cell r="O62">
            <v>8.3166859239839588E-2</v>
          </cell>
          <cell r="P62">
            <v>7.5489918386931323E-2</v>
          </cell>
          <cell r="R62" t="str">
            <v>N.A.</v>
          </cell>
          <cell r="S62" t="str">
            <v>N.A.</v>
          </cell>
          <cell r="U62">
            <v>8.6355110894653392E-2</v>
          </cell>
          <cell r="V62">
            <v>0.10047586053550933</v>
          </cell>
          <cell r="W62">
            <v>9.7300316388300417E-2</v>
          </cell>
          <cell r="X62">
            <v>-1.412074964085594E-2</v>
          </cell>
          <cell r="Y62">
            <v>-1.0945205493647026E-2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8.4797679446122515E-2</v>
          </cell>
          <cell r="F63">
            <v>8.1405772268277624E-2</v>
          </cell>
          <cell r="G63">
            <v>6.3598259584591893E-2</v>
          </cell>
          <cell r="H63">
            <v>9.0450858075864032E-2</v>
          </cell>
          <cell r="I63">
            <v>7.8274781027190016E-2</v>
          </cell>
          <cell r="J63">
            <v>5.4270514845518411E-2</v>
          </cell>
          <cell r="K63">
            <v>7.988223461021185E-2</v>
          </cell>
          <cell r="L63">
            <v>7.6923633328352142E-2</v>
          </cell>
          <cell r="M63">
            <v>6.9231269995516945E-2</v>
          </cell>
          <cell r="N63">
            <v>8.144855293590228E-2</v>
          </cell>
          <cell r="O63">
            <v>7.0404681351373163E-2</v>
          </cell>
          <cell r="P63">
            <v>6.3905787688169485E-2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7.3103687227954656E-2</v>
          </cell>
          <cell r="V63">
            <v>8.5869216239914573E-2</v>
          </cell>
          <cell r="W63">
            <v>8.4175247853459284E-2</v>
          </cell>
          <cell r="X63">
            <v>-1.2765529011959917E-2</v>
          </cell>
          <cell r="Y63">
            <v>-1.1071560625504628E-2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0.66311785326867811</v>
          </cell>
          <cell r="F64">
            <v>0.63659313913793103</v>
          </cell>
          <cell r="G64">
            <v>0.49733838995150859</v>
          </cell>
          <cell r="H64">
            <v>0.70732571015325663</v>
          </cell>
          <cell r="I64">
            <v>0.61210878763262599</v>
          </cell>
          <cell r="J64">
            <v>0.42439542609195402</v>
          </cell>
          <cell r="K64">
            <v>0.62467907465185668</v>
          </cell>
          <cell r="L64">
            <v>0.60154281262771381</v>
          </cell>
          <cell r="M64">
            <v>0.54138853136494247</v>
          </cell>
          <cell r="N64">
            <v>0.63692768395875587</v>
          </cell>
          <cell r="O64">
            <v>0.55056460816773811</v>
          </cell>
          <cell r="P64">
            <v>0.49974325972148537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0.57167083412260533</v>
          </cell>
          <cell r="V64">
            <v>0.66720404660009536</v>
          </cell>
          <cell r="W64">
            <v>0.65765729842564502</v>
          </cell>
          <cell r="X64">
            <v>-9.5533212477490026E-2</v>
          </cell>
          <cell r="Y64">
            <v>-8.5986464303039689E-2</v>
          </cell>
        </row>
        <row r="65">
          <cell r="B65" t="str">
            <v>Gross Margin :Total Rev</v>
          </cell>
          <cell r="C65" t="str">
            <v>N.A.</v>
          </cell>
          <cell r="E65">
            <v>0.51907766961666779</v>
          </cell>
          <cell r="F65">
            <v>0.52039726765191896</v>
          </cell>
          <cell r="G65">
            <v>0.53097236293364081</v>
          </cell>
          <cell r="H65">
            <v>0.51440849258269739</v>
          </cell>
          <cell r="I65">
            <v>0.52162402019917997</v>
          </cell>
          <cell r="J65">
            <v>0.53355577463672743</v>
          </cell>
          <cell r="K65">
            <v>0.5179853209210552</v>
          </cell>
          <cell r="L65">
            <v>0.52444704175084766</v>
          </cell>
          <cell r="M65">
            <v>0.52448546510053051</v>
          </cell>
          <cell r="N65">
            <v>0.51731470636795263</v>
          </cell>
          <cell r="O65">
            <v>0.52400335982152346</v>
          </cell>
          <cell r="P65">
            <v>0.5292742155421406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0.52386149913774205</v>
          </cell>
          <cell r="V65">
            <v>0.51940879404097984</v>
          </cell>
          <cell r="W65">
            <v>0.49799942926192931</v>
          </cell>
          <cell r="X65">
            <v>4.4527050967622106E-3</v>
          </cell>
          <cell r="Y65">
            <v>2.5862069875812743E-2</v>
          </cell>
        </row>
        <row r="66">
          <cell r="B66" t="str">
            <v>G&amp;A % of total revenue</v>
          </cell>
          <cell r="C66" t="str">
            <v>N.A.</v>
          </cell>
          <cell r="E66">
            <v>4.1676326036398016E-2</v>
          </cell>
          <cell r="F66">
            <v>4.0596127629440218E-2</v>
          </cell>
          <cell r="G66">
            <v>3.1811515286895339E-2</v>
          </cell>
          <cell r="H66">
            <v>4.4898187919671192E-2</v>
          </cell>
          <cell r="I66">
            <v>4.5560382328213141E-2</v>
          </cell>
          <cell r="J66">
            <v>2.7752888694822796E-2</v>
          </cell>
          <cell r="K66">
            <v>3.9359746482481951E-2</v>
          </cell>
          <cell r="L66">
            <v>4.1979195240722897E-2</v>
          </cell>
          <cell r="M66">
            <v>3.4349143625103676E-2</v>
          </cell>
          <cell r="N66">
            <v>3.9704106670513176E-2</v>
          </cell>
          <cell r="O66">
            <v>3.4887098405186411E-2</v>
          </cell>
          <cell r="P66">
            <v>3.1428406090749823E-2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3.7138457940624599E-2</v>
          </cell>
          <cell r="V66">
            <v>4.2110624947526522E-2</v>
          </cell>
          <cell r="W66">
            <v>3.6446914383207567E-2</v>
          </cell>
          <cell r="X66">
            <v>-4.972167006901923E-3</v>
          </cell>
          <cell r="Y66">
            <v>6.91543557417032E-4</v>
          </cell>
        </row>
        <row r="67">
          <cell r="B67" t="str">
            <v>E.B.I.T.D. : Total Rev</v>
          </cell>
          <cell r="C67" t="str">
            <v>N.A.</v>
          </cell>
          <cell r="E67">
            <v>0.13178600160969836</v>
          </cell>
          <cell r="F67">
            <v>0.14678768614325799</v>
          </cell>
          <cell r="G67">
            <v>0.22659964538124014</v>
          </cell>
          <cell r="H67">
            <v>8.8314694773449359E-2</v>
          </cell>
          <cell r="I67">
            <v>0.15476541689099729</v>
          </cell>
          <cell r="J67">
            <v>0.27814360267848859</v>
          </cell>
          <cell r="K67">
            <v>0.15587541281438361</v>
          </cell>
          <cell r="L67">
            <v>0.17409875109843781</v>
          </cell>
          <cell r="M67">
            <v>0.12565537806287688</v>
          </cell>
          <cell r="N67">
            <v>0.14905512007819174</v>
          </cell>
          <cell r="O67">
            <v>0.20304184135155362</v>
          </cell>
          <cell r="P67">
            <v>0.23777258522535566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0.17907969519964653</v>
          </cell>
          <cell r="V67">
            <v>0.18921411258746798</v>
          </cell>
          <cell r="W67">
            <v>0.24150365273557764</v>
          </cell>
          <cell r="X67">
            <v>-1.0134417387821448E-2</v>
          </cell>
          <cell r="Y67">
            <v>-6.2423957535931107E-2</v>
          </cell>
        </row>
        <row r="68">
          <cell r="B68" t="str">
            <v>No of Concession Transactions</v>
          </cell>
          <cell r="E68">
            <v>15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17.253</v>
          </cell>
          <cell r="K68">
            <v>13</v>
          </cell>
          <cell r="L68">
            <v>15</v>
          </cell>
          <cell r="M68">
            <v>16</v>
          </cell>
          <cell r="N68">
            <v>15</v>
          </cell>
          <cell r="O68">
            <v>13</v>
          </cell>
          <cell r="P68">
            <v>17</v>
          </cell>
          <cell r="U68">
            <v>177.25299999999999</v>
          </cell>
          <cell r="V68">
            <v>188</v>
          </cell>
          <cell r="W68">
            <v>0</v>
          </cell>
          <cell r="X68">
            <v>-10.747000000000014</v>
          </cell>
          <cell r="Y68">
            <v>177.25299999999999</v>
          </cell>
        </row>
        <row r="69">
          <cell r="B69" t="str">
            <v>Strike Rate %(No of Trans/Adm)</v>
          </cell>
          <cell r="E69">
            <v>0.3125</v>
          </cell>
          <cell r="F69">
            <v>0.24</v>
          </cell>
          <cell r="G69">
            <v>0.28125</v>
          </cell>
          <cell r="H69">
            <v>0.26666666666666666</v>
          </cell>
          <cell r="I69">
            <v>0.26923076923076922</v>
          </cell>
          <cell r="J69">
            <v>0.23003999999999999</v>
          </cell>
          <cell r="K69">
            <v>0.25</v>
          </cell>
          <cell r="L69">
            <v>0.27777777777777779</v>
          </cell>
          <cell r="M69">
            <v>0.26666666666666666</v>
          </cell>
          <cell r="N69">
            <v>0.29411764705882354</v>
          </cell>
          <cell r="O69">
            <v>0.22033898305084745</v>
          </cell>
          <cell r="P69">
            <v>0.26153846153846155</v>
          </cell>
          <cell r="U69">
            <v>0.26259703703703702</v>
          </cell>
          <cell r="V69">
            <v>0.26818830242510699</v>
          </cell>
          <cell r="W69">
            <v>0</v>
          </cell>
          <cell r="X69">
            <v>-5.591265388069977E-3</v>
          </cell>
          <cell r="Y69">
            <v>0.26259703703703702</v>
          </cell>
        </row>
        <row r="70">
          <cell r="B70" t="str">
            <v>Ave Sales (Total Sale/No of Trans) (S$)</v>
          </cell>
          <cell r="E70">
            <v>3.84</v>
          </cell>
          <cell r="F70">
            <v>5</v>
          </cell>
          <cell r="G70">
            <v>4.2666666666666666</v>
          </cell>
          <cell r="H70">
            <v>4.5</v>
          </cell>
          <cell r="I70">
            <v>4.4571428571428573</v>
          </cell>
          <cell r="J70">
            <v>5.2164840897235267</v>
          </cell>
          <cell r="K70">
            <v>4.8</v>
          </cell>
          <cell r="L70">
            <v>4.32</v>
          </cell>
          <cell r="M70">
            <v>4.5</v>
          </cell>
          <cell r="N70">
            <v>4.08</v>
          </cell>
          <cell r="O70">
            <v>5.4461538461538463</v>
          </cell>
          <cell r="P70">
            <v>4.5882352941176467</v>
          </cell>
          <cell r="U70">
            <v>4.5697392991938077</v>
          </cell>
          <cell r="V70">
            <v>4.2118225000000002</v>
          </cell>
          <cell r="W70" t="str">
            <v>N.A.</v>
          </cell>
          <cell r="X70">
            <v>0.35791679919380748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32</v>
          </cell>
          <cell r="H71">
            <v>27</v>
          </cell>
          <cell r="I71">
            <v>26</v>
          </cell>
          <cell r="J71">
            <v>38</v>
          </cell>
          <cell r="K71">
            <v>28</v>
          </cell>
          <cell r="L71">
            <v>30</v>
          </cell>
          <cell r="M71">
            <v>37</v>
          </cell>
          <cell r="N71">
            <v>28</v>
          </cell>
          <cell r="O71">
            <v>35</v>
          </cell>
          <cell r="P71">
            <v>31</v>
          </cell>
          <cell r="U71">
            <v>366</v>
          </cell>
          <cell r="V71">
            <v>381</v>
          </cell>
          <cell r="W71">
            <v>0</v>
          </cell>
          <cell r="X71">
            <v>-15</v>
          </cell>
          <cell r="Y71">
            <v>366</v>
          </cell>
        </row>
        <row r="72">
          <cell r="B72" t="str">
            <v>Combo Sales as % of Total Sales</v>
          </cell>
          <cell r="E72">
            <v>0.45138888888888895</v>
          </cell>
          <cell r="F72">
            <v>0.46666666666666667</v>
          </cell>
          <cell r="G72">
            <v>0.41666666666666669</v>
          </cell>
          <cell r="H72">
            <v>0.5</v>
          </cell>
          <cell r="I72">
            <v>0.41666666666666669</v>
          </cell>
          <cell r="J72">
            <v>0.42222222222222222</v>
          </cell>
          <cell r="K72">
            <v>0.44871794871794873</v>
          </cell>
          <cell r="L72">
            <v>0.46296296296296297</v>
          </cell>
          <cell r="M72">
            <v>0.51388888888888884</v>
          </cell>
          <cell r="N72">
            <v>0.45751633986928109</v>
          </cell>
          <cell r="O72">
            <v>0.4943502824858757</v>
          </cell>
          <cell r="P72">
            <v>0.39743589743589741</v>
          </cell>
          <cell r="U72">
            <v>0.45185185185185189</v>
          </cell>
          <cell r="V72">
            <v>0.48116836468793522</v>
          </cell>
          <cell r="W72">
            <v>0</v>
          </cell>
          <cell r="X72">
            <v>-2.931651283608333E-2</v>
          </cell>
          <cell r="Y72">
            <v>0.45185185185185189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76.131</v>
          </cell>
          <cell r="V73">
            <v>58</v>
          </cell>
          <cell r="W73">
            <v>0</v>
          </cell>
          <cell r="X73">
            <v>18.131</v>
          </cell>
          <cell r="Y73">
            <v>76.131</v>
          </cell>
        </row>
        <row r="74">
          <cell r="B74" t="str">
            <v>Admissions/labour hour paid</v>
          </cell>
          <cell r="E74">
            <v>9.9979171006040399</v>
          </cell>
          <cell r="F74">
            <v>7.1428571428571432</v>
          </cell>
          <cell r="G74">
            <v>9.0014064697608998</v>
          </cell>
          <cell r="H74">
            <v>9</v>
          </cell>
          <cell r="I74">
            <v>8.6666666666666661</v>
          </cell>
          <cell r="J74">
            <v>10.548523206751055</v>
          </cell>
          <cell r="K74">
            <v>8.6666666666666661</v>
          </cell>
          <cell r="L74">
            <v>9</v>
          </cell>
          <cell r="M74">
            <v>8.4388185654008439</v>
          </cell>
          <cell r="N74">
            <v>8.5</v>
          </cell>
          <cell r="O74">
            <v>8.4285714285714288</v>
          </cell>
          <cell r="P74">
            <v>9.2857142857142865</v>
          </cell>
          <cell r="U74">
            <v>8.8662962525121181</v>
          </cell>
          <cell r="V74">
            <v>12.086206896551724</v>
          </cell>
          <cell r="W74" t="str">
            <v>N.A.</v>
          </cell>
          <cell r="X74">
            <v>-3.2199106440396061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47.228229999999996</v>
          </cell>
          <cell r="W77">
            <v>3.8690000000000002</v>
          </cell>
          <cell r="X77">
            <v>-20.040729999999996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23.534500000000001</v>
          </cell>
          <cell r="W78">
            <v>29.521999999999998</v>
          </cell>
          <cell r="X78">
            <v>-11.534500000000001</v>
          </cell>
          <cell r="Y78">
            <v>-17.521999999999998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50.47</v>
          </cell>
          <cell r="W82">
            <v>53.16</v>
          </cell>
          <cell r="X82">
            <v>-12.405999999999999</v>
          </cell>
          <cell r="Y82">
            <v>-15.095999999999997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121.23273</v>
          </cell>
          <cell r="W83">
            <v>86.550999999999988</v>
          </cell>
          <cell r="X83">
            <v>-43.981230000000011</v>
          </cell>
          <cell r="Y83">
            <v>-9.2994999999999948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0.63551999999999997</v>
          </cell>
          <cell r="F86">
            <v>0.66200000000000003</v>
          </cell>
          <cell r="G86">
            <v>0.84736</v>
          </cell>
          <cell r="H86">
            <v>0.5958</v>
          </cell>
          <cell r="I86">
            <v>0.68847999999999998</v>
          </cell>
          <cell r="J86">
            <v>0.99299999999999999</v>
          </cell>
          <cell r="K86">
            <v>0.68847999999999998</v>
          </cell>
          <cell r="L86">
            <v>0.71496000000000004</v>
          </cell>
          <cell r="M86">
            <v>0.7944</v>
          </cell>
          <cell r="N86">
            <v>0.67524000000000006</v>
          </cell>
          <cell r="O86">
            <v>0.78115999999999997</v>
          </cell>
          <cell r="P86">
            <v>0.86060000000000003</v>
          </cell>
          <cell r="U86">
            <v>8.9370000000000012</v>
          </cell>
          <cell r="V86">
            <v>9.3098986000000004</v>
          </cell>
          <cell r="W86">
            <v>13.560551999999999</v>
          </cell>
          <cell r="X86">
            <v>-0.37289859999999919</v>
          </cell>
          <cell r="Y86">
            <v>-4.6235519999999983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0.63551999999999997</v>
          </cell>
          <cell r="F91">
            <v>0.66200000000000003</v>
          </cell>
          <cell r="G91">
            <v>0.84736</v>
          </cell>
          <cell r="H91">
            <v>0.5958</v>
          </cell>
          <cell r="I91">
            <v>0.68847999999999998</v>
          </cell>
          <cell r="J91">
            <v>0.99299999999999999</v>
          </cell>
          <cell r="K91">
            <v>0.68847999999999998</v>
          </cell>
          <cell r="L91">
            <v>0.71496000000000004</v>
          </cell>
          <cell r="M91">
            <v>0.7944</v>
          </cell>
          <cell r="N91">
            <v>0.67524000000000006</v>
          </cell>
          <cell r="O91">
            <v>0.78115999999999997</v>
          </cell>
          <cell r="P91">
            <v>0.86060000000000003</v>
          </cell>
          <cell r="U91">
            <v>8.9370000000000012</v>
          </cell>
          <cell r="V91">
            <v>9.3098986000000004</v>
          </cell>
          <cell r="W91">
            <v>13.560551999999999</v>
          </cell>
          <cell r="X91">
            <v>-0.37289859999999919</v>
          </cell>
          <cell r="Y91">
            <v>-4.6235519999999983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29.346519456896548</v>
          </cell>
          <cell r="F94">
            <v>29.346519456896548</v>
          </cell>
          <cell r="G94">
            <v>29.346519456896548</v>
          </cell>
          <cell r="H94">
            <v>29.346519456896548</v>
          </cell>
          <cell r="I94">
            <v>29.346519456896548</v>
          </cell>
          <cell r="J94">
            <v>29.346519456896548</v>
          </cell>
          <cell r="K94">
            <v>30.000174381896549</v>
          </cell>
          <cell r="L94">
            <v>30.000174381896549</v>
          </cell>
          <cell r="M94">
            <v>30.000174381896549</v>
          </cell>
          <cell r="N94">
            <v>30.000174381896549</v>
          </cell>
          <cell r="O94">
            <v>30.000174381896549</v>
          </cell>
          <cell r="P94">
            <v>30.000174381896549</v>
          </cell>
          <cell r="T94">
            <v>0</v>
          </cell>
          <cell r="U94">
            <v>356.08016303275861</v>
          </cell>
          <cell r="V94">
            <v>423.9189550000001</v>
          </cell>
          <cell r="W94">
            <v>579.53499999999997</v>
          </cell>
          <cell r="X94">
            <v>-67.838791967241491</v>
          </cell>
          <cell r="Y94">
            <v>-223.45483696724136</v>
          </cell>
        </row>
        <row r="95">
          <cell r="A95">
            <v>67</v>
          </cell>
          <cell r="B95" t="str">
            <v>Bonus/Commission</v>
          </cell>
          <cell r="E95">
            <v>1.3021374999999997</v>
          </cell>
          <cell r="F95">
            <v>1.3021374999999997</v>
          </cell>
          <cell r="G95">
            <v>1.3021374999999997</v>
          </cell>
          <cell r="H95">
            <v>1.3021374999999997</v>
          </cell>
          <cell r="I95">
            <v>1.3021374999999997</v>
          </cell>
          <cell r="J95">
            <v>1.3021374999999997</v>
          </cell>
          <cell r="K95">
            <v>1.3021374999999997</v>
          </cell>
          <cell r="L95">
            <v>1.3021374999999997</v>
          </cell>
          <cell r="M95">
            <v>1.3021374999999997</v>
          </cell>
          <cell r="N95">
            <v>1.3021374999999997</v>
          </cell>
          <cell r="O95">
            <v>1.3021374999999997</v>
          </cell>
          <cell r="P95">
            <v>1.3021374999999997</v>
          </cell>
          <cell r="T95">
            <v>0</v>
          </cell>
          <cell r="U95">
            <v>15.62565</v>
          </cell>
          <cell r="V95">
            <v>20.073341666666664</v>
          </cell>
          <cell r="W95">
            <v>44.957999999999998</v>
          </cell>
          <cell r="X95">
            <v>-4.4476916666666639</v>
          </cell>
          <cell r="Y95">
            <v>-29.332349999999998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11.695999999999998</v>
          </cell>
          <cell r="W97">
            <v>24.59</v>
          </cell>
          <cell r="X97">
            <v>-5.0599999999999996</v>
          </cell>
          <cell r="Y97">
            <v>-17.954000000000001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T98">
            <v>0</v>
          </cell>
          <cell r="U98">
            <v>7.5360000000000005</v>
          </cell>
          <cell r="V98">
            <v>12.021739999999998</v>
          </cell>
          <cell r="W98">
            <v>10.64</v>
          </cell>
          <cell r="X98">
            <v>-4.4857399999999972</v>
          </cell>
          <cell r="Y98">
            <v>-3.1040000000000001</v>
          </cell>
        </row>
        <row r="99">
          <cell r="C99">
            <v>0</v>
          </cell>
          <cell r="E99">
            <v>31.82965695689655</v>
          </cell>
          <cell r="F99">
            <v>31.82965695689655</v>
          </cell>
          <cell r="G99">
            <v>31.82965695689655</v>
          </cell>
          <cell r="H99">
            <v>31.82965695689655</v>
          </cell>
          <cell r="I99">
            <v>31.82965695689655</v>
          </cell>
          <cell r="J99">
            <v>31.82965695689655</v>
          </cell>
          <cell r="K99">
            <v>32.483311881896547</v>
          </cell>
          <cell r="L99">
            <v>32.483311881896547</v>
          </cell>
          <cell r="M99">
            <v>32.483311881896547</v>
          </cell>
          <cell r="N99">
            <v>32.483311881896547</v>
          </cell>
          <cell r="O99">
            <v>32.483311881896547</v>
          </cell>
          <cell r="P99">
            <v>32.483311881896547</v>
          </cell>
          <cell r="R99">
            <v>0</v>
          </cell>
          <cell r="S99">
            <v>0</v>
          </cell>
          <cell r="T99">
            <v>0</v>
          </cell>
          <cell r="U99">
            <v>385.87781303275864</v>
          </cell>
          <cell r="V99">
            <v>467.71003666666684</v>
          </cell>
          <cell r="W99">
            <v>659.72299999999996</v>
          </cell>
          <cell r="X99">
            <v>-81.8322236339082</v>
          </cell>
          <cell r="Y99">
            <v>-273.84518696724132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13.375180000000002</v>
          </cell>
          <cell r="W102">
            <v>15.44</v>
          </cell>
          <cell r="X102">
            <v>2.2248200000000011</v>
          </cell>
          <cell r="Y102">
            <v>0.16000000000000369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27.455693333333336</v>
          </cell>
          <cell r="W104">
            <v>29.145</v>
          </cell>
          <cell r="X104">
            <v>-3.4556933333333362</v>
          </cell>
          <cell r="Y104">
            <v>-5.1449999999999996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9.746789999999999</v>
          </cell>
          <cell r="W105">
            <v>11.818</v>
          </cell>
          <cell r="X105">
            <v>2.253210000000001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3.2664300000000011</v>
          </cell>
          <cell r="W106">
            <v>0</v>
          </cell>
          <cell r="X106">
            <v>2.7335699999999989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0.57099999999999995</v>
          </cell>
          <cell r="F108">
            <v>0.57099999999999995</v>
          </cell>
          <cell r="G108">
            <v>0.57099999999999995</v>
          </cell>
          <cell r="H108">
            <v>0.57099999999999995</v>
          </cell>
          <cell r="I108">
            <v>0.57099999999999995</v>
          </cell>
          <cell r="J108">
            <v>0.57099999999999995</v>
          </cell>
          <cell r="K108">
            <v>0.57099999999999995</v>
          </cell>
          <cell r="L108">
            <v>0.57099999999999995</v>
          </cell>
          <cell r="M108">
            <v>0.57099999999999995</v>
          </cell>
          <cell r="N108">
            <v>0.57099999999999995</v>
          </cell>
          <cell r="O108">
            <v>0.57099999999999995</v>
          </cell>
          <cell r="P108">
            <v>0.57099999999999995</v>
          </cell>
          <cell r="T108">
            <v>0</v>
          </cell>
          <cell r="U108">
            <v>6.8519999999999976</v>
          </cell>
          <cell r="V108">
            <v>8.6278332800000008</v>
          </cell>
          <cell r="W108">
            <v>18.860448000000002</v>
          </cell>
          <cell r="X108">
            <v>-1.7758332800000032</v>
          </cell>
          <cell r="Y108">
            <v>-12.008448000000005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7.7423999999999999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63.010720000000006</v>
          </cell>
          <cell r="V111">
            <v>96.328870000000009</v>
          </cell>
          <cell r="W111">
            <v>133.678</v>
          </cell>
          <cell r="X111">
            <v>-33.318150000000003</v>
          </cell>
          <cell r="Y111">
            <v>-70.667279999999991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53.842350000000003</v>
          </cell>
          <cell r="W112">
            <v>39.466000000000001</v>
          </cell>
          <cell r="X112">
            <v>-5.8423500000000033</v>
          </cell>
          <cell r="Y112">
            <v>8.5339999999999989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8.3141499999999979</v>
          </cell>
          <cell r="W113">
            <v>8.1039999999999992</v>
          </cell>
          <cell r="X113">
            <v>-1.1141499999999995</v>
          </cell>
          <cell r="Y113">
            <v>-0.9040000000000008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0.96699999999999919</v>
          </cell>
          <cell r="W114">
            <v>6.101</v>
          </cell>
          <cell r="X114">
            <v>1.4330000000000007</v>
          </cell>
          <cell r="Y114">
            <v>-3.7010000000000001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5.4541099999999982</v>
          </cell>
          <cell r="W115">
            <v>4.351</v>
          </cell>
          <cell r="X115">
            <v>-5.4541099999999982</v>
          </cell>
          <cell r="Y115">
            <v>-4.351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1.7220299999999997</v>
          </cell>
          <cell r="W117">
            <v>6.7359999999999998</v>
          </cell>
          <cell r="X117">
            <v>1.8779699999999995</v>
          </cell>
          <cell r="Y117">
            <v>-3.1360000000000006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0.4417265695689655</v>
          </cell>
          <cell r="F119">
            <v>0.4417265695689655</v>
          </cell>
          <cell r="G119">
            <v>0.4417265695689655</v>
          </cell>
          <cell r="H119">
            <v>0.4417265695689655</v>
          </cell>
          <cell r="I119">
            <v>0.4417265695689655</v>
          </cell>
          <cell r="J119">
            <v>0.4417265695689655</v>
          </cell>
          <cell r="K119">
            <v>0.44826311881896552</v>
          </cell>
          <cell r="L119">
            <v>0.44826311881896552</v>
          </cell>
          <cell r="M119">
            <v>0.44826311881896552</v>
          </cell>
          <cell r="N119">
            <v>0.44826311881896552</v>
          </cell>
          <cell r="O119">
            <v>0.44826311881896552</v>
          </cell>
          <cell r="P119">
            <v>0.44826311881896552</v>
          </cell>
          <cell r="T119">
            <v>0</v>
          </cell>
          <cell r="U119">
            <v>5.3399381303275852</v>
          </cell>
          <cell r="V119">
            <v>6.2772299999999994</v>
          </cell>
          <cell r="W119">
            <v>9.3019999999999996</v>
          </cell>
          <cell r="X119">
            <v>-0.93729186967241418</v>
          </cell>
          <cell r="Y119">
            <v>-3.9620618696724144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2.74</v>
          </cell>
          <cell r="W124">
            <v>7.0289999999999981</v>
          </cell>
          <cell r="X124">
            <v>0.86000000000000076</v>
          </cell>
          <cell r="Y124">
            <v>-3.4289999999999989</v>
          </cell>
        </row>
        <row r="125">
          <cell r="C125">
            <v>0</v>
          </cell>
          <cell r="E125">
            <v>17.224726569568965</v>
          </cell>
          <cell r="F125">
            <v>17.413206569568967</v>
          </cell>
          <cell r="G125">
            <v>17.255126569568965</v>
          </cell>
          <cell r="H125">
            <v>17.413206569568967</v>
          </cell>
          <cell r="I125">
            <v>20.255126569568969</v>
          </cell>
          <cell r="J125">
            <v>17.413206569568967</v>
          </cell>
          <cell r="K125">
            <v>17.419743118818968</v>
          </cell>
          <cell r="L125">
            <v>19.445503118818966</v>
          </cell>
          <cell r="M125">
            <v>17.419743118818968</v>
          </cell>
          <cell r="N125">
            <v>17.261663118818966</v>
          </cell>
          <cell r="O125">
            <v>17.419743118818968</v>
          </cell>
          <cell r="P125">
            <v>17.261663118818966</v>
          </cell>
          <cell r="R125">
            <v>0</v>
          </cell>
          <cell r="S125">
            <v>0</v>
          </cell>
          <cell r="T125">
            <v>0</v>
          </cell>
          <cell r="U125">
            <v>213.20265813032756</v>
          </cell>
          <cell r="V125">
            <v>253.71766661333336</v>
          </cell>
          <cell r="W125">
            <v>305.630448</v>
          </cell>
          <cell r="X125">
            <v>-40.515008483005801</v>
          </cell>
          <cell r="Y125">
            <v>-92.427789869672438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2" refreshError="1">
        <row r="11">
          <cell r="A11">
            <v>1</v>
          </cell>
          <cell r="B11" t="str">
            <v>Net Film Revenue</v>
          </cell>
          <cell r="E11">
            <v>291.27999999999997</v>
          </cell>
          <cell r="F11">
            <v>297.89999999999998</v>
          </cell>
          <cell r="G11">
            <v>397.2</v>
          </cell>
          <cell r="H11">
            <v>317.76</v>
          </cell>
          <cell r="I11">
            <v>344.24</v>
          </cell>
          <cell r="J11">
            <v>470.02</v>
          </cell>
          <cell r="K11">
            <v>317.76</v>
          </cell>
          <cell r="L11">
            <v>364.1</v>
          </cell>
          <cell r="M11">
            <v>430.3</v>
          </cell>
          <cell r="N11">
            <v>331</v>
          </cell>
          <cell r="O11">
            <v>436.92</v>
          </cell>
          <cell r="P11">
            <v>430.3</v>
          </cell>
          <cell r="Q11">
            <v>0</v>
          </cell>
          <cell r="T11">
            <v>0</v>
          </cell>
          <cell r="U11">
            <v>4428.78</v>
          </cell>
          <cell r="V11">
            <v>4165.1659399999999</v>
          </cell>
          <cell r="W11">
            <v>5826.2250000000004</v>
          </cell>
          <cell r="X11">
            <v>263.61405999999988</v>
          </cell>
          <cell r="Y11">
            <v>-1397.4449999999999</v>
          </cell>
        </row>
        <row r="12">
          <cell r="A12">
            <v>2</v>
          </cell>
          <cell r="B12" t="str">
            <v>Concession Sales</v>
          </cell>
          <cell r="E12">
            <v>47.08</v>
          </cell>
          <cell r="F12">
            <v>48.15</v>
          </cell>
          <cell r="G12">
            <v>64.2</v>
          </cell>
          <cell r="H12">
            <v>51.36</v>
          </cell>
          <cell r="I12">
            <v>55.64</v>
          </cell>
          <cell r="J12">
            <v>75.97</v>
          </cell>
          <cell r="K12">
            <v>51.36</v>
          </cell>
          <cell r="L12">
            <v>58.85</v>
          </cell>
          <cell r="M12">
            <v>69.55</v>
          </cell>
          <cell r="N12">
            <v>53.5</v>
          </cell>
          <cell r="O12">
            <v>70.62</v>
          </cell>
          <cell r="P12">
            <v>69.55</v>
          </cell>
          <cell r="T12">
            <v>0</v>
          </cell>
          <cell r="U12">
            <v>715.83</v>
          </cell>
          <cell r="V12">
            <v>655.6629999999999</v>
          </cell>
          <cell r="W12">
            <v>781</v>
          </cell>
          <cell r="X12">
            <v>60.16700000000003</v>
          </cell>
          <cell r="Y12">
            <v>-65.170000000000073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11</v>
          </cell>
          <cell r="F14">
            <v>11</v>
          </cell>
          <cell r="G14">
            <v>13</v>
          </cell>
          <cell r="H14">
            <v>11</v>
          </cell>
          <cell r="I14">
            <v>11</v>
          </cell>
          <cell r="J14">
            <v>14</v>
          </cell>
          <cell r="K14">
            <v>11</v>
          </cell>
          <cell r="L14">
            <v>13</v>
          </cell>
          <cell r="M14">
            <v>13</v>
          </cell>
          <cell r="N14">
            <v>11</v>
          </cell>
          <cell r="O14">
            <v>12</v>
          </cell>
          <cell r="P14">
            <v>13</v>
          </cell>
          <cell r="T14">
            <v>0</v>
          </cell>
          <cell r="U14">
            <v>144</v>
          </cell>
          <cell r="V14">
            <v>131.45067</v>
          </cell>
          <cell r="W14">
            <v>209.11</v>
          </cell>
          <cell r="X14">
            <v>12.549329999999998</v>
          </cell>
          <cell r="Y14">
            <v>-65.11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242.03953999999999</v>
          </cell>
          <cell r="W15">
            <v>135.60499999999999</v>
          </cell>
          <cell r="X15">
            <v>-8.0395399999999881</v>
          </cell>
          <cell r="Y15">
            <v>98.394999999999996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129.18393</v>
          </cell>
          <cell r="W16">
            <v>57.073</v>
          </cell>
          <cell r="X16">
            <v>-15.932430000000025</v>
          </cell>
          <cell r="Y16">
            <v>56.178499999999978</v>
          </cell>
        </row>
        <row r="17">
          <cell r="B17" t="str">
            <v>TOTAL REVENUE</v>
          </cell>
          <cell r="C17">
            <v>0</v>
          </cell>
          <cell r="E17">
            <v>378.29762500000004</v>
          </cell>
          <cell r="F17">
            <v>385.98762499999998</v>
          </cell>
          <cell r="G17">
            <v>503.337625</v>
          </cell>
          <cell r="H17">
            <v>409.05762500000003</v>
          </cell>
          <cell r="I17">
            <v>439.81762500000002</v>
          </cell>
          <cell r="J17">
            <v>588.92762500000003</v>
          </cell>
          <cell r="K17">
            <v>409.05762500000003</v>
          </cell>
          <cell r="L17">
            <v>464.88762500000007</v>
          </cell>
          <cell r="M17">
            <v>541.78762500000005</v>
          </cell>
          <cell r="N17">
            <v>424.43762500000003</v>
          </cell>
          <cell r="O17">
            <v>548.47762499999999</v>
          </cell>
          <cell r="P17">
            <v>541.78762500000005</v>
          </cell>
          <cell r="R17">
            <v>0</v>
          </cell>
          <cell r="S17">
            <v>0</v>
          </cell>
          <cell r="T17">
            <v>0</v>
          </cell>
          <cell r="U17">
            <v>5635.8615</v>
          </cell>
          <cell r="V17">
            <v>5323.5030799999995</v>
          </cell>
          <cell r="W17">
            <v>7009.0129999999999</v>
          </cell>
          <cell r="X17">
            <v>312.35842000000048</v>
          </cell>
          <cell r="Y17">
            <v>-1373.1514999999999</v>
          </cell>
        </row>
        <row r="19">
          <cell r="A19">
            <v>7</v>
          </cell>
          <cell r="B19" t="str">
            <v>Film Hire</v>
          </cell>
          <cell r="E19">
            <v>135.44520000000003</v>
          </cell>
          <cell r="F19">
            <v>138.52349999999998</v>
          </cell>
          <cell r="G19">
            <v>184.69800000000001</v>
          </cell>
          <cell r="H19">
            <v>147.75839999999999</v>
          </cell>
          <cell r="I19">
            <v>160.07160000000002</v>
          </cell>
          <cell r="J19">
            <v>218.55930000000001</v>
          </cell>
          <cell r="K19">
            <v>147.75839999999999</v>
          </cell>
          <cell r="L19">
            <v>169.30650000000003</v>
          </cell>
          <cell r="M19">
            <v>200.08950000000002</v>
          </cell>
          <cell r="N19">
            <v>153.91499999999999</v>
          </cell>
          <cell r="O19">
            <v>203.16780000000003</v>
          </cell>
          <cell r="P19">
            <v>200.08950000000002</v>
          </cell>
          <cell r="U19">
            <v>2059.3826999999997</v>
          </cell>
          <cell r="V19">
            <v>1947.7115999999999</v>
          </cell>
          <cell r="W19">
            <v>2722.3969999999999</v>
          </cell>
          <cell r="X19">
            <v>111.6710999999998</v>
          </cell>
          <cell r="Y19">
            <v>-663.01430000000028</v>
          </cell>
        </row>
        <row r="20">
          <cell r="A20">
            <v>8</v>
          </cell>
          <cell r="B20" t="str">
            <v>Concession Cost</v>
          </cell>
          <cell r="E20">
            <v>10.357600000000001</v>
          </cell>
          <cell r="F20">
            <v>10.593000000000002</v>
          </cell>
          <cell r="G20">
            <v>14.124000000000001</v>
          </cell>
          <cell r="H20">
            <v>11.299200000000001</v>
          </cell>
          <cell r="I20">
            <v>12.2408</v>
          </cell>
          <cell r="J20">
            <v>16.7134</v>
          </cell>
          <cell r="K20">
            <v>11.299200000000001</v>
          </cell>
          <cell r="L20">
            <v>12.947000000000001</v>
          </cell>
          <cell r="M20">
            <v>15.301</v>
          </cell>
          <cell r="N20">
            <v>11.77</v>
          </cell>
          <cell r="O20">
            <v>15.5364</v>
          </cell>
          <cell r="P20">
            <v>15.301</v>
          </cell>
          <cell r="T20">
            <v>0</v>
          </cell>
          <cell r="U20">
            <v>157.48259999999999</v>
          </cell>
          <cell r="V20">
            <v>138.25742000000002</v>
          </cell>
          <cell r="W20">
            <v>207.95099999999999</v>
          </cell>
          <cell r="X20">
            <v>19.225179999999966</v>
          </cell>
          <cell r="Y20">
            <v>-50.468400000000003</v>
          </cell>
        </row>
        <row r="21">
          <cell r="A21">
            <v>9</v>
          </cell>
          <cell r="B21" t="str">
            <v>Less Concession Rebates</v>
          </cell>
          <cell r="E21">
            <v>-1.1770000000000003</v>
          </cell>
          <cell r="F21">
            <v>-1.2037500000000001</v>
          </cell>
          <cell r="G21">
            <v>-1.605</v>
          </cell>
          <cell r="H21">
            <v>-1.284</v>
          </cell>
          <cell r="I21">
            <v>-1.391</v>
          </cell>
          <cell r="J21">
            <v>-1.8992500000000001</v>
          </cell>
          <cell r="K21">
            <v>-1.284</v>
          </cell>
          <cell r="L21">
            <v>-1.4712499999999999</v>
          </cell>
          <cell r="M21">
            <v>-1.73875</v>
          </cell>
          <cell r="N21">
            <v>-1.3374999999999999</v>
          </cell>
          <cell r="O21">
            <v>-1.7655000000000003</v>
          </cell>
          <cell r="P21">
            <v>-1.73875</v>
          </cell>
          <cell r="U21">
            <v>-17.89575</v>
          </cell>
          <cell r="V21">
            <v>-22.54</v>
          </cell>
          <cell r="W21">
            <v>-37.252000000000002</v>
          </cell>
          <cell r="X21">
            <v>4.6442499999999995</v>
          </cell>
          <cell r="Y21">
            <v>19.356249999999999</v>
          </cell>
        </row>
        <row r="22">
          <cell r="A22">
            <v>10</v>
          </cell>
          <cell r="B22" t="str">
            <v>Advertising Cost</v>
          </cell>
          <cell r="E22">
            <v>6.6994400000000009</v>
          </cell>
          <cell r="F22">
            <v>6.8516999999999992</v>
          </cell>
          <cell r="G22">
            <v>9.1356000000000002</v>
          </cell>
          <cell r="H22">
            <v>7.3084799999999994</v>
          </cell>
          <cell r="I22">
            <v>7.9175199999999997</v>
          </cell>
          <cell r="J22">
            <v>10.810459999999999</v>
          </cell>
          <cell r="K22">
            <v>7.3084799999999994</v>
          </cell>
          <cell r="L22">
            <v>8.3742999999999999</v>
          </cell>
          <cell r="M22">
            <v>9.8969000000000005</v>
          </cell>
          <cell r="N22">
            <v>7.6129999999999995</v>
          </cell>
          <cell r="O22">
            <v>10.049160000000001</v>
          </cell>
          <cell r="P22">
            <v>9.8969000000000005</v>
          </cell>
          <cell r="T22">
            <v>0</v>
          </cell>
          <cell r="U22">
            <v>101.86194</v>
          </cell>
          <cell r="V22">
            <v>105.82353999999998</v>
          </cell>
          <cell r="W22">
            <v>137.756</v>
          </cell>
          <cell r="X22">
            <v>-3.9615999999999758</v>
          </cell>
          <cell r="Y22">
            <v>-35.894059999999996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0.58256000000000008</v>
          </cell>
          <cell r="F23">
            <v>0.5958</v>
          </cell>
          <cell r="G23">
            <v>0.7944</v>
          </cell>
          <cell r="H23">
            <v>0.63551999999999997</v>
          </cell>
          <cell r="I23">
            <v>0.68847999999999998</v>
          </cell>
          <cell r="J23">
            <v>0.94003999999999999</v>
          </cell>
          <cell r="K23">
            <v>0.63551999999999997</v>
          </cell>
          <cell r="L23">
            <v>0.72820000000000007</v>
          </cell>
          <cell r="M23">
            <v>0.86060000000000003</v>
          </cell>
          <cell r="N23">
            <v>0.66200000000000003</v>
          </cell>
          <cell r="O23">
            <v>0.87384000000000006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8.8575599999999994</v>
          </cell>
          <cell r="V23">
            <v>8.3303318799999992</v>
          </cell>
          <cell r="W23">
            <v>11.652450000000002</v>
          </cell>
          <cell r="X23">
            <v>0.52722812000000019</v>
          </cell>
          <cell r="Y23">
            <v>-2.7948900000000023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28.146414076896551</v>
          </cell>
          <cell r="F24">
            <v>28.146414076896551</v>
          </cell>
          <cell r="G24">
            <v>29.246414076896553</v>
          </cell>
          <cell r="H24">
            <v>28.146414076896551</v>
          </cell>
          <cell r="I24">
            <v>28.146414076896551</v>
          </cell>
          <cell r="J24">
            <v>29.246414076896553</v>
          </cell>
          <cell r="K24">
            <v>28.681991757996553</v>
          </cell>
          <cell r="L24">
            <v>28.681991757996553</v>
          </cell>
          <cell r="M24">
            <v>29.781991757996554</v>
          </cell>
          <cell r="N24">
            <v>28.681991757996553</v>
          </cell>
          <cell r="O24">
            <v>29.781991757996554</v>
          </cell>
          <cell r="P24">
            <v>29.781991757996554</v>
          </cell>
          <cell r="R24">
            <v>0</v>
          </cell>
          <cell r="S24">
            <v>0</v>
          </cell>
          <cell r="T24">
            <v>0</v>
          </cell>
          <cell r="U24">
            <v>346.4704350093586</v>
          </cell>
          <cell r="V24">
            <v>437.46495666666669</v>
          </cell>
          <cell r="W24">
            <v>559.02800000000002</v>
          </cell>
          <cell r="X24">
            <v>-90.994521657308098</v>
          </cell>
          <cell r="Y24">
            <v>-212.55756499064142</v>
          </cell>
        </row>
        <row r="25">
          <cell r="B25" t="str">
            <v>TOTAL COST</v>
          </cell>
          <cell r="C25">
            <v>0</v>
          </cell>
          <cell r="E25">
            <v>180.05421407689659</v>
          </cell>
          <cell r="F25">
            <v>183.5066640768965</v>
          </cell>
          <cell r="G25">
            <v>236.39341407689656</v>
          </cell>
          <cell r="H25">
            <v>193.86401407689658</v>
          </cell>
          <cell r="I25">
            <v>207.67381407689658</v>
          </cell>
          <cell r="J25">
            <v>274.37036407689658</v>
          </cell>
          <cell r="K25">
            <v>194.39959175799657</v>
          </cell>
          <cell r="L25">
            <v>218.56674175799657</v>
          </cell>
          <cell r="M25">
            <v>254.19124175799655</v>
          </cell>
          <cell r="N25">
            <v>201.30449175799657</v>
          </cell>
          <cell r="O25">
            <v>257.64369175799658</v>
          </cell>
          <cell r="P25">
            <v>254.19124175799655</v>
          </cell>
          <cell r="R25">
            <v>0</v>
          </cell>
          <cell r="S25">
            <v>0</v>
          </cell>
          <cell r="T25">
            <v>0</v>
          </cell>
          <cell r="U25">
            <v>2656.1594850093588</v>
          </cell>
          <cell r="V25">
            <v>2615.0478485466665</v>
          </cell>
          <cell r="W25">
            <v>3601.5324499999997</v>
          </cell>
          <cell r="X25">
            <v>41.111636462692331</v>
          </cell>
          <cell r="Y25">
            <v>-945.37296499064087</v>
          </cell>
        </row>
        <row r="27">
          <cell r="B27" t="str">
            <v>GROSS MARGIN</v>
          </cell>
          <cell r="C27">
            <v>0</v>
          </cell>
          <cell r="E27">
            <v>198.24341092310345</v>
          </cell>
          <cell r="F27">
            <v>202.48096092310348</v>
          </cell>
          <cell r="G27">
            <v>266.94421092310347</v>
          </cell>
          <cell r="H27">
            <v>215.19361092310345</v>
          </cell>
          <cell r="I27">
            <v>232.14381092310344</v>
          </cell>
          <cell r="J27">
            <v>314.55726092310346</v>
          </cell>
          <cell r="K27">
            <v>214.65803324200346</v>
          </cell>
          <cell r="L27">
            <v>246.3208832420035</v>
          </cell>
          <cell r="M27">
            <v>287.59638324200353</v>
          </cell>
          <cell r="N27">
            <v>223.13313324200345</v>
          </cell>
          <cell r="O27">
            <v>290.83393324200341</v>
          </cell>
          <cell r="P27">
            <v>287.59638324200353</v>
          </cell>
          <cell r="R27">
            <v>0</v>
          </cell>
          <cell r="S27">
            <v>0</v>
          </cell>
          <cell r="T27">
            <v>0</v>
          </cell>
          <cell r="U27">
            <v>2979.7020149906416</v>
          </cell>
          <cell r="V27">
            <v>2708.455231453333</v>
          </cell>
          <cell r="W27">
            <v>3407.4805500000002</v>
          </cell>
          <cell r="X27">
            <v>271.2467835373086</v>
          </cell>
          <cell r="Y27">
            <v>-427.77853500935862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0.15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0.15</v>
          </cell>
          <cell r="V29">
            <v>0.15</v>
          </cell>
          <cell r="W29">
            <v>1.8</v>
          </cell>
          <cell r="X29">
            <v>0</v>
          </cell>
          <cell r="Y29">
            <v>-1.65</v>
          </cell>
        </row>
        <row r="30">
          <cell r="A30">
            <v>14</v>
          </cell>
          <cell r="B30" t="str">
            <v>Light, Heat and Power</v>
          </cell>
          <cell r="E30">
            <v>15.3</v>
          </cell>
          <cell r="F30">
            <v>15.3</v>
          </cell>
          <cell r="G30">
            <v>15.3</v>
          </cell>
          <cell r="H30">
            <v>15.3</v>
          </cell>
          <cell r="I30">
            <v>15.3</v>
          </cell>
          <cell r="J30">
            <v>15.3</v>
          </cell>
          <cell r="K30">
            <v>15.3</v>
          </cell>
          <cell r="L30">
            <v>15.3</v>
          </cell>
          <cell r="M30">
            <v>15.3</v>
          </cell>
          <cell r="N30">
            <v>15.3</v>
          </cell>
          <cell r="O30">
            <v>15.3</v>
          </cell>
          <cell r="P30">
            <v>15.3</v>
          </cell>
          <cell r="Q30" t="str">
            <v/>
          </cell>
          <cell r="R30">
            <v>19</v>
          </cell>
          <cell r="S30">
            <v>19</v>
          </cell>
          <cell r="T30">
            <v>0</v>
          </cell>
          <cell r="U30">
            <v>183.6</v>
          </cell>
          <cell r="V30">
            <v>195.09496000000001</v>
          </cell>
          <cell r="W30">
            <v>238.048</v>
          </cell>
          <cell r="X30">
            <v>-11.494959999999992</v>
          </cell>
          <cell r="Y30">
            <v>-54.447999999999979</v>
          </cell>
        </row>
        <row r="31">
          <cell r="A31">
            <v>15</v>
          </cell>
          <cell r="B31" t="str">
            <v>Repair &amp; Maintenance</v>
          </cell>
          <cell r="E31">
            <v>13.007</v>
          </cell>
          <cell r="F31">
            <v>13.007</v>
          </cell>
          <cell r="G31">
            <v>13.007</v>
          </cell>
          <cell r="H31">
            <v>18.006999999999998</v>
          </cell>
          <cell r="I31">
            <v>13.007</v>
          </cell>
          <cell r="J31">
            <v>13.007</v>
          </cell>
          <cell r="K31">
            <v>13.007</v>
          </cell>
          <cell r="L31">
            <v>13.007</v>
          </cell>
          <cell r="M31">
            <v>13.007</v>
          </cell>
          <cell r="N31">
            <v>13.007</v>
          </cell>
          <cell r="O31">
            <v>13.007</v>
          </cell>
          <cell r="P31">
            <v>13.007</v>
          </cell>
          <cell r="Q31" t="str">
            <v/>
          </cell>
          <cell r="R31">
            <v>10.95</v>
          </cell>
          <cell r="S31">
            <v>10.95</v>
          </cell>
          <cell r="T31">
            <v>0</v>
          </cell>
          <cell r="U31">
            <v>161.08400000000003</v>
          </cell>
          <cell r="V31">
            <v>167.58857666666665</v>
          </cell>
          <cell r="W31">
            <v>234.62100000000001</v>
          </cell>
          <cell r="X31">
            <v>-6.5045766666666225</v>
          </cell>
          <cell r="Y31">
            <v>-73.536999999999978</v>
          </cell>
        </row>
        <row r="32">
          <cell r="A32">
            <v>16</v>
          </cell>
          <cell r="B32" t="str">
            <v>Common Area Maintenance</v>
          </cell>
          <cell r="E32">
            <v>18.853999999999999</v>
          </cell>
          <cell r="F32">
            <v>18.853999999999999</v>
          </cell>
          <cell r="G32">
            <v>18.853999999999999</v>
          </cell>
          <cell r="H32">
            <v>18.853999999999999</v>
          </cell>
          <cell r="I32">
            <v>18.853999999999999</v>
          </cell>
          <cell r="J32">
            <v>18.853999999999999</v>
          </cell>
          <cell r="K32">
            <v>18.853999999999999</v>
          </cell>
          <cell r="L32">
            <v>18.853999999999999</v>
          </cell>
          <cell r="M32">
            <v>18.853999999999999</v>
          </cell>
          <cell r="N32">
            <v>18.853999999999999</v>
          </cell>
          <cell r="O32">
            <v>18.853999999999999</v>
          </cell>
          <cell r="P32">
            <v>18.853999999999999</v>
          </cell>
          <cell r="T32">
            <v>0</v>
          </cell>
          <cell r="U32">
            <v>226.24799999999993</v>
          </cell>
          <cell r="V32">
            <v>228.36</v>
          </cell>
          <cell r="W32">
            <v>226.24799999999999</v>
          </cell>
          <cell r="X32">
            <v>-2.11200000000008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21.498704140768968</v>
          </cell>
          <cell r="F33">
            <v>21.687184140768967</v>
          </cell>
          <cell r="G33">
            <v>21.540104140768971</v>
          </cell>
          <cell r="H33">
            <v>21.687184140768967</v>
          </cell>
          <cell r="I33">
            <v>21.529104140768968</v>
          </cell>
          <cell r="J33">
            <v>21.698184140768969</v>
          </cell>
          <cell r="K33">
            <v>21.692539917579968</v>
          </cell>
          <cell r="L33">
            <v>44.319299917579961</v>
          </cell>
          <cell r="M33">
            <v>23.203539917579967</v>
          </cell>
          <cell r="N33">
            <v>21.534459917579969</v>
          </cell>
          <cell r="O33">
            <v>21.703539917579967</v>
          </cell>
          <cell r="P33">
            <v>21.545459917579969</v>
          </cell>
          <cell r="R33">
            <v>0</v>
          </cell>
          <cell r="S33">
            <v>0</v>
          </cell>
          <cell r="T33">
            <v>0</v>
          </cell>
          <cell r="U33">
            <v>283.63930435009365</v>
          </cell>
          <cell r="V33">
            <v>303.58615905333329</v>
          </cell>
          <cell r="W33">
            <v>397.10354999999998</v>
          </cell>
          <cell r="X33">
            <v>-19.946854703239637</v>
          </cell>
          <cell r="Y33">
            <v>-113.46424564990633</v>
          </cell>
        </row>
        <row r="35">
          <cell r="B35" t="str">
            <v>Total Overhead Expenses</v>
          </cell>
          <cell r="C35">
            <v>0</v>
          </cell>
          <cell r="E35">
            <v>68.809704140768972</v>
          </cell>
          <cell r="F35">
            <v>68.848184140768964</v>
          </cell>
          <cell r="G35">
            <v>68.701104140768976</v>
          </cell>
          <cell r="H35">
            <v>73.848184140768964</v>
          </cell>
          <cell r="I35">
            <v>68.690104140768966</v>
          </cell>
          <cell r="J35">
            <v>68.859184140768974</v>
          </cell>
          <cell r="K35">
            <v>68.853539917579965</v>
          </cell>
          <cell r="L35">
            <v>91.48029991757997</v>
          </cell>
          <cell r="M35">
            <v>70.364539917579975</v>
          </cell>
          <cell r="N35">
            <v>68.695459917579967</v>
          </cell>
          <cell r="O35">
            <v>68.864539917579975</v>
          </cell>
          <cell r="P35">
            <v>68.706459917579963</v>
          </cell>
          <cell r="R35">
            <v>0</v>
          </cell>
          <cell r="S35">
            <v>0</v>
          </cell>
          <cell r="T35">
            <v>0</v>
          </cell>
          <cell r="U35">
            <v>854.72130435009365</v>
          </cell>
          <cell r="V35">
            <v>894.77969571999995</v>
          </cell>
          <cell r="W35">
            <v>1097.8205500000001</v>
          </cell>
          <cell r="X35">
            <v>-40.058391369906303</v>
          </cell>
          <cell r="Y35">
            <v>-243.09924564990649</v>
          </cell>
        </row>
        <row r="37">
          <cell r="B37" t="str">
            <v>E.B.I.T.D.</v>
          </cell>
          <cell r="C37">
            <v>0</v>
          </cell>
          <cell r="E37">
            <v>129.43370678233447</v>
          </cell>
          <cell r="F37">
            <v>133.63277678233453</v>
          </cell>
          <cell r="G37">
            <v>198.24310678233451</v>
          </cell>
          <cell r="H37">
            <v>141.34542678233447</v>
          </cell>
          <cell r="I37">
            <v>163.45370678233448</v>
          </cell>
          <cell r="J37">
            <v>245.69807678233448</v>
          </cell>
          <cell r="K37">
            <v>145.8044933244235</v>
          </cell>
          <cell r="L37">
            <v>154.84058332442353</v>
          </cell>
          <cell r="M37">
            <v>217.23184332442355</v>
          </cell>
          <cell r="N37">
            <v>154.43767332442349</v>
          </cell>
          <cell r="O37">
            <v>221.96939332442344</v>
          </cell>
          <cell r="P37">
            <v>218.88992332442356</v>
          </cell>
          <cell r="R37">
            <v>0</v>
          </cell>
          <cell r="S37">
            <v>0</v>
          </cell>
          <cell r="T37">
            <v>0</v>
          </cell>
          <cell r="U37">
            <v>2124.9807106405478</v>
          </cell>
          <cell r="V37">
            <v>1813.6755357333332</v>
          </cell>
          <cell r="W37">
            <v>2309.66</v>
          </cell>
          <cell r="X37">
            <v>311.30517490721491</v>
          </cell>
          <cell r="Y37">
            <v>-184.67928935945213</v>
          </cell>
        </row>
        <row r="39">
          <cell r="A39">
            <v>18</v>
          </cell>
          <cell r="B39" t="str">
            <v>Depreciation</v>
          </cell>
          <cell r="E39">
            <v>28.535173611111112</v>
          </cell>
          <cell r="F39">
            <v>28.535173611111112</v>
          </cell>
          <cell r="G39">
            <v>28.535173611111112</v>
          </cell>
          <cell r="H39">
            <v>32.851840277777775</v>
          </cell>
          <cell r="I39">
            <v>32.851840277777775</v>
          </cell>
          <cell r="J39">
            <v>32.851840277777775</v>
          </cell>
          <cell r="K39">
            <v>32.851840277777775</v>
          </cell>
          <cell r="L39">
            <v>32.851840277777775</v>
          </cell>
          <cell r="M39">
            <v>32.851840277777775</v>
          </cell>
          <cell r="N39">
            <v>32.851840277777775</v>
          </cell>
          <cell r="O39">
            <v>32.851840277777775</v>
          </cell>
          <cell r="P39">
            <v>32.851840277777775</v>
          </cell>
          <cell r="Q39" t="str">
            <v/>
          </cell>
          <cell r="R39" t="e">
            <v>#REF!</v>
          </cell>
          <cell r="S39" t="e">
            <v>#REF!</v>
          </cell>
          <cell r="T39">
            <v>0</v>
          </cell>
          <cell r="U39">
            <v>381.27208333333334</v>
          </cell>
          <cell r="V39">
            <v>336.86984990740746</v>
          </cell>
          <cell r="W39">
            <v>304.35500000000002</v>
          </cell>
          <cell r="X39">
            <v>44.402233425925886</v>
          </cell>
          <cell r="Y39">
            <v>76.917083333333323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25.629000000000001</v>
          </cell>
          <cell r="X40">
            <v>-2.63</v>
          </cell>
          <cell r="Y40">
            <v>-25.629000000000001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691.80187095890415</v>
          </cell>
          <cell r="W41">
            <v>828.08799999999997</v>
          </cell>
          <cell r="X41">
            <v>-691.80187095890415</v>
          </cell>
          <cell r="Y41">
            <v>-828.08799999999997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10.766209999999997</v>
          </cell>
          <cell r="W43">
            <v>19.210999999999999</v>
          </cell>
          <cell r="X43">
            <v>-10.766209999999997</v>
          </cell>
          <cell r="Y43">
            <v>-19.210999999999999</v>
          </cell>
        </row>
        <row r="44">
          <cell r="B44" t="str">
            <v>E.B.T.</v>
          </cell>
          <cell r="C44">
            <v>0</v>
          </cell>
          <cell r="E44">
            <v>100.89853317122336</v>
          </cell>
          <cell r="F44">
            <v>105.09760317122343</v>
          </cell>
          <cell r="G44">
            <v>169.7079331712234</v>
          </cell>
          <cell r="H44">
            <v>108.4935865045567</v>
          </cell>
          <cell r="I44">
            <v>130.60186650455671</v>
          </cell>
          <cell r="J44">
            <v>212.84623650455671</v>
          </cell>
          <cell r="K44">
            <v>112.95265304664574</v>
          </cell>
          <cell r="L44">
            <v>121.98874304664577</v>
          </cell>
          <cell r="M44">
            <v>184.38000304664578</v>
          </cell>
          <cell r="N44">
            <v>121.58583304664572</v>
          </cell>
          <cell r="O44">
            <v>189.11755304664567</v>
          </cell>
          <cell r="P44">
            <v>186.0380830466458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1743.7086273072146</v>
          </cell>
          <cell r="V44">
            <v>793.14002486702134</v>
          </cell>
          <cell r="W44">
            <v>1170.799</v>
          </cell>
          <cell r="X44">
            <v>950.56860244019322</v>
          </cell>
          <cell r="Y44">
            <v>572.90962730721458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100.89853317122336</v>
          </cell>
          <cell r="F50">
            <v>105.09760317122343</v>
          </cell>
          <cell r="G50">
            <v>169.7079331712234</v>
          </cell>
          <cell r="H50">
            <v>108.4935865045567</v>
          </cell>
          <cell r="I50">
            <v>130.60186650455671</v>
          </cell>
          <cell r="J50">
            <v>212.84623650455671</v>
          </cell>
          <cell r="K50">
            <v>112.95265304664574</v>
          </cell>
          <cell r="L50">
            <v>121.98874304664577</v>
          </cell>
          <cell r="M50">
            <v>184.38000304664578</v>
          </cell>
          <cell r="N50">
            <v>121.58583304664572</v>
          </cell>
          <cell r="O50">
            <v>189.11755304664567</v>
          </cell>
          <cell r="P50">
            <v>186.0380830466458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1743.7086273072146</v>
          </cell>
          <cell r="V50">
            <v>793.14002486702134</v>
          </cell>
          <cell r="W50">
            <v>1170.799</v>
          </cell>
          <cell r="X50">
            <v>950.56860244019322</v>
          </cell>
          <cell r="Y50">
            <v>572.90962730721458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43.12</v>
          </cell>
          <cell r="F54">
            <v>44.1</v>
          </cell>
          <cell r="G54">
            <v>58.8</v>
          </cell>
          <cell r="H54">
            <v>47.04</v>
          </cell>
          <cell r="I54">
            <v>50.96</v>
          </cell>
          <cell r="J54">
            <v>69.58</v>
          </cell>
          <cell r="K54">
            <v>47.04</v>
          </cell>
          <cell r="L54">
            <v>53.9</v>
          </cell>
          <cell r="M54">
            <v>63.7</v>
          </cell>
          <cell r="N54">
            <v>49</v>
          </cell>
          <cell r="O54">
            <v>64.680000000000007</v>
          </cell>
          <cell r="P54">
            <v>63.7</v>
          </cell>
          <cell r="T54">
            <v>0</v>
          </cell>
          <cell r="U54">
            <v>655.62</v>
          </cell>
          <cell r="V54">
            <v>627.029</v>
          </cell>
          <cell r="W54">
            <v>859.61300000000006</v>
          </cell>
          <cell r="X54">
            <v>28.591000000000008</v>
          </cell>
          <cell r="Y54">
            <v>-203.99300000000005</v>
          </cell>
        </row>
        <row r="55">
          <cell r="A55">
            <v>28</v>
          </cell>
          <cell r="B55" t="str">
            <v>Admissions</v>
          </cell>
          <cell r="E55">
            <v>44</v>
          </cell>
          <cell r="F55">
            <v>45</v>
          </cell>
          <cell r="G55">
            <v>60</v>
          </cell>
          <cell r="H55">
            <v>48</v>
          </cell>
          <cell r="I55">
            <v>52</v>
          </cell>
          <cell r="J55">
            <v>71</v>
          </cell>
          <cell r="K55">
            <v>48</v>
          </cell>
          <cell r="L55">
            <v>55</v>
          </cell>
          <cell r="M55">
            <v>65</v>
          </cell>
          <cell r="N55">
            <v>50</v>
          </cell>
          <cell r="O55">
            <v>66</v>
          </cell>
          <cell r="P55">
            <v>65</v>
          </cell>
          <cell r="T55">
            <v>0</v>
          </cell>
          <cell r="U55">
            <v>669</v>
          </cell>
          <cell r="V55">
            <v>627.029</v>
          </cell>
          <cell r="W55">
            <v>859.61300000000006</v>
          </cell>
          <cell r="X55">
            <v>41.971000000000004</v>
          </cell>
          <cell r="Y55">
            <v>-190.61300000000006</v>
          </cell>
        </row>
        <row r="56">
          <cell r="B56" t="str">
            <v>Utilisation Rate</v>
          </cell>
          <cell r="E56">
            <v>0.20299697349966783</v>
          </cell>
          <cell r="F56">
            <v>0.20761054107920573</v>
          </cell>
          <cell r="G56">
            <v>0.22145124381781944</v>
          </cell>
          <cell r="H56">
            <v>0.22145124381781944</v>
          </cell>
          <cell r="I56">
            <v>0.23990551413597105</v>
          </cell>
          <cell r="J56">
            <v>0.26205063851775301</v>
          </cell>
          <cell r="K56">
            <v>0.22145124381781944</v>
          </cell>
          <cell r="L56">
            <v>0.25374621687458476</v>
          </cell>
          <cell r="M56">
            <v>0.23990551413597105</v>
          </cell>
          <cell r="N56">
            <v>0.23067837897689525</v>
          </cell>
          <cell r="O56">
            <v>0.2435963681996014</v>
          </cell>
          <cell r="P56">
            <v>0.29988189266996385</v>
          </cell>
          <cell r="Q56" t="str">
            <v/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0.2374212854392968</v>
          </cell>
          <cell r="V56">
            <v>0.22252620506385176</v>
          </cell>
          <cell r="W56">
            <v>0.28884243675030963</v>
          </cell>
          <cell r="X56">
            <v>1.4895080375445041E-2</v>
          </cell>
          <cell r="Y56">
            <v>-5.1421151311012825E-2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6.6427006406402258</v>
          </cell>
          <cell r="W57">
            <v>6.7777302111531581</v>
          </cell>
          <cell r="X57">
            <v>-2.2700640640226588E-2</v>
          </cell>
          <cell r="Y57">
            <v>-0.15773021115315888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2.5406800479118481E-2</v>
          </cell>
          <cell r="W58">
            <v>2.3644126342528823E-2</v>
          </cell>
          <cell r="X58">
            <v>-2.4068004791184781E-3</v>
          </cell>
          <cell r="Y58">
            <v>-6.4412634252881962E-4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Q59" t="str">
            <v/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0.17648917202892347</v>
          </cell>
          <cell r="W59">
            <v>0.21856466069142125</v>
          </cell>
          <cell r="X59">
            <v>1.8510827971076532E-2</v>
          </cell>
          <cell r="Y59">
            <v>-2.3564660691421241E-2</v>
          </cell>
        </row>
        <row r="60">
          <cell r="B60" t="str">
            <v>Concess. Rev per Patron (S$)</v>
          </cell>
          <cell r="C60" t="str">
            <v>N.A.</v>
          </cell>
          <cell r="E60">
            <v>1.07</v>
          </cell>
          <cell r="F60">
            <v>1.07</v>
          </cell>
          <cell r="G60">
            <v>1.07</v>
          </cell>
          <cell r="H60">
            <v>1.07</v>
          </cell>
          <cell r="I60">
            <v>1.07</v>
          </cell>
          <cell r="J60">
            <v>1.07</v>
          </cell>
          <cell r="K60">
            <v>1.07</v>
          </cell>
          <cell r="L60">
            <v>1.07</v>
          </cell>
          <cell r="M60">
            <v>1.07</v>
          </cell>
          <cell r="N60">
            <v>1.07</v>
          </cell>
          <cell r="O60">
            <v>1.07</v>
          </cell>
          <cell r="P60">
            <v>1.07</v>
          </cell>
          <cell r="R60" t="str">
            <v>N.A.</v>
          </cell>
          <cell r="S60" t="str">
            <v>N.A.</v>
          </cell>
          <cell r="U60">
            <v>1.07</v>
          </cell>
          <cell r="V60">
            <v>1.045666149412547</v>
          </cell>
          <cell r="W60">
            <v>0.90854838165546581</v>
          </cell>
          <cell r="X60">
            <v>2.4333850587452854E-2</v>
          </cell>
          <cell r="Y60">
            <v>0.16145161834453403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0.46761920846783839</v>
          </cell>
          <cell r="W61">
            <v>0.46726602559976654</v>
          </cell>
          <cell r="X61">
            <v>-2.6192084678384187E-3</v>
          </cell>
          <cell r="Y61">
            <v>-2.2660255997665746E-3</v>
          </cell>
        </row>
        <row r="62">
          <cell r="B62" t="str">
            <v>Direct Payroll : Net Box</v>
          </cell>
          <cell r="C62" t="str">
            <v>N.A.</v>
          </cell>
          <cell r="E62">
            <v>9.6630095018183704E-2</v>
          </cell>
          <cell r="F62">
            <v>9.4482759573335198E-2</v>
          </cell>
          <cell r="G62">
            <v>7.3631455379900693E-2</v>
          </cell>
          <cell r="H62">
            <v>8.8577587100001742E-2</v>
          </cell>
          <cell r="I62">
            <v>8.176392655384776E-2</v>
          </cell>
          <cell r="J62">
            <v>6.2223765109775231E-2</v>
          </cell>
          <cell r="K62">
            <v>9.026306570366488E-2</v>
          </cell>
          <cell r="L62">
            <v>7.8775039159562077E-2</v>
          </cell>
          <cell r="M62">
            <v>6.9212158396459569E-2</v>
          </cell>
          <cell r="N62">
            <v>8.6652543075518285E-2</v>
          </cell>
          <cell r="O62">
            <v>6.8163489329846547E-2</v>
          </cell>
          <cell r="P62">
            <v>6.9212158396459569E-2</v>
          </cell>
          <cell r="Q62" t="str">
            <v/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7.82315750634167E-2</v>
          </cell>
          <cell r="V62">
            <v>0.1050294185077934</v>
          </cell>
          <cell r="W62">
            <v>9.5950293715055632E-2</v>
          </cell>
          <cell r="X62">
            <v>-2.6797843444376704E-2</v>
          </cell>
          <cell r="Y62">
            <v>-1.7718718651638932E-2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8.3184815217214061E-2</v>
          </cell>
          <cell r="F63">
            <v>8.133626376794266E-2</v>
          </cell>
          <cell r="G63">
            <v>6.3386246373854691E-2</v>
          </cell>
          <cell r="H63">
            <v>7.6252747282446229E-2</v>
          </cell>
          <cell r="I63">
            <v>7.0387151337642673E-2</v>
          </cell>
          <cell r="J63">
            <v>5.356584200607438E-2</v>
          </cell>
          <cell r="K63">
            <v>7.7703705456210859E-2</v>
          </cell>
          <cell r="L63">
            <v>6.7814142943602204E-2</v>
          </cell>
          <cell r="M63">
            <v>5.958185807341513E-2</v>
          </cell>
          <cell r="N63">
            <v>7.459555723796242E-2</v>
          </cell>
          <cell r="O63">
            <v>5.8679102648060352E-2</v>
          </cell>
          <cell r="P63">
            <v>5.958185807341513E-2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6.7346297388793053E-2</v>
          </cell>
          <cell r="V63">
            <v>9.0744758237919707E-2</v>
          </cell>
          <cell r="W63">
            <v>8.4608591352648047E-2</v>
          </cell>
          <cell r="X63">
            <v>-2.3398460849126654E-2</v>
          </cell>
          <cell r="Y63">
            <v>-1.7262293963854994E-2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0.63969122902037612</v>
          </cell>
          <cell r="F64">
            <v>0.62547586837547897</v>
          </cell>
          <cell r="G64">
            <v>0.48744023461494257</v>
          </cell>
          <cell r="H64">
            <v>0.58638362660201149</v>
          </cell>
          <cell r="I64">
            <v>0.5412771937864721</v>
          </cell>
          <cell r="J64">
            <v>0.41192132502671203</v>
          </cell>
          <cell r="K64">
            <v>0.59754149495826148</v>
          </cell>
          <cell r="L64">
            <v>0.52149075923630095</v>
          </cell>
          <cell r="M64">
            <v>0.45818448858456234</v>
          </cell>
          <cell r="N64">
            <v>0.573639835159931</v>
          </cell>
          <cell r="O64">
            <v>0.45124229936358418</v>
          </cell>
          <cell r="P64">
            <v>0.45818448858456234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0.51789302691981853</v>
          </cell>
          <cell r="V64">
            <v>0.69767898560778963</v>
          </cell>
          <cell r="W64">
            <v>0.65032520448155151</v>
          </cell>
          <cell r="X64">
            <v>-0.17978595868797109</v>
          </cell>
          <cell r="Y64">
            <v>-0.13243217756173298</v>
          </cell>
        </row>
        <row r="65">
          <cell r="B65" t="str">
            <v>Gross Margin :Total Rev</v>
          </cell>
          <cell r="C65" t="str">
            <v>N.A.</v>
          </cell>
          <cell r="E65">
            <v>0.52404085519464583</v>
          </cell>
          <cell r="F65">
            <v>0.52457889271217828</v>
          </cell>
          <cell r="G65">
            <v>0.53034821492453199</v>
          </cell>
          <cell r="H65">
            <v>0.52607162847313615</v>
          </cell>
          <cell r="I65">
            <v>0.52781834498584146</v>
          </cell>
          <cell r="J65">
            <v>0.53411870588190435</v>
          </cell>
          <cell r="K65">
            <v>0.52476233206019185</v>
          </cell>
          <cell r="L65">
            <v>0.52985037672707136</v>
          </cell>
          <cell r="M65">
            <v>0.53082863094557298</v>
          </cell>
          <cell r="N65">
            <v>0.52571478139338712</v>
          </cell>
          <cell r="O65">
            <v>0.53025669596276315</v>
          </cell>
          <cell r="P65">
            <v>0.53082863094557298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0.52870391066044498</v>
          </cell>
          <cell r="V65">
            <v>0.50877311250721269</v>
          </cell>
          <cell r="W65">
            <v>0.4861569738849108</v>
          </cell>
          <cell r="X65">
            <v>1.9930798153232288E-2</v>
          </cell>
          <cell r="Y65">
            <v>4.2546936775534172E-2</v>
          </cell>
        </row>
        <row r="66">
          <cell r="B66" t="str">
            <v>G&amp;A % of total revenue</v>
          </cell>
          <cell r="C66" t="str">
            <v>N.A.</v>
          </cell>
          <cell r="E66">
            <v>5.6830132467178364E-2</v>
          </cell>
          <cell r="F66">
            <v>5.6186216179259549E-2</v>
          </cell>
          <cell r="G66">
            <v>4.2794544001690658E-2</v>
          </cell>
          <cell r="H66">
            <v>5.3017430345587528E-2</v>
          </cell>
          <cell r="I66">
            <v>4.8950071386450161E-2</v>
          </cell>
          <cell r="J66">
            <v>3.684354956310458E-2</v>
          </cell>
          <cell r="K66">
            <v>5.3030523309716977E-2</v>
          </cell>
          <cell r="L66">
            <v>9.5333361299045016E-2</v>
          </cell>
          <cell r="M66">
            <v>4.2827740699282239E-2</v>
          </cell>
          <cell r="N66">
            <v>5.0736453719389202E-2</v>
          </cell>
          <cell r="O66">
            <v>3.9570511044238074E-2</v>
          </cell>
          <cell r="P66">
            <v>3.9767353338090672E-2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5.0327586004392348E-2</v>
          </cell>
          <cell r="V66">
            <v>5.7027516372420942E-2</v>
          </cell>
          <cell r="W66">
            <v>5.6656129757499375E-2</v>
          </cell>
          <cell r="X66">
            <v>-6.6999303680285935E-3</v>
          </cell>
          <cell r="Y66">
            <v>-6.3285437531070271E-3</v>
          </cell>
        </row>
        <row r="67">
          <cell r="B67" t="str">
            <v>E.B.I.T.D. : Total Rev</v>
          </cell>
          <cell r="C67" t="str">
            <v>N.A.</v>
          </cell>
          <cell r="E67">
            <v>0.34214781756119789</v>
          </cell>
          <cell r="F67">
            <v>0.34621000293036475</v>
          </cell>
          <cell r="G67">
            <v>0.39385711883218449</v>
          </cell>
          <cell r="H67">
            <v>0.34553915669542762</v>
          </cell>
          <cell r="I67">
            <v>0.37163973768066816</v>
          </cell>
          <cell r="J67">
            <v>0.41719570682787122</v>
          </cell>
          <cell r="K67">
            <v>0.3564399840350696</v>
          </cell>
          <cell r="L67">
            <v>0.33307099392982015</v>
          </cell>
          <cell r="M67">
            <v>0.40095386697771757</v>
          </cell>
          <cell r="N67">
            <v>0.36386423876635227</v>
          </cell>
          <cell r="O67">
            <v>0.40470090885553162</v>
          </cell>
          <cell r="P67">
            <v>0.4040142543389092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0.37704629729466344</v>
          </cell>
          <cell r="V67">
            <v>0.34069211729155857</v>
          </cell>
          <cell r="W67">
            <v>0.32952713884251605</v>
          </cell>
          <cell r="X67">
            <v>3.6354180003104863E-2</v>
          </cell>
          <cell r="Y67">
            <v>4.7519158452147381E-2</v>
          </cell>
        </row>
        <row r="68">
          <cell r="B68" t="str">
            <v>No of Concession Transactions</v>
          </cell>
          <cell r="E68">
            <v>10</v>
          </cell>
          <cell r="F68">
            <v>12</v>
          </cell>
          <cell r="G68">
            <v>13</v>
          </cell>
          <cell r="H68">
            <v>11</v>
          </cell>
          <cell r="I68">
            <v>13</v>
          </cell>
          <cell r="J68">
            <v>18</v>
          </cell>
          <cell r="K68">
            <v>10</v>
          </cell>
          <cell r="L68">
            <v>13</v>
          </cell>
          <cell r="M68">
            <v>15.744</v>
          </cell>
          <cell r="N68">
            <v>13</v>
          </cell>
          <cell r="O68">
            <v>16</v>
          </cell>
          <cell r="P68">
            <v>15</v>
          </cell>
          <cell r="Q68" t="str">
            <v/>
          </cell>
          <cell r="R68">
            <v>20.744</v>
          </cell>
          <cell r="S68">
            <v>21.744</v>
          </cell>
          <cell r="T68">
            <v>22.744</v>
          </cell>
          <cell r="U68">
            <v>159.744</v>
          </cell>
          <cell r="V68">
            <v>149.744</v>
          </cell>
          <cell r="W68">
            <v>0</v>
          </cell>
          <cell r="X68">
            <v>10</v>
          </cell>
          <cell r="Y68">
            <v>159.744</v>
          </cell>
        </row>
        <row r="69">
          <cell r="B69" t="str">
            <v>Strike Rate %(No of Trans/Adm)</v>
          </cell>
          <cell r="E69">
            <v>0.22727272727272727</v>
          </cell>
          <cell r="F69">
            <v>0.26666666666666666</v>
          </cell>
          <cell r="G69">
            <v>0.21666666666666667</v>
          </cell>
          <cell r="H69">
            <v>0.22916666666666666</v>
          </cell>
          <cell r="I69">
            <v>0.25</v>
          </cell>
          <cell r="J69">
            <v>0.25352112676056338</v>
          </cell>
          <cell r="K69">
            <v>0.20833333333333334</v>
          </cell>
          <cell r="L69">
            <v>0.23636363636363636</v>
          </cell>
          <cell r="M69">
            <v>0.24221538461538461</v>
          </cell>
          <cell r="N69">
            <v>0.26</v>
          </cell>
          <cell r="O69">
            <v>0.24242424242424243</v>
          </cell>
          <cell r="P69">
            <v>0.23076923076923078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0.23878026905829597</v>
          </cell>
          <cell r="V69">
            <v>0.23881511062486743</v>
          </cell>
          <cell r="W69">
            <v>0</v>
          </cell>
          <cell r="X69">
            <v>-3.4841566571464089E-5</v>
          </cell>
          <cell r="Y69">
            <v>0.23878026905829597</v>
          </cell>
        </row>
        <row r="70">
          <cell r="B70" t="str">
            <v>Ave Sales (Total Sale/No of Trans) (S$)</v>
          </cell>
          <cell r="E70">
            <v>4.7080000000000002</v>
          </cell>
          <cell r="F70">
            <v>4.0125000000000002</v>
          </cell>
          <cell r="G70">
            <v>4.9384615384615387</v>
          </cell>
          <cell r="H70">
            <v>4.669090909090909</v>
          </cell>
          <cell r="I70">
            <v>4.28</v>
          </cell>
          <cell r="J70">
            <v>4.2205555555555554</v>
          </cell>
          <cell r="K70">
            <v>5.1360000000000001</v>
          </cell>
          <cell r="L70">
            <v>4.5269230769230768</v>
          </cell>
          <cell r="M70">
            <v>4.4175558943089426</v>
          </cell>
          <cell r="N70">
            <v>4.115384615384615</v>
          </cell>
          <cell r="O70">
            <v>4.4137500000000003</v>
          </cell>
          <cell r="P70">
            <v>4.6366666666666667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4.481107271634615</v>
          </cell>
          <cell r="V70">
            <v>4.3785594080564154</v>
          </cell>
          <cell r="W70" t="str">
            <v>N.A.</v>
          </cell>
          <cell r="X70">
            <v>0.10254786357819956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21</v>
          </cell>
          <cell r="F71">
            <v>21</v>
          </cell>
          <cell r="G71">
            <v>28</v>
          </cell>
          <cell r="H71">
            <v>23</v>
          </cell>
          <cell r="I71">
            <v>24</v>
          </cell>
          <cell r="J71">
            <v>34</v>
          </cell>
          <cell r="K71">
            <v>20</v>
          </cell>
          <cell r="L71">
            <v>24</v>
          </cell>
          <cell r="M71">
            <v>30</v>
          </cell>
          <cell r="N71">
            <v>22</v>
          </cell>
          <cell r="O71">
            <v>30</v>
          </cell>
          <cell r="P71">
            <v>30</v>
          </cell>
          <cell r="Q71" t="str">
            <v/>
          </cell>
          <cell r="R71">
            <v>43.881999999999998</v>
          </cell>
          <cell r="S71">
            <v>44.881999999999998</v>
          </cell>
          <cell r="T71">
            <v>45.881999999999998</v>
          </cell>
          <cell r="U71">
            <v>307</v>
          </cell>
          <cell r="V71">
            <v>286</v>
          </cell>
          <cell r="W71">
            <v>0</v>
          </cell>
          <cell r="X71">
            <v>21</v>
          </cell>
          <cell r="Y71">
            <v>307</v>
          </cell>
        </row>
        <row r="72">
          <cell r="B72" t="str">
            <v>Combo Sales as % of Total Sales</v>
          </cell>
          <cell r="E72">
            <v>0.44604927782497872</v>
          </cell>
          <cell r="F72">
            <v>0.43613707165109028</v>
          </cell>
          <cell r="G72">
            <v>0.43613707165109034</v>
          </cell>
          <cell r="H72">
            <v>0.44781931464174457</v>
          </cell>
          <cell r="I72">
            <v>0.43134435657800141</v>
          </cell>
          <cell r="J72">
            <v>0.44754508358562589</v>
          </cell>
          <cell r="K72">
            <v>0.38940809968847351</v>
          </cell>
          <cell r="L72">
            <v>0.4078164825828377</v>
          </cell>
          <cell r="M72">
            <v>0.43134435657800146</v>
          </cell>
          <cell r="N72">
            <v>0.41121495327102803</v>
          </cell>
          <cell r="O72">
            <v>0.42480883602378927</v>
          </cell>
          <cell r="P72">
            <v>0.43134435657800146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0.42887277705600496</v>
          </cell>
          <cell r="V72">
            <v>0.43619969405014475</v>
          </cell>
          <cell r="W72">
            <v>0</v>
          </cell>
          <cell r="X72">
            <v>-7.3269169941397871E-3</v>
          </cell>
          <cell r="Y72">
            <v>0.42887277705600496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4.5860000000000003</v>
          </cell>
          <cell r="S73">
            <v>4.5860000000000003</v>
          </cell>
          <cell r="T73">
            <v>4.5860000000000003</v>
          </cell>
          <cell r="U73">
            <v>69.319999999999993</v>
          </cell>
          <cell r="V73">
            <v>64.545000000000002</v>
          </cell>
          <cell r="W73">
            <v>0</v>
          </cell>
          <cell r="X73">
            <v>4.7749999999999915</v>
          </cell>
          <cell r="Y73">
            <v>69.319999999999993</v>
          </cell>
        </row>
        <row r="74">
          <cell r="B74" t="str">
            <v>Admissions/labour hour paid</v>
          </cell>
          <cell r="E74">
            <v>9.2146596858638734</v>
          </cell>
          <cell r="F74">
            <v>9.4260578131545874</v>
          </cell>
          <cell r="G74">
            <v>8.3507306889352826</v>
          </cell>
          <cell r="H74">
            <v>9.6</v>
          </cell>
          <cell r="I74">
            <v>10.4</v>
          </cell>
          <cell r="J74">
            <v>10.142857142857142</v>
          </cell>
          <cell r="K74">
            <v>9.6</v>
          </cell>
          <cell r="L74">
            <v>9.1666666666666661</v>
          </cell>
          <cell r="M74">
            <v>9.2857142857142865</v>
          </cell>
          <cell r="N74">
            <v>10.902747492368077</v>
          </cell>
          <cell r="O74">
            <v>9.4285714285714288</v>
          </cell>
          <cell r="P74">
            <v>10.833333333333334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9.6508944027697652</v>
          </cell>
          <cell r="V74">
            <v>9.7146022155085596</v>
          </cell>
          <cell r="W74" t="str">
            <v>N.A.</v>
          </cell>
          <cell r="X74">
            <v>-6.3707812738794445E-2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45.376930000000002</v>
          </cell>
          <cell r="W77">
            <v>3.8690000000000002</v>
          </cell>
          <cell r="X77">
            <v>-18.189430000000002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32.137</v>
          </cell>
          <cell r="W78">
            <v>0</v>
          </cell>
          <cell r="X78">
            <v>15.863</v>
          </cell>
          <cell r="Y78">
            <v>48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51.67</v>
          </cell>
          <cell r="W82">
            <v>53.204000000000001</v>
          </cell>
          <cell r="X82">
            <v>-13.606000000000002</v>
          </cell>
          <cell r="Y82">
            <v>-15.14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129.18393</v>
          </cell>
          <cell r="W83">
            <v>57.073</v>
          </cell>
          <cell r="X83">
            <v>-15.932430000000011</v>
          </cell>
          <cell r="Y83">
            <v>56.178499999999993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0.58256000000000008</v>
          </cell>
          <cell r="F86">
            <v>0.5958</v>
          </cell>
          <cell r="G86">
            <v>0.7944</v>
          </cell>
          <cell r="H86">
            <v>0.63551999999999997</v>
          </cell>
          <cell r="I86">
            <v>0.68847999999999998</v>
          </cell>
          <cell r="J86">
            <v>0.94003999999999999</v>
          </cell>
          <cell r="K86">
            <v>0.63551999999999997</v>
          </cell>
          <cell r="L86">
            <v>0.72820000000000007</v>
          </cell>
          <cell r="M86">
            <v>0.86060000000000003</v>
          </cell>
          <cell r="N86">
            <v>0.66200000000000003</v>
          </cell>
          <cell r="O86">
            <v>0.87384000000000006</v>
          </cell>
          <cell r="P86">
            <v>0.86060000000000003</v>
          </cell>
          <cell r="U86">
            <v>8.8575599999999994</v>
          </cell>
          <cell r="V86">
            <v>8.3303318799999992</v>
          </cell>
          <cell r="W86">
            <v>11.652450000000002</v>
          </cell>
          <cell r="X86">
            <v>0.52722812000000019</v>
          </cell>
          <cell r="Y86">
            <v>-2.7948900000000023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0.58256000000000008</v>
          </cell>
          <cell r="F91">
            <v>0.5958</v>
          </cell>
          <cell r="G91">
            <v>0.7944</v>
          </cell>
          <cell r="H91">
            <v>0.63551999999999997</v>
          </cell>
          <cell r="I91">
            <v>0.68847999999999998</v>
          </cell>
          <cell r="J91">
            <v>0.94003999999999999</v>
          </cell>
          <cell r="K91">
            <v>0.63551999999999997</v>
          </cell>
          <cell r="L91">
            <v>0.72820000000000007</v>
          </cell>
          <cell r="M91">
            <v>0.86060000000000003</v>
          </cell>
          <cell r="N91">
            <v>0.66200000000000003</v>
          </cell>
          <cell r="O91">
            <v>0.87384000000000006</v>
          </cell>
          <cell r="P91">
            <v>0.86060000000000003</v>
          </cell>
          <cell r="U91">
            <v>8.8575599999999994</v>
          </cell>
          <cell r="V91">
            <v>8.3303318799999992</v>
          </cell>
          <cell r="W91">
            <v>11.652450000000002</v>
          </cell>
          <cell r="X91">
            <v>0.52722812000000019</v>
          </cell>
          <cell r="Y91">
            <v>-2.7948900000000023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26.039009076896551</v>
          </cell>
          <cell r="F94">
            <v>26.039009076896551</v>
          </cell>
          <cell r="G94">
            <v>27.139009076896553</v>
          </cell>
          <cell r="H94">
            <v>26.039009076896551</v>
          </cell>
          <cell r="I94">
            <v>26.039009076896551</v>
          </cell>
          <cell r="J94">
            <v>27.139009076896553</v>
          </cell>
          <cell r="K94">
            <v>26.574586757996553</v>
          </cell>
          <cell r="L94">
            <v>26.574586757996553</v>
          </cell>
          <cell r="M94">
            <v>27.674586757996554</v>
          </cell>
          <cell r="N94">
            <v>26.574586757996553</v>
          </cell>
          <cell r="O94">
            <v>27.674586757996554</v>
          </cell>
          <cell r="P94">
            <v>27.674586757996554</v>
          </cell>
          <cell r="T94">
            <v>0</v>
          </cell>
          <cell r="U94">
            <v>321.18157500935865</v>
          </cell>
          <cell r="V94">
            <v>402.18689499999999</v>
          </cell>
          <cell r="W94">
            <v>496.024</v>
          </cell>
          <cell r="X94">
            <v>-81.00531999064134</v>
          </cell>
          <cell r="Y94">
            <v>-174.84242499064135</v>
          </cell>
        </row>
        <row r="95">
          <cell r="A95">
            <v>67</v>
          </cell>
          <cell r="B95" t="str">
            <v>Bonus/Commission</v>
          </cell>
          <cell r="E95">
            <v>1.0834049999999997</v>
          </cell>
          <cell r="F95">
            <v>1.0834049999999997</v>
          </cell>
          <cell r="G95">
            <v>1.0834049999999997</v>
          </cell>
          <cell r="H95">
            <v>1.0834049999999997</v>
          </cell>
          <cell r="I95">
            <v>1.0834049999999997</v>
          </cell>
          <cell r="J95">
            <v>1.0834049999999997</v>
          </cell>
          <cell r="K95">
            <v>1.0834049999999997</v>
          </cell>
          <cell r="L95">
            <v>1.0834049999999997</v>
          </cell>
          <cell r="M95">
            <v>1.0834049999999997</v>
          </cell>
          <cell r="N95">
            <v>1.0834049999999997</v>
          </cell>
          <cell r="O95">
            <v>1.0834049999999997</v>
          </cell>
          <cell r="P95">
            <v>1.0834049999999997</v>
          </cell>
          <cell r="T95">
            <v>0</v>
          </cell>
          <cell r="U95">
            <v>13.000859999999994</v>
          </cell>
          <cell r="V95">
            <v>19.007021666666667</v>
          </cell>
          <cell r="W95">
            <v>32.884</v>
          </cell>
          <cell r="X95">
            <v>-6.0061616666666726</v>
          </cell>
          <cell r="Y95">
            <v>-19.883140000000004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10.016299999999998</v>
          </cell>
          <cell r="W97">
            <v>18.571000000000002</v>
          </cell>
          <cell r="X97">
            <v>-3.3802999999999974</v>
          </cell>
          <cell r="Y97">
            <v>-11.935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11.548999999999999</v>
          </cell>
          <cell r="X98">
            <v>-0.60274000000000161</v>
          </cell>
          <cell r="Y98">
            <v>-5.8969999999999994</v>
          </cell>
        </row>
        <row r="99">
          <cell r="C99">
            <v>0</v>
          </cell>
          <cell r="E99">
            <v>28.146414076896551</v>
          </cell>
          <cell r="F99">
            <v>28.146414076896551</v>
          </cell>
          <cell r="G99">
            <v>29.246414076896553</v>
          </cell>
          <cell r="H99">
            <v>28.146414076896551</v>
          </cell>
          <cell r="I99">
            <v>28.146414076896551</v>
          </cell>
          <cell r="J99">
            <v>29.246414076896553</v>
          </cell>
          <cell r="K99">
            <v>28.681991757996553</v>
          </cell>
          <cell r="L99">
            <v>28.681991757996553</v>
          </cell>
          <cell r="M99">
            <v>29.781991757996554</v>
          </cell>
          <cell r="N99">
            <v>28.681991757996553</v>
          </cell>
          <cell r="O99">
            <v>29.781991757996554</v>
          </cell>
          <cell r="P99">
            <v>29.781991757996554</v>
          </cell>
          <cell r="R99">
            <v>0</v>
          </cell>
          <cell r="S99">
            <v>0</v>
          </cell>
          <cell r="T99">
            <v>0</v>
          </cell>
          <cell r="U99">
            <v>346.47043500935865</v>
          </cell>
          <cell r="V99">
            <v>437.46495666666669</v>
          </cell>
          <cell r="W99">
            <v>559.02800000000002</v>
          </cell>
          <cell r="X99">
            <v>-90.994521657308042</v>
          </cell>
          <cell r="Y99">
            <v>-212.55756499064137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1.38124</v>
          </cell>
          <cell r="F102">
            <v>1.38124</v>
          </cell>
          <cell r="G102">
            <v>1.38124</v>
          </cell>
          <cell r="H102">
            <v>1.38124</v>
          </cell>
          <cell r="I102">
            <v>1.38124</v>
          </cell>
          <cell r="J102">
            <v>1.38124</v>
          </cell>
          <cell r="K102">
            <v>1.38124</v>
          </cell>
          <cell r="L102">
            <v>1.38124</v>
          </cell>
          <cell r="M102">
            <v>1.38124</v>
          </cell>
          <cell r="N102">
            <v>1.38124</v>
          </cell>
          <cell r="O102">
            <v>1.38124</v>
          </cell>
          <cell r="P102">
            <v>1.38124</v>
          </cell>
          <cell r="T102">
            <v>0</v>
          </cell>
          <cell r="U102">
            <v>16.57488</v>
          </cell>
          <cell r="V102">
            <v>16.582999999999995</v>
          </cell>
          <cell r="W102">
            <v>18.888000000000002</v>
          </cell>
          <cell r="X102">
            <v>-8.119999999994576E-3</v>
          </cell>
          <cell r="Y102">
            <v>-2.3131200000000014</v>
          </cell>
        </row>
        <row r="103">
          <cell r="A103">
            <v>72</v>
          </cell>
          <cell r="B103" t="str">
            <v>Property Taxes</v>
          </cell>
          <cell r="E103">
            <v>3.8340000000000001</v>
          </cell>
          <cell r="F103">
            <v>3.8340000000000001</v>
          </cell>
          <cell r="G103">
            <v>3.8340000000000001</v>
          </cell>
          <cell r="H103">
            <v>3.8340000000000001</v>
          </cell>
          <cell r="I103">
            <v>3.8340000000000001</v>
          </cell>
          <cell r="J103">
            <v>3.8340000000000001</v>
          </cell>
          <cell r="K103">
            <v>3.8340000000000001</v>
          </cell>
          <cell r="L103">
            <v>3.8340000000000001</v>
          </cell>
          <cell r="M103">
            <v>3.8340000000000001</v>
          </cell>
          <cell r="N103">
            <v>3.8340000000000001</v>
          </cell>
          <cell r="O103">
            <v>3.8340000000000001</v>
          </cell>
          <cell r="P103">
            <v>3.8340000000000001</v>
          </cell>
          <cell r="T103">
            <v>0</v>
          </cell>
          <cell r="U103">
            <v>46.00800000000001</v>
          </cell>
          <cell r="V103">
            <v>45.558000000000014</v>
          </cell>
          <cell r="W103">
            <v>102.239</v>
          </cell>
          <cell r="X103">
            <v>0.44999999999999574</v>
          </cell>
          <cell r="Y103">
            <v>-56.230999999999995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25.35393333333333</v>
          </cell>
          <cell r="W104">
            <v>24.881</v>
          </cell>
          <cell r="X104">
            <v>-1.3539333333333303</v>
          </cell>
          <cell r="Y104">
            <v>-0.88100000000000023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12.682220000000003</v>
          </cell>
          <cell r="W105">
            <v>14.42</v>
          </cell>
          <cell r="X105">
            <v>-0.68222000000000271</v>
          </cell>
          <cell r="Y105">
            <v>-2.42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2.806280000000001</v>
          </cell>
          <cell r="W106">
            <v>0</v>
          </cell>
          <cell r="X106">
            <v>3.193719999999999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0.71499999999999997</v>
          </cell>
          <cell r="F108">
            <v>0.71499999999999997</v>
          </cell>
          <cell r="G108">
            <v>0.71499999999999997</v>
          </cell>
          <cell r="H108">
            <v>0.71499999999999997</v>
          </cell>
          <cell r="I108">
            <v>0.71499999999999997</v>
          </cell>
          <cell r="J108">
            <v>0.71499999999999997</v>
          </cell>
          <cell r="K108">
            <v>0.71499999999999997</v>
          </cell>
          <cell r="L108">
            <v>0.71499999999999997</v>
          </cell>
          <cell r="M108">
            <v>0.71499999999999997</v>
          </cell>
          <cell r="N108">
            <v>0.71499999999999997</v>
          </cell>
          <cell r="O108">
            <v>0.71499999999999997</v>
          </cell>
          <cell r="P108">
            <v>0.71499999999999997</v>
          </cell>
          <cell r="T108">
            <v>0</v>
          </cell>
          <cell r="U108">
            <v>8.58</v>
          </cell>
          <cell r="V108">
            <v>11.235595719999999</v>
          </cell>
          <cell r="W108">
            <v>19.821549999999998</v>
          </cell>
          <cell r="X108">
            <v>-2.6555957199999991</v>
          </cell>
          <cell r="Y108">
            <v>-11.241549999999998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4.7423999999999999</v>
          </cell>
          <cell r="J111">
            <v>4.9004799999999999</v>
          </cell>
          <cell r="K111">
            <v>4.9004799999999999</v>
          </cell>
          <cell r="L111">
            <v>27.527239999999999</v>
          </cell>
          <cell r="M111">
            <v>6.4004799999999999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82.111720000000005</v>
          </cell>
          <cell r="V111">
            <v>98.715360000000004</v>
          </cell>
          <cell r="W111">
            <v>129.697</v>
          </cell>
          <cell r="X111">
            <v>-16.603639999999999</v>
          </cell>
          <cell r="Y111">
            <v>-47.585279999999997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53.321359999999999</v>
          </cell>
          <cell r="W112">
            <v>35.734000000000002</v>
          </cell>
          <cell r="X112">
            <v>-5.3213599999999985</v>
          </cell>
          <cell r="Y112">
            <v>12.265999999999998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7.118990000000001</v>
          </cell>
          <cell r="W113">
            <v>8.7919999999999998</v>
          </cell>
          <cell r="X113">
            <v>8.1009999999997362E-2</v>
          </cell>
          <cell r="Y113">
            <v>-1.5920000000000014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1.02</v>
          </cell>
          <cell r="W114">
            <v>4.26</v>
          </cell>
          <cell r="X114">
            <v>1.38</v>
          </cell>
          <cell r="Y114">
            <v>-1.86</v>
          </cell>
        </row>
        <row r="115">
          <cell r="A115">
            <v>84</v>
          </cell>
          <cell r="B115" t="str">
            <v>Freight</v>
          </cell>
          <cell r="E115">
            <v>0.25</v>
          </cell>
          <cell r="F115">
            <v>0.25</v>
          </cell>
          <cell r="G115">
            <v>0.25</v>
          </cell>
          <cell r="H115">
            <v>0.25</v>
          </cell>
          <cell r="I115">
            <v>0.25</v>
          </cell>
          <cell r="J115">
            <v>0.25</v>
          </cell>
          <cell r="K115">
            <v>0.25</v>
          </cell>
          <cell r="L115">
            <v>0.25</v>
          </cell>
          <cell r="M115">
            <v>0.25</v>
          </cell>
          <cell r="N115">
            <v>0.25</v>
          </cell>
          <cell r="O115">
            <v>0.25</v>
          </cell>
          <cell r="P115">
            <v>0.25</v>
          </cell>
          <cell r="T115">
            <v>0</v>
          </cell>
          <cell r="U115">
            <v>3</v>
          </cell>
          <cell r="V115">
            <v>4.1071099999999996</v>
          </cell>
          <cell r="W115">
            <v>4.5830000000000002</v>
          </cell>
          <cell r="X115">
            <v>-1.1071099999999996</v>
          </cell>
          <cell r="Y115">
            <v>-1.5830000000000002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1.8329299999999997</v>
          </cell>
          <cell r="W117">
            <v>3.387</v>
          </cell>
          <cell r="X117">
            <v>1.7670699999999995</v>
          </cell>
          <cell r="Y117">
            <v>0.21299999999999919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0.40646414076896553</v>
          </cell>
          <cell r="F119">
            <v>0.40646414076896553</v>
          </cell>
          <cell r="G119">
            <v>0.41746414076896554</v>
          </cell>
          <cell r="H119">
            <v>0.40646414076896553</v>
          </cell>
          <cell r="I119">
            <v>0.40646414076896553</v>
          </cell>
          <cell r="J119">
            <v>0.41746414076896554</v>
          </cell>
          <cell r="K119">
            <v>0.41181991757996556</v>
          </cell>
          <cell r="L119">
            <v>0.41181991757996556</v>
          </cell>
          <cell r="M119">
            <v>0.42281991757996551</v>
          </cell>
          <cell r="N119">
            <v>0.41181991757996556</v>
          </cell>
          <cell r="O119">
            <v>0.42281991757996551</v>
          </cell>
          <cell r="P119">
            <v>0.42281991757996551</v>
          </cell>
          <cell r="T119">
            <v>0</v>
          </cell>
          <cell r="U119">
            <v>4.9647043500935863</v>
          </cell>
          <cell r="V119">
            <v>5.7293799999999999</v>
          </cell>
          <cell r="W119">
            <v>11.51</v>
          </cell>
          <cell r="X119">
            <v>-0.76467564990641357</v>
          </cell>
          <cell r="Y119">
            <v>-6.5452956499064134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1.921999999999997</v>
          </cell>
          <cell r="W124">
            <v>3.2909999999999986</v>
          </cell>
          <cell r="X124">
            <v>1.6780000000000022</v>
          </cell>
          <cell r="Y124">
            <v>0.30900000000000061</v>
          </cell>
        </row>
        <row r="125">
          <cell r="C125">
            <v>0</v>
          </cell>
          <cell r="E125">
            <v>21.498704140768968</v>
          </cell>
          <cell r="F125">
            <v>21.687184140768967</v>
          </cell>
          <cell r="G125">
            <v>21.540104140768971</v>
          </cell>
          <cell r="H125">
            <v>21.687184140768967</v>
          </cell>
          <cell r="I125">
            <v>21.529104140768968</v>
          </cell>
          <cell r="J125">
            <v>21.698184140768969</v>
          </cell>
          <cell r="K125">
            <v>21.692539917579968</v>
          </cell>
          <cell r="L125">
            <v>44.319299917579961</v>
          </cell>
          <cell r="M125">
            <v>23.203539917579967</v>
          </cell>
          <cell r="N125">
            <v>21.534459917579969</v>
          </cell>
          <cell r="O125">
            <v>21.703539917579967</v>
          </cell>
          <cell r="P125">
            <v>21.545459917579969</v>
          </cell>
          <cell r="R125">
            <v>0</v>
          </cell>
          <cell r="S125">
            <v>0</v>
          </cell>
          <cell r="T125">
            <v>0</v>
          </cell>
          <cell r="U125">
            <v>283.63930435009365</v>
          </cell>
          <cell r="V125">
            <v>303.58615905333329</v>
          </cell>
          <cell r="W125">
            <v>397.10354999999998</v>
          </cell>
          <cell r="X125">
            <v>-19.946854703239637</v>
          </cell>
          <cell r="Y125">
            <v>-113.46424564990633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W132">
            <v>0</v>
          </cell>
          <cell r="X132">
            <v>0</v>
          </cell>
          <cell r="Y132" t="e">
            <v>#REF!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3" refreshError="1">
        <row r="11">
          <cell r="A11">
            <v>1</v>
          </cell>
          <cell r="B11" t="str">
            <v>Net Film Revenue</v>
          </cell>
          <cell r="E11">
            <v>410.44</v>
          </cell>
          <cell r="F11">
            <v>423.68</v>
          </cell>
          <cell r="G11">
            <v>542.84</v>
          </cell>
          <cell r="H11">
            <v>410.44</v>
          </cell>
          <cell r="I11">
            <v>436.92</v>
          </cell>
          <cell r="J11">
            <v>622.28</v>
          </cell>
          <cell r="K11">
            <v>410.44</v>
          </cell>
          <cell r="L11">
            <v>503.12</v>
          </cell>
          <cell r="M11">
            <v>556.08000000000004</v>
          </cell>
          <cell r="N11">
            <v>423.68</v>
          </cell>
          <cell r="O11">
            <v>589.17999999999995</v>
          </cell>
          <cell r="P11">
            <v>529.6</v>
          </cell>
          <cell r="Q11">
            <v>0</v>
          </cell>
          <cell r="T11">
            <v>0</v>
          </cell>
          <cell r="U11">
            <v>5858.7</v>
          </cell>
          <cell r="V11">
            <v>5447.2133200000007</v>
          </cell>
          <cell r="W11">
            <v>6875.9660000000003</v>
          </cell>
          <cell r="X11">
            <v>411.48668000000089</v>
          </cell>
          <cell r="Y11">
            <v>-1017.2659999999987</v>
          </cell>
        </row>
        <row r="12">
          <cell r="A12">
            <v>2</v>
          </cell>
          <cell r="B12" t="str">
            <v>Concession Sales</v>
          </cell>
          <cell r="E12">
            <v>77.5</v>
          </cell>
          <cell r="F12">
            <v>80</v>
          </cell>
          <cell r="G12">
            <v>102.5</v>
          </cell>
          <cell r="H12">
            <v>77.5</v>
          </cell>
          <cell r="I12">
            <v>82.5</v>
          </cell>
          <cell r="J12">
            <v>117.5</v>
          </cell>
          <cell r="K12">
            <v>77.5</v>
          </cell>
          <cell r="L12">
            <v>95</v>
          </cell>
          <cell r="M12">
            <v>105</v>
          </cell>
          <cell r="N12">
            <v>80</v>
          </cell>
          <cell r="O12">
            <v>111.25</v>
          </cell>
          <cell r="P12">
            <v>100</v>
          </cell>
          <cell r="T12">
            <v>0</v>
          </cell>
          <cell r="U12">
            <v>1106.25</v>
          </cell>
          <cell r="V12">
            <v>1058.65578</v>
          </cell>
          <cell r="W12">
            <v>1093.7619999999999</v>
          </cell>
          <cell r="X12">
            <v>47.59421999999995</v>
          </cell>
          <cell r="Y12">
            <v>12.488000000000056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26</v>
          </cell>
          <cell r="F15">
            <v>26</v>
          </cell>
          <cell r="G15">
            <v>26</v>
          </cell>
          <cell r="H15">
            <v>26</v>
          </cell>
          <cell r="I15">
            <v>26</v>
          </cell>
          <cell r="J15">
            <v>26</v>
          </cell>
          <cell r="K15">
            <v>26</v>
          </cell>
          <cell r="L15">
            <v>26</v>
          </cell>
          <cell r="M15">
            <v>26</v>
          </cell>
          <cell r="N15">
            <v>26</v>
          </cell>
          <cell r="O15">
            <v>26</v>
          </cell>
          <cell r="P15">
            <v>26</v>
          </cell>
          <cell r="T15">
            <v>0</v>
          </cell>
          <cell r="U15">
            <v>312</v>
          </cell>
          <cell r="V15">
            <v>328.11124000000001</v>
          </cell>
          <cell r="W15">
            <v>250.84800000000001</v>
          </cell>
          <cell r="X15">
            <v>-16.111240000000009</v>
          </cell>
          <cell r="Y15">
            <v>61.151999999999987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7.9376250000000006</v>
          </cell>
          <cell r="F16">
            <v>7.9376250000000006</v>
          </cell>
          <cell r="G16">
            <v>7.9376250000000006</v>
          </cell>
          <cell r="H16">
            <v>7.9376250000000006</v>
          </cell>
          <cell r="I16">
            <v>7.9376250000000006</v>
          </cell>
          <cell r="J16">
            <v>7.9376250000000006</v>
          </cell>
          <cell r="K16">
            <v>7.9376250000000006</v>
          </cell>
          <cell r="L16">
            <v>7.9376250000000006</v>
          </cell>
          <cell r="M16">
            <v>7.9376250000000006</v>
          </cell>
          <cell r="N16">
            <v>7.9376250000000006</v>
          </cell>
          <cell r="O16">
            <v>7.9376250000000006</v>
          </cell>
          <cell r="P16">
            <v>7.9376250000000006</v>
          </cell>
          <cell r="R16">
            <v>0</v>
          </cell>
          <cell r="S16">
            <v>0</v>
          </cell>
          <cell r="T16">
            <v>0</v>
          </cell>
          <cell r="U16">
            <v>95.251499999999979</v>
          </cell>
          <cell r="V16">
            <v>129.14752999999999</v>
          </cell>
          <cell r="W16">
            <v>61.19</v>
          </cell>
          <cell r="X16">
            <v>-33.89603000000001</v>
          </cell>
          <cell r="Y16">
            <v>34.061499999999981</v>
          </cell>
        </row>
        <row r="17">
          <cell r="B17" t="str">
            <v>TOTAL REVENUE</v>
          </cell>
          <cell r="C17">
            <v>0</v>
          </cell>
          <cell r="E17">
            <v>521.87762500000008</v>
          </cell>
          <cell r="F17">
            <v>537.61762500000009</v>
          </cell>
          <cell r="G17">
            <v>679.27762500000006</v>
          </cell>
          <cell r="H17">
            <v>521.87762500000008</v>
          </cell>
          <cell r="I17">
            <v>553.3576250000001</v>
          </cell>
          <cell r="J17">
            <v>773.717625</v>
          </cell>
          <cell r="K17">
            <v>521.87762500000008</v>
          </cell>
          <cell r="L17">
            <v>632.05762500000003</v>
          </cell>
          <cell r="M17">
            <v>695.01762500000007</v>
          </cell>
          <cell r="N17">
            <v>537.61762500000009</v>
          </cell>
          <cell r="O17">
            <v>734.36762500000009</v>
          </cell>
          <cell r="P17">
            <v>663.53762500000005</v>
          </cell>
          <cell r="R17">
            <v>0</v>
          </cell>
          <cell r="S17">
            <v>0</v>
          </cell>
          <cell r="T17">
            <v>0</v>
          </cell>
          <cell r="U17">
            <v>7372.201500000001</v>
          </cell>
          <cell r="V17">
            <v>6963.1278700000012</v>
          </cell>
          <cell r="W17">
            <v>8281.7660000000014</v>
          </cell>
          <cell r="X17">
            <v>409.07362999999987</v>
          </cell>
          <cell r="Y17">
            <v>-909.56450000000041</v>
          </cell>
        </row>
        <row r="19">
          <cell r="A19">
            <v>7</v>
          </cell>
          <cell r="B19" t="str">
            <v>Film Hire</v>
          </cell>
          <cell r="E19">
            <v>190.8546</v>
          </cell>
          <cell r="F19">
            <v>197.0112</v>
          </cell>
          <cell r="G19">
            <v>252.42060000000004</v>
          </cell>
          <cell r="H19">
            <v>190.8546</v>
          </cell>
          <cell r="I19">
            <v>203.16780000000003</v>
          </cell>
          <cell r="J19">
            <v>289.36020000000002</v>
          </cell>
          <cell r="K19">
            <v>190.8546</v>
          </cell>
          <cell r="L19">
            <v>233.95080000000002</v>
          </cell>
          <cell r="M19">
            <v>258.5772</v>
          </cell>
          <cell r="N19">
            <v>197.0112</v>
          </cell>
          <cell r="O19">
            <v>273.96870000000007</v>
          </cell>
          <cell r="P19">
            <v>246.26400000000001</v>
          </cell>
          <cell r="U19">
            <v>2724.2955000000002</v>
          </cell>
          <cell r="V19">
            <v>2526.9412400000006</v>
          </cell>
          <cell r="W19">
            <v>3150.1010000000001</v>
          </cell>
          <cell r="X19">
            <v>197.35425999999961</v>
          </cell>
          <cell r="Y19">
            <v>-425.80549999999994</v>
          </cell>
        </row>
        <row r="20">
          <cell r="A20">
            <v>8</v>
          </cell>
          <cell r="B20" t="str">
            <v>Concession Cost</v>
          </cell>
          <cell r="E20">
            <v>17.05</v>
          </cell>
          <cell r="F20">
            <v>17.600000000000001</v>
          </cell>
          <cell r="G20">
            <v>22.55</v>
          </cell>
          <cell r="H20">
            <v>17.05</v>
          </cell>
          <cell r="I20">
            <v>18.149999999999999</v>
          </cell>
          <cell r="J20">
            <v>25.85</v>
          </cell>
          <cell r="K20">
            <v>17.05</v>
          </cell>
          <cell r="L20">
            <v>20.9</v>
          </cell>
          <cell r="M20">
            <v>23.1</v>
          </cell>
          <cell r="N20">
            <v>17.600000000000001</v>
          </cell>
          <cell r="O20">
            <v>24.475000000000001</v>
          </cell>
          <cell r="P20">
            <v>22</v>
          </cell>
          <cell r="T20">
            <v>0</v>
          </cell>
          <cell r="U20">
            <v>243.375</v>
          </cell>
          <cell r="V20">
            <v>212.72319999999999</v>
          </cell>
          <cell r="W20">
            <v>296.96600000000001</v>
          </cell>
          <cell r="X20">
            <v>30.651800000000009</v>
          </cell>
          <cell r="Y20">
            <v>-53.591000000000008</v>
          </cell>
        </row>
        <row r="21">
          <cell r="A21">
            <v>9</v>
          </cell>
          <cell r="B21" t="str">
            <v>Less Concession Rebates</v>
          </cell>
          <cell r="E21">
            <v>-1.9375</v>
          </cell>
          <cell r="F21">
            <v>-2</v>
          </cell>
          <cell r="G21">
            <v>-2.5625</v>
          </cell>
          <cell r="H21">
            <v>-1.9375</v>
          </cell>
          <cell r="I21">
            <v>-2.0625</v>
          </cell>
          <cell r="J21">
            <v>-2.9375</v>
          </cell>
          <cell r="K21">
            <v>-1.9375</v>
          </cell>
          <cell r="L21">
            <v>-2.375</v>
          </cell>
          <cell r="M21">
            <v>-2.625</v>
          </cell>
          <cell r="N21">
            <v>-2</v>
          </cell>
          <cell r="O21">
            <v>-2.78125</v>
          </cell>
          <cell r="P21">
            <v>-2.5</v>
          </cell>
          <cell r="U21">
            <v>-27.65625</v>
          </cell>
          <cell r="V21">
            <v>-31.79</v>
          </cell>
          <cell r="W21">
            <v>-49.798999999999999</v>
          </cell>
          <cell r="X21">
            <v>4.13375</v>
          </cell>
          <cell r="Y21">
            <v>22.142749999999999</v>
          </cell>
        </row>
        <row r="22">
          <cell r="A22">
            <v>10</v>
          </cell>
          <cell r="B22" t="str">
            <v>Advertising Cost</v>
          </cell>
          <cell r="E22">
            <v>9.4401200000000003</v>
          </cell>
          <cell r="F22">
            <v>9.7446400000000004</v>
          </cell>
          <cell r="G22">
            <v>12.48532</v>
          </cell>
          <cell r="H22">
            <v>9.4401200000000003</v>
          </cell>
          <cell r="I22">
            <v>10.049160000000001</v>
          </cell>
          <cell r="J22">
            <v>14.312439999999999</v>
          </cell>
          <cell r="K22">
            <v>9.4401200000000003</v>
          </cell>
          <cell r="L22">
            <v>11.571759999999999</v>
          </cell>
          <cell r="M22">
            <v>12.78984</v>
          </cell>
          <cell r="N22">
            <v>9.7446400000000004</v>
          </cell>
          <cell r="O22">
            <v>13.551140000000002</v>
          </cell>
          <cell r="P22">
            <v>12.1808</v>
          </cell>
          <cell r="T22">
            <v>0</v>
          </cell>
          <cell r="U22">
            <v>134.7501</v>
          </cell>
          <cell r="V22">
            <v>133.23182499999999</v>
          </cell>
          <cell r="W22">
            <v>170.59299999999999</v>
          </cell>
          <cell r="X22">
            <v>1.5182750000000169</v>
          </cell>
          <cell r="Y22">
            <v>-35.842899999999986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0.82088000000000005</v>
          </cell>
          <cell r="F23">
            <v>0.84736</v>
          </cell>
          <cell r="G23">
            <v>1.08568</v>
          </cell>
          <cell r="H23">
            <v>0.82088000000000005</v>
          </cell>
          <cell r="I23">
            <v>0.87384000000000006</v>
          </cell>
          <cell r="J23">
            <v>1.2445599999999999</v>
          </cell>
          <cell r="K23">
            <v>0.82088000000000005</v>
          </cell>
          <cell r="L23">
            <v>1.00624</v>
          </cell>
          <cell r="M23">
            <v>1.11216</v>
          </cell>
          <cell r="N23">
            <v>0.84736</v>
          </cell>
          <cell r="O23">
            <v>1.1783600000000001</v>
          </cell>
          <cell r="P23">
            <v>1.0592000000000001</v>
          </cell>
          <cell r="R23">
            <v>0</v>
          </cell>
          <cell r="S23">
            <v>0</v>
          </cell>
          <cell r="T23">
            <v>0</v>
          </cell>
          <cell r="U23">
            <v>11.7174</v>
          </cell>
          <cell r="V23">
            <v>10.894426640000002</v>
          </cell>
          <cell r="W23">
            <v>13.751932000000002</v>
          </cell>
          <cell r="X23">
            <v>0.8229733599999971</v>
          </cell>
          <cell r="Y23">
            <v>-2.0345320000000022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38.387453579195395</v>
          </cell>
          <cell r="F24">
            <v>38.387453579195395</v>
          </cell>
          <cell r="G24">
            <v>39.487453579195396</v>
          </cell>
          <cell r="H24">
            <v>38.387453579195395</v>
          </cell>
          <cell r="I24">
            <v>38.387453579195395</v>
          </cell>
          <cell r="J24">
            <v>39.487453579195396</v>
          </cell>
          <cell r="K24">
            <v>39.099739157045398</v>
          </cell>
          <cell r="L24">
            <v>39.099739157045398</v>
          </cell>
          <cell r="M24">
            <v>40.1997391570454</v>
          </cell>
          <cell r="N24">
            <v>39.099739157045398</v>
          </cell>
          <cell r="O24">
            <v>40.1997391570454</v>
          </cell>
          <cell r="P24">
            <v>40.1997391570454</v>
          </cell>
          <cell r="R24">
            <v>0</v>
          </cell>
          <cell r="S24">
            <v>0</v>
          </cell>
          <cell r="T24">
            <v>0</v>
          </cell>
          <cell r="U24">
            <v>470.42315641744483</v>
          </cell>
          <cell r="V24">
            <v>545.15700500000003</v>
          </cell>
          <cell r="W24">
            <v>713.63300000000004</v>
          </cell>
          <cell r="X24">
            <v>-74.733848582555197</v>
          </cell>
          <cell r="Y24">
            <v>-243.20984358255521</v>
          </cell>
        </row>
        <row r="25">
          <cell r="B25" t="str">
            <v>TOTAL COST</v>
          </cell>
          <cell r="C25">
            <v>0</v>
          </cell>
          <cell r="E25">
            <v>254.61555357919542</v>
          </cell>
          <cell r="F25">
            <v>261.59065357919542</v>
          </cell>
          <cell r="G25">
            <v>325.46655357919548</v>
          </cell>
          <cell r="H25">
            <v>254.61555357919542</v>
          </cell>
          <cell r="I25">
            <v>268.56575357919542</v>
          </cell>
          <cell r="J25">
            <v>367.31715357919541</v>
          </cell>
          <cell r="K25">
            <v>255.32783915704542</v>
          </cell>
          <cell r="L25">
            <v>304.15353915704543</v>
          </cell>
          <cell r="M25">
            <v>333.15393915704544</v>
          </cell>
          <cell r="N25">
            <v>262.30293915704539</v>
          </cell>
          <cell r="O25">
            <v>350.59168915704549</v>
          </cell>
          <cell r="P25">
            <v>319.20373915704533</v>
          </cell>
          <cell r="R25">
            <v>0</v>
          </cell>
          <cell r="S25">
            <v>0</v>
          </cell>
          <cell r="T25">
            <v>0</v>
          </cell>
          <cell r="U25">
            <v>3556.9049064174446</v>
          </cell>
          <cell r="V25">
            <v>3397.1576966400003</v>
          </cell>
          <cell r="W25">
            <v>4295.2459319999998</v>
          </cell>
          <cell r="X25">
            <v>159.74720977744437</v>
          </cell>
          <cell r="Y25">
            <v>-738.34102558255518</v>
          </cell>
        </row>
        <row r="27">
          <cell r="B27" t="str">
            <v>GROSS MARGIN</v>
          </cell>
          <cell r="C27">
            <v>0</v>
          </cell>
          <cell r="E27">
            <v>267.26207142080466</v>
          </cell>
          <cell r="F27">
            <v>276.02697142080467</v>
          </cell>
          <cell r="G27">
            <v>353.81107142080458</v>
          </cell>
          <cell r="H27">
            <v>267.26207142080466</v>
          </cell>
          <cell r="I27">
            <v>284.79187142080468</v>
          </cell>
          <cell r="J27">
            <v>406.40047142080459</v>
          </cell>
          <cell r="K27">
            <v>266.54978584295463</v>
          </cell>
          <cell r="L27">
            <v>327.9040858429546</v>
          </cell>
          <cell r="M27">
            <v>361.86368584295462</v>
          </cell>
          <cell r="N27">
            <v>275.3146858429547</v>
          </cell>
          <cell r="O27">
            <v>383.7759358429546</v>
          </cell>
          <cell r="P27">
            <v>344.33388584295471</v>
          </cell>
          <cell r="R27">
            <v>0</v>
          </cell>
          <cell r="S27">
            <v>0</v>
          </cell>
          <cell r="T27">
            <v>0</v>
          </cell>
          <cell r="U27">
            <v>3815.2965935825555</v>
          </cell>
          <cell r="V27">
            <v>3565.9701733600009</v>
          </cell>
          <cell r="W27">
            <v>3986.5200680000016</v>
          </cell>
          <cell r="X27">
            <v>249.32642022255459</v>
          </cell>
          <cell r="Y27">
            <v>-171.22347441744614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158.66038</v>
          </cell>
          <cell r="F29">
            <v>158.66038</v>
          </cell>
          <cell r="G29">
            <v>158.66038</v>
          </cell>
          <cell r="H29">
            <v>158.66038</v>
          </cell>
          <cell r="I29">
            <v>158.66038</v>
          </cell>
          <cell r="J29">
            <v>158.66038</v>
          </cell>
          <cell r="K29">
            <v>158.66038</v>
          </cell>
          <cell r="L29">
            <v>158.66038</v>
          </cell>
          <cell r="M29">
            <v>158.66038</v>
          </cell>
          <cell r="N29">
            <v>158.66038</v>
          </cell>
          <cell r="O29">
            <v>158.66038</v>
          </cell>
          <cell r="P29">
            <v>158.66038</v>
          </cell>
          <cell r="T29">
            <v>0</v>
          </cell>
          <cell r="U29">
            <v>1903.9245600000002</v>
          </cell>
          <cell r="V29">
            <v>1797.2759500000004</v>
          </cell>
          <cell r="W29">
            <v>1848.47</v>
          </cell>
          <cell r="X29">
            <v>106.64860999999974</v>
          </cell>
          <cell r="Y29">
            <v>55.454560000000129</v>
          </cell>
        </row>
        <row r="30">
          <cell r="A30">
            <v>14</v>
          </cell>
          <cell r="B30" t="str">
            <v>Light, Heat and Power</v>
          </cell>
          <cell r="E30">
            <v>15</v>
          </cell>
          <cell r="F30">
            <v>15</v>
          </cell>
          <cell r="G30">
            <v>15</v>
          </cell>
          <cell r="H30">
            <v>15</v>
          </cell>
          <cell r="I30">
            <v>15</v>
          </cell>
          <cell r="J30">
            <v>15</v>
          </cell>
          <cell r="K30">
            <v>15</v>
          </cell>
          <cell r="L30">
            <v>15</v>
          </cell>
          <cell r="M30">
            <v>15</v>
          </cell>
          <cell r="N30">
            <v>15</v>
          </cell>
          <cell r="O30">
            <v>15</v>
          </cell>
          <cell r="P30">
            <v>15</v>
          </cell>
          <cell r="T30">
            <v>0</v>
          </cell>
          <cell r="U30">
            <v>180</v>
          </cell>
          <cell r="V30">
            <v>200.88871</v>
          </cell>
          <cell r="W30">
            <v>233.072</v>
          </cell>
          <cell r="X30">
            <v>-20.888710000000003</v>
          </cell>
          <cell r="Y30">
            <v>-53.072000000000003</v>
          </cell>
        </row>
        <row r="31">
          <cell r="A31">
            <v>15</v>
          </cell>
          <cell r="B31" t="str">
            <v>Repair &amp; Maintenance</v>
          </cell>
          <cell r="E31">
            <v>12.25</v>
          </cell>
          <cell r="F31">
            <v>12.25</v>
          </cell>
          <cell r="G31">
            <v>12.25</v>
          </cell>
          <cell r="H31">
            <v>17.25</v>
          </cell>
          <cell r="I31">
            <v>12.25</v>
          </cell>
          <cell r="J31">
            <v>12.25</v>
          </cell>
          <cell r="K31">
            <v>12.25</v>
          </cell>
          <cell r="L31">
            <v>12.25</v>
          </cell>
          <cell r="M31">
            <v>37.25</v>
          </cell>
          <cell r="N31">
            <v>12.25</v>
          </cell>
          <cell r="O31">
            <v>12.25</v>
          </cell>
          <cell r="P31">
            <v>12.25</v>
          </cell>
          <cell r="T31">
            <v>0</v>
          </cell>
          <cell r="U31">
            <v>177</v>
          </cell>
          <cell r="V31">
            <v>171.74321666666668</v>
          </cell>
          <cell r="W31">
            <v>271.601</v>
          </cell>
          <cell r="X31">
            <v>5.2567833333333169</v>
          </cell>
          <cell r="Y31">
            <v>-94.600999999999999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20.645654535791955</v>
          </cell>
          <cell r="F33">
            <v>20.645654535791955</v>
          </cell>
          <cell r="G33">
            <v>20.441374535791955</v>
          </cell>
          <cell r="H33">
            <v>20.645654535791955</v>
          </cell>
          <cell r="I33">
            <v>20.430374535791955</v>
          </cell>
          <cell r="J33">
            <v>20.656654535791954</v>
          </cell>
          <cell r="K33">
            <v>20.652777391570456</v>
          </cell>
          <cell r="L33">
            <v>22.506937391570457</v>
          </cell>
          <cell r="M33">
            <v>20.663777391570456</v>
          </cell>
          <cell r="N33">
            <v>20.437497391570457</v>
          </cell>
          <cell r="O33">
            <v>20.663777391570456</v>
          </cell>
          <cell r="P33">
            <v>20.448497391570456</v>
          </cell>
          <cell r="R33">
            <v>0</v>
          </cell>
          <cell r="S33">
            <v>0</v>
          </cell>
          <cell r="T33">
            <v>0</v>
          </cell>
          <cell r="U33">
            <v>248.83863156417442</v>
          </cell>
          <cell r="V33">
            <v>288.56553573333338</v>
          </cell>
          <cell r="W33">
            <v>348.07306800000003</v>
          </cell>
          <cell r="X33">
            <v>-39.726904169158956</v>
          </cell>
          <cell r="Y33">
            <v>-99.234436435825614</v>
          </cell>
        </row>
        <row r="35">
          <cell r="B35" t="str">
            <v>Total Overhead Expenses</v>
          </cell>
          <cell r="C35">
            <v>0</v>
          </cell>
          <cell r="E35">
            <v>206.55603453579195</v>
          </cell>
          <cell r="F35">
            <v>206.55603453579195</v>
          </cell>
          <cell r="G35">
            <v>206.35175453579197</v>
          </cell>
          <cell r="H35">
            <v>211.55603453579195</v>
          </cell>
          <cell r="I35">
            <v>206.34075453579197</v>
          </cell>
          <cell r="J35">
            <v>206.56703453579195</v>
          </cell>
          <cell r="K35">
            <v>206.56315739157046</v>
          </cell>
          <cell r="L35">
            <v>208.41731739157046</v>
          </cell>
          <cell r="M35">
            <v>231.57415739157045</v>
          </cell>
          <cell r="N35">
            <v>206.34787739157045</v>
          </cell>
          <cell r="O35">
            <v>206.57415739157045</v>
          </cell>
          <cell r="P35">
            <v>206.35887739157045</v>
          </cell>
          <cell r="R35">
            <v>0</v>
          </cell>
          <cell r="S35">
            <v>0</v>
          </cell>
          <cell r="T35">
            <v>0</v>
          </cell>
          <cell r="U35">
            <v>2509.7631915641746</v>
          </cell>
          <cell r="V35">
            <v>2458.4734124000006</v>
          </cell>
          <cell r="W35">
            <v>2701.2160680000002</v>
          </cell>
          <cell r="X35">
            <v>51.289779164173979</v>
          </cell>
          <cell r="Y35">
            <v>-191.4528764358256</v>
          </cell>
        </row>
        <row r="37">
          <cell r="B37" t="str">
            <v>E.B.I.T.D.</v>
          </cell>
          <cell r="C37">
            <v>0</v>
          </cell>
          <cell r="E37">
            <v>60.706036885012708</v>
          </cell>
          <cell r="F37">
            <v>69.470936885012719</v>
          </cell>
          <cell r="G37">
            <v>147.45931688501261</v>
          </cell>
          <cell r="H37">
            <v>55.706036885012708</v>
          </cell>
          <cell r="I37">
            <v>78.451116885012709</v>
          </cell>
          <cell r="J37">
            <v>199.83343688501265</v>
          </cell>
          <cell r="K37">
            <v>59.986628451384178</v>
          </cell>
          <cell r="L37">
            <v>119.48676845138414</v>
          </cell>
          <cell r="M37">
            <v>130.28952845138417</v>
          </cell>
          <cell r="N37">
            <v>68.966808451384253</v>
          </cell>
          <cell r="O37">
            <v>177.20177845138414</v>
          </cell>
          <cell r="P37">
            <v>137.97500845138427</v>
          </cell>
          <cell r="R37">
            <v>0</v>
          </cell>
          <cell r="S37">
            <v>0</v>
          </cell>
          <cell r="T37">
            <v>0</v>
          </cell>
          <cell r="U37">
            <v>1305.5334020183809</v>
          </cell>
          <cell r="V37">
            <v>1107.4967609600003</v>
          </cell>
          <cell r="W37">
            <v>1285.3040000000015</v>
          </cell>
          <cell r="X37">
            <v>198.03664105838061</v>
          </cell>
          <cell r="Y37">
            <v>20.22940201837946</v>
          </cell>
        </row>
        <row r="39">
          <cell r="A39">
            <v>18</v>
          </cell>
          <cell r="B39" t="str">
            <v>Depreciation</v>
          </cell>
          <cell r="E39">
            <v>37.618506944444448</v>
          </cell>
          <cell r="F39">
            <v>37.618506944444448</v>
          </cell>
          <cell r="G39">
            <v>37.618506944444448</v>
          </cell>
          <cell r="H39">
            <v>37.618506944444448</v>
          </cell>
          <cell r="I39">
            <v>37.618506944444448</v>
          </cell>
          <cell r="J39">
            <v>37.618506944444448</v>
          </cell>
          <cell r="K39">
            <v>38.201840277777784</v>
          </cell>
          <cell r="L39">
            <v>38.201840277777784</v>
          </cell>
          <cell r="M39">
            <v>38.201840277777784</v>
          </cell>
          <cell r="N39">
            <v>38.201840277777784</v>
          </cell>
          <cell r="O39">
            <v>38.201840277777784</v>
          </cell>
          <cell r="P39">
            <v>38.201840277777784</v>
          </cell>
          <cell r="T39">
            <v>0</v>
          </cell>
          <cell r="U39">
            <v>454.92208333333326</v>
          </cell>
          <cell r="V39">
            <v>449.09136115740739</v>
          </cell>
          <cell r="W39">
            <v>419.072</v>
          </cell>
          <cell r="X39">
            <v>5.8307221759258709</v>
          </cell>
          <cell r="Y39">
            <v>35.850083333333259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19.963999999999999</v>
          </cell>
          <cell r="X40">
            <v>-2.63</v>
          </cell>
          <cell r="Y40">
            <v>-19.963999999999999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195.98373809452056</v>
          </cell>
          <cell r="W41">
            <v>221.048</v>
          </cell>
          <cell r="X41">
            <v>-195.98373809452056</v>
          </cell>
          <cell r="Y41">
            <v>-221.048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23.08752994056826</v>
          </cell>
          <cell r="F44">
            <v>31.852429940568271</v>
          </cell>
          <cell r="G44">
            <v>109.84080994056816</v>
          </cell>
          <cell r="H44">
            <v>18.08752994056826</v>
          </cell>
          <cell r="I44">
            <v>40.832609940568261</v>
          </cell>
          <cell r="J44">
            <v>162.2149299405682</v>
          </cell>
          <cell r="K44">
            <v>21.784788173606394</v>
          </cell>
          <cell r="L44">
            <v>81.284928173606346</v>
          </cell>
          <cell r="M44">
            <v>92.087688173606381</v>
          </cell>
          <cell r="N44">
            <v>30.764968173606469</v>
          </cell>
          <cell r="O44">
            <v>138.99993817360635</v>
          </cell>
          <cell r="P44">
            <v>99.773168173606479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850.61131868504765</v>
          </cell>
          <cell r="V44">
            <v>462.51509170807236</v>
          </cell>
          <cell r="W44">
            <v>626.12700000000143</v>
          </cell>
          <cell r="X44">
            <v>388.09622697697529</v>
          </cell>
          <cell r="Y44">
            <v>224.48431868504622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23.08752994056826</v>
          </cell>
          <cell r="F50">
            <v>31.852429940568271</v>
          </cell>
          <cell r="G50">
            <v>109.84080994056816</v>
          </cell>
          <cell r="H50">
            <v>18.08752994056826</v>
          </cell>
          <cell r="I50">
            <v>40.832609940568261</v>
          </cell>
          <cell r="J50">
            <v>162.2149299405682</v>
          </cell>
          <cell r="K50">
            <v>21.784788173606394</v>
          </cell>
          <cell r="L50">
            <v>81.284928173606346</v>
          </cell>
          <cell r="M50">
            <v>92.087688173606381</v>
          </cell>
          <cell r="N50">
            <v>30.764968173606469</v>
          </cell>
          <cell r="O50">
            <v>138.99993817360635</v>
          </cell>
          <cell r="P50">
            <v>99.773168173606479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850.61131868504765</v>
          </cell>
          <cell r="V50">
            <v>462.51509170807236</v>
          </cell>
          <cell r="W50">
            <v>626.12700000000143</v>
          </cell>
          <cell r="X50">
            <v>388.09622697697529</v>
          </cell>
          <cell r="Y50">
            <v>224.48431868504622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60.76</v>
          </cell>
          <cell r="F54">
            <v>62.72</v>
          </cell>
          <cell r="G54">
            <v>80.36</v>
          </cell>
          <cell r="H54">
            <v>60.76</v>
          </cell>
          <cell r="I54">
            <v>64.680000000000007</v>
          </cell>
          <cell r="J54">
            <v>92.12</v>
          </cell>
          <cell r="K54">
            <v>60.76</v>
          </cell>
          <cell r="L54">
            <v>74.48</v>
          </cell>
          <cell r="M54">
            <v>82.32</v>
          </cell>
          <cell r="N54">
            <v>62.72</v>
          </cell>
          <cell r="O54">
            <v>87.22</v>
          </cell>
          <cell r="P54">
            <v>78.400000000000006</v>
          </cell>
          <cell r="T54">
            <v>0</v>
          </cell>
          <cell r="U54">
            <v>867.3</v>
          </cell>
          <cell r="V54">
            <v>820</v>
          </cell>
          <cell r="W54">
            <v>1016.269</v>
          </cell>
          <cell r="X54">
            <v>47.300000000000068</v>
          </cell>
          <cell r="Y54">
            <v>-148.96899999999994</v>
          </cell>
        </row>
        <row r="55">
          <cell r="A55">
            <v>28</v>
          </cell>
          <cell r="B55" t="str">
            <v>Admissions</v>
          </cell>
          <cell r="E55">
            <v>62</v>
          </cell>
          <cell r="F55">
            <v>64</v>
          </cell>
          <cell r="G55">
            <v>82</v>
          </cell>
          <cell r="H55">
            <v>62</v>
          </cell>
          <cell r="I55">
            <v>66</v>
          </cell>
          <cell r="J55">
            <v>94</v>
          </cell>
          <cell r="K55">
            <v>62</v>
          </cell>
          <cell r="L55">
            <v>76</v>
          </cell>
          <cell r="M55">
            <v>84</v>
          </cell>
          <cell r="N55">
            <v>64</v>
          </cell>
          <cell r="O55">
            <v>89</v>
          </cell>
          <cell r="P55">
            <v>80</v>
          </cell>
          <cell r="T55">
            <v>0</v>
          </cell>
          <cell r="U55">
            <v>885</v>
          </cell>
          <cell r="V55">
            <v>820</v>
          </cell>
          <cell r="W55">
            <v>1016.269</v>
          </cell>
          <cell r="X55">
            <v>65</v>
          </cell>
          <cell r="Y55">
            <v>-131.26900000000001</v>
          </cell>
        </row>
        <row r="56">
          <cell r="B56" t="str">
            <v>Utilisation Rate</v>
          </cell>
          <cell r="E56">
            <v>0.21777615421361735</v>
          </cell>
          <cell r="F56">
            <v>0.22480119144631466</v>
          </cell>
          <cell r="G56">
            <v>0.23042122123247252</v>
          </cell>
          <cell r="H56">
            <v>0.21777615421361735</v>
          </cell>
          <cell r="I56">
            <v>0.23182622867901201</v>
          </cell>
          <cell r="J56">
            <v>0.26414139994941971</v>
          </cell>
          <cell r="K56">
            <v>0.21777615421361735</v>
          </cell>
          <cell r="L56">
            <v>0.26695141484249868</v>
          </cell>
          <cell r="M56">
            <v>0.23604125101863041</v>
          </cell>
          <cell r="N56">
            <v>0.22480119144631466</v>
          </cell>
          <cell r="O56">
            <v>0.25009132548402507</v>
          </cell>
          <cell r="P56">
            <v>0.28100148930789332</v>
          </cell>
          <cell r="U56">
            <v>0.23912145965142845</v>
          </cell>
          <cell r="V56">
            <v>0.22590079318727285</v>
          </cell>
          <cell r="W56">
            <v>0.26584463244543977</v>
          </cell>
          <cell r="X56">
            <v>1.3220666464155595E-2</v>
          </cell>
          <cell r="Y56">
            <v>-2.6723172794011318E-2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6.6429430731707324</v>
          </cell>
          <cell r="W57">
            <v>6.765891707805709</v>
          </cell>
          <cell r="X57">
            <v>-2.2943073170730521E-2</v>
          </cell>
          <cell r="Y57">
            <v>-0.14589170780570715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2.2999999999999993E-2</v>
          </cell>
          <cell r="V58">
            <v>2.4458712588109173E-2</v>
          </cell>
          <cell r="W58">
            <v>2.4810041236387727E-2</v>
          </cell>
          <cell r="X58">
            <v>-1.4587125881091803E-3</v>
          </cell>
          <cell r="Y58">
            <v>-1.8100412363877341E-3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0.17090843257852897</v>
          </cell>
          <cell r="W59">
            <v>0.22597877783283751</v>
          </cell>
          <cell r="X59">
            <v>2.4091567421471033E-2</v>
          </cell>
          <cell r="Y59">
            <v>-3.0978777832837506E-2</v>
          </cell>
        </row>
        <row r="60">
          <cell r="B60" t="str">
            <v>Concess. Rev per Patron (S$)</v>
          </cell>
          <cell r="C60" t="str">
            <v>N.A.</v>
          </cell>
          <cell r="E60">
            <v>1.25</v>
          </cell>
          <cell r="F60">
            <v>1.25</v>
          </cell>
          <cell r="G60">
            <v>1.25</v>
          </cell>
          <cell r="H60">
            <v>1.25</v>
          </cell>
          <cell r="I60">
            <v>1.25</v>
          </cell>
          <cell r="J60">
            <v>1.25</v>
          </cell>
          <cell r="K60">
            <v>1.25</v>
          </cell>
          <cell r="L60">
            <v>1.25</v>
          </cell>
          <cell r="M60">
            <v>1.25</v>
          </cell>
          <cell r="N60">
            <v>1.25</v>
          </cell>
          <cell r="O60">
            <v>1.25</v>
          </cell>
          <cell r="P60">
            <v>1.25</v>
          </cell>
          <cell r="R60" t="str">
            <v>N.A.</v>
          </cell>
          <cell r="S60" t="str">
            <v>N.A.</v>
          </cell>
          <cell r="U60">
            <v>1.25</v>
          </cell>
          <cell r="V60">
            <v>1.2910436341463416</v>
          </cell>
          <cell r="W60">
            <v>1.0762524489087042</v>
          </cell>
          <cell r="X60">
            <v>-4.1043634146341601E-2</v>
          </cell>
          <cell r="Y60">
            <v>0.1737475510912958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0.46389614130257711</v>
          </cell>
          <cell r="W61">
            <v>0.4581321373607723</v>
          </cell>
          <cell r="X61">
            <v>1.1038586974227993E-3</v>
          </cell>
          <cell r="Y61">
            <v>6.8678626392276176E-3</v>
          </cell>
        </row>
        <row r="62">
          <cell r="B62" t="str">
            <v>Direct Payroll : Net Box</v>
          </cell>
          <cell r="C62" t="str">
            <v>N.A.</v>
          </cell>
          <cell r="E62">
            <v>9.3527564514168687E-2</v>
          </cell>
          <cell r="F62">
            <v>9.0604828123100917E-2</v>
          </cell>
          <cell r="G62">
            <v>7.2742343193566053E-2</v>
          </cell>
          <cell r="H62">
            <v>9.3527564514168687E-2</v>
          </cell>
          <cell r="I62">
            <v>8.7859227270885729E-2</v>
          </cell>
          <cell r="J62">
            <v>6.3456086615664001E-2</v>
          </cell>
          <cell r="K62">
            <v>9.52629840099537E-2</v>
          </cell>
          <cell r="L62">
            <v>7.7714539587067491E-2</v>
          </cell>
          <cell r="M62">
            <v>7.2291287507274843E-2</v>
          </cell>
          <cell r="N62">
            <v>9.2286015759642653E-2</v>
          </cell>
          <cell r="O62">
            <v>6.8229979220349291E-2</v>
          </cell>
          <cell r="P62">
            <v>7.5905851882638598E-2</v>
          </cell>
          <cell r="R62" t="str">
            <v>N.A.</v>
          </cell>
          <cell r="S62" t="str">
            <v>N.A.</v>
          </cell>
          <cell r="U62">
            <v>8.0294801989766448E-2</v>
          </cell>
          <cell r="V62">
            <v>0.10007998089562609</v>
          </cell>
          <cell r="W62">
            <v>0.10378658067826398</v>
          </cell>
          <cell r="X62">
            <v>-1.9785178905859638E-2</v>
          </cell>
          <cell r="Y62">
            <v>-2.3491778688497528E-2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7.8672487558296908E-2</v>
          </cell>
          <cell r="F63">
            <v>7.6213972322100129E-2</v>
          </cell>
          <cell r="G63">
            <v>6.1188603804499017E-2</v>
          </cell>
          <cell r="H63">
            <v>7.8672487558296908E-2</v>
          </cell>
          <cell r="I63">
            <v>7.3904458009309212E-2</v>
          </cell>
          <cell r="J63">
            <v>5.3377292680520425E-2</v>
          </cell>
          <cell r="K63">
            <v>8.0132268633531581E-2</v>
          </cell>
          <cell r="L63">
            <v>6.5371061253670495E-2</v>
          </cell>
          <cell r="M63">
            <v>6.0809189745636531E-2</v>
          </cell>
          <cell r="N63">
            <v>7.7628135238733714E-2</v>
          </cell>
          <cell r="O63">
            <v>5.739294313071313E-2</v>
          </cell>
          <cell r="P63">
            <v>6.384964923291836E-2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6.7541497988850563E-2</v>
          </cell>
          <cell r="V63">
            <v>8.3794647051844307E-2</v>
          </cell>
          <cell r="W63">
            <v>8.9542955543777655E-2</v>
          </cell>
          <cell r="X63">
            <v>-1.6253149062993744E-2</v>
          </cell>
          <cell r="Y63">
            <v>-2.2001457554927092E-2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0.61915247708379673</v>
          </cell>
          <cell r="F64">
            <v>0.59980396217492804</v>
          </cell>
          <cell r="G64">
            <v>0.48155431194140724</v>
          </cell>
          <cell r="H64">
            <v>0.61915247708379673</v>
          </cell>
          <cell r="I64">
            <v>0.58162808453326353</v>
          </cell>
          <cell r="J64">
            <v>0.42007929339569572</v>
          </cell>
          <cell r="K64">
            <v>0.6306409541458935</v>
          </cell>
          <cell r="L64">
            <v>0.51447025206638686</v>
          </cell>
          <cell r="M64">
            <v>0.47856832329815951</v>
          </cell>
          <cell r="N64">
            <v>0.61093342432883435</v>
          </cell>
          <cell r="O64">
            <v>0.45168246243871235</v>
          </cell>
          <cell r="P64">
            <v>0.5024967394630675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0.53155158917225409</v>
          </cell>
          <cell r="V64">
            <v>0.66482561585365851</v>
          </cell>
          <cell r="W64">
            <v>0.70220876559257439</v>
          </cell>
          <cell r="X64">
            <v>-0.13327402668140442</v>
          </cell>
          <cell r="Y64">
            <v>-0.1706571764203203</v>
          </cell>
        </row>
        <row r="65">
          <cell r="B65" t="str">
            <v>Gross Margin :Total Rev</v>
          </cell>
          <cell r="C65" t="str">
            <v>N.A.</v>
          </cell>
          <cell r="E65">
            <v>0.51211636333480404</v>
          </cell>
          <cell r="F65">
            <v>0.51342619472493045</v>
          </cell>
          <cell r="G65">
            <v>0.52086372110490842</v>
          </cell>
          <cell r="H65">
            <v>0.51211636333480404</v>
          </cell>
          <cell r="I65">
            <v>0.51466151102698665</v>
          </cell>
          <cell r="J65">
            <v>0.52525683568447157</v>
          </cell>
          <cell r="K65">
            <v>0.51075151160763899</v>
          </cell>
          <cell r="L65">
            <v>0.51878827637425395</v>
          </cell>
          <cell r="M65">
            <v>0.52065397023989801</v>
          </cell>
          <cell r="N65">
            <v>0.51210130219029681</v>
          </cell>
          <cell r="O65">
            <v>0.52259375655749329</v>
          </cell>
          <cell r="P65">
            <v>0.51893648961195638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0.51752473037837543</v>
          </cell>
          <cell r="V65">
            <v>0.51212188544226755</v>
          </cell>
          <cell r="W65">
            <v>0.48136110921269704</v>
          </cell>
          <cell r="X65">
            <v>5.4028449361078756E-3</v>
          </cell>
          <cell r="Y65">
            <v>3.6163621165678395E-2</v>
          </cell>
        </row>
        <row r="66">
          <cell r="B66" t="str">
            <v>G&amp;A % of total revenue</v>
          </cell>
          <cell r="C66" t="str">
            <v>N.A.</v>
          </cell>
          <cell r="E66">
            <v>3.9560336651321186E-2</v>
          </cell>
          <cell r="F66">
            <v>3.8402116254637207E-2</v>
          </cell>
          <cell r="G66">
            <v>3.0092812987608641E-2</v>
          </cell>
          <cell r="H66">
            <v>3.9560336651321186E-2</v>
          </cell>
          <cell r="I66">
            <v>3.692074277605184E-2</v>
          </cell>
          <cell r="J66">
            <v>2.6697924240503056E-2</v>
          </cell>
          <cell r="K66">
            <v>3.9573985168592833E-2</v>
          </cell>
          <cell r="L66">
            <v>3.5608995922753808E-2</v>
          </cell>
          <cell r="M66">
            <v>2.9731299823613038E-2</v>
          </cell>
          <cell r="N66">
            <v>3.8014931879456988E-2</v>
          </cell>
          <cell r="O66">
            <v>2.8138192218877367E-2</v>
          </cell>
          <cell r="P66">
            <v>3.081738943073568E-2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3.3753639474473719E-2</v>
          </cell>
          <cell r="V66">
            <v>4.1441941196655535E-2</v>
          </cell>
          <cell r="W66">
            <v>4.2028846021488653E-2</v>
          </cell>
          <cell r="X66">
            <v>-7.6883017221818159E-3</v>
          </cell>
          <cell r="Y66">
            <v>-8.2752065470149336E-3</v>
          </cell>
        </row>
        <row r="67">
          <cell r="B67" t="str">
            <v>E.B.I.T.D. : Total Rev</v>
          </cell>
          <cell r="C67" t="str">
            <v>N.A.</v>
          </cell>
          <cell r="E67">
            <v>0.1163223598348611</v>
          </cell>
          <cell r="F67">
            <v>0.12921997653074099</v>
          </cell>
          <cell r="G67">
            <v>0.21708254689680467</v>
          </cell>
          <cell r="H67">
            <v>0.10674156970230847</v>
          </cell>
          <cell r="I67">
            <v>0.14177290298477896</v>
          </cell>
          <cell r="J67">
            <v>0.25827696103602737</v>
          </cell>
          <cell r="K67">
            <v>0.11494385959042441</v>
          </cell>
          <cell r="L67">
            <v>0.18904410567214364</v>
          </cell>
          <cell r="M67">
            <v>0.18746219342478423</v>
          </cell>
          <cell r="N67">
            <v>0.12828226837128756</v>
          </cell>
          <cell r="O67">
            <v>0.24129846199494989</v>
          </cell>
          <cell r="P67">
            <v>0.20793848495235559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0.17708867588852267</v>
          </cell>
          <cell r="V67">
            <v>0.15905161899030301</v>
          </cell>
          <cell r="W67">
            <v>0.15519685052680807</v>
          </cell>
          <cell r="X67">
            <v>1.8037056898219661E-2</v>
          </cell>
          <cell r="Y67">
            <v>2.1891825361714606E-2</v>
          </cell>
        </row>
        <row r="68">
          <cell r="B68" t="str">
            <v>No of Concession Transactions</v>
          </cell>
          <cell r="E68">
            <v>16</v>
          </cell>
          <cell r="F68">
            <v>15</v>
          </cell>
          <cell r="G68">
            <v>22</v>
          </cell>
          <cell r="H68">
            <v>16</v>
          </cell>
          <cell r="I68">
            <v>17</v>
          </cell>
          <cell r="J68">
            <v>22</v>
          </cell>
          <cell r="K68">
            <v>16</v>
          </cell>
          <cell r="L68">
            <v>19</v>
          </cell>
          <cell r="M68">
            <v>22</v>
          </cell>
          <cell r="N68">
            <v>19</v>
          </cell>
          <cell r="O68">
            <v>20</v>
          </cell>
          <cell r="P68">
            <v>26</v>
          </cell>
          <cell r="Q68" t="str">
            <v/>
          </cell>
          <cell r="R68">
            <v>30.509</v>
          </cell>
          <cell r="S68">
            <v>31.509</v>
          </cell>
          <cell r="T68">
            <v>32.509</v>
          </cell>
          <cell r="U68">
            <v>230</v>
          </cell>
          <cell r="V68">
            <v>216</v>
          </cell>
          <cell r="W68">
            <v>0</v>
          </cell>
          <cell r="X68">
            <v>14</v>
          </cell>
          <cell r="Y68">
            <v>230</v>
          </cell>
        </row>
        <row r="69">
          <cell r="B69" t="str">
            <v>Strike Rate %(No of Trans/Adm)</v>
          </cell>
          <cell r="E69">
            <v>0.25806451612903225</v>
          </cell>
          <cell r="F69">
            <v>0.234375</v>
          </cell>
          <cell r="G69">
            <v>0.26829268292682928</v>
          </cell>
          <cell r="H69">
            <v>0.25806451612903225</v>
          </cell>
          <cell r="I69">
            <v>0.25757575757575757</v>
          </cell>
          <cell r="J69">
            <v>0.23404255319148937</v>
          </cell>
          <cell r="K69">
            <v>0.25806451612903225</v>
          </cell>
          <cell r="L69">
            <v>0.25</v>
          </cell>
          <cell r="M69">
            <v>0.26190476190476192</v>
          </cell>
          <cell r="N69">
            <v>0.296875</v>
          </cell>
          <cell r="O69">
            <v>0.2247191011235955</v>
          </cell>
          <cell r="P69">
            <v>0.32500000000000001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0.25988700564971751</v>
          </cell>
          <cell r="V69">
            <v>0.26341463414634148</v>
          </cell>
          <cell r="W69">
            <v>0</v>
          </cell>
          <cell r="X69">
            <v>-3.527628496623969E-3</v>
          </cell>
          <cell r="Y69">
            <v>0.25988700564971751</v>
          </cell>
        </row>
        <row r="70">
          <cell r="B70" t="str">
            <v>Ave Sales (Total Sale/No of Trans) (S$)</v>
          </cell>
          <cell r="E70">
            <v>4.84375</v>
          </cell>
          <cell r="F70">
            <v>5.333333333333333</v>
          </cell>
          <cell r="G70">
            <v>4.6590909090909092</v>
          </cell>
          <cell r="H70">
            <v>4.84375</v>
          </cell>
          <cell r="I70">
            <v>4.8529411764705879</v>
          </cell>
          <cell r="J70">
            <v>5.3409090909090908</v>
          </cell>
          <cell r="K70">
            <v>4.84375</v>
          </cell>
          <cell r="L70">
            <v>5</v>
          </cell>
          <cell r="M70">
            <v>4.7727272727272725</v>
          </cell>
          <cell r="N70">
            <v>4.2105263157894735</v>
          </cell>
          <cell r="O70">
            <v>5.5625</v>
          </cell>
          <cell r="P70">
            <v>3.8461538461538463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4.8097826086956523</v>
          </cell>
          <cell r="V70">
            <v>4.9011841666666669</v>
          </cell>
          <cell r="W70" t="str">
            <v>N.A.</v>
          </cell>
          <cell r="X70">
            <v>-9.1401557971014569E-2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30</v>
          </cell>
          <cell r="F71">
            <v>31</v>
          </cell>
          <cell r="G71">
            <v>44</v>
          </cell>
          <cell r="H71">
            <v>31</v>
          </cell>
          <cell r="I71">
            <v>35</v>
          </cell>
          <cell r="J71">
            <v>50</v>
          </cell>
          <cell r="K71">
            <v>30</v>
          </cell>
          <cell r="L71">
            <v>35</v>
          </cell>
          <cell r="M71">
            <v>46</v>
          </cell>
          <cell r="N71">
            <v>34</v>
          </cell>
          <cell r="O71">
            <v>46</v>
          </cell>
          <cell r="P71">
            <v>45</v>
          </cell>
          <cell r="Q71" t="str">
            <v/>
          </cell>
          <cell r="R71">
            <v>71.703000000000003</v>
          </cell>
          <cell r="S71">
            <v>72.703000000000003</v>
          </cell>
          <cell r="T71">
            <v>73.703000000000003</v>
          </cell>
          <cell r="U71">
            <v>457</v>
          </cell>
          <cell r="V71">
            <v>550</v>
          </cell>
          <cell r="W71">
            <v>0</v>
          </cell>
          <cell r="X71">
            <v>-93</v>
          </cell>
          <cell r="Y71">
            <v>457</v>
          </cell>
        </row>
        <row r="72">
          <cell r="B72" t="str">
            <v>Combo Sales as % of Total Sales</v>
          </cell>
          <cell r="E72">
            <v>0.38709677419354838</v>
          </cell>
          <cell r="F72">
            <v>0.38750000000000001</v>
          </cell>
          <cell r="G72">
            <v>0.42926829268292682</v>
          </cell>
          <cell r="H72">
            <v>0.4</v>
          </cell>
          <cell r="I72">
            <v>0.42424242424242425</v>
          </cell>
          <cell r="J72">
            <v>0.42553191489361702</v>
          </cell>
          <cell r="K72">
            <v>0.38709677419354838</v>
          </cell>
          <cell r="L72">
            <v>0.36842105263157893</v>
          </cell>
          <cell r="M72">
            <v>0.43809523809523809</v>
          </cell>
          <cell r="N72">
            <v>0.42499999999999999</v>
          </cell>
          <cell r="O72">
            <v>0.41348314606741571</v>
          </cell>
          <cell r="P72">
            <v>0.45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0.41310734463276838</v>
          </cell>
          <cell r="V72">
            <v>0.51952675306793294</v>
          </cell>
          <cell r="W72">
            <v>0</v>
          </cell>
          <cell r="X72">
            <v>-0.10641940843516456</v>
          </cell>
          <cell r="Y72">
            <v>0.41310734463276838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6.0760000000000005</v>
          </cell>
          <cell r="S73">
            <v>6.0760000000000005</v>
          </cell>
          <cell r="T73">
            <v>6.0760000000000005</v>
          </cell>
          <cell r="U73">
            <v>69.617000000000004</v>
          </cell>
          <cell r="V73">
            <v>68</v>
          </cell>
          <cell r="W73">
            <v>0</v>
          </cell>
          <cell r="X73">
            <v>1.6170000000000044</v>
          </cell>
          <cell r="Y73">
            <v>69.617000000000004</v>
          </cell>
        </row>
        <row r="74">
          <cell r="B74" t="str">
            <v>Admissions/labour hour paid</v>
          </cell>
          <cell r="E74">
            <v>13.451941852896507</v>
          </cell>
          <cell r="F74">
            <v>12.576144625663193</v>
          </cell>
          <cell r="G74">
            <v>11.714285714285714</v>
          </cell>
          <cell r="H74">
            <v>13.006083490664988</v>
          </cell>
          <cell r="I74">
            <v>13.2</v>
          </cell>
          <cell r="J74">
            <v>13.428571428571429</v>
          </cell>
          <cell r="K74">
            <v>10.204081632653061</v>
          </cell>
          <cell r="L74">
            <v>15.2</v>
          </cell>
          <cell r="M74">
            <v>12</v>
          </cell>
          <cell r="N74">
            <v>12.8</v>
          </cell>
          <cell r="O74">
            <v>12.714285714285714</v>
          </cell>
          <cell r="P74">
            <v>13.166556945358787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12.712412198169986</v>
          </cell>
          <cell r="V74">
            <v>12.058823529411764</v>
          </cell>
          <cell r="W74" t="str">
            <v>N.A.</v>
          </cell>
          <cell r="X74">
            <v>0.6535886687582213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46.892529999999994</v>
          </cell>
          <cell r="W77">
            <v>3.8690000000000002</v>
          </cell>
          <cell r="X77">
            <v>-19.705029999999994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2.5</v>
          </cell>
          <cell r="F78">
            <v>2.5</v>
          </cell>
          <cell r="G78">
            <v>2.5</v>
          </cell>
          <cell r="H78">
            <v>2.5</v>
          </cell>
          <cell r="I78">
            <v>2.5</v>
          </cell>
          <cell r="J78">
            <v>2.5</v>
          </cell>
          <cell r="K78">
            <v>2.5</v>
          </cell>
          <cell r="L78">
            <v>2.5</v>
          </cell>
          <cell r="M78">
            <v>2.5</v>
          </cell>
          <cell r="N78">
            <v>2.5</v>
          </cell>
          <cell r="O78">
            <v>2.5</v>
          </cell>
          <cell r="P78">
            <v>2.5</v>
          </cell>
          <cell r="T78">
            <v>0</v>
          </cell>
          <cell r="U78">
            <v>30</v>
          </cell>
          <cell r="V78">
            <v>26.965</v>
          </cell>
          <cell r="W78">
            <v>3.2970000000000002</v>
          </cell>
          <cell r="X78">
            <v>3.0350000000000001</v>
          </cell>
          <cell r="Y78">
            <v>26.702999999999999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55.29</v>
          </cell>
          <cell r="W82">
            <v>54.024000000000001</v>
          </cell>
          <cell r="X82">
            <v>-17.225999999999999</v>
          </cell>
          <cell r="Y82">
            <v>-15.96</v>
          </cell>
        </row>
        <row r="83">
          <cell r="C83">
            <v>0</v>
          </cell>
          <cell r="E83">
            <v>7.9376250000000006</v>
          </cell>
          <cell r="F83">
            <v>7.9376250000000006</v>
          </cell>
          <cell r="G83">
            <v>7.9376250000000006</v>
          </cell>
          <cell r="H83">
            <v>7.9376250000000006</v>
          </cell>
          <cell r="I83">
            <v>7.9376250000000006</v>
          </cell>
          <cell r="J83">
            <v>7.9376250000000006</v>
          </cell>
          <cell r="K83">
            <v>7.9376250000000006</v>
          </cell>
          <cell r="L83">
            <v>7.9376250000000006</v>
          </cell>
          <cell r="M83">
            <v>7.9376250000000006</v>
          </cell>
          <cell r="N83">
            <v>7.9376250000000006</v>
          </cell>
          <cell r="O83">
            <v>7.9376250000000006</v>
          </cell>
          <cell r="P83">
            <v>7.9376250000000006</v>
          </cell>
          <cell r="R83">
            <v>0</v>
          </cell>
          <cell r="S83">
            <v>0</v>
          </cell>
          <cell r="T83">
            <v>0</v>
          </cell>
          <cell r="U83">
            <v>95.251499999999993</v>
          </cell>
          <cell r="V83">
            <v>129.14752999999999</v>
          </cell>
          <cell r="W83">
            <v>61.19</v>
          </cell>
          <cell r="X83">
            <v>-33.896029999999996</v>
          </cell>
          <cell r="Y83">
            <v>34.061499999999995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0.82088000000000005</v>
          </cell>
          <cell r="F86">
            <v>0.84736</v>
          </cell>
          <cell r="G86">
            <v>1.08568</v>
          </cell>
          <cell r="H86">
            <v>0.82088000000000005</v>
          </cell>
          <cell r="I86">
            <v>0.87384000000000006</v>
          </cell>
          <cell r="J86">
            <v>1.2445599999999999</v>
          </cell>
          <cell r="K86">
            <v>0.82088000000000005</v>
          </cell>
          <cell r="L86">
            <v>1.00624</v>
          </cell>
          <cell r="M86">
            <v>1.11216</v>
          </cell>
          <cell r="N86">
            <v>0.84736</v>
          </cell>
          <cell r="O86">
            <v>1.1783600000000001</v>
          </cell>
          <cell r="P86">
            <v>1.0592000000000001</v>
          </cell>
          <cell r="U86">
            <v>11.7174</v>
          </cell>
          <cell r="V86">
            <v>10.894426640000002</v>
          </cell>
          <cell r="W86">
            <v>13.751932000000002</v>
          </cell>
          <cell r="X86">
            <v>0.8229733599999971</v>
          </cell>
          <cell r="Y86">
            <v>-2.0345320000000022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0.82088000000000005</v>
          </cell>
          <cell r="F91">
            <v>0.84736</v>
          </cell>
          <cell r="G91">
            <v>1.08568</v>
          </cell>
          <cell r="H91">
            <v>0.82088000000000005</v>
          </cell>
          <cell r="I91">
            <v>0.87384000000000006</v>
          </cell>
          <cell r="J91">
            <v>1.2445599999999999</v>
          </cell>
          <cell r="K91">
            <v>0.82088000000000005</v>
          </cell>
          <cell r="L91">
            <v>1.00624</v>
          </cell>
          <cell r="M91">
            <v>1.11216</v>
          </cell>
          <cell r="N91">
            <v>0.84736</v>
          </cell>
          <cell r="O91">
            <v>1.1783600000000001</v>
          </cell>
          <cell r="P91">
            <v>1.0592000000000001</v>
          </cell>
          <cell r="U91">
            <v>11.7174</v>
          </cell>
          <cell r="V91">
            <v>10.894426640000002</v>
          </cell>
          <cell r="W91">
            <v>13.751932000000002</v>
          </cell>
          <cell r="X91">
            <v>0.8229733599999971</v>
          </cell>
          <cell r="Y91">
            <v>-2.0345320000000022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35.670478995862062</v>
          </cell>
          <cell r="F94">
            <v>35.670478995862062</v>
          </cell>
          <cell r="G94">
            <v>36.770478995862064</v>
          </cell>
          <cell r="H94">
            <v>35.670478995862062</v>
          </cell>
          <cell r="I94">
            <v>35.670478995862062</v>
          </cell>
          <cell r="J94">
            <v>36.770478995862064</v>
          </cell>
          <cell r="K94">
            <v>36.382764573712066</v>
          </cell>
          <cell r="L94">
            <v>36.382764573712066</v>
          </cell>
          <cell r="M94">
            <v>37.482764573712068</v>
          </cell>
          <cell r="N94">
            <v>36.382764573712066</v>
          </cell>
          <cell r="O94">
            <v>37.482764573712068</v>
          </cell>
          <cell r="P94">
            <v>37.482764573712068</v>
          </cell>
          <cell r="Q94" t="str">
            <v xml:space="preserve"> </v>
          </cell>
          <cell r="T94">
            <v>0</v>
          </cell>
          <cell r="U94">
            <v>437.81946141744476</v>
          </cell>
          <cell r="V94">
            <v>502.37193500000001</v>
          </cell>
          <cell r="W94">
            <v>640.92899999999997</v>
          </cell>
          <cell r="X94">
            <v>-64.552473582555251</v>
          </cell>
          <cell r="Y94">
            <v>-203.10953858255522</v>
          </cell>
        </row>
        <row r="95">
          <cell r="A95">
            <v>67</v>
          </cell>
          <cell r="B95" t="str">
            <v>Bonus/Commission</v>
          </cell>
          <cell r="E95">
            <v>1.5359745833333331</v>
          </cell>
          <cell r="F95">
            <v>1.5359745833333331</v>
          </cell>
          <cell r="G95">
            <v>1.5359745833333331</v>
          </cell>
          <cell r="H95">
            <v>1.5359745833333331</v>
          </cell>
          <cell r="I95">
            <v>1.5359745833333331</v>
          </cell>
          <cell r="J95">
            <v>1.5359745833333331</v>
          </cell>
          <cell r="K95">
            <v>1.5359745833333331</v>
          </cell>
          <cell r="L95">
            <v>1.5359745833333331</v>
          </cell>
          <cell r="M95">
            <v>1.5359745833333331</v>
          </cell>
          <cell r="N95">
            <v>1.5359745833333331</v>
          </cell>
          <cell r="O95">
            <v>1.5359745833333331</v>
          </cell>
          <cell r="P95">
            <v>1.5359745833333331</v>
          </cell>
          <cell r="Q95" t="str">
            <v xml:space="preserve"> </v>
          </cell>
          <cell r="T95">
            <v>0</v>
          </cell>
          <cell r="U95">
            <v>18.431694999999998</v>
          </cell>
          <cell r="V95">
            <v>24.458890000000004</v>
          </cell>
          <cell r="W95">
            <v>39.375999999999998</v>
          </cell>
          <cell r="X95">
            <v>-6.0271950000000061</v>
          </cell>
          <cell r="Y95">
            <v>-20.944305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 xml:space="preserve"> 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 t="str">
            <v xml:space="preserve"> </v>
          </cell>
          <cell r="T97">
            <v>0</v>
          </cell>
          <cell r="U97">
            <v>6.6360000000000001</v>
          </cell>
          <cell r="V97">
            <v>9.9864999999999977</v>
          </cell>
          <cell r="W97">
            <v>18.306000000000001</v>
          </cell>
          <cell r="X97">
            <v>-3.3504999999999976</v>
          </cell>
          <cell r="Y97">
            <v>-11.67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Q98" t="str">
            <v xml:space="preserve"> </v>
          </cell>
          <cell r="T98">
            <v>0</v>
          </cell>
          <cell r="U98">
            <v>7.5360000000000005</v>
          </cell>
          <cell r="V98">
            <v>8.3396799999999995</v>
          </cell>
          <cell r="W98">
            <v>15.022</v>
          </cell>
          <cell r="X98">
            <v>-0.80367999999999906</v>
          </cell>
          <cell r="Y98">
            <v>-7.4859999999999998</v>
          </cell>
        </row>
        <row r="99">
          <cell r="C99">
            <v>0</v>
          </cell>
          <cell r="E99">
            <v>38.387453579195395</v>
          </cell>
          <cell r="F99">
            <v>38.387453579195395</v>
          </cell>
          <cell r="G99">
            <v>39.487453579195396</v>
          </cell>
          <cell r="H99">
            <v>38.387453579195395</v>
          </cell>
          <cell r="I99">
            <v>38.387453579195395</v>
          </cell>
          <cell r="J99">
            <v>39.487453579195396</v>
          </cell>
          <cell r="K99">
            <v>39.099739157045398</v>
          </cell>
          <cell r="L99">
            <v>39.099739157045398</v>
          </cell>
          <cell r="M99">
            <v>40.1997391570454</v>
          </cell>
          <cell r="N99">
            <v>39.099739157045398</v>
          </cell>
          <cell r="O99">
            <v>40.1997391570454</v>
          </cell>
          <cell r="P99">
            <v>40.1997391570454</v>
          </cell>
          <cell r="Q99" t="str">
            <v xml:space="preserve"> </v>
          </cell>
          <cell r="R99">
            <v>0</v>
          </cell>
          <cell r="S99">
            <v>0</v>
          </cell>
          <cell r="T99">
            <v>0</v>
          </cell>
          <cell r="U99">
            <v>470.42315641744477</v>
          </cell>
          <cell r="V99">
            <v>545.15700500000003</v>
          </cell>
          <cell r="W99">
            <v>713.63300000000004</v>
          </cell>
          <cell r="X99">
            <v>-74.733848582555254</v>
          </cell>
          <cell r="Y99">
            <v>-243.20984358255527</v>
          </cell>
        </row>
        <row r="100">
          <cell r="Q100" t="str">
            <v xml:space="preserve"> </v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 xml:space="preserve"> 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 t="str">
            <v xml:space="preserve"> </v>
          </cell>
          <cell r="T102">
            <v>0</v>
          </cell>
          <cell r="U102">
            <v>15.6</v>
          </cell>
          <cell r="V102">
            <v>15.712970000000006</v>
          </cell>
          <cell r="W102">
            <v>18.341999999999999</v>
          </cell>
          <cell r="X102">
            <v>-0.11297000000000246</v>
          </cell>
          <cell r="Y102">
            <v>-2.7419999999999956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 xml:space="preserve"> 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21.268763333333332</v>
          </cell>
          <cell r="W104">
            <v>25.375</v>
          </cell>
          <cell r="X104">
            <v>2.7312366666666676</v>
          </cell>
          <cell r="Y104">
            <v>-1.375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10.095800000000001</v>
          </cell>
          <cell r="W105">
            <v>11.21</v>
          </cell>
          <cell r="X105">
            <v>1.9041999999999994</v>
          </cell>
          <cell r="Y105">
            <v>0.78999999999999915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6.6429699999999992</v>
          </cell>
          <cell r="W106">
            <v>0</v>
          </cell>
          <cell r="X106">
            <v>-0.64296999999999915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0.36</v>
          </cell>
          <cell r="F108">
            <v>0.36</v>
          </cell>
          <cell r="G108">
            <v>0.36</v>
          </cell>
          <cell r="H108">
            <v>0.36</v>
          </cell>
          <cell r="I108">
            <v>0.36</v>
          </cell>
          <cell r="J108">
            <v>0.36</v>
          </cell>
          <cell r="K108">
            <v>0.36</v>
          </cell>
          <cell r="L108">
            <v>0.36</v>
          </cell>
          <cell r="M108">
            <v>0.36</v>
          </cell>
          <cell r="N108">
            <v>0.36</v>
          </cell>
          <cell r="O108">
            <v>0.36</v>
          </cell>
          <cell r="P108">
            <v>0.36</v>
          </cell>
          <cell r="T108">
            <v>0</v>
          </cell>
          <cell r="U108">
            <v>4.32</v>
          </cell>
          <cell r="V108">
            <v>6.5681123999999969</v>
          </cell>
          <cell r="W108">
            <v>20.073067999999999</v>
          </cell>
          <cell r="X108">
            <v>-2.2481123999999975</v>
          </cell>
          <cell r="Y108">
            <v>-15.753067999999999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6.6736800000000001</v>
          </cell>
          <cell r="F111">
            <v>6.6736800000000001</v>
          </cell>
          <cell r="G111">
            <v>6.4584000000000001</v>
          </cell>
          <cell r="H111">
            <v>6.6736800000000001</v>
          </cell>
          <cell r="I111">
            <v>6.4584000000000001</v>
          </cell>
          <cell r="J111">
            <v>6.6736800000000001</v>
          </cell>
          <cell r="K111">
            <v>6.6736800000000001</v>
          </cell>
          <cell r="L111">
            <v>8.5278400000000012</v>
          </cell>
          <cell r="M111">
            <v>6.6736800000000001</v>
          </cell>
          <cell r="N111">
            <v>6.4584000000000001</v>
          </cell>
          <cell r="O111">
            <v>6.6736800000000001</v>
          </cell>
          <cell r="P111">
            <v>6.4584000000000001</v>
          </cell>
          <cell r="T111">
            <v>0</v>
          </cell>
          <cell r="U111">
            <v>81.077200000000005</v>
          </cell>
          <cell r="V111">
            <v>113.20794000000001</v>
          </cell>
          <cell r="W111">
            <v>169.8</v>
          </cell>
          <cell r="X111">
            <v>-32.130740000000003</v>
          </cell>
          <cell r="Y111">
            <v>-88.722800000000007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53.916430000000005</v>
          </cell>
          <cell r="W112">
            <v>38.929000000000002</v>
          </cell>
          <cell r="X112">
            <v>-5.9164300000000054</v>
          </cell>
          <cell r="Y112">
            <v>9.070999999999998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7.3634400000000007</v>
          </cell>
          <cell r="W113">
            <v>7.016</v>
          </cell>
          <cell r="X113">
            <v>-0.16344000000000225</v>
          </cell>
          <cell r="Y113">
            <v>0.18399999999999839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6.48</v>
          </cell>
          <cell r="W114">
            <v>3.9990000000000001</v>
          </cell>
          <cell r="X114">
            <v>-4.08</v>
          </cell>
          <cell r="Y114">
            <v>-1.5990000000000002</v>
          </cell>
        </row>
        <row r="115">
          <cell r="A115">
            <v>84</v>
          </cell>
          <cell r="B115" t="str">
            <v>Freight</v>
          </cell>
          <cell r="E115">
            <v>0.50309999999999999</v>
          </cell>
          <cell r="F115">
            <v>0.50309999999999999</v>
          </cell>
          <cell r="G115">
            <v>0.50309999999999999</v>
          </cell>
          <cell r="H115">
            <v>0.50309999999999999</v>
          </cell>
          <cell r="I115">
            <v>0.50309999999999999</v>
          </cell>
          <cell r="J115">
            <v>0.50309999999999999</v>
          </cell>
          <cell r="K115">
            <v>0.50309999999999999</v>
          </cell>
          <cell r="L115">
            <v>0.50309999999999999</v>
          </cell>
          <cell r="M115">
            <v>0.50309999999999999</v>
          </cell>
          <cell r="N115">
            <v>0.50309999999999999</v>
          </cell>
          <cell r="O115">
            <v>0.50309999999999999</v>
          </cell>
          <cell r="P115">
            <v>0.50309999999999999</v>
          </cell>
          <cell r="T115">
            <v>0</v>
          </cell>
          <cell r="U115">
            <v>6.0371999999999995</v>
          </cell>
          <cell r="V115">
            <v>5.3740999999999985</v>
          </cell>
          <cell r="W115">
            <v>4.51</v>
          </cell>
          <cell r="X115">
            <v>0.66310000000000091</v>
          </cell>
          <cell r="Y115">
            <v>1.5271999999999997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1.4</v>
          </cell>
          <cell r="F117">
            <v>1.4</v>
          </cell>
          <cell r="G117">
            <v>1.4</v>
          </cell>
          <cell r="H117">
            <v>1.4</v>
          </cell>
          <cell r="I117">
            <v>1.4</v>
          </cell>
          <cell r="J117">
            <v>1.4</v>
          </cell>
          <cell r="K117">
            <v>1.4</v>
          </cell>
          <cell r="L117">
            <v>1.4</v>
          </cell>
          <cell r="M117">
            <v>1.4</v>
          </cell>
          <cell r="N117">
            <v>1.4</v>
          </cell>
          <cell r="O117">
            <v>1.4</v>
          </cell>
          <cell r="P117">
            <v>1.4</v>
          </cell>
          <cell r="T117">
            <v>0</v>
          </cell>
          <cell r="U117">
            <v>16.8</v>
          </cell>
          <cell r="V117">
            <v>15.239010000000002</v>
          </cell>
          <cell r="W117">
            <v>20.126999999999999</v>
          </cell>
          <cell r="X117">
            <v>1.5609899999999985</v>
          </cell>
          <cell r="Y117">
            <v>-3.3269999999999982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0.50887453579195396</v>
          </cell>
          <cell r="F119">
            <v>0.50887453579195396</v>
          </cell>
          <cell r="G119">
            <v>0.51987453579195408</v>
          </cell>
          <cell r="H119">
            <v>0.50887453579195396</v>
          </cell>
          <cell r="I119">
            <v>0.50887453579195396</v>
          </cell>
          <cell r="J119">
            <v>0.51987453579195408</v>
          </cell>
          <cell r="K119">
            <v>0.5159973915704541</v>
          </cell>
          <cell r="L119">
            <v>0.5159973915704541</v>
          </cell>
          <cell r="M119">
            <v>0.52699739157045411</v>
          </cell>
          <cell r="N119">
            <v>0.5159973915704541</v>
          </cell>
          <cell r="O119">
            <v>0.52699739157045411</v>
          </cell>
          <cell r="P119">
            <v>0.52699739157045411</v>
          </cell>
          <cell r="T119">
            <v>0</v>
          </cell>
          <cell r="U119">
            <v>6.2042315641744477</v>
          </cell>
          <cell r="V119">
            <v>6.1559999999999997</v>
          </cell>
          <cell r="W119">
            <v>10.753</v>
          </cell>
          <cell r="X119">
            <v>4.8231564174447961E-2</v>
          </cell>
          <cell r="Y119">
            <v>-4.5487684358255525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15.6</v>
          </cell>
          <cell r="X120">
            <v>6.8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11.74</v>
          </cell>
          <cell r="W124">
            <v>2.3389999999999986</v>
          </cell>
          <cell r="X124">
            <v>-8.14</v>
          </cell>
          <cell r="Y124">
            <v>1.2610000000000006</v>
          </cell>
        </row>
        <row r="125">
          <cell r="C125">
            <v>0</v>
          </cell>
          <cell r="E125">
            <v>20.645654535791955</v>
          </cell>
          <cell r="F125">
            <v>20.645654535791955</v>
          </cell>
          <cell r="G125">
            <v>20.441374535791955</v>
          </cell>
          <cell r="H125">
            <v>20.645654535791955</v>
          </cell>
          <cell r="I125">
            <v>20.430374535791955</v>
          </cell>
          <cell r="J125">
            <v>20.656654535791954</v>
          </cell>
          <cell r="K125">
            <v>20.652777391570456</v>
          </cell>
          <cell r="L125">
            <v>22.506937391570457</v>
          </cell>
          <cell r="M125">
            <v>20.663777391570456</v>
          </cell>
          <cell r="N125">
            <v>20.437497391570457</v>
          </cell>
          <cell r="O125">
            <v>20.663777391570456</v>
          </cell>
          <cell r="P125">
            <v>20.448497391570456</v>
          </cell>
          <cell r="R125">
            <v>0</v>
          </cell>
          <cell r="S125">
            <v>0</v>
          </cell>
          <cell r="T125">
            <v>0</v>
          </cell>
          <cell r="U125">
            <v>248.83863156417448</v>
          </cell>
          <cell r="V125">
            <v>288.56553573333338</v>
          </cell>
          <cell r="W125">
            <v>348.07306800000003</v>
          </cell>
          <cell r="X125">
            <v>-39.7269041691589</v>
          </cell>
          <cell r="Y125">
            <v>-99.234436435825558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4" refreshError="1">
        <row r="11">
          <cell r="A11">
            <v>1</v>
          </cell>
          <cell r="B11" t="str">
            <v>Net Film Revenue</v>
          </cell>
          <cell r="E11">
            <v>355.1</v>
          </cell>
          <cell r="F11">
            <v>361.8</v>
          </cell>
          <cell r="G11">
            <v>509.2</v>
          </cell>
          <cell r="H11">
            <v>368.5</v>
          </cell>
          <cell r="I11">
            <v>415.4</v>
          </cell>
          <cell r="J11">
            <v>636.5</v>
          </cell>
          <cell r="K11">
            <v>335</v>
          </cell>
          <cell r="L11">
            <v>435.5</v>
          </cell>
          <cell r="M11">
            <v>509.2</v>
          </cell>
          <cell r="N11">
            <v>375.2</v>
          </cell>
          <cell r="O11">
            <v>522.6</v>
          </cell>
          <cell r="P11">
            <v>502.5</v>
          </cell>
          <cell r="Q11">
            <v>0</v>
          </cell>
          <cell r="T11">
            <v>0</v>
          </cell>
          <cell r="U11">
            <v>5326.5</v>
          </cell>
          <cell r="V11">
            <v>5084.3237399999989</v>
          </cell>
          <cell r="W11">
            <v>6344.5050000000001</v>
          </cell>
          <cell r="X11">
            <v>242.17626000000109</v>
          </cell>
          <cell r="Y11">
            <v>-1018.005</v>
          </cell>
        </row>
        <row r="12">
          <cell r="A12">
            <v>2</v>
          </cell>
          <cell r="B12" t="str">
            <v>Concession Sales</v>
          </cell>
          <cell r="E12">
            <v>71.55</v>
          </cell>
          <cell r="F12">
            <v>72.900000000000006</v>
          </cell>
          <cell r="G12">
            <v>102.6</v>
          </cell>
          <cell r="H12">
            <v>74.25</v>
          </cell>
          <cell r="I12">
            <v>83.7</v>
          </cell>
          <cell r="J12">
            <v>128.25</v>
          </cell>
          <cell r="K12">
            <v>67.5</v>
          </cell>
          <cell r="L12">
            <v>87.75</v>
          </cell>
          <cell r="M12">
            <v>102.6</v>
          </cell>
          <cell r="N12">
            <v>75.599999999999994</v>
          </cell>
          <cell r="O12">
            <v>105.3</v>
          </cell>
          <cell r="P12">
            <v>101.25</v>
          </cell>
          <cell r="T12">
            <v>0</v>
          </cell>
          <cell r="U12">
            <v>1073.25</v>
          </cell>
          <cell r="V12">
            <v>724.73797000000002</v>
          </cell>
          <cell r="W12">
            <v>821.76499999999999</v>
          </cell>
          <cell r="X12">
            <v>348.51202999999998</v>
          </cell>
          <cell r="Y12">
            <v>251.48500000000001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380.91274000000004</v>
          </cell>
          <cell r="W15">
            <v>337.87099999999998</v>
          </cell>
          <cell r="X15">
            <v>-146.91274000000004</v>
          </cell>
          <cell r="Y15">
            <v>-103.87099999999998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7.4376250000000006</v>
          </cell>
          <cell r="F16">
            <v>7.4376250000000006</v>
          </cell>
          <cell r="G16">
            <v>7.4376250000000006</v>
          </cell>
          <cell r="H16">
            <v>7.4376250000000006</v>
          </cell>
          <cell r="I16">
            <v>7.4376250000000006</v>
          </cell>
          <cell r="J16">
            <v>7.4376250000000006</v>
          </cell>
          <cell r="K16">
            <v>7.4376250000000006</v>
          </cell>
          <cell r="L16">
            <v>7.4376250000000006</v>
          </cell>
          <cell r="M16">
            <v>7.4376250000000006</v>
          </cell>
          <cell r="N16">
            <v>7.4376250000000006</v>
          </cell>
          <cell r="O16">
            <v>7.4376250000000006</v>
          </cell>
          <cell r="P16">
            <v>7.4376250000000006</v>
          </cell>
          <cell r="R16">
            <v>0</v>
          </cell>
          <cell r="S16">
            <v>0</v>
          </cell>
          <cell r="T16">
            <v>0</v>
          </cell>
          <cell r="U16">
            <v>89.251499999999979</v>
          </cell>
          <cell r="V16">
            <v>186.51553000000001</v>
          </cell>
          <cell r="W16">
            <v>129.892</v>
          </cell>
          <cell r="X16">
            <v>-97.264030000000034</v>
          </cell>
          <cell r="Y16">
            <v>-40.640500000000017</v>
          </cell>
        </row>
        <row r="17">
          <cell r="B17" t="str">
            <v>TOTAL REVENUE</v>
          </cell>
          <cell r="C17">
            <v>0</v>
          </cell>
          <cell r="E17">
            <v>453.58762500000006</v>
          </cell>
          <cell r="F17">
            <v>461.63762500000007</v>
          </cell>
          <cell r="G17">
            <v>638.73762499999998</v>
          </cell>
          <cell r="H17">
            <v>469.68762500000003</v>
          </cell>
          <cell r="I17">
            <v>526.03762500000005</v>
          </cell>
          <cell r="J17">
            <v>791.68762500000003</v>
          </cell>
          <cell r="K17">
            <v>429.43762500000003</v>
          </cell>
          <cell r="L17">
            <v>550.18762500000003</v>
          </cell>
          <cell r="M17">
            <v>638.73762499999998</v>
          </cell>
          <cell r="N17">
            <v>477.73762500000004</v>
          </cell>
          <cell r="O17">
            <v>654.83762500000012</v>
          </cell>
          <cell r="P17">
            <v>630.68762500000003</v>
          </cell>
          <cell r="R17">
            <v>0</v>
          </cell>
          <cell r="S17">
            <v>0</v>
          </cell>
          <cell r="T17">
            <v>0</v>
          </cell>
          <cell r="U17">
            <v>6723.0015000000003</v>
          </cell>
          <cell r="V17">
            <v>6376.4899799999985</v>
          </cell>
          <cell r="W17">
            <v>7634.0330000000004</v>
          </cell>
          <cell r="X17">
            <v>346.51152000000184</v>
          </cell>
          <cell r="Y17">
            <v>-911.03150000000005</v>
          </cell>
        </row>
        <row r="19">
          <cell r="A19">
            <v>7</v>
          </cell>
          <cell r="B19" t="str">
            <v>Film Hire</v>
          </cell>
          <cell r="E19">
            <v>165.12150000000003</v>
          </cell>
          <cell r="F19">
            <v>168.23700000000002</v>
          </cell>
          <cell r="G19">
            <v>236.77800000000002</v>
          </cell>
          <cell r="H19">
            <v>171.35249999999999</v>
          </cell>
          <cell r="I19">
            <v>193.16100000000003</v>
          </cell>
          <cell r="J19">
            <v>295.97250000000003</v>
          </cell>
          <cell r="K19">
            <v>155.77500000000001</v>
          </cell>
          <cell r="L19">
            <v>202.50749999999999</v>
          </cell>
          <cell r="M19">
            <v>236.77800000000002</v>
          </cell>
          <cell r="N19">
            <v>174.46800000000002</v>
          </cell>
          <cell r="O19">
            <v>243.00900000000001</v>
          </cell>
          <cell r="P19">
            <v>233.66249999999999</v>
          </cell>
          <cell r="U19">
            <v>2476.8225000000002</v>
          </cell>
          <cell r="V19">
            <v>2384.6974422500002</v>
          </cell>
          <cell r="W19">
            <v>2958.9290000000001</v>
          </cell>
          <cell r="X19">
            <v>92.125057749999996</v>
          </cell>
          <cell r="Y19">
            <v>-482.10649999999987</v>
          </cell>
        </row>
        <row r="20">
          <cell r="A20">
            <v>8</v>
          </cell>
          <cell r="B20" t="str">
            <v>Concession Cost</v>
          </cell>
          <cell r="E20">
            <v>15.741000000000003</v>
          </cell>
          <cell r="F20">
            <v>16.038</v>
          </cell>
          <cell r="G20">
            <v>22.572000000000003</v>
          </cell>
          <cell r="H20">
            <v>16.335000000000001</v>
          </cell>
          <cell r="I20">
            <v>18.414000000000001</v>
          </cell>
          <cell r="J20">
            <v>28.215</v>
          </cell>
          <cell r="K20">
            <v>14.85</v>
          </cell>
          <cell r="L20">
            <v>19.305</v>
          </cell>
          <cell r="M20">
            <v>22.572000000000003</v>
          </cell>
          <cell r="N20">
            <v>16.632000000000001</v>
          </cell>
          <cell r="O20">
            <v>23.166000000000004</v>
          </cell>
          <cell r="P20">
            <v>22.274999999999999</v>
          </cell>
          <cell r="T20">
            <v>0</v>
          </cell>
          <cell r="U20">
            <v>236.11500000000001</v>
          </cell>
          <cell r="V20">
            <v>158.439877</v>
          </cell>
          <cell r="W20">
            <v>207.57400000000001</v>
          </cell>
          <cell r="X20">
            <v>77.675123000000042</v>
          </cell>
          <cell r="Y20">
            <v>28.541000000000025</v>
          </cell>
        </row>
        <row r="21">
          <cell r="A21">
            <v>9</v>
          </cell>
          <cell r="B21" t="str">
            <v>Less Concession Rebates</v>
          </cell>
          <cell r="E21">
            <v>-1.7887500000000001</v>
          </cell>
          <cell r="F21">
            <v>-1.8225</v>
          </cell>
          <cell r="G21">
            <v>-2.5649999999999999</v>
          </cell>
          <cell r="H21">
            <v>-1.85625</v>
          </cell>
          <cell r="I21">
            <v>-2.0924999999999998</v>
          </cell>
          <cell r="J21">
            <v>-3.2062499999999998</v>
          </cell>
          <cell r="K21">
            <v>-1.6875</v>
          </cell>
          <cell r="L21">
            <v>-2.1937500000000001</v>
          </cell>
          <cell r="M21">
            <v>-2.5649999999999999</v>
          </cell>
          <cell r="N21">
            <v>-1.89</v>
          </cell>
          <cell r="O21">
            <v>-2.6324999999999998</v>
          </cell>
          <cell r="P21">
            <v>-2.53125</v>
          </cell>
          <cell r="U21">
            <v>-26.831250000000001</v>
          </cell>
          <cell r="V21">
            <v>-23</v>
          </cell>
          <cell r="W21">
            <v>-32.57</v>
          </cell>
          <cell r="X21">
            <v>-3.8312500000000078</v>
          </cell>
          <cell r="Y21">
            <v>5.7387499999999925</v>
          </cell>
        </row>
        <row r="22">
          <cell r="A22">
            <v>10</v>
          </cell>
          <cell r="B22" t="str">
            <v>Advertising Cost</v>
          </cell>
          <cell r="E22">
            <v>8.1673000000000009</v>
          </cell>
          <cell r="F22">
            <v>8.3214000000000006</v>
          </cell>
          <cell r="G22">
            <v>11.711599999999999</v>
          </cell>
          <cell r="H22">
            <v>8.4755000000000003</v>
          </cell>
          <cell r="I22">
            <v>9.5541999999999998</v>
          </cell>
          <cell r="J22">
            <v>14.6395</v>
          </cell>
          <cell r="K22">
            <v>7.7050000000000001</v>
          </cell>
          <cell r="L22">
            <v>10.016500000000001</v>
          </cell>
          <cell r="M22">
            <v>11.711599999999999</v>
          </cell>
          <cell r="N22">
            <v>8.6295999999999999</v>
          </cell>
          <cell r="O22">
            <v>12.0198</v>
          </cell>
          <cell r="P22">
            <v>11.557499999999999</v>
          </cell>
          <cell r="T22">
            <v>0</v>
          </cell>
          <cell r="U22">
            <v>122.50950000000002</v>
          </cell>
          <cell r="V22">
            <v>107.36001564999999</v>
          </cell>
          <cell r="W22">
            <v>193.93600000000001</v>
          </cell>
          <cell r="X22">
            <v>15.149484350000023</v>
          </cell>
          <cell r="Y22">
            <v>-71.42649999999999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0.71020000000000005</v>
          </cell>
          <cell r="F23">
            <v>0.72360000000000002</v>
          </cell>
          <cell r="G23">
            <v>1.0184</v>
          </cell>
          <cell r="H23">
            <v>0.73699999999999999</v>
          </cell>
          <cell r="I23">
            <v>0.83080000000000009</v>
          </cell>
          <cell r="J23">
            <v>1.2730000000000001</v>
          </cell>
          <cell r="K23">
            <v>0.67</v>
          </cell>
          <cell r="L23">
            <v>0.871</v>
          </cell>
          <cell r="M23">
            <v>1.0184</v>
          </cell>
          <cell r="N23">
            <v>0.75039999999999996</v>
          </cell>
          <cell r="O23">
            <v>1.0452000000000001</v>
          </cell>
          <cell r="P23">
            <v>1.0049999999999999</v>
          </cell>
          <cell r="R23">
            <v>0</v>
          </cell>
          <cell r="S23">
            <v>0</v>
          </cell>
          <cell r="T23">
            <v>0</v>
          </cell>
          <cell r="U23">
            <v>10.653000000000002</v>
          </cell>
          <cell r="V23">
            <v>10.168647479999999</v>
          </cell>
          <cell r="W23">
            <v>12.68901</v>
          </cell>
          <cell r="X23">
            <v>0.48435252000000339</v>
          </cell>
          <cell r="Y23">
            <v>-2.0360099999999974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36.659433415229877</v>
          </cell>
          <cell r="F24">
            <v>36.659433415229877</v>
          </cell>
          <cell r="G24">
            <v>37.759433415229879</v>
          </cell>
          <cell r="H24">
            <v>36.659433415229877</v>
          </cell>
          <cell r="I24">
            <v>36.659433415229877</v>
          </cell>
          <cell r="J24">
            <v>37.759433415229879</v>
          </cell>
          <cell r="K24">
            <v>33.905524757729872</v>
          </cell>
          <cell r="L24">
            <v>33.905524757729872</v>
          </cell>
          <cell r="M24">
            <v>35.005524757729873</v>
          </cell>
          <cell r="N24">
            <v>33.905524757729872</v>
          </cell>
          <cell r="O24">
            <v>35.005524757729873</v>
          </cell>
          <cell r="P24">
            <v>35.005524757729873</v>
          </cell>
          <cell r="R24">
            <v>0</v>
          </cell>
          <cell r="S24">
            <v>0</v>
          </cell>
          <cell r="T24">
            <v>0</v>
          </cell>
          <cell r="U24">
            <v>428.88974903775852</v>
          </cell>
          <cell r="V24">
            <v>494.89811199999997</v>
          </cell>
          <cell r="W24">
            <v>676.95700000000011</v>
          </cell>
          <cell r="X24">
            <v>-66.008362962241449</v>
          </cell>
          <cell r="Y24">
            <v>-248.06725096224159</v>
          </cell>
        </row>
        <row r="25">
          <cell r="B25" t="str">
            <v>TOTAL COST</v>
          </cell>
          <cell r="C25">
            <v>0</v>
          </cell>
          <cell r="E25">
            <v>224.61068341522991</v>
          </cell>
          <cell r="F25">
            <v>228.15693341522993</v>
          </cell>
          <cell r="G25">
            <v>307.27443341522985</v>
          </cell>
          <cell r="H25">
            <v>231.70318341522992</v>
          </cell>
          <cell r="I25">
            <v>256.52693341522996</v>
          </cell>
          <cell r="J25">
            <v>374.65318341522988</v>
          </cell>
          <cell r="K25">
            <v>211.21802475772986</v>
          </cell>
          <cell r="L25">
            <v>264.41177475772992</v>
          </cell>
          <cell r="M25">
            <v>304.52052475772985</v>
          </cell>
          <cell r="N25">
            <v>232.49552475772992</v>
          </cell>
          <cell r="O25">
            <v>311.61302475772987</v>
          </cell>
          <cell r="P25">
            <v>300.97427475772986</v>
          </cell>
          <cell r="R25">
            <v>0</v>
          </cell>
          <cell r="S25">
            <v>0</v>
          </cell>
          <cell r="T25">
            <v>0</v>
          </cell>
          <cell r="U25">
            <v>3248.1584990377587</v>
          </cell>
          <cell r="V25">
            <v>3132.5640943799999</v>
          </cell>
          <cell r="W25">
            <v>4017.5150100000001</v>
          </cell>
          <cell r="X25">
            <v>115.59440465775879</v>
          </cell>
          <cell r="Y25">
            <v>-769.35651096224137</v>
          </cell>
        </row>
        <row r="27">
          <cell r="B27" t="str">
            <v>GROSS MARGIN</v>
          </cell>
          <cell r="C27">
            <v>0</v>
          </cell>
          <cell r="E27">
            <v>228.97694158477015</v>
          </cell>
          <cell r="F27">
            <v>233.48069158477014</v>
          </cell>
          <cell r="G27">
            <v>331.46319158477013</v>
          </cell>
          <cell r="H27">
            <v>237.98444158477011</v>
          </cell>
          <cell r="I27">
            <v>269.51069158477009</v>
          </cell>
          <cell r="J27">
            <v>417.03444158477015</v>
          </cell>
          <cell r="K27">
            <v>218.21960024227016</v>
          </cell>
          <cell r="L27">
            <v>285.77585024227011</v>
          </cell>
          <cell r="M27">
            <v>334.21710024227013</v>
          </cell>
          <cell r="N27">
            <v>245.24210024227011</v>
          </cell>
          <cell r="O27">
            <v>343.22460024227024</v>
          </cell>
          <cell r="P27">
            <v>329.71335024227017</v>
          </cell>
          <cell r="R27">
            <v>0</v>
          </cell>
          <cell r="S27">
            <v>0</v>
          </cell>
          <cell r="T27">
            <v>0</v>
          </cell>
          <cell r="U27">
            <v>3474.8430009622421</v>
          </cell>
          <cell r="V27">
            <v>3243.9258856199986</v>
          </cell>
          <cell r="W27">
            <v>3616.5179900000003</v>
          </cell>
          <cell r="X27">
            <v>230.91711534224351</v>
          </cell>
          <cell r="Y27">
            <v>-141.67498903775822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208.976</v>
          </cell>
          <cell r="F29">
            <v>208.976</v>
          </cell>
          <cell r="G29">
            <v>208.976</v>
          </cell>
          <cell r="H29">
            <v>208.976</v>
          </cell>
          <cell r="I29">
            <v>208.976</v>
          </cell>
          <cell r="J29">
            <v>208.976</v>
          </cell>
          <cell r="K29">
            <v>208.976</v>
          </cell>
          <cell r="L29">
            <v>208.976</v>
          </cell>
          <cell r="M29">
            <v>208.976</v>
          </cell>
          <cell r="N29">
            <v>208.976</v>
          </cell>
          <cell r="O29">
            <v>208.976</v>
          </cell>
          <cell r="P29">
            <v>208.976</v>
          </cell>
          <cell r="T29">
            <v>0</v>
          </cell>
          <cell r="U29">
            <v>2507.7120000000009</v>
          </cell>
          <cell r="V29">
            <v>2507.7120000000009</v>
          </cell>
          <cell r="W29">
            <v>2507.712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10.9</v>
          </cell>
          <cell r="F30">
            <v>10.9</v>
          </cell>
          <cell r="G30">
            <v>10.9</v>
          </cell>
          <cell r="H30">
            <v>10.9</v>
          </cell>
          <cell r="I30">
            <v>10.9</v>
          </cell>
          <cell r="J30">
            <v>10.9</v>
          </cell>
          <cell r="K30">
            <v>10.9</v>
          </cell>
          <cell r="L30">
            <v>10.9</v>
          </cell>
          <cell r="M30">
            <v>10.9</v>
          </cell>
          <cell r="N30">
            <v>10.9</v>
          </cell>
          <cell r="O30">
            <v>10.9</v>
          </cell>
          <cell r="P30">
            <v>10.9</v>
          </cell>
          <cell r="T30">
            <v>0</v>
          </cell>
          <cell r="U30">
            <v>130.80000000000001</v>
          </cell>
          <cell r="V30">
            <v>94.620389999999986</v>
          </cell>
          <cell r="W30">
            <v>127.36499999999999</v>
          </cell>
          <cell r="X30">
            <v>36.179610000000054</v>
          </cell>
          <cell r="Y30">
            <v>3.4350000000000307</v>
          </cell>
        </row>
        <row r="31">
          <cell r="A31">
            <v>15</v>
          </cell>
          <cell r="B31" t="str">
            <v>Repair &amp; Maintenance</v>
          </cell>
          <cell r="E31">
            <v>10.25</v>
          </cell>
          <cell r="F31">
            <v>10.25</v>
          </cell>
          <cell r="G31">
            <v>10.25</v>
          </cell>
          <cell r="H31">
            <v>15.25</v>
          </cell>
          <cell r="I31">
            <v>10.25</v>
          </cell>
          <cell r="J31">
            <v>10.25</v>
          </cell>
          <cell r="K31">
            <v>10.25</v>
          </cell>
          <cell r="L31">
            <v>10.25</v>
          </cell>
          <cell r="M31">
            <v>10.25</v>
          </cell>
          <cell r="N31">
            <v>10.25</v>
          </cell>
          <cell r="O31">
            <v>30.25</v>
          </cell>
          <cell r="P31">
            <v>10.25</v>
          </cell>
          <cell r="T31">
            <v>0</v>
          </cell>
          <cell r="U31">
            <v>148</v>
          </cell>
          <cell r="V31">
            <v>152.20305999999999</v>
          </cell>
          <cell r="W31">
            <v>198.184</v>
          </cell>
          <cell r="X31">
            <v>-4.2030599999999936</v>
          </cell>
          <cell r="Y31">
            <v>-50.183999999999997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35.318474334152299</v>
          </cell>
          <cell r="F33">
            <v>35.318474334152299</v>
          </cell>
          <cell r="G33">
            <v>35.160994334152292</v>
          </cell>
          <cell r="H33">
            <v>35.318474334152299</v>
          </cell>
          <cell r="I33">
            <v>35.149994334152296</v>
          </cell>
          <cell r="J33">
            <v>35.329474334152295</v>
          </cell>
          <cell r="K33">
            <v>52.349935247577299</v>
          </cell>
          <cell r="L33">
            <v>37.285495247577302</v>
          </cell>
          <cell r="M33">
            <v>37.551935247577298</v>
          </cell>
          <cell r="N33">
            <v>35.122455247577292</v>
          </cell>
          <cell r="O33">
            <v>35.301935247577298</v>
          </cell>
          <cell r="P33">
            <v>35.133455247577295</v>
          </cell>
          <cell r="R33">
            <v>0</v>
          </cell>
          <cell r="S33">
            <v>0</v>
          </cell>
          <cell r="T33">
            <v>0</v>
          </cell>
          <cell r="U33">
            <v>444.34109749037759</v>
          </cell>
          <cell r="V33">
            <v>481.33407338666666</v>
          </cell>
          <cell r="W33">
            <v>604.81398999999999</v>
          </cell>
          <cell r="X33">
            <v>-36.992975896289067</v>
          </cell>
          <cell r="Y33">
            <v>-160.4728925096224</v>
          </cell>
        </row>
        <row r="35">
          <cell r="B35" t="str">
            <v>Total Overhead Expenses</v>
          </cell>
          <cell r="C35">
            <v>0</v>
          </cell>
          <cell r="E35">
            <v>265.44447433415229</v>
          </cell>
          <cell r="F35">
            <v>265.44447433415229</v>
          </cell>
          <cell r="G35">
            <v>265.28699433415227</v>
          </cell>
          <cell r="H35">
            <v>270.44447433415229</v>
          </cell>
          <cell r="I35">
            <v>265.2759943341523</v>
          </cell>
          <cell r="J35">
            <v>265.45547433415231</v>
          </cell>
          <cell r="K35">
            <v>282.4759352475773</v>
          </cell>
          <cell r="L35">
            <v>267.41149524757731</v>
          </cell>
          <cell r="M35">
            <v>267.6779352475773</v>
          </cell>
          <cell r="N35">
            <v>265.24845524757728</v>
          </cell>
          <cell r="O35">
            <v>285.4279352475773</v>
          </cell>
          <cell r="P35">
            <v>265.25945524757731</v>
          </cell>
          <cell r="R35">
            <v>0</v>
          </cell>
          <cell r="S35">
            <v>0</v>
          </cell>
          <cell r="T35">
            <v>0</v>
          </cell>
          <cell r="U35">
            <v>3230.8530974903779</v>
          </cell>
          <cell r="V35">
            <v>3235.8695233866674</v>
          </cell>
          <cell r="W35">
            <v>3438.0749900000005</v>
          </cell>
          <cell r="X35">
            <v>-5.0164258962895474</v>
          </cell>
          <cell r="Y35">
            <v>-207.22189250962265</v>
          </cell>
        </row>
        <row r="36">
          <cell r="V36" t="str">
            <v/>
          </cell>
        </row>
        <row r="37">
          <cell r="B37" t="str">
            <v>E.B.I.T.D.</v>
          </cell>
          <cell r="C37">
            <v>0</v>
          </cell>
          <cell r="E37">
            <v>-36.467532749382144</v>
          </cell>
          <cell r="F37">
            <v>-31.963782749382148</v>
          </cell>
          <cell r="G37">
            <v>66.176197250617861</v>
          </cell>
          <cell r="H37">
            <v>-32.460032749382179</v>
          </cell>
          <cell r="I37">
            <v>4.2346972506177849</v>
          </cell>
          <cell r="J37">
            <v>151.57896725061784</v>
          </cell>
          <cell r="K37">
            <v>-64.256335005307136</v>
          </cell>
          <cell r="L37">
            <v>18.364354994692803</v>
          </cell>
          <cell r="M37">
            <v>66.53916499469284</v>
          </cell>
          <cell r="N37">
            <v>-20.006355005307171</v>
          </cell>
          <cell r="O37">
            <v>57.796664994692946</v>
          </cell>
          <cell r="P37">
            <v>64.45389499469286</v>
          </cell>
          <cell r="R37">
            <v>0</v>
          </cell>
          <cell r="S37">
            <v>0</v>
          </cell>
          <cell r="T37">
            <v>0</v>
          </cell>
          <cell r="U37">
            <v>243.98990347186418</v>
          </cell>
          <cell r="V37">
            <v>8.0563622333311287</v>
          </cell>
          <cell r="W37">
            <v>178.44299999999976</v>
          </cell>
          <cell r="X37">
            <v>235.93354123853305</v>
          </cell>
          <cell r="Y37">
            <v>65.546903471864425</v>
          </cell>
        </row>
        <row r="38">
          <cell r="V38" t="str">
            <v/>
          </cell>
        </row>
        <row r="39">
          <cell r="A39">
            <v>18</v>
          </cell>
          <cell r="B39" t="str">
            <v>Depreciation</v>
          </cell>
          <cell r="E39">
            <v>53.235173611111115</v>
          </cell>
          <cell r="F39">
            <v>53.235173611111115</v>
          </cell>
          <cell r="G39">
            <v>53.235173611111115</v>
          </cell>
          <cell r="H39">
            <v>53.235173611111115</v>
          </cell>
          <cell r="I39">
            <v>53.235173611111115</v>
          </cell>
          <cell r="J39">
            <v>53.235173611111115</v>
          </cell>
          <cell r="K39">
            <v>53.235173611111115</v>
          </cell>
          <cell r="L39">
            <v>53.235173611111115</v>
          </cell>
          <cell r="M39">
            <v>53.235173611111115</v>
          </cell>
          <cell r="N39">
            <v>53.495590277777779</v>
          </cell>
          <cell r="O39">
            <v>53.495590277777779</v>
          </cell>
          <cell r="P39">
            <v>53.495590277777779</v>
          </cell>
          <cell r="T39">
            <v>0</v>
          </cell>
          <cell r="U39">
            <v>639.60333333333335</v>
          </cell>
          <cell r="V39">
            <v>619.1506580555556</v>
          </cell>
          <cell r="W39">
            <v>573.70799999999997</v>
          </cell>
          <cell r="X39">
            <v>20.452675277777757</v>
          </cell>
          <cell r="Y39">
            <v>65.895333333333383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14.102</v>
          </cell>
          <cell r="W40">
            <v>15.167999999999999</v>
          </cell>
          <cell r="X40">
            <v>-14.102</v>
          </cell>
          <cell r="Y40">
            <v>-15.167999999999999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232.49240644383562</v>
          </cell>
          <cell r="W41">
            <v>272.16399999999999</v>
          </cell>
          <cell r="X41">
            <v>-232.49240644383562</v>
          </cell>
          <cell r="Y41">
            <v>-272.16399999999999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-89.702706360493266</v>
          </cell>
          <cell r="F44">
            <v>-85.19895636049327</v>
          </cell>
          <cell r="G44">
            <v>12.941023639506746</v>
          </cell>
          <cell r="H44">
            <v>-85.695206360493302</v>
          </cell>
          <cell r="I44">
            <v>-49.00047636049333</v>
          </cell>
          <cell r="J44">
            <v>98.343793639506714</v>
          </cell>
          <cell r="K44">
            <v>-117.49150861641826</v>
          </cell>
          <cell r="L44">
            <v>-34.870818616418312</v>
          </cell>
          <cell r="M44">
            <v>13.303991383581725</v>
          </cell>
          <cell r="N44">
            <v>-73.50194528308495</v>
          </cell>
          <cell r="O44">
            <v>4.3010747169151671</v>
          </cell>
          <cell r="P44">
            <v>10.95830471691508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-395.61342986146917</v>
          </cell>
          <cell r="V44">
            <v>-854.96527226606008</v>
          </cell>
          <cell r="W44">
            <v>-681.69</v>
          </cell>
          <cell r="X44">
            <v>459.35184240459091</v>
          </cell>
          <cell r="Y44">
            <v>286.076570138531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-89.702706360493266</v>
          </cell>
          <cell r="F50">
            <v>-85.19895636049327</v>
          </cell>
          <cell r="G50">
            <v>12.941023639506746</v>
          </cell>
          <cell r="H50">
            <v>-85.695206360493302</v>
          </cell>
          <cell r="I50">
            <v>-49.00047636049333</v>
          </cell>
          <cell r="J50">
            <v>98.343793639506714</v>
          </cell>
          <cell r="K50">
            <v>-117.49150861641826</v>
          </cell>
          <cell r="L50">
            <v>-34.870818616418312</v>
          </cell>
          <cell r="M50">
            <v>13.303991383581725</v>
          </cell>
          <cell r="N50">
            <v>-73.50194528308495</v>
          </cell>
          <cell r="O50">
            <v>4.3010747169151671</v>
          </cell>
          <cell r="P50">
            <v>10.95830471691508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-395.61342986146917</v>
          </cell>
          <cell r="V50">
            <v>-854.96527226606008</v>
          </cell>
          <cell r="W50">
            <v>-681.69</v>
          </cell>
          <cell r="X50">
            <v>459.35184240459091</v>
          </cell>
          <cell r="Y50">
            <v>286.076570138531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51.94</v>
          </cell>
          <cell r="F54">
            <v>52.92</v>
          </cell>
          <cell r="G54">
            <v>74.48</v>
          </cell>
          <cell r="H54">
            <v>53.9</v>
          </cell>
          <cell r="I54">
            <v>60.76</v>
          </cell>
          <cell r="J54">
            <v>93.1</v>
          </cell>
          <cell r="K54">
            <v>49</v>
          </cell>
          <cell r="L54">
            <v>63.7</v>
          </cell>
          <cell r="M54">
            <v>74.48</v>
          </cell>
          <cell r="N54">
            <v>54.88</v>
          </cell>
          <cell r="O54">
            <v>76.44</v>
          </cell>
          <cell r="P54">
            <v>73.5</v>
          </cell>
          <cell r="T54">
            <v>0</v>
          </cell>
          <cell r="U54">
            <v>779.1</v>
          </cell>
          <cell r="V54">
            <v>757</v>
          </cell>
          <cell r="W54">
            <v>932.88199999999995</v>
          </cell>
          <cell r="X54">
            <v>22.099999999999909</v>
          </cell>
          <cell r="Y54">
            <v>-153.78200000000004</v>
          </cell>
        </row>
        <row r="55">
          <cell r="A55">
            <v>28</v>
          </cell>
          <cell r="B55" t="str">
            <v>Admissions</v>
          </cell>
          <cell r="E55">
            <v>53</v>
          </cell>
          <cell r="F55">
            <v>54</v>
          </cell>
          <cell r="G55">
            <v>76</v>
          </cell>
          <cell r="H55">
            <v>55</v>
          </cell>
          <cell r="I55">
            <v>62</v>
          </cell>
          <cell r="J55">
            <v>95</v>
          </cell>
          <cell r="K55">
            <v>50</v>
          </cell>
          <cell r="L55">
            <v>65</v>
          </cell>
          <cell r="M55">
            <v>76</v>
          </cell>
          <cell r="N55">
            <v>56</v>
          </cell>
          <cell r="O55">
            <v>78</v>
          </cell>
          <cell r="P55">
            <v>75</v>
          </cell>
          <cell r="T55">
            <v>0</v>
          </cell>
          <cell r="U55">
            <v>795</v>
          </cell>
          <cell r="V55">
            <v>757</v>
          </cell>
          <cell r="W55">
            <v>932.88199999999995</v>
          </cell>
          <cell r="X55">
            <v>38</v>
          </cell>
          <cell r="Y55">
            <v>-137.88199999999995</v>
          </cell>
        </row>
        <row r="56">
          <cell r="B56" t="str">
            <v>Utilisation Rate</v>
          </cell>
          <cell r="E56">
            <v>0.23849809201526387</v>
          </cell>
          <cell r="F56">
            <v>0.24299805601555188</v>
          </cell>
          <cell r="G56">
            <v>0.27359781121751026</v>
          </cell>
          <cell r="H56">
            <v>0.24749802001583987</v>
          </cell>
          <cell r="I56">
            <v>0.27899776801785586</v>
          </cell>
          <cell r="J56">
            <v>0.34199726402188785</v>
          </cell>
          <cell r="K56">
            <v>0.22499820001439988</v>
          </cell>
          <cell r="L56">
            <v>0.29249766001871985</v>
          </cell>
          <cell r="M56">
            <v>0.27359781121751026</v>
          </cell>
          <cell r="N56">
            <v>0.25199798401612789</v>
          </cell>
          <cell r="O56">
            <v>0.28079775361797105</v>
          </cell>
          <cell r="P56">
            <v>0.33749730002159983</v>
          </cell>
          <cell r="U56">
            <v>0.27519010617145834</v>
          </cell>
          <cell r="V56">
            <v>0.26865158905463032</v>
          </cell>
          <cell r="W56">
            <v>0.31808882517972759</v>
          </cell>
          <cell r="X56">
            <v>6.5385171168280132E-3</v>
          </cell>
          <cell r="Y56">
            <v>-4.2898719008269248E-2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U57">
            <v>6.7</v>
          </cell>
          <cell r="V57">
            <v>6.716411809775428</v>
          </cell>
          <cell r="W57">
            <v>6.8009726846482197</v>
          </cell>
          <cell r="X57">
            <v>-1.6411809775427777E-2</v>
          </cell>
          <cell r="Y57">
            <v>-0.10097268464821951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2.1115888983497345E-2</v>
          </cell>
          <cell r="W58">
            <v>3.056755412754817E-2</v>
          </cell>
          <cell r="X58">
            <v>1.8841110165026577E-3</v>
          </cell>
          <cell r="Y58">
            <v>-7.5675541275481671E-3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0.18688116616823594</v>
          </cell>
          <cell r="W59">
            <v>0.21296112635607506</v>
          </cell>
          <cell r="X59">
            <v>8.118833831764094E-3</v>
          </cell>
          <cell r="Y59">
            <v>-1.7961126356075025E-2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0.9573817305151916</v>
          </cell>
          <cell r="W60">
            <v>0.8808884724970576</v>
          </cell>
          <cell r="X60">
            <v>0.39261826948480849</v>
          </cell>
          <cell r="Y60">
            <v>0.46911152750294249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0.46902942538627579</v>
          </cell>
          <cell r="W61">
            <v>0.46637665192162353</v>
          </cell>
          <cell r="X61">
            <v>-4.0294253862757645E-3</v>
          </cell>
          <cell r="Y61">
            <v>-1.3766519216235062E-3</v>
          </cell>
        </row>
        <row r="62">
          <cell r="B62" t="str">
            <v>Direct Payroll : Net Box</v>
          </cell>
          <cell r="C62" t="str">
            <v>N.A.</v>
          </cell>
          <cell r="E62">
            <v>0.10323692879535307</v>
          </cell>
          <cell r="F62">
            <v>0.10132513381766135</v>
          </cell>
          <cell r="G62">
            <v>7.4154425403043747E-2</v>
          </cell>
          <cell r="H62">
            <v>9.9482858657340231E-2</v>
          </cell>
          <cell r="I62">
            <v>8.8250923002479234E-2</v>
          </cell>
          <cell r="J62">
            <v>5.9323540322435003E-2</v>
          </cell>
          <cell r="K62">
            <v>0.10121052166486529</v>
          </cell>
          <cell r="L62">
            <v>7.7854247434511761E-2</v>
          </cell>
          <cell r="M62">
            <v>6.8746120891064161E-2</v>
          </cell>
          <cell r="N62">
            <v>9.0366537200772576E-2</v>
          </cell>
          <cell r="O62">
            <v>6.6983399842575342E-2</v>
          </cell>
          <cell r="P62">
            <v>6.9662735836278356E-2</v>
          </cell>
          <cell r="R62" t="str">
            <v>N.A.</v>
          </cell>
          <cell r="S62" t="str">
            <v>N.A.</v>
          </cell>
          <cell r="U62">
            <v>8.0519994187131988E-2</v>
          </cell>
          <cell r="V62">
            <v>9.7338040869915196E-2</v>
          </cell>
          <cell r="W62">
            <v>0.10669973465226996</v>
          </cell>
          <cell r="X62">
            <v>-1.6818046682783208E-2</v>
          </cell>
          <cell r="Y62">
            <v>-2.6179740465137977E-2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8.5923903469424287E-2</v>
          </cell>
          <cell r="F63">
            <v>8.4332720071842365E-2</v>
          </cell>
          <cell r="G63">
            <v>6.1718590087005365E-2</v>
          </cell>
          <cell r="H63">
            <v>8.2799397888717957E-2</v>
          </cell>
          <cell r="I63">
            <v>7.3451078772249795E-2</v>
          </cell>
          <cell r="J63">
            <v>4.9374872069604288E-2</v>
          </cell>
          <cell r="K63">
            <v>8.4237328590633223E-2</v>
          </cell>
          <cell r="L63">
            <v>6.4797945069717866E-2</v>
          </cell>
          <cell r="M63">
            <v>5.7217268319270799E-2</v>
          </cell>
          <cell r="N63">
            <v>7.5211900527351092E-2</v>
          </cell>
          <cell r="O63">
            <v>5.5750158875186924E-2</v>
          </cell>
          <cell r="P63">
            <v>5.7980165230194405E-2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6.7016641124693702E-2</v>
          </cell>
          <cell r="V63">
            <v>8.5194156424273901E-2</v>
          </cell>
          <cell r="W63">
            <v>9.446434477071057E-2</v>
          </cell>
          <cell r="X63">
            <v>-1.8177515299580199E-2</v>
          </cell>
          <cell r="Y63">
            <v>-2.7447703646016869E-2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0.69168742292886565</v>
          </cell>
          <cell r="F64">
            <v>0.67887839657833104</v>
          </cell>
          <cell r="G64">
            <v>0.49683465020039314</v>
          </cell>
          <cell r="H64">
            <v>0.66653515300417954</v>
          </cell>
          <cell r="I64">
            <v>0.5912811841166109</v>
          </cell>
          <cell r="J64">
            <v>0.39746772016031451</v>
          </cell>
          <cell r="K64">
            <v>0.67811049515459743</v>
          </cell>
          <cell r="L64">
            <v>0.52162345781122876</v>
          </cell>
          <cell r="M64">
            <v>0.46059900997012992</v>
          </cell>
          <cell r="N64">
            <v>0.60545579924517623</v>
          </cell>
          <cell r="O64">
            <v>0.44878877894525476</v>
          </cell>
          <cell r="P64">
            <v>0.46674033010306498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0.53948396105378427</v>
          </cell>
          <cell r="V64">
            <v>0.65376236723910164</v>
          </cell>
          <cell r="W64">
            <v>0.72566198082930122</v>
          </cell>
          <cell r="X64">
            <v>-0.11427840618531737</v>
          </cell>
          <cell r="Y64">
            <v>-0.18617801977551696</v>
          </cell>
        </row>
        <row r="65">
          <cell r="B65" t="str">
            <v>Gross Margin :Total Rev</v>
          </cell>
          <cell r="C65" t="str">
            <v>N.A.</v>
          </cell>
          <cell r="E65">
            <v>0.50481302611545043</v>
          </cell>
          <cell r="F65">
            <v>0.50576616579892097</v>
          </cell>
          <cell r="G65">
            <v>0.51893481550389353</v>
          </cell>
          <cell r="H65">
            <v>0.50668663366374644</v>
          </cell>
          <cell r="I65">
            <v>0.5123410926828097</v>
          </cell>
          <cell r="J65">
            <v>0.52676640181759837</v>
          </cell>
          <cell r="K65">
            <v>0.50815202846343555</v>
          </cell>
          <cell r="L65">
            <v>0.51941526355172041</v>
          </cell>
          <cell r="M65">
            <v>0.5232463020199728</v>
          </cell>
          <cell r="N65">
            <v>0.51334056061058642</v>
          </cell>
          <cell r="O65">
            <v>0.52413695722244147</v>
          </cell>
          <cell r="P65">
            <v>0.52278392213937952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0.51685887634596572</v>
          </cell>
          <cell r="V65">
            <v>0.50873221722211492</v>
          </cell>
          <cell r="W65">
            <v>0.47373622697203432</v>
          </cell>
          <cell r="X65">
            <v>8.126659123850799E-3</v>
          </cell>
          <cell r="Y65">
            <v>4.3122649373931399E-2</v>
          </cell>
        </row>
        <row r="66">
          <cell r="B66" t="str">
            <v>G&amp;A % of total revenue</v>
          </cell>
          <cell r="C66" t="str">
            <v>N.A.</v>
          </cell>
          <cell r="E66">
            <v>7.7864722024002075E-2</v>
          </cell>
          <cell r="F66">
            <v>7.6506923226095994E-2</v>
          </cell>
          <cell r="G66">
            <v>5.5047632952814222E-2</v>
          </cell>
          <cell r="H66">
            <v>7.5195667192961058E-2</v>
          </cell>
          <cell r="I66">
            <v>6.6820304601124855E-2</v>
          </cell>
          <cell r="J66">
            <v>4.4625523020082943E-2</v>
          </cell>
          <cell r="K66">
            <v>0.12190346676674475</v>
          </cell>
          <cell r="L66">
            <v>6.7768691176173401E-2</v>
          </cell>
          <cell r="M66">
            <v>5.8790861502134459E-2</v>
          </cell>
          <cell r="N66">
            <v>7.3518294163197398E-2</v>
          </cell>
          <cell r="O66">
            <v>5.3909448540891781E-2</v>
          </cell>
          <cell r="P66">
            <v>5.5706587310282635E-2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6.6092666718931645E-2</v>
          </cell>
          <cell r="V66">
            <v>7.5485741355570485E-2</v>
          </cell>
          <cell r="W66">
            <v>7.9226011991302622E-2</v>
          </cell>
          <cell r="X66">
            <v>-9.3930746366388401E-3</v>
          </cell>
          <cell r="Y66">
            <v>-1.3133345272370978E-2</v>
          </cell>
        </row>
        <row r="67">
          <cell r="B67" t="str">
            <v>E.B.I.T.D. : Total Rev</v>
          </cell>
          <cell r="C67" t="str">
            <v>N.A.</v>
          </cell>
          <cell r="E67">
            <v>-8.0397988700379869E-2</v>
          </cell>
          <cell r="F67">
            <v>-6.9239986124142588E-2</v>
          </cell>
          <cell r="G67">
            <v>0.10360466435747834</v>
          </cell>
          <cell r="H67">
            <v>-6.9109831772515146E-2</v>
          </cell>
          <cell r="I67">
            <v>8.0501793966121418E-3</v>
          </cell>
          <cell r="J67">
            <v>0.19146310042501655</v>
          </cell>
          <cell r="K67">
            <v>-0.14962902937372369</v>
          </cell>
          <cell r="L67">
            <v>3.3378349785117035E-2</v>
          </cell>
          <cell r="M67">
            <v>0.10417292232423735</v>
          </cell>
          <cell r="N67">
            <v>-4.1877285686483599E-2</v>
          </cell>
          <cell r="O67">
            <v>8.8261063182942398E-2</v>
          </cell>
          <cell r="P67">
            <v>0.10219622589660429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3.6291811547545273E-2</v>
          </cell>
          <cell r="V67">
            <v>1.2634477994319896E-3</v>
          </cell>
          <cell r="W67">
            <v>2.3374669719137937E-2</v>
          </cell>
          <cell r="X67">
            <v>3.5028363748113286E-2</v>
          </cell>
          <cell r="Y67">
            <v>1.2917141828407336E-2</v>
          </cell>
        </row>
        <row r="68">
          <cell r="B68" t="str">
            <v>No of Concession Transactions</v>
          </cell>
          <cell r="E68">
            <v>13</v>
          </cell>
          <cell r="F68">
            <v>14</v>
          </cell>
          <cell r="G68">
            <v>18</v>
          </cell>
          <cell r="H68">
            <v>14</v>
          </cell>
          <cell r="I68">
            <v>15</v>
          </cell>
          <cell r="J68">
            <v>18</v>
          </cell>
          <cell r="K68">
            <v>13</v>
          </cell>
          <cell r="L68">
            <v>15</v>
          </cell>
          <cell r="M68">
            <v>18</v>
          </cell>
          <cell r="N68">
            <v>12</v>
          </cell>
          <cell r="O68">
            <v>18</v>
          </cell>
          <cell r="P68">
            <v>20</v>
          </cell>
          <cell r="Q68" t="str">
            <v/>
          </cell>
          <cell r="R68">
            <v>26</v>
          </cell>
          <cell r="S68">
            <v>27</v>
          </cell>
          <cell r="T68">
            <v>28</v>
          </cell>
          <cell r="U68">
            <v>188</v>
          </cell>
          <cell r="V68">
            <v>170</v>
          </cell>
          <cell r="W68">
            <v>0</v>
          </cell>
          <cell r="X68">
            <v>18</v>
          </cell>
          <cell r="Y68">
            <v>188</v>
          </cell>
        </row>
        <row r="69">
          <cell r="B69" t="str">
            <v>Strike Rate %(No of Trans/Adm)</v>
          </cell>
          <cell r="E69">
            <v>0.24528301886792453</v>
          </cell>
          <cell r="F69">
            <v>0.25925925925925924</v>
          </cell>
          <cell r="G69">
            <v>0.23684210526315788</v>
          </cell>
          <cell r="H69">
            <v>0.25454545454545452</v>
          </cell>
          <cell r="I69">
            <v>0.24193548387096775</v>
          </cell>
          <cell r="J69">
            <v>0.18947368421052632</v>
          </cell>
          <cell r="K69">
            <v>0.26</v>
          </cell>
          <cell r="L69">
            <v>0.23076923076923078</v>
          </cell>
          <cell r="M69">
            <v>0.23684210526315788</v>
          </cell>
          <cell r="N69">
            <v>0.21428571428571427</v>
          </cell>
          <cell r="O69">
            <v>0.23076923076923078</v>
          </cell>
          <cell r="P69">
            <v>0.26666666666666666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0.23647798742138365</v>
          </cell>
          <cell r="V69">
            <v>0.22457067371202113</v>
          </cell>
          <cell r="W69">
            <v>0</v>
          </cell>
          <cell r="X69">
            <v>1.1907313709362516E-2</v>
          </cell>
          <cell r="Y69">
            <v>0.23647798742138365</v>
          </cell>
        </row>
        <row r="70">
          <cell r="B70" t="str">
            <v>Ave Sales (Total Sale/No of Trans) (S$)</v>
          </cell>
          <cell r="E70">
            <v>5.5038461538461547</v>
          </cell>
          <cell r="F70">
            <v>5.2071428571428573</v>
          </cell>
          <cell r="G70">
            <v>5.7</v>
          </cell>
          <cell r="H70">
            <v>5.3035714285714288</v>
          </cell>
          <cell r="I70">
            <v>5.58</v>
          </cell>
          <cell r="J70">
            <v>7.125</v>
          </cell>
          <cell r="K70">
            <v>5.1923076923076925</v>
          </cell>
          <cell r="L70">
            <v>5.85</v>
          </cell>
          <cell r="M70">
            <v>5.7</v>
          </cell>
          <cell r="N70">
            <v>6.3</v>
          </cell>
          <cell r="O70">
            <v>5.85</v>
          </cell>
          <cell r="P70">
            <v>5.0625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5.7087765957446805</v>
          </cell>
          <cell r="V70">
            <v>4.2631645294117648</v>
          </cell>
          <cell r="W70" t="str">
            <v>N.A.</v>
          </cell>
          <cell r="X70">
            <v>1.4456120663329157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42</v>
          </cell>
          <cell r="H71">
            <v>28</v>
          </cell>
          <cell r="I71">
            <v>32</v>
          </cell>
          <cell r="J71">
            <v>40</v>
          </cell>
          <cell r="K71">
            <v>26</v>
          </cell>
          <cell r="L71">
            <v>30</v>
          </cell>
          <cell r="M71">
            <v>38</v>
          </cell>
          <cell r="N71">
            <v>25</v>
          </cell>
          <cell r="O71">
            <v>40</v>
          </cell>
          <cell r="P71">
            <v>35</v>
          </cell>
          <cell r="Q71" t="str">
            <v/>
          </cell>
          <cell r="R71">
            <v>47.768999999999998</v>
          </cell>
          <cell r="S71">
            <v>48.768999999999998</v>
          </cell>
          <cell r="T71">
            <v>49.768999999999998</v>
          </cell>
          <cell r="U71">
            <v>390</v>
          </cell>
          <cell r="V71">
            <v>352</v>
          </cell>
          <cell r="W71">
            <v>0</v>
          </cell>
          <cell r="X71">
            <v>38</v>
          </cell>
          <cell r="Y71">
            <v>390</v>
          </cell>
        </row>
        <row r="72">
          <cell r="B72" t="str">
            <v>Combo Sales as % of Total Sales</v>
          </cell>
          <cell r="E72">
            <v>0.36338225017470294</v>
          </cell>
          <cell r="F72">
            <v>0.38408779149519889</v>
          </cell>
          <cell r="G72">
            <v>0.40935672514619881</v>
          </cell>
          <cell r="H72">
            <v>0.37710437710437711</v>
          </cell>
          <cell r="I72">
            <v>0.38231780167264034</v>
          </cell>
          <cell r="J72">
            <v>0.31189083820662766</v>
          </cell>
          <cell r="K72">
            <v>0.38518518518518519</v>
          </cell>
          <cell r="L72">
            <v>0.34188034188034189</v>
          </cell>
          <cell r="M72">
            <v>0.37037037037037035</v>
          </cell>
          <cell r="N72">
            <v>0.33068783068783064</v>
          </cell>
          <cell r="O72">
            <v>0.37986704653371317</v>
          </cell>
          <cell r="P72">
            <v>0.34567901234567899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0.36338225017470299</v>
          </cell>
          <cell r="V72">
            <v>0.48569278079910727</v>
          </cell>
          <cell r="W72">
            <v>0</v>
          </cell>
          <cell r="X72">
            <v>-0.12231053062440428</v>
          </cell>
          <cell r="Y72">
            <v>0.36338225017470299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5.1360000000000001</v>
          </cell>
          <cell r="S73">
            <v>5.1360000000000001</v>
          </cell>
          <cell r="T73">
            <v>5.1360000000000001</v>
          </cell>
          <cell r="U73">
            <v>66.387000000000015</v>
          </cell>
          <cell r="V73">
            <v>66</v>
          </cell>
          <cell r="W73">
            <v>0</v>
          </cell>
          <cell r="X73">
            <v>0.38700000000001467</v>
          </cell>
          <cell r="Y73">
            <v>66.387000000000015</v>
          </cell>
        </row>
        <row r="74">
          <cell r="B74" t="str">
            <v>Admissions/labour hour paid</v>
          </cell>
          <cell r="E74">
            <v>10.532591414944356</v>
          </cell>
          <cell r="F74">
            <v>9.180550833049983</v>
          </cell>
          <cell r="G74">
            <v>10.351402887496596</v>
          </cell>
          <cell r="H74">
            <v>9.3888699214749067</v>
          </cell>
          <cell r="I74">
            <v>13.498802525582407</v>
          </cell>
          <cell r="J74">
            <v>15.833333333333334</v>
          </cell>
          <cell r="K74">
            <v>9.7352024922118385</v>
          </cell>
          <cell r="L74">
            <v>12.655763239875389</v>
          </cell>
          <cell r="M74">
            <v>12.666666666666666</v>
          </cell>
          <cell r="N74">
            <v>10.903426791277258</v>
          </cell>
          <cell r="O74">
            <v>15.186915887850468</v>
          </cell>
          <cell r="P74">
            <v>14.602803738317757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11.975236115504538</v>
          </cell>
          <cell r="V74">
            <v>11.469696969696969</v>
          </cell>
          <cell r="W74" t="str">
            <v>N.A.</v>
          </cell>
          <cell r="X74">
            <v>0.50553914580756931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50.515529999999998</v>
          </cell>
          <cell r="W77">
            <v>3.8690000000000002</v>
          </cell>
          <cell r="X77">
            <v>-23.328029999999998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79</v>
          </cell>
          <cell r="W78">
            <v>64.614999999999995</v>
          </cell>
          <cell r="X78">
            <v>-55</v>
          </cell>
          <cell r="Y78">
            <v>-40.615000000000002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57</v>
          </cell>
          <cell r="W82">
            <v>61.408000000000001</v>
          </cell>
          <cell r="X82">
            <v>-18.936</v>
          </cell>
          <cell r="Y82">
            <v>-23.344000000000001</v>
          </cell>
        </row>
        <row r="83">
          <cell r="C83">
            <v>0</v>
          </cell>
          <cell r="E83">
            <v>7.4376250000000006</v>
          </cell>
          <cell r="F83">
            <v>7.4376250000000006</v>
          </cell>
          <cell r="G83">
            <v>7.4376250000000006</v>
          </cell>
          <cell r="H83">
            <v>7.4376250000000006</v>
          </cell>
          <cell r="I83">
            <v>7.4376250000000006</v>
          </cell>
          <cell r="J83">
            <v>7.4376250000000006</v>
          </cell>
          <cell r="K83">
            <v>7.4376250000000006</v>
          </cell>
          <cell r="L83">
            <v>7.4376250000000006</v>
          </cell>
          <cell r="M83">
            <v>7.4376250000000006</v>
          </cell>
          <cell r="N83">
            <v>7.4376250000000006</v>
          </cell>
          <cell r="O83">
            <v>7.4376250000000006</v>
          </cell>
          <cell r="P83">
            <v>7.4376250000000006</v>
          </cell>
          <cell r="R83">
            <v>0</v>
          </cell>
          <cell r="S83">
            <v>0</v>
          </cell>
          <cell r="T83">
            <v>0</v>
          </cell>
          <cell r="U83">
            <v>89.251499999999993</v>
          </cell>
          <cell r="V83">
            <v>186.51553000000001</v>
          </cell>
          <cell r="W83">
            <v>129.892</v>
          </cell>
          <cell r="X83">
            <v>-97.26403000000002</v>
          </cell>
          <cell r="Y83">
            <v>-40.640500000000003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0.71020000000000005</v>
          </cell>
          <cell r="F86">
            <v>0.72360000000000002</v>
          </cell>
          <cell r="G86">
            <v>1.0184</v>
          </cell>
          <cell r="H86">
            <v>0.73699999999999999</v>
          </cell>
          <cell r="I86">
            <v>0.83080000000000009</v>
          </cell>
          <cell r="J86">
            <v>1.2730000000000001</v>
          </cell>
          <cell r="K86">
            <v>0.67</v>
          </cell>
          <cell r="L86">
            <v>0.871</v>
          </cell>
          <cell r="M86">
            <v>1.0184</v>
          </cell>
          <cell r="N86">
            <v>0.75039999999999996</v>
          </cell>
          <cell r="O86">
            <v>1.0452000000000001</v>
          </cell>
          <cell r="P86">
            <v>1.0049999999999999</v>
          </cell>
          <cell r="U86">
            <v>10.653000000000002</v>
          </cell>
          <cell r="V86">
            <v>10.168647479999999</v>
          </cell>
          <cell r="W86">
            <v>12.68901</v>
          </cell>
          <cell r="X86">
            <v>0.48435252000000339</v>
          </cell>
          <cell r="Y86">
            <v>-2.0360099999999974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0.71020000000000005</v>
          </cell>
          <cell r="F91">
            <v>0.72360000000000002</v>
          </cell>
          <cell r="G91">
            <v>1.0184</v>
          </cell>
          <cell r="H91">
            <v>0.73699999999999999</v>
          </cell>
          <cell r="I91">
            <v>0.83080000000000009</v>
          </cell>
          <cell r="J91">
            <v>1.2730000000000001</v>
          </cell>
          <cell r="K91">
            <v>0.67</v>
          </cell>
          <cell r="L91">
            <v>0.871</v>
          </cell>
          <cell r="M91">
            <v>1.0184</v>
          </cell>
          <cell r="N91">
            <v>0.75039999999999996</v>
          </cell>
          <cell r="O91">
            <v>1.0452000000000001</v>
          </cell>
          <cell r="P91">
            <v>1.0049999999999999</v>
          </cell>
          <cell r="U91">
            <v>10.653000000000002</v>
          </cell>
          <cell r="V91">
            <v>10.168647479999999</v>
          </cell>
          <cell r="W91">
            <v>12.68901</v>
          </cell>
          <cell r="X91">
            <v>0.48435252000000339</v>
          </cell>
          <cell r="Y91">
            <v>-2.0360099999999974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34.385652998563216</v>
          </cell>
          <cell r="F94">
            <v>34.385652998563216</v>
          </cell>
          <cell r="G94">
            <v>35.485652998563218</v>
          </cell>
          <cell r="H94">
            <v>34.385652998563216</v>
          </cell>
          <cell r="I94">
            <v>34.385652998563216</v>
          </cell>
          <cell r="J94">
            <v>35.485652998563218</v>
          </cell>
          <cell r="K94">
            <v>31.631744341063211</v>
          </cell>
          <cell r="L94">
            <v>31.631744341063211</v>
          </cell>
          <cell r="M94">
            <v>32.731744341063212</v>
          </cell>
          <cell r="N94">
            <v>31.631744341063211</v>
          </cell>
          <cell r="O94">
            <v>32.731744341063212</v>
          </cell>
          <cell r="P94">
            <v>32.731744341063212</v>
          </cell>
          <cell r="T94">
            <v>0</v>
          </cell>
          <cell r="U94">
            <v>401.60438403775862</v>
          </cell>
          <cell r="V94">
            <v>458.43801000000002</v>
          </cell>
          <cell r="W94">
            <v>607.80600000000004</v>
          </cell>
          <cell r="X94">
            <v>-56.833625962241399</v>
          </cell>
          <cell r="Y94">
            <v>-206.20161596224142</v>
          </cell>
        </row>
        <row r="95">
          <cell r="A95">
            <v>67</v>
          </cell>
          <cell r="B95" t="str">
            <v>Bonus/Commission</v>
          </cell>
          <cell r="E95">
            <v>1.2497804166666664</v>
          </cell>
          <cell r="F95">
            <v>1.2497804166666664</v>
          </cell>
          <cell r="G95">
            <v>1.2497804166666664</v>
          </cell>
          <cell r="H95">
            <v>1.2497804166666664</v>
          </cell>
          <cell r="I95">
            <v>1.2497804166666664</v>
          </cell>
          <cell r="J95">
            <v>1.2497804166666664</v>
          </cell>
          <cell r="K95">
            <v>1.2497804166666664</v>
          </cell>
          <cell r="L95">
            <v>1.2497804166666664</v>
          </cell>
          <cell r="M95">
            <v>1.2497804166666664</v>
          </cell>
          <cell r="N95">
            <v>1.2497804166666664</v>
          </cell>
          <cell r="O95">
            <v>1.2497804166666664</v>
          </cell>
          <cell r="P95">
            <v>1.2497804166666664</v>
          </cell>
          <cell r="T95">
            <v>0</v>
          </cell>
          <cell r="U95">
            <v>14.997365</v>
          </cell>
          <cell r="V95">
            <v>20.880024999999996</v>
          </cell>
          <cell r="W95">
            <v>40.893000000000001</v>
          </cell>
          <cell r="X95">
            <v>-5.882659999999996</v>
          </cell>
          <cell r="Y95">
            <v>-25.895634999999999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9</v>
          </cell>
          <cell r="W97">
            <v>17.617999999999999</v>
          </cell>
          <cell r="X97">
            <v>-2.3639999999999999</v>
          </cell>
          <cell r="Y97">
            <v>-10.981999999999999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10.64</v>
          </cell>
          <cell r="X98">
            <v>-0.60274000000000161</v>
          </cell>
          <cell r="Y98">
            <v>-4.9880000000000004</v>
          </cell>
        </row>
        <row r="99">
          <cell r="C99">
            <v>0</v>
          </cell>
          <cell r="E99">
            <v>36.659433415229877</v>
          </cell>
          <cell r="F99">
            <v>36.659433415229877</v>
          </cell>
          <cell r="G99">
            <v>37.759433415229879</v>
          </cell>
          <cell r="H99">
            <v>36.659433415229877</v>
          </cell>
          <cell r="I99">
            <v>36.659433415229877</v>
          </cell>
          <cell r="J99">
            <v>37.759433415229879</v>
          </cell>
          <cell r="K99">
            <v>33.905524757729872</v>
          </cell>
          <cell r="L99">
            <v>33.905524757729872</v>
          </cell>
          <cell r="M99">
            <v>35.005524757729873</v>
          </cell>
          <cell r="N99">
            <v>33.905524757729872</v>
          </cell>
          <cell r="O99">
            <v>35.005524757729873</v>
          </cell>
          <cell r="P99">
            <v>35.005524757729873</v>
          </cell>
          <cell r="R99">
            <v>0</v>
          </cell>
          <cell r="S99">
            <v>0</v>
          </cell>
          <cell r="T99">
            <v>0</v>
          </cell>
          <cell r="U99">
            <v>428.88974903775863</v>
          </cell>
          <cell r="V99">
            <v>494.57277500000004</v>
          </cell>
          <cell r="W99">
            <v>676.95700000000011</v>
          </cell>
          <cell r="X99">
            <v>-65.683025962241402</v>
          </cell>
          <cell r="Y99">
            <v>-248.06725096224147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14.940739999999998</v>
          </cell>
          <cell r="W102">
            <v>16.568999999999999</v>
          </cell>
          <cell r="X102">
            <v>0.65926000000000506</v>
          </cell>
          <cell r="Y102">
            <v>-0.96899999999999586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31.265576666666664</v>
          </cell>
          <cell r="W104">
            <v>31.7</v>
          </cell>
          <cell r="X104">
            <v>-7.2655766666666644</v>
          </cell>
          <cell r="Y104">
            <v>-7.7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8.9930699999999995</v>
          </cell>
          <cell r="W105">
            <v>9.5839999999999996</v>
          </cell>
          <cell r="X105">
            <v>3.0069300000000005</v>
          </cell>
          <cell r="Y105">
            <v>2.4160000000000004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3.8360100000000004</v>
          </cell>
          <cell r="W106">
            <v>0</v>
          </cell>
          <cell r="X106">
            <v>2.1639899999999996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0.20399999999999999</v>
          </cell>
          <cell r="F108">
            <v>0.20399999999999999</v>
          </cell>
          <cell r="G108">
            <v>0.20399999999999999</v>
          </cell>
          <cell r="H108">
            <v>0.20399999999999999</v>
          </cell>
          <cell r="I108">
            <v>0.20399999999999999</v>
          </cell>
          <cell r="J108">
            <v>0.20399999999999999</v>
          </cell>
          <cell r="K108">
            <v>0.20399999999999999</v>
          </cell>
          <cell r="L108">
            <v>0.20399999999999999</v>
          </cell>
          <cell r="M108">
            <v>0.20399999999999999</v>
          </cell>
          <cell r="N108">
            <v>0.20399999999999999</v>
          </cell>
          <cell r="O108">
            <v>0.20399999999999999</v>
          </cell>
          <cell r="P108">
            <v>0.20399999999999999</v>
          </cell>
          <cell r="T108">
            <v>0</v>
          </cell>
          <cell r="U108">
            <v>2.4480000000000004</v>
          </cell>
          <cell r="V108">
            <v>4.6437667200000003</v>
          </cell>
          <cell r="W108">
            <v>13.945990000000002</v>
          </cell>
          <cell r="X108">
            <v>-2.1957667199999999</v>
          </cell>
          <cell r="Y108">
            <v>-11.497990000000001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22.281880000000001</v>
          </cell>
          <cell r="L111">
            <v>7.2174399999999999</v>
          </cell>
          <cell r="M111">
            <v>7.4728800000000009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83.304200000000009</v>
          </cell>
          <cell r="V111">
            <v>98.911810000000017</v>
          </cell>
          <cell r="W111">
            <v>158.249</v>
          </cell>
          <cell r="X111">
            <v>-15.607610000000008</v>
          </cell>
          <cell r="Y111">
            <v>-74.944799999999987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51.36844</v>
          </cell>
          <cell r="W112">
            <v>89.638999999999996</v>
          </cell>
          <cell r="X112">
            <v>-3.3684399999999997</v>
          </cell>
          <cell r="Y112">
            <v>-41.638999999999996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6.8987900000000009</v>
          </cell>
          <cell r="W113">
            <v>6.9480000000000004</v>
          </cell>
          <cell r="X113">
            <v>0.30120999999999754</v>
          </cell>
          <cell r="Y113">
            <v>0.251999999999998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0.36380999999999997</v>
          </cell>
          <cell r="W114">
            <v>5.2789999999999999</v>
          </cell>
          <cell r="X114">
            <v>2.0361899999999999</v>
          </cell>
          <cell r="Y114">
            <v>-2.879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5.5111099999999986</v>
          </cell>
          <cell r="W115">
            <v>4.5910000000000002</v>
          </cell>
          <cell r="X115">
            <v>0.48889000000000138</v>
          </cell>
          <cell r="Y115">
            <v>1.4089999999999998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2.5334400000000006</v>
          </cell>
          <cell r="W117">
            <v>6.2009999999999996</v>
          </cell>
          <cell r="X117">
            <v>-0.13344000000000067</v>
          </cell>
          <cell r="Y117">
            <v>-3.8009999999999997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0.49159433415229881</v>
          </cell>
          <cell r="F119">
            <v>0.49159433415229881</v>
          </cell>
          <cell r="G119">
            <v>0.50259433415229882</v>
          </cell>
          <cell r="H119">
            <v>0.49159433415229881</v>
          </cell>
          <cell r="I119">
            <v>0.49159433415229881</v>
          </cell>
          <cell r="J119">
            <v>0.50259433415229882</v>
          </cell>
          <cell r="K119">
            <v>0.46405524757729882</v>
          </cell>
          <cell r="L119">
            <v>0.46405524757729882</v>
          </cell>
          <cell r="M119">
            <v>0.47505524757729883</v>
          </cell>
          <cell r="N119">
            <v>0.46405524757729882</v>
          </cell>
          <cell r="O119">
            <v>0.47505524757729883</v>
          </cell>
          <cell r="P119">
            <v>0.47505524757729883</v>
          </cell>
          <cell r="T119">
            <v>0</v>
          </cell>
          <cell r="U119">
            <v>5.7888974903775852</v>
          </cell>
          <cell r="V119">
            <v>5.4304099999999993</v>
          </cell>
          <cell r="W119">
            <v>9.9930000000000003</v>
          </cell>
          <cell r="X119">
            <v>0.35848749037758587</v>
          </cell>
          <cell r="Y119">
            <v>-4.2041025096224152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17</v>
          </cell>
          <cell r="F122">
            <v>17</v>
          </cell>
          <cell r="G122">
            <v>17</v>
          </cell>
          <cell r="H122">
            <v>17</v>
          </cell>
          <cell r="I122">
            <v>17</v>
          </cell>
          <cell r="J122">
            <v>17</v>
          </cell>
          <cell r="K122">
            <v>17</v>
          </cell>
          <cell r="L122">
            <v>17</v>
          </cell>
          <cell r="M122">
            <v>17</v>
          </cell>
          <cell r="N122">
            <v>17</v>
          </cell>
          <cell r="O122">
            <v>17</v>
          </cell>
          <cell r="P122">
            <v>17</v>
          </cell>
          <cell r="U122">
            <v>204</v>
          </cell>
          <cell r="V122">
            <v>228</v>
          </cell>
          <cell r="W122">
            <v>230.57</v>
          </cell>
          <cell r="X122">
            <v>-24</v>
          </cell>
          <cell r="Y122">
            <v>-26.57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0.8</v>
          </cell>
          <cell r="F124">
            <v>0.8</v>
          </cell>
          <cell r="G124">
            <v>0.8</v>
          </cell>
          <cell r="H124">
            <v>0.8</v>
          </cell>
          <cell r="I124">
            <v>0.8</v>
          </cell>
          <cell r="J124">
            <v>0.8</v>
          </cell>
          <cell r="K124">
            <v>0.8</v>
          </cell>
          <cell r="L124">
            <v>0.8</v>
          </cell>
          <cell r="M124">
            <v>0.8</v>
          </cell>
          <cell r="N124">
            <v>0.8</v>
          </cell>
          <cell r="O124">
            <v>0.8</v>
          </cell>
          <cell r="P124">
            <v>0.8</v>
          </cell>
          <cell r="T124">
            <v>0</v>
          </cell>
          <cell r="U124">
            <v>9.6</v>
          </cell>
          <cell r="V124">
            <v>3.0370999999999988</v>
          </cell>
          <cell r="W124">
            <v>5.9450000000000003</v>
          </cell>
          <cell r="X124">
            <v>6.5629000000000008</v>
          </cell>
          <cell r="Y124">
            <v>3.6549999999999998</v>
          </cell>
        </row>
        <row r="125">
          <cell r="C125">
            <v>0</v>
          </cell>
          <cell r="E125">
            <v>35.318474334152299</v>
          </cell>
          <cell r="F125">
            <v>35.318474334152299</v>
          </cell>
          <cell r="G125">
            <v>35.160994334152292</v>
          </cell>
          <cell r="H125">
            <v>35.318474334152299</v>
          </cell>
          <cell r="I125">
            <v>35.149994334152296</v>
          </cell>
          <cell r="J125">
            <v>35.329474334152295</v>
          </cell>
          <cell r="K125">
            <v>52.349935247577299</v>
          </cell>
          <cell r="L125">
            <v>37.285495247577302</v>
          </cell>
          <cell r="M125">
            <v>37.551935247577298</v>
          </cell>
          <cell r="N125">
            <v>35.122455247577292</v>
          </cell>
          <cell r="O125">
            <v>35.301935247577298</v>
          </cell>
          <cell r="P125">
            <v>35.133455247577295</v>
          </cell>
          <cell r="R125">
            <v>0</v>
          </cell>
          <cell r="S125">
            <v>0</v>
          </cell>
          <cell r="T125">
            <v>0</v>
          </cell>
          <cell r="U125">
            <v>444.34109749037759</v>
          </cell>
          <cell r="V125">
            <v>481.33407338666666</v>
          </cell>
          <cell r="W125">
            <v>604.81398999999999</v>
          </cell>
          <cell r="X125">
            <v>-36.992975896289067</v>
          </cell>
          <cell r="Y125">
            <v>-160.4728925096224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5" refreshError="1">
        <row r="11">
          <cell r="A11">
            <v>1</v>
          </cell>
          <cell r="B11" t="str">
            <v>Net Film Revenue</v>
          </cell>
          <cell r="E11">
            <v>351.87600000000003</v>
          </cell>
          <cell r="F11">
            <v>351.87600000000003</v>
          </cell>
          <cell r="G11">
            <v>466.25600000000003</v>
          </cell>
          <cell r="H11">
            <v>335.84800000000001</v>
          </cell>
          <cell r="I11">
            <v>374.09800000000001</v>
          </cell>
          <cell r="J11">
            <v>553.3180000000001</v>
          </cell>
          <cell r="K11">
            <v>343.49800000000005</v>
          </cell>
          <cell r="L11">
            <v>404.32800000000003</v>
          </cell>
          <cell r="M11">
            <v>444.76200000000006</v>
          </cell>
          <cell r="N11">
            <v>352.60399999999998</v>
          </cell>
          <cell r="O11">
            <v>443.30600000000004</v>
          </cell>
          <cell r="P11">
            <v>441.85</v>
          </cell>
          <cell r="Q11" t="e">
            <v>#VALUE!</v>
          </cell>
          <cell r="T11">
            <v>0</v>
          </cell>
          <cell r="U11">
            <v>4863.62</v>
          </cell>
          <cell r="V11">
            <v>2716.1770000000001</v>
          </cell>
          <cell r="W11">
            <v>0</v>
          </cell>
          <cell r="X11">
            <v>2147.4430000000007</v>
          </cell>
          <cell r="Y11">
            <v>4863.62</v>
          </cell>
        </row>
        <row r="12">
          <cell r="A12">
            <v>2</v>
          </cell>
          <cell r="B12" t="str">
            <v>Concession Sales</v>
          </cell>
          <cell r="E12">
            <v>61.74</v>
          </cell>
          <cell r="F12">
            <v>61.74</v>
          </cell>
          <cell r="G12">
            <v>82.04</v>
          </cell>
          <cell r="H12">
            <v>58.87</v>
          </cell>
          <cell r="I12">
            <v>65.87</v>
          </cell>
          <cell r="J12">
            <v>97.72</v>
          </cell>
          <cell r="K12">
            <v>60.27</v>
          </cell>
          <cell r="L12">
            <v>70.77</v>
          </cell>
          <cell r="M12">
            <v>77.98</v>
          </cell>
          <cell r="N12">
            <v>61.81</v>
          </cell>
          <cell r="O12">
            <v>77.84</v>
          </cell>
          <cell r="P12">
            <v>77.7</v>
          </cell>
          <cell r="T12">
            <v>0</v>
          </cell>
          <cell r="U12">
            <v>854.35</v>
          </cell>
          <cell r="V12">
            <v>344.09500000000003</v>
          </cell>
          <cell r="W12">
            <v>0</v>
          </cell>
          <cell r="X12">
            <v>510.255</v>
          </cell>
          <cell r="Y12">
            <v>854.35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212.73799999999997</v>
          </cell>
          <cell r="W15">
            <v>0</v>
          </cell>
          <cell r="X15">
            <v>21.262000000000029</v>
          </cell>
          <cell r="Y15">
            <v>234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13.782225</v>
          </cell>
          <cell r="F16">
            <v>13.782225</v>
          </cell>
          <cell r="G16">
            <v>13.782225</v>
          </cell>
          <cell r="H16">
            <v>13.782225</v>
          </cell>
          <cell r="I16">
            <v>13.782225</v>
          </cell>
          <cell r="J16">
            <v>13.782225</v>
          </cell>
          <cell r="K16">
            <v>13.782225</v>
          </cell>
          <cell r="L16">
            <v>13.782225</v>
          </cell>
          <cell r="M16">
            <v>13.782225</v>
          </cell>
          <cell r="N16">
            <v>13.782225</v>
          </cell>
          <cell r="O16">
            <v>13.782225</v>
          </cell>
          <cell r="P16">
            <v>13.782225</v>
          </cell>
          <cell r="R16">
            <v>0</v>
          </cell>
          <cell r="S16">
            <v>0</v>
          </cell>
          <cell r="T16">
            <v>0</v>
          </cell>
          <cell r="U16">
            <v>165.38670000000002</v>
          </cell>
          <cell r="V16">
            <v>75.548249999999996</v>
          </cell>
          <cell r="W16">
            <v>0</v>
          </cell>
          <cell r="X16">
            <v>89.838450000000023</v>
          </cell>
          <cell r="Y16">
            <v>165.38670000000002</v>
          </cell>
        </row>
        <row r="17">
          <cell r="B17" t="str">
            <v>TOTAL REVENUE</v>
          </cell>
          <cell r="C17">
            <v>0</v>
          </cell>
          <cell r="E17">
            <v>446.89822500000002</v>
          </cell>
          <cell r="F17">
            <v>446.89822500000002</v>
          </cell>
          <cell r="G17">
            <v>581.57822500000009</v>
          </cell>
          <cell r="H17">
            <v>428.000225</v>
          </cell>
          <cell r="I17">
            <v>473.250225</v>
          </cell>
          <cell r="J17">
            <v>684.32022500000016</v>
          </cell>
          <cell r="K17">
            <v>437.05022500000001</v>
          </cell>
          <cell r="L17">
            <v>508.380225</v>
          </cell>
          <cell r="M17">
            <v>556.02422500000011</v>
          </cell>
          <cell r="N17">
            <v>447.69622499999997</v>
          </cell>
          <cell r="O17">
            <v>554.42822500000011</v>
          </cell>
          <cell r="P17">
            <v>552.83222499999999</v>
          </cell>
          <cell r="R17">
            <v>0</v>
          </cell>
          <cell r="S17">
            <v>0</v>
          </cell>
          <cell r="T17">
            <v>0</v>
          </cell>
          <cell r="U17">
            <v>6117.3567000000003</v>
          </cell>
          <cell r="V17">
            <v>3348.5582499999996</v>
          </cell>
          <cell r="W17">
            <v>0</v>
          </cell>
          <cell r="X17">
            <v>2768.7984500000007</v>
          </cell>
          <cell r="Y17">
            <v>6117.3567000000003</v>
          </cell>
        </row>
        <row r="19">
          <cell r="A19">
            <v>7</v>
          </cell>
          <cell r="B19" t="str">
            <v>Film Hire</v>
          </cell>
          <cell r="E19">
            <v>163.62234000000004</v>
          </cell>
          <cell r="F19">
            <v>163.62234000000004</v>
          </cell>
          <cell r="G19">
            <v>216.80904000000004</v>
          </cell>
          <cell r="H19">
            <v>156.16932000000003</v>
          </cell>
          <cell r="I19">
            <v>173.95557000000002</v>
          </cell>
          <cell r="J19">
            <v>257.29287000000005</v>
          </cell>
          <cell r="K19">
            <v>159.72657000000004</v>
          </cell>
          <cell r="L19">
            <v>188.01252000000002</v>
          </cell>
          <cell r="M19">
            <v>206.81433000000004</v>
          </cell>
          <cell r="N19">
            <v>163.96086</v>
          </cell>
          <cell r="O19">
            <v>206.13729000000004</v>
          </cell>
          <cell r="P19">
            <v>205.46025000000003</v>
          </cell>
          <cell r="U19">
            <v>2261.5833000000002</v>
          </cell>
          <cell r="V19">
            <v>1268.2820000000002</v>
          </cell>
          <cell r="W19">
            <v>0</v>
          </cell>
          <cell r="X19">
            <v>993.30130000000008</v>
          </cell>
          <cell r="Y19">
            <v>2261.5833000000002</v>
          </cell>
        </row>
        <row r="20">
          <cell r="A20">
            <v>8</v>
          </cell>
          <cell r="B20" t="str">
            <v>Concession Cost</v>
          </cell>
          <cell r="E20">
            <v>14.200199999999999</v>
          </cell>
          <cell r="F20">
            <v>14.200199999999999</v>
          </cell>
          <cell r="G20">
            <v>18.869199999999999</v>
          </cell>
          <cell r="H20">
            <v>13.540099999999999</v>
          </cell>
          <cell r="I20">
            <v>15.150099999999998</v>
          </cell>
          <cell r="J20">
            <v>22.475599999999996</v>
          </cell>
          <cell r="K20">
            <v>13.862099999999998</v>
          </cell>
          <cell r="L20">
            <v>16.277100000000001</v>
          </cell>
          <cell r="M20">
            <v>17.935400000000001</v>
          </cell>
          <cell r="N20">
            <v>14.2163</v>
          </cell>
          <cell r="O20">
            <v>17.903200000000002</v>
          </cell>
          <cell r="P20">
            <v>17.870999999999999</v>
          </cell>
          <cell r="T20">
            <v>0</v>
          </cell>
          <cell r="U20">
            <v>196.50049999999999</v>
          </cell>
          <cell r="V20">
            <v>65.610100000000003</v>
          </cell>
          <cell r="W20">
            <v>0</v>
          </cell>
          <cell r="X20">
            <v>130.8904</v>
          </cell>
          <cell r="Y20">
            <v>196.50049999999999</v>
          </cell>
        </row>
        <row r="21">
          <cell r="A21">
            <v>9</v>
          </cell>
          <cell r="B21" t="str">
            <v>Less Concession Rebates</v>
          </cell>
          <cell r="E21">
            <v>-1.5434999999999999</v>
          </cell>
          <cell r="F21">
            <v>-1.5434999999999999</v>
          </cell>
          <cell r="G21">
            <v>-2.0509999999999997</v>
          </cell>
          <cell r="H21">
            <v>-1.4717499999999999</v>
          </cell>
          <cell r="I21">
            <v>-1.6467499999999999</v>
          </cell>
          <cell r="J21">
            <v>-2.4429999999999996</v>
          </cell>
          <cell r="K21">
            <v>-1.5067499999999998</v>
          </cell>
          <cell r="L21">
            <v>-1.76925</v>
          </cell>
          <cell r="M21">
            <v>-1.9495000000000002</v>
          </cell>
          <cell r="N21">
            <v>-1.54525</v>
          </cell>
          <cell r="O21">
            <v>-1.9460000000000002</v>
          </cell>
          <cell r="P21">
            <v>-1.9424999999999999</v>
          </cell>
          <cell r="U21">
            <v>-21.358750000000001</v>
          </cell>
          <cell r="V21">
            <v>-9.56</v>
          </cell>
          <cell r="W21">
            <v>0</v>
          </cell>
          <cell r="X21">
            <v>-11.79875</v>
          </cell>
          <cell r="Y21">
            <v>-21.358750000000001</v>
          </cell>
        </row>
        <row r="22">
          <cell r="A22">
            <v>10</v>
          </cell>
          <cell r="B22" t="str">
            <v>Advertising Cost</v>
          </cell>
          <cell r="E22">
            <v>8.0931480000000011</v>
          </cell>
          <cell r="F22">
            <v>8.0931480000000011</v>
          </cell>
          <cell r="G22">
            <v>10.723888000000001</v>
          </cell>
          <cell r="H22">
            <v>7.7245040000000005</v>
          </cell>
          <cell r="I22">
            <v>8.604254000000001</v>
          </cell>
          <cell r="J22">
            <v>12.726314000000002</v>
          </cell>
          <cell r="K22">
            <v>7.9004540000000008</v>
          </cell>
          <cell r="L22">
            <v>9.2995440000000009</v>
          </cell>
          <cell r="M22">
            <v>10.229526000000002</v>
          </cell>
          <cell r="N22">
            <v>8.1098920000000003</v>
          </cell>
          <cell r="O22">
            <v>10.196038000000001</v>
          </cell>
          <cell r="P22">
            <v>10.16255</v>
          </cell>
          <cell r="T22">
            <v>0</v>
          </cell>
          <cell r="U22">
            <v>111.86326000000003</v>
          </cell>
          <cell r="V22">
            <v>58.786860000000004</v>
          </cell>
          <cell r="W22">
            <v>0</v>
          </cell>
          <cell r="X22">
            <v>53.076400000000021</v>
          </cell>
          <cell r="Y22">
            <v>111.86326000000003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0.70375200000000004</v>
          </cell>
          <cell r="F23">
            <v>0.70375200000000004</v>
          </cell>
          <cell r="G23">
            <v>0.93251200000000012</v>
          </cell>
          <cell r="H23">
            <v>0.67169600000000007</v>
          </cell>
          <cell r="I23">
            <v>0.74819600000000008</v>
          </cell>
          <cell r="J23">
            <v>1.1066360000000002</v>
          </cell>
          <cell r="K23">
            <v>0.68699600000000016</v>
          </cell>
          <cell r="L23">
            <v>0.80865600000000004</v>
          </cell>
          <cell r="M23">
            <v>0.88952400000000009</v>
          </cell>
          <cell r="N23">
            <v>0.70520799999999995</v>
          </cell>
          <cell r="O23">
            <v>0.88661200000000007</v>
          </cell>
          <cell r="P23">
            <v>0.88370000000000004</v>
          </cell>
          <cell r="R23">
            <v>0</v>
          </cell>
          <cell r="S23">
            <v>0</v>
          </cell>
          <cell r="T23">
            <v>0</v>
          </cell>
          <cell r="U23">
            <v>9.7272399999999983</v>
          </cell>
          <cell r="V23">
            <v>5.4323540000000001</v>
          </cell>
          <cell r="W23">
            <v>0</v>
          </cell>
          <cell r="X23">
            <v>4.2948859999999982</v>
          </cell>
          <cell r="Y23">
            <v>9.7272399999999983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39.990848205229867</v>
          </cell>
          <cell r="F24">
            <v>39.990848205229867</v>
          </cell>
          <cell r="G24">
            <v>41.090848205229868</v>
          </cell>
          <cell r="H24">
            <v>39.990848205229867</v>
          </cell>
          <cell r="I24">
            <v>39.990848205229867</v>
          </cell>
          <cell r="J24">
            <v>41.090848205229868</v>
          </cell>
          <cell r="K24">
            <v>40.643640968929873</v>
          </cell>
          <cell r="L24">
            <v>40.643640968929873</v>
          </cell>
          <cell r="M24">
            <v>41.743640968929874</v>
          </cell>
          <cell r="N24">
            <v>40.643640968929873</v>
          </cell>
          <cell r="O24">
            <v>41.743640968929874</v>
          </cell>
          <cell r="P24">
            <v>41.743640968929874</v>
          </cell>
          <cell r="R24">
            <v>0</v>
          </cell>
          <cell r="S24">
            <v>0</v>
          </cell>
          <cell r="T24">
            <v>0</v>
          </cell>
          <cell r="U24">
            <v>489.30693504495832</v>
          </cell>
          <cell r="V24">
            <v>207.39718999999997</v>
          </cell>
          <cell r="W24">
            <v>0</v>
          </cell>
          <cell r="X24">
            <v>281.90974504495836</v>
          </cell>
          <cell r="Y24">
            <v>489.30693504495832</v>
          </cell>
        </row>
        <row r="25">
          <cell r="B25" t="str">
            <v>TOTAL COST</v>
          </cell>
          <cell r="C25">
            <v>0</v>
          </cell>
          <cell r="E25">
            <v>225.06678820522993</v>
          </cell>
          <cell r="F25">
            <v>225.06678820522993</v>
          </cell>
          <cell r="G25">
            <v>286.37448820522991</v>
          </cell>
          <cell r="H25">
            <v>216.6247182052299</v>
          </cell>
          <cell r="I25">
            <v>236.80221820522991</v>
          </cell>
          <cell r="J25">
            <v>332.2492682052299</v>
          </cell>
          <cell r="K25">
            <v>221.31301096892989</v>
          </cell>
          <cell r="L25">
            <v>253.2722109689299</v>
          </cell>
          <cell r="M25">
            <v>275.66292096892994</v>
          </cell>
          <cell r="N25">
            <v>226.09065096892985</v>
          </cell>
          <cell r="O25">
            <v>274.92078096892993</v>
          </cell>
          <cell r="P25">
            <v>274.17864096892993</v>
          </cell>
          <cell r="R25">
            <v>0</v>
          </cell>
          <cell r="S25">
            <v>0</v>
          </cell>
          <cell r="T25">
            <v>0</v>
          </cell>
          <cell r="U25">
            <v>3047.6224850449585</v>
          </cell>
          <cell r="V25">
            <v>1595.9485040000002</v>
          </cell>
          <cell r="W25">
            <v>0</v>
          </cell>
          <cell r="X25">
            <v>1451.6739810449583</v>
          </cell>
          <cell r="Y25">
            <v>3047.6224850449585</v>
          </cell>
        </row>
        <row r="27">
          <cell r="B27" t="str">
            <v>GROSS MARGIN</v>
          </cell>
          <cell r="C27">
            <v>0</v>
          </cell>
          <cell r="E27">
            <v>221.8314367947701</v>
          </cell>
          <cell r="F27">
            <v>221.8314367947701</v>
          </cell>
          <cell r="G27">
            <v>295.20373679477018</v>
          </cell>
          <cell r="H27">
            <v>211.3755067947701</v>
          </cell>
          <cell r="I27">
            <v>236.44800679477009</v>
          </cell>
          <cell r="J27">
            <v>352.07095679477027</v>
          </cell>
          <cell r="K27">
            <v>215.73721403107012</v>
          </cell>
          <cell r="L27">
            <v>255.1080140310701</v>
          </cell>
          <cell r="M27">
            <v>280.36130403107018</v>
          </cell>
          <cell r="N27">
            <v>221.60557403107012</v>
          </cell>
          <cell r="O27">
            <v>279.50744403107018</v>
          </cell>
          <cell r="P27">
            <v>278.65358403107007</v>
          </cell>
          <cell r="R27">
            <v>0</v>
          </cell>
          <cell r="S27">
            <v>0</v>
          </cell>
          <cell r="T27">
            <v>0</v>
          </cell>
          <cell r="U27">
            <v>3069.7342149550414</v>
          </cell>
          <cell r="V27">
            <v>1752.6097459999994</v>
          </cell>
          <cell r="W27">
            <v>0</v>
          </cell>
          <cell r="X27">
            <v>1317.1244689550419</v>
          </cell>
          <cell r="Y27">
            <v>3069.7342149550414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103.88759999999999</v>
          </cell>
          <cell r="F29">
            <v>103.88759999999999</v>
          </cell>
          <cell r="G29">
            <v>103.88759999999999</v>
          </cell>
          <cell r="H29">
            <v>103.88759999999999</v>
          </cell>
          <cell r="I29">
            <v>103.88759999999999</v>
          </cell>
          <cell r="J29">
            <v>103.88759999999999</v>
          </cell>
          <cell r="K29">
            <v>103.88759999999999</v>
          </cell>
          <cell r="L29">
            <v>103.88759999999999</v>
          </cell>
          <cell r="M29">
            <v>103.88759999999999</v>
          </cell>
          <cell r="N29">
            <v>103.88759999999999</v>
          </cell>
          <cell r="O29">
            <v>103.88759999999999</v>
          </cell>
          <cell r="P29">
            <v>103.88759999999999</v>
          </cell>
          <cell r="T29">
            <v>0</v>
          </cell>
          <cell r="U29">
            <v>1246.6512</v>
          </cell>
          <cell r="V29">
            <v>320.05664999999999</v>
          </cell>
          <cell r="W29">
            <v>0</v>
          </cell>
          <cell r="X29">
            <v>926.59455000000003</v>
          </cell>
          <cell r="Y29">
            <v>1246.6512</v>
          </cell>
        </row>
        <row r="30">
          <cell r="A30">
            <v>14</v>
          </cell>
          <cell r="B30" t="str">
            <v>Light, Heat and Power</v>
          </cell>
          <cell r="E30">
            <v>15.2</v>
          </cell>
          <cell r="F30">
            <v>15.2</v>
          </cell>
          <cell r="G30">
            <v>15.2</v>
          </cell>
          <cell r="H30">
            <v>15.2</v>
          </cell>
          <cell r="I30">
            <v>15.2</v>
          </cell>
          <cell r="J30">
            <v>15.2</v>
          </cell>
          <cell r="K30">
            <v>15.2</v>
          </cell>
          <cell r="L30">
            <v>15.2</v>
          </cell>
          <cell r="M30">
            <v>15.2</v>
          </cell>
          <cell r="N30">
            <v>15.2</v>
          </cell>
          <cell r="O30">
            <v>15.2</v>
          </cell>
          <cell r="P30">
            <v>15.2</v>
          </cell>
          <cell r="T30">
            <v>0</v>
          </cell>
          <cell r="U30">
            <v>182.4</v>
          </cell>
          <cell r="V30">
            <v>79.374000000000009</v>
          </cell>
          <cell r="W30">
            <v>0</v>
          </cell>
          <cell r="X30">
            <v>103.02599999999997</v>
          </cell>
          <cell r="Y30">
            <v>182.4</v>
          </cell>
        </row>
        <row r="31">
          <cell r="A31">
            <v>15</v>
          </cell>
          <cell r="B31" t="str">
            <v>Repair &amp; Maintenance</v>
          </cell>
          <cell r="E31">
            <v>11.12</v>
          </cell>
          <cell r="F31">
            <v>11.12</v>
          </cell>
          <cell r="G31">
            <v>11.12</v>
          </cell>
          <cell r="H31">
            <v>16.12</v>
          </cell>
          <cell r="I31">
            <v>11.12</v>
          </cell>
          <cell r="J31">
            <v>11.12</v>
          </cell>
          <cell r="K31">
            <v>12.775</v>
          </cell>
          <cell r="L31">
            <v>12.775</v>
          </cell>
          <cell r="M31">
            <v>12.775</v>
          </cell>
          <cell r="N31">
            <v>12.775</v>
          </cell>
          <cell r="O31">
            <v>12.775</v>
          </cell>
          <cell r="P31">
            <v>12.775</v>
          </cell>
          <cell r="T31">
            <v>0</v>
          </cell>
          <cell r="U31">
            <v>148.37</v>
          </cell>
          <cell r="V31">
            <v>58.412166666666664</v>
          </cell>
          <cell r="W31">
            <v>0</v>
          </cell>
          <cell r="X31">
            <v>89.957833333333369</v>
          </cell>
          <cell r="Y31">
            <v>148.37</v>
          </cell>
        </row>
        <row r="32">
          <cell r="A32">
            <v>16</v>
          </cell>
          <cell r="B32" t="str">
            <v>Common Area Maintenance</v>
          </cell>
          <cell r="E32">
            <v>47.792400000000001</v>
          </cell>
          <cell r="F32">
            <v>47.792400000000001</v>
          </cell>
          <cell r="G32">
            <v>48.212400000000002</v>
          </cell>
          <cell r="H32">
            <v>47.792400000000001</v>
          </cell>
          <cell r="I32">
            <v>47.792400000000001</v>
          </cell>
          <cell r="J32">
            <v>48.212400000000002</v>
          </cell>
          <cell r="K32">
            <v>47.792400000000001</v>
          </cell>
          <cell r="L32">
            <v>47.792400000000001</v>
          </cell>
          <cell r="M32">
            <v>48.212400000000002</v>
          </cell>
          <cell r="N32">
            <v>47.792400000000001</v>
          </cell>
          <cell r="O32">
            <v>47.792400000000001</v>
          </cell>
          <cell r="P32">
            <v>48.212400000000002</v>
          </cell>
          <cell r="T32">
            <v>0</v>
          </cell>
          <cell r="U32">
            <v>575.18880000000001</v>
          </cell>
          <cell r="V32">
            <v>265.142</v>
          </cell>
          <cell r="W32">
            <v>0</v>
          </cell>
          <cell r="X32">
            <v>310.04680000000002</v>
          </cell>
          <cell r="Y32">
            <v>575.18880000000001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17.947788482052299</v>
          </cell>
          <cell r="F33">
            <v>17.947788482052299</v>
          </cell>
          <cell r="G33">
            <v>17.790308482052296</v>
          </cell>
          <cell r="H33">
            <v>17.947788482052299</v>
          </cell>
          <cell r="I33">
            <v>17.779308482052297</v>
          </cell>
          <cell r="J33">
            <v>17.958788482052299</v>
          </cell>
          <cell r="K33">
            <v>17.954316409689302</v>
          </cell>
          <cell r="L33">
            <v>19.948876409689298</v>
          </cell>
          <cell r="M33">
            <v>17.965316409689301</v>
          </cell>
          <cell r="N33">
            <v>17.785836409689299</v>
          </cell>
          <cell r="O33">
            <v>17.965316409689301</v>
          </cell>
          <cell r="P33">
            <v>17.796836409689298</v>
          </cell>
          <cell r="R33">
            <v>0</v>
          </cell>
          <cell r="S33">
            <v>0</v>
          </cell>
          <cell r="T33">
            <v>0</v>
          </cell>
          <cell r="U33">
            <v>216.78826935044958</v>
          </cell>
          <cell r="V33">
            <v>127.21564313333332</v>
          </cell>
          <cell r="W33">
            <v>0</v>
          </cell>
          <cell r="X33">
            <v>89.572626217116266</v>
          </cell>
          <cell r="Y33">
            <v>216.78826935044958</v>
          </cell>
        </row>
        <row r="35">
          <cell r="B35" t="str">
            <v>Total Overhead Expenses</v>
          </cell>
          <cell r="C35">
            <v>0</v>
          </cell>
          <cell r="E35">
            <v>195.94778848205229</v>
          </cell>
          <cell r="F35">
            <v>195.94778848205229</v>
          </cell>
          <cell r="G35">
            <v>196.21030848205228</v>
          </cell>
          <cell r="H35">
            <v>200.94778848205229</v>
          </cell>
          <cell r="I35">
            <v>195.7793084820523</v>
          </cell>
          <cell r="J35">
            <v>196.3787884820523</v>
          </cell>
          <cell r="K35">
            <v>197.60931640968928</v>
          </cell>
          <cell r="L35">
            <v>199.60387640968926</v>
          </cell>
          <cell r="M35">
            <v>198.0403164096893</v>
          </cell>
          <cell r="N35">
            <v>197.44083640968927</v>
          </cell>
          <cell r="O35">
            <v>197.62031640968928</v>
          </cell>
          <cell r="P35">
            <v>197.87183640968928</v>
          </cell>
          <cell r="R35">
            <v>0</v>
          </cell>
          <cell r="S35">
            <v>0</v>
          </cell>
          <cell r="T35">
            <v>0</v>
          </cell>
          <cell r="U35">
            <v>2369.3982693504495</v>
          </cell>
          <cell r="V35">
            <v>850.20045979999998</v>
          </cell>
          <cell r="W35">
            <v>0</v>
          </cell>
          <cell r="X35">
            <v>1519.1978095504496</v>
          </cell>
          <cell r="Y35">
            <v>2369.3982693504495</v>
          </cell>
        </row>
        <row r="37">
          <cell r="B37" t="str">
            <v>E.B.I.T.D.</v>
          </cell>
          <cell r="C37">
            <v>0</v>
          </cell>
          <cell r="E37">
            <v>25.88364831271781</v>
          </cell>
          <cell r="F37">
            <v>25.88364831271781</v>
          </cell>
          <cell r="G37">
            <v>98.993428312717896</v>
          </cell>
          <cell r="H37">
            <v>10.427718312717815</v>
          </cell>
          <cell r="I37">
            <v>40.668698312717794</v>
          </cell>
          <cell r="J37">
            <v>155.69216831271797</v>
          </cell>
          <cell r="K37">
            <v>18.127897621380839</v>
          </cell>
          <cell r="L37">
            <v>55.504137621380835</v>
          </cell>
          <cell r="M37">
            <v>82.32098762138088</v>
          </cell>
          <cell r="N37">
            <v>24.164737621380851</v>
          </cell>
          <cell r="O37">
            <v>81.887127621380898</v>
          </cell>
          <cell r="P37">
            <v>80.781747621380788</v>
          </cell>
          <cell r="R37">
            <v>0</v>
          </cell>
          <cell r="S37">
            <v>0</v>
          </cell>
          <cell r="T37">
            <v>0</v>
          </cell>
          <cell r="U37">
            <v>700.33594560459187</v>
          </cell>
          <cell r="V37">
            <v>902.40928619999943</v>
          </cell>
          <cell r="W37">
            <v>0</v>
          </cell>
          <cell r="X37">
            <v>-202.07334059540767</v>
          </cell>
          <cell r="Y37">
            <v>700.33594560459187</v>
          </cell>
        </row>
        <row r="39">
          <cell r="A39">
            <v>18</v>
          </cell>
          <cell r="B39" t="str">
            <v>Depreciation</v>
          </cell>
          <cell r="E39">
            <v>48.524062499999999</v>
          </cell>
          <cell r="F39">
            <v>48.524062499999999</v>
          </cell>
          <cell r="G39">
            <v>48.524062499999999</v>
          </cell>
          <cell r="H39">
            <v>48.524062499999999</v>
          </cell>
          <cell r="I39">
            <v>48.524062499999999</v>
          </cell>
          <cell r="J39">
            <v>48.524062499999999</v>
          </cell>
          <cell r="K39">
            <v>48.524062499999999</v>
          </cell>
          <cell r="L39">
            <v>48.524062499999999</v>
          </cell>
          <cell r="M39">
            <v>48.524062499999999</v>
          </cell>
          <cell r="N39">
            <v>49.044895833333335</v>
          </cell>
          <cell r="O39">
            <v>49.044895833333335</v>
          </cell>
          <cell r="P39">
            <v>49.044895833333335</v>
          </cell>
          <cell r="T39">
            <v>0</v>
          </cell>
          <cell r="U39">
            <v>583.85125000000005</v>
          </cell>
          <cell r="V39">
            <v>302.02171856791659</v>
          </cell>
          <cell r="W39">
            <v>0</v>
          </cell>
          <cell r="X39">
            <v>281.82953143208357</v>
          </cell>
          <cell r="Y39">
            <v>583.85125000000005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82.191780821917803</v>
          </cell>
          <cell r="W41">
            <v>0</v>
          </cell>
          <cell r="X41">
            <v>-82.191780821917803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-22.64041418728219</v>
          </cell>
          <cell r="F44">
            <v>-22.64041418728219</v>
          </cell>
          <cell r="G44">
            <v>50.469365812717896</v>
          </cell>
          <cell r="H44">
            <v>-38.096344187282185</v>
          </cell>
          <cell r="I44">
            <v>-7.8553641872822055</v>
          </cell>
          <cell r="J44">
            <v>107.16810581271797</v>
          </cell>
          <cell r="K44">
            <v>-30.39616487861916</v>
          </cell>
          <cell r="L44">
            <v>6.9800751213808354</v>
          </cell>
          <cell r="M44">
            <v>33.79692512138088</v>
          </cell>
          <cell r="N44">
            <v>-24.880158211952484</v>
          </cell>
          <cell r="O44">
            <v>32.842231788047563</v>
          </cell>
          <cell r="P44">
            <v>31.736851788047453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116.48469560459171</v>
          </cell>
          <cell r="V44">
            <v>517.75578681016509</v>
          </cell>
          <cell r="W44">
            <v>0</v>
          </cell>
          <cell r="X44">
            <v>-401.27109120557338</v>
          </cell>
          <cell r="Y44">
            <v>116.48469560459171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-22.64041418728219</v>
          </cell>
          <cell r="F50">
            <v>-22.64041418728219</v>
          </cell>
          <cell r="G50">
            <v>50.469365812717896</v>
          </cell>
          <cell r="H50">
            <v>-38.096344187282185</v>
          </cell>
          <cell r="I50">
            <v>-7.8553641872822055</v>
          </cell>
          <cell r="J50">
            <v>107.16810581271797</v>
          </cell>
          <cell r="K50">
            <v>-30.39616487861916</v>
          </cell>
          <cell r="L50">
            <v>6.9800751213808354</v>
          </cell>
          <cell r="M50">
            <v>33.79692512138088</v>
          </cell>
          <cell r="N50">
            <v>-24.880158211952484</v>
          </cell>
          <cell r="O50">
            <v>32.842231788047563</v>
          </cell>
          <cell r="P50">
            <v>31.736851788047453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116.48469560459171</v>
          </cell>
          <cell r="V50">
            <v>517.75578681016509</v>
          </cell>
          <cell r="W50">
            <v>0</v>
          </cell>
          <cell r="X50">
            <v>-401.27109120557338</v>
          </cell>
          <cell r="Y50">
            <v>116.48469560459171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24</v>
          </cell>
          <cell r="W53">
            <v>0</v>
          </cell>
          <cell r="X53">
            <v>28</v>
          </cell>
          <cell r="Y53">
            <v>52</v>
          </cell>
        </row>
        <row r="54">
          <cell r="A54">
            <v>27</v>
          </cell>
          <cell r="B54" t="str">
            <v>Pd Admissions</v>
          </cell>
          <cell r="E54">
            <v>43.218000000000004</v>
          </cell>
          <cell r="F54">
            <v>43.218000000000004</v>
          </cell>
          <cell r="G54">
            <v>57.427999999999997</v>
          </cell>
          <cell r="H54">
            <v>41.208999999999996</v>
          </cell>
          <cell r="I54">
            <v>46.108999999999995</v>
          </cell>
          <cell r="J54">
            <v>68.403999999999996</v>
          </cell>
          <cell r="K54">
            <v>42.188999999999993</v>
          </cell>
          <cell r="L54">
            <v>49.538999999999994</v>
          </cell>
          <cell r="M54">
            <v>54.585999999999999</v>
          </cell>
          <cell r="N54">
            <v>43.266999999999996</v>
          </cell>
          <cell r="O54">
            <v>54.488</v>
          </cell>
          <cell r="P54">
            <v>54.39</v>
          </cell>
          <cell r="T54">
            <v>0</v>
          </cell>
          <cell r="U54">
            <v>598.04499999999996</v>
          </cell>
          <cell r="V54">
            <v>344</v>
          </cell>
          <cell r="W54">
            <v>0</v>
          </cell>
          <cell r="X54">
            <v>254.04499999999999</v>
          </cell>
          <cell r="Y54">
            <v>598.04499999999996</v>
          </cell>
        </row>
        <row r="55">
          <cell r="A55">
            <v>28</v>
          </cell>
          <cell r="B55" t="str">
            <v>Admissions</v>
          </cell>
          <cell r="E55">
            <v>44.1</v>
          </cell>
          <cell r="F55">
            <v>44.1</v>
          </cell>
          <cell r="G55">
            <v>58.6</v>
          </cell>
          <cell r="H55">
            <v>42.05</v>
          </cell>
          <cell r="I55">
            <v>47.05</v>
          </cell>
          <cell r="J55">
            <v>69.8</v>
          </cell>
          <cell r="K55">
            <v>43.05</v>
          </cell>
          <cell r="L55">
            <v>50.55</v>
          </cell>
          <cell r="M55">
            <v>55.7</v>
          </cell>
          <cell r="N55">
            <v>44.15</v>
          </cell>
          <cell r="O55">
            <v>55.6</v>
          </cell>
          <cell r="P55">
            <v>55.5</v>
          </cell>
          <cell r="T55">
            <v>0</v>
          </cell>
          <cell r="U55">
            <v>610.25</v>
          </cell>
          <cell r="V55">
            <v>344</v>
          </cell>
          <cell r="W55">
            <v>0</v>
          </cell>
          <cell r="X55">
            <v>266.25</v>
          </cell>
          <cell r="Y55">
            <v>610.25</v>
          </cell>
        </row>
        <row r="56">
          <cell r="B56" t="str">
            <v>Utilisation Rate</v>
          </cell>
          <cell r="E56">
            <v>0.19616739617807197</v>
          </cell>
          <cell r="F56">
            <v>0.19616739617807197</v>
          </cell>
          <cell r="G56">
            <v>0.20853350414575994</v>
          </cell>
          <cell r="H56">
            <v>0.18704850361197112</v>
          </cell>
          <cell r="I56">
            <v>0.20928970499270488</v>
          </cell>
          <cell r="J56">
            <v>0.24838973702003486</v>
          </cell>
          <cell r="K56">
            <v>0.19149674388811785</v>
          </cell>
          <cell r="L56">
            <v>0.22485854595921853</v>
          </cell>
          <cell r="M56">
            <v>0.19821358670509948</v>
          </cell>
          <cell r="N56">
            <v>0.19638980819187929</v>
          </cell>
          <cell r="O56">
            <v>0.19785772748300773</v>
          </cell>
          <cell r="P56">
            <v>0.24687733532614498</v>
          </cell>
          <cell r="U56">
            <v>0.20881066373219678</v>
          </cell>
          <cell r="V56">
            <v>0.25503244249908069</v>
          </cell>
          <cell r="W56" t="str">
            <v>N.A.</v>
          </cell>
          <cell r="X56">
            <v>-4.6221778766883909E-2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7.9790476190476198</v>
          </cell>
          <cell r="F57">
            <v>7.9790476190476198</v>
          </cell>
          <cell r="G57">
            <v>7.9565870307167241</v>
          </cell>
          <cell r="H57">
            <v>7.9868727705112965</v>
          </cell>
          <cell r="I57">
            <v>7.9510733262486726</v>
          </cell>
          <cell r="J57">
            <v>7.9271919770773653</v>
          </cell>
          <cell r="K57">
            <v>7.9790476190476207</v>
          </cell>
          <cell r="L57">
            <v>7.9985756676557873</v>
          </cell>
          <cell r="M57">
            <v>7.9849551166965895</v>
          </cell>
          <cell r="N57">
            <v>7.9865005662514159</v>
          </cell>
          <cell r="O57">
            <v>7.973129496402878</v>
          </cell>
          <cell r="P57">
            <v>7.9612612612612619</v>
          </cell>
          <cell r="Q57" t="str">
            <v/>
          </cell>
          <cell r="R57" t="str">
            <v>N.A.</v>
          </cell>
          <cell r="S57" t="str">
            <v>N.A.</v>
          </cell>
          <cell r="U57">
            <v>7.9698811962310545</v>
          </cell>
          <cell r="V57">
            <v>7.8958633720930234</v>
          </cell>
          <cell r="W57" t="str">
            <v>N.A.</v>
          </cell>
          <cell r="X57">
            <v>7.4017824138031152E-2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2.1643236063040076E-2</v>
          </cell>
          <cell r="W58" t="str">
            <v>N.A.</v>
          </cell>
          <cell r="X58">
            <v>1.3567639369599267E-3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0.16289135267876603</v>
          </cell>
          <cell r="W59" t="str">
            <v>N.A.</v>
          </cell>
          <cell r="X59">
            <v>4.2108647321233983E-2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1.4</v>
          </cell>
          <cell r="F60">
            <v>1.4</v>
          </cell>
          <cell r="G60">
            <v>1.4</v>
          </cell>
          <cell r="H60">
            <v>1.4</v>
          </cell>
          <cell r="I60">
            <v>1.4</v>
          </cell>
          <cell r="J60">
            <v>1.4</v>
          </cell>
          <cell r="K60">
            <v>1.4</v>
          </cell>
          <cell r="L60">
            <v>1.4</v>
          </cell>
          <cell r="M60">
            <v>1.4</v>
          </cell>
          <cell r="N60">
            <v>1.4</v>
          </cell>
          <cell r="O60">
            <v>1.4</v>
          </cell>
          <cell r="P60">
            <v>1.4</v>
          </cell>
          <cell r="R60" t="str">
            <v>N.A.</v>
          </cell>
          <cell r="S60" t="str">
            <v>N.A.</v>
          </cell>
          <cell r="U60">
            <v>1.4</v>
          </cell>
          <cell r="V60">
            <v>1.0002761627906978</v>
          </cell>
          <cell r="W60" t="str">
            <v>N.A.</v>
          </cell>
          <cell r="X60">
            <v>0.39972383720930216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0.46693643308223287</v>
          </cell>
          <cell r="W61" t="str">
            <v>N.A.</v>
          </cell>
          <cell r="X61">
            <v>-1.9364330822329023E-3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0.11365040015582155</v>
          </cell>
          <cell r="F62">
            <v>0.11365040015582155</v>
          </cell>
          <cell r="G62">
            <v>8.8129371429493383E-2</v>
          </cell>
          <cell r="H62">
            <v>0.11907424848511787</v>
          </cell>
          <cell r="I62">
            <v>0.10689939054801112</v>
          </cell>
          <cell r="J62">
            <v>7.4262626925619371E-2</v>
          </cell>
          <cell r="K62">
            <v>0.11832278781515429</v>
          </cell>
          <cell r="L62">
            <v>0.1005214602227149</v>
          </cell>
          <cell r="M62">
            <v>9.3856131973796927E-2</v>
          </cell>
          <cell r="N62">
            <v>0.11526710124936153</v>
          </cell>
          <cell r="O62">
            <v>9.4164394276030267E-2</v>
          </cell>
          <cell r="P62">
            <v>9.4474688172297996E-2</v>
          </cell>
          <cell r="R62" t="str">
            <v>N.A.</v>
          </cell>
          <cell r="S62" t="str">
            <v>N.A.</v>
          </cell>
          <cell r="U62">
            <v>0.1006055027006547</v>
          </cell>
          <cell r="V62">
            <v>7.6356286795742676E-2</v>
          </cell>
          <cell r="W62" t="str">
            <v>N.A.</v>
          </cell>
          <cell r="X62">
            <v>2.4249215904912025E-2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9.6685931407948109E-2</v>
          </cell>
          <cell r="F63">
            <v>9.6685931407948109E-2</v>
          </cell>
          <cell r="G63">
            <v>7.4942819581448453E-2</v>
          </cell>
          <cell r="H63">
            <v>0.10131498488852766</v>
          </cell>
          <cell r="I63">
            <v>9.0894901913843432E-2</v>
          </cell>
          <cell r="J63">
            <v>6.3115898311972354E-2</v>
          </cell>
          <cell r="K63">
            <v>0.10066087696134877</v>
          </cell>
          <cell r="L63">
            <v>8.554791004998942E-2</v>
          </cell>
          <cell r="M63">
            <v>7.9855150282414397E-2</v>
          </cell>
          <cell r="N63">
            <v>9.8074970847823364E-2</v>
          </cell>
          <cell r="O63">
            <v>8.0099705205316493E-2</v>
          </cell>
          <cell r="P63">
            <v>8.0345762619439667E-2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8.5573540092892794E-2</v>
          </cell>
          <cell r="V63">
            <v>6.7770835402866145E-2</v>
          </cell>
          <cell r="W63" t="str">
            <v>N.A.</v>
          </cell>
          <cell r="X63">
            <v>1.7802704690026649E-2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0.90682195476711713</v>
          </cell>
          <cell r="F64">
            <v>0.90682195476711713</v>
          </cell>
          <cell r="G64">
            <v>0.70120901374112399</v>
          </cell>
          <cell r="H64">
            <v>0.95103087289488397</v>
          </cell>
          <cell r="I64">
            <v>0.84996489277853071</v>
          </cell>
          <cell r="J64">
            <v>0.58869410036145942</v>
          </cell>
          <cell r="K64">
            <v>0.94410315839558367</v>
          </cell>
          <cell r="L64">
            <v>0.80402850581463647</v>
          </cell>
          <cell r="M64">
            <v>0.74943700123752011</v>
          </cell>
          <cell r="N64">
            <v>0.92058076939818512</v>
          </cell>
          <cell r="O64">
            <v>0.75078490951312726</v>
          </cell>
          <cell r="P64">
            <v>0.75213767511585361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0.80181390421132048</v>
          </cell>
          <cell r="V64">
            <v>0.60289880813953478</v>
          </cell>
          <cell r="W64" t="str">
            <v>N.A.</v>
          </cell>
          <cell r="X64">
            <v>0.1989150960717857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0.49638021452148323</v>
          </cell>
          <cell r="F65">
            <v>0.49638021452148323</v>
          </cell>
          <cell r="G65">
            <v>0.50759076613428944</v>
          </cell>
          <cell r="H65">
            <v>0.49386774690310059</v>
          </cell>
          <cell r="I65">
            <v>0.49962576730897507</v>
          </cell>
          <cell r="J65">
            <v>0.51448275811922728</v>
          </cell>
          <cell r="K65">
            <v>0.49362110277158677</v>
          </cell>
          <cell r="L65">
            <v>0.50180554137618183</v>
          </cell>
          <cell r="M65">
            <v>0.50422498054121678</v>
          </cell>
          <cell r="N65">
            <v>0.49499093728357912</v>
          </cell>
          <cell r="O65">
            <v>0.50413639029843782</v>
          </cell>
          <cell r="P65">
            <v>0.50404728854413305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0.50180729447328798</v>
          </cell>
          <cell r="V65">
            <v>0.52339234236107424</v>
          </cell>
          <cell r="W65" t="str">
            <v>N.A.</v>
          </cell>
          <cell r="X65">
            <v>-2.1585047887786257E-2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4.0160796078463498E-2</v>
          </cell>
          <cell r="F66">
            <v>4.0160796078463498E-2</v>
          </cell>
          <cell r="G66">
            <v>3.058970868803125E-2</v>
          </cell>
          <cell r="H66">
            <v>4.1934063193663738E-2</v>
          </cell>
          <cell r="I66">
            <v>3.7568515645295883E-2</v>
          </cell>
          <cell r="J66">
            <v>2.6243252538754491E-2</v>
          </cell>
          <cell r="K66">
            <v>4.1080670784895031E-2</v>
          </cell>
          <cell r="L66">
            <v>3.9240071561967814E-2</v>
          </cell>
          <cell r="M66">
            <v>3.2310312396351612E-2</v>
          </cell>
          <cell r="N66">
            <v>3.972746567092296E-2</v>
          </cell>
          <cell r="O66">
            <v>3.2403322196825922E-2</v>
          </cell>
          <cell r="P66">
            <v>3.2192111105117466E-2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3.5438226015241124E-2</v>
          </cell>
          <cell r="V66">
            <v>3.7991169224347025E-2</v>
          </cell>
          <cell r="W66" t="str">
            <v>N.A.</v>
          </cell>
          <cell r="X66">
            <v>-2.5529432091059012E-3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5.791844063090161E-2</v>
          </cell>
          <cell r="F67">
            <v>5.791844063090161E-2</v>
          </cell>
          <cell r="G67">
            <v>0.17021515603119061</v>
          </cell>
          <cell r="H67">
            <v>2.436381502537251E-2</v>
          </cell>
          <cell r="I67">
            <v>8.5934873697561989E-2</v>
          </cell>
          <cell r="J67">
            <v>0.22751361515395505</v>
          </cell>
          <cell r="K67">
            <v>4.1477836148879316E-2</v>
          </cell>
          <cell r="L67">
            <v>0.10917839619230042</v>
          </cell>
          <cell r="M67">
            <v>0.14805287956901672</v>
          </cell>
          <cell r="N67">
            <v>5.3975745766855314E-2</v>
          </cell>
          <cell r="O67">
            <v>0.14769653478839553</v>
          </cell>
          <cell r="P67">
            <v>0.14612344210104755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0.11448342477799142</v>
          </cell>
          <cell r="V67">
            <v>0.26949188839704358</v>
          </cell>
          <cell r="W67" t="str">
            <v>N.A.</v>
          </cell>
          <cell r="X67">
            <v>-0.15500846361905216</v>
          </cell>
          <cell r="Y67" t="str">
            <v>N.A.</v>
          </cell>
        </row>
        <row r="68">
          <cell r="B68" t="str">
            <v>No of Concession Transactions</v>
          </cell>
          <cell r="E68">
            <v>12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19</v>
          </cell>
          <cell r="K68">
            <v>12</v>
          </cell>
          <cell r="L68">
            <v>14</v>
          </cell>
          <cell r="M68">
            <v>16</v>
          </cell>
          <cell r="N68">
            <v>13</v>
          </cell>
          <cell r="O68">
            <v>17</v>
          </cell>
          <cell r="P68">
            <v>19</v>
          </cell>
          <cell r="U68">
            <v>178</v>
          </cell>
          <cell r="V68">
            <v>79</v>
          </cell>
          <cell r="W68" t="str">
            <v>N.A.</v>
          </cell>
          <cell r="X68">
            <v>99</v>
          </cell>
          <cell r="Y68" t="str">
            <v>N.A.</v>
          </cell>
        </row>
        <row r="69">
          <cell r="B69" t="str">
            <v>Strike Rate %(No of Trans/Adm)</v>
          </cell>
          <cell r="E69">
            <v>0.27210884353741494</v>
          </cell>
          <cell r="F69">
            <v>0.27210884353741494</v>
          </cell>
          <cell r="G69">
            <v>0.30716723549488056</v>
          </cell>
          <cell r="H69">
            <v>0.28537455410225926</v>
          </cell>
          <cell r="I69">
            <v>0.29755579171094582</v>
          </cell>
          <cell r="J69">
            <v>0.27220630372492838</v>
          </cell>
          <cell r="K69">
            <v>0.27874564459930318</v>
          </cell>
          <cell r="L69">
            <v>0.27695351137487639</v>
          </cell>
          <cell r="M69">
            <v>0.28725314183123879</v>
          </cell>
          <cell r="N69">
            <v>0.29445073612684031</v>
          </cell>
          <cell r="O69">
            <v>0.30575539568345322</v>
          </cell>
          <cell r="P69">
            <v>0.34234234234234234</v>
          </cell>
          <cell r="U69">
            <v>0.2916837361736993</v>
          </cell>
          <cell r="V69">
            <v>0.22965116279069767</v>
          </cell>
          <cell r="W69" t="str">
            <v>N.A.</v>
          </cell>
          <cell r="X69">
            <v>6.2032573383001638E-2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5.1449999999999996</v>
          </cell>
          <cell r="F70">
            <v>5.1449999999999996</v>
          </cell>
          <cell r="G70">
            <v>4.557777777777777</v>
          </cell>
          <cell r="H70">
            <v>4.9058333333333328</v>
          </cell>
          <cell r="I70">
            <v>4.7050000000000001</v>
          </cell>
          <cell r="J70">
            <v>5.1431578947368415</v>
          </cell>
          <cell r="K70">
            <v>5.0225</v>
          </cell>
          <cell r="L70">
            <v>5.0549999999999997</v>
          </cell>
          <cell r="M70">
            <v>4.8737500000000002</v>
          </cell>
          <cell r="N70">
            <v>4.7546153846153842</v>
          </cell>
          <cell r="O70">
            <v>4.578823529411765</v>
          </cell>
          <cell r="P70">
            <v>4.0894736842105255</v>
          </cell>
          <cell r="U70">
            <v>4.7997191011235953</v>
          </cell>
          <cell r="V70">
            <v>4.355632911392405</v>
          </cell>
          <cell r="W70" t="str">
            <v>N.A.</v>
          </cell>
          <cell r="X70">
            <v>0.4440861897311903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27</v>
          </cell>
          <cell r="F71">
            <v>30</v>
          </cell>
          <cell r="G71">
            <v>38</v>
          </cell>
          <cell r="H71">
            <v>28</v>
          </cell>
          <cell r="I71">
            <v>32</v>
          </cell>
          <cell r="J71">
            <v>46</v>
          </cell>
          <cell r="K71">
            <v>28</v>
          </cell>
          <cell r="L71">
            <v>30</v>
          </cell>
          <cell r="M71">
            <v>35</v>
          </cell>
          <cell r="N71">
            <v>28</v>
          </cell>
          <cell r="O71">
            <v>35</v>
          </cell>
          <cell r="P71">
            <v>40</v>
          </cell>
          <cell r="U71">
            <v>397</v>
          </cell>
          <cell r="V71">
            <v>143</v>
          </cell>
          <cell r="W71" t="str">
            <v>N.A.</v>
          </cell>
          <cell r="X71">
            <v>254</v>
          </cell>
          <cell r="Y71" t="str">
            <v>N.A.</v>
          </cell>
        </row>
        <row r="72">
          <cell r="B72" t="str">
            <v>Combo Sales as % of Total Sales</v>
          </cell>
          <cell r="E72">
            <v>0.43731778425655982</v>
          </cell>
          <cell r="F72">
            <v>0.48590864917395532</v>
          </cell>
          <cell r="G72">
            <v>0.46318868844466121</v>
          </cell>
          <cell r="H72">
            <v>0.47562425683709875</v>
          </cell>
          <cell r="I72">
            <v>0.48580537422195241</v>
          </cell>
          <cell r="J72">
            <v>0.47073270568972581</v>
          </cell>
          <cell r="K72">
            <v>0.46457607433217196</v>
          </cell>
          <cell r="L72">
            <v>0.42390843577787202</v>
          </cell>
          <cell r="M72">
            <v>0.44883303411131059</v>
          </cell>
          <cell r="N72">
            <v>0.45300113250283131</v>
          </cell>
          <cell r="O72">
            <v>0.44964028776978415</v>
          </cell>
          <cell r="P72">
            <v>0.51480051480051492</v>
          </cell>
          <cell r="U72">
            <v>0.46468075144846965</v>
          </cell>
          <cell r="V72">
            <v>0.41558290588354957</v>
          </cell>
          <cell r="W72" t="str">
            <v>N.A.</v>
          </cell>
          <cell r="X72">
            <v>4.9097845564920084E-2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68.534000000000006</v>
          </cell>
          <cell r="V73">
            <v>31</v>
          </cell>
          <cell r="W73" t="str">
            <v>N.A.</v>
          </cell>
          <cell r="X73">
            <v>37.534000000000006</v>
          </cell>
          <cell r="Y73" t="str">
            <v>N.A.</v>
          </cell>
        </row>
        <row r="74">
          <cell r="B74" t="str">
            <v>Admissions/labour hour paid</v>
          </cell>
          <cell r="E74">
            <v>9.1855863361799628</v>
          </cell>
          <cell r="F74">
            <v>8.82</v>
          </cell>
          <cell r="G74">
            <v>8.2419127988748233</v>
          </cell>
          <cell r="H74">
            <v>8.7585919600083315</v>
          </cell>
          <cell r="I74">
            <v>9.41</v>
          </cell>
          <cell r="J74">
            <v>9.8171589310829805</v>
          </cell>
          <cell r="K74">
            <v>8.9668818996042479</v>
          </cell>
          <cell r="L74">
            <v>10.11</v>
          </cell>
          <cell r="M74">
            <v>7.8340365682137838</v>
          </cell>
          <cell r="N74">
            <v>9.1960008331597578</v>
          </cell>
          <cell r="O74">
            <v>7.9428571428571431</v>
          </cell>
          <cell r="P74">
            <v>9.25</v>
          </cell>
          <cell r="U74">
            <v>8.9043394519508556</v>
          </cell>
          <cell r="V74">
            <v>11.096774193548388</v>
          </cell>
          <cell r="W74" t="str">
            <v>N.A.</v>
          </cell>
          <cell r="X74">
            <v>-2.1924347415975323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23.982250000000001</v>
          </cell>
          <cell r="W77">
            <v>0</v>
          </cell>
          <cell r="X77">
            <v>3.2052499999999995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3.6760000000000002</v>
          </cell>
          <cell r="W78">
            <v>0</v>
          </cell>
          <cell r="X78">
            <v>20.323999999999998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9.5166000000000004</v>
          </cell>
          <cell r="F82">
            <v>9.5166000000000004</v>
          </cell>
          <cell r="G82">
            <v>9.5166000000000004</v>
          </cell>
          <cell r="H82">
            <v>9.5166000000000004</v>
          </cell>
          <cell r="I82">
            <v>9.5166000000000004</v>
          </cell>
          <cell r="J82">
            <v>9.5166000000000004</v>
          </cell>
          <cell r="K82">
            <v>9.5166000000000004</v>
          </cell>
          <cell r="L82">
            <v>9.5166000000000004</v>
          </cell>
          <cell r="M82">
            <v>9.5166000000000004</v>
          </cell>
          <cell r="N82">
            <v>9.5166000000000004</v>
          </cell>
          <cell r="O82">
            <v>9.5166000000000004</v>
          </cell>
          <cell r="P82">
            <v>9.5166000000000004</v>
          </cell>
          <cell r="T82">
            <v>0</v>
          </cell>
          <cell r="U82">
            <v>114.19919999999998</v>
          </cell>
          <cell r="V82">
            <v>47.89</v>
          </cell>
          <cell r="W82">
            <v>0</v>
          </cell>
          <cell r="X82">
            <v>66.309199999999976</v>
          </cell>
          <cell r="Y82">
            <v>114.19919999999998</v>
          </cell>
        </row>
        <row r="83">
          <cell r="C83">
            <v>0</v>
          </cell>
          <cell r="E83">
            <v>13.782225</v>
          </cell>
          <cell r="F83">
            <v>13.782225</v>
          </cell>
          <cell r="G83">
            <v>13.782225</v>
          </cell>
          <cell r="H83">
            <v>13.782225</v>
          </cell>
          <cell r="I83">
            <v>13.782225</v>
          </cell>
          <cell r="J83">
            <v>13.782225</v>
          </cell>
          <cell r="K83">
            <v>13.782225</v>
          </cell>
          <cell r="L83">
            <v>13.782225</v>
          </cell>
          <cell r="M83">
            <v>13.782225</v>
          </cell>
          <cell r="N83">
            <v>13.782225</v>
          </cell>
          <cell r="O83">
            <v>13.782225</v>
          </cell>
          <cell r="P83">
            <v>13.782225</v>
          </cell>
          <cell r="R83">
            <v>0</v>
          </cell>
          <cell r="S83">
            <v>0</v>
          </cell>
          <cell r="T83">
            <v>0</v>
          </cell>
          <cell r="U83">
            <v>165.38669999999996</v>
          </cell>
          <cell r="V83">
            <v>75.548249999999996</v>
          </cell>
          <cell r="W83">
            <v>0</v>
          </cell>
          <cell r="X83">
            <v>89.838449999999966</v>
          </cell>
          <cell r="Y83">
            <v>165.38669999999996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0.70375200000000004</v>
          </cell>
          <cell r="F86">
            <v>0.70375200000000004</v>
          </cell>
          <cell r="G86">
            <v>0.93251200000000012</v>
          </cell>
          <cell r="H86">
            <v>0.67169600000000007</v>
          </cell>
          <cell r="I86">
            <v>0.74819600000000008</v>
          </cell>
          <cell r="J86">
            <v>1.1066360000000002</v>
          </cell>
          <cell r="K86">
            <v>0.68699600000000016</v>
          </cell>
          <cell r="L86">
            <v>0.80865600000000004</v>
          </cell>
          <cell r="M86">
            <v>0.88952400000000009</v>
          </cell>
          <cell r="N86">
            <v>0.70520799999999995</v>
          </cell>
          <cell r="O86">
            <v>0.88661200000000007</v>
          </cell>
          <cell r="P86">
            <v>0.88370000000000004</v>
          </cell>
          <cell r="U86">
            <v>9.7272399999999983</v>
          </cell>
          <cell r="V86">
            <v>5.4323540000000001</v>
          </cell>
          <cell r="W86">
            <v>0</v>
          </cell>
          <cell r="X86">
            <v>4.2948859999999982</v>
          </cell>
          <cell r="Y86">
            <v>9.7272399999999983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0.70375200000000004</v>
          </cell>
          <cell r="F91">
            <v>0.70375200000000004</v>
          </cell>
          <cell r="G91">
            <v>0.93251200000000012</v>
          </cell>
          <cell r="H91">
            <v>0.67169600000000007</v>
          </cell>
          <cell r="I91">
            <v>0.74819600000000008</v>
          </cell>
          <cell r="J91">
            <v>1.1066360000000002</v>
          </cell>
          <cell r="K91">
            <v>0.68699600000000016</v>
          </cell>
          <cell r="L91">
            <v>0.80865600000000004</v>
          </cell>
          <cell r="M91">
            <v>0.88952400000000009</v>
          </cell>
          <cell r="N91">
            <v>0.70520799999999995</v>
          </cell>
          <cell r="O91">
            <v>0.88661200000000007</v>
          </cell>
          <cell r="P91">
            <v>0.88370000000000004</v>
          </cell>
          <cell r="U91">
            <v>9.7272399999999983</v>
          </cell>
          <cell r="V91">
            <v>5.4323540000000001</v>
          </cell>
          <cell r="W91">
            <v>0</v>
          </cell>
          <cell r="X91">
            <v>4.2948859999999982</v>
          </cell>
          <cell r="Y91">
            <v>9.7272399999999983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37.449615288563209</v>
          </cell>
          <cell r="F94">
            <v>37.449615288563209</v>
          </cell>
          <cell r="G94">
            <v>38.54961528856321</v>
          </cell>
          <cell r="H94">
            <v>37.449615288563209</v>
          </cell>
          <cell r="I94">
            <v>37.449615288563209</v>
          </cell>
          <cell r="J94">
            <v>38.54961528856321</v>
          </cell>
          <cell r="K94">
            <v>38.102408052263215</v>
          </cell>
          <cell r="L94">
            <v>38.102408052263215</v>
          </cell>
          <cell r="M94">
            <v>39.202408052263216</v>
          </cell>
          <cell r="N94">
            <v>38.102408052263215</v>
          </cell>
          <cell r="O94">
            <v>39.202408052263216</v>
          </cell>
          <cell r="P94">
            <v>39.202408052263216</v>
          </cell>
          <cell r="T94">
            <v>0</v>
          </cell>
          <cell r="U94">
            <v>458.81214004495854</v>
          </cell>
          <cell r="V94">
            <v>200.06973999999997</v>
          </cell>
          <cell r="W94">
            <v>0</v>
          </cell>
          <cell r="X94">
            <v>258.74240004495857</v>
          </cell>
          <cell r="Y94">
            <v>458.81214004495854</v>
          </cell>
        </row>
        <row r="95">
          <cell r="A95">
            <v>67</v>
          </cell>
          <cell r="B95" t="str">
            <v>Bonus/Commission</v>
          </cell>
          <cell r="E95">
            <v>1.5172329166666665</v>
          </cell>
          <cell r="F95">
            <v>1.5172329166666665</v>
          </cell>
          <cell r="G95">
            <v>1.5172329166666665</v>
          </cell>
          <cell r="H95">
            <v>1.5172329166666665</v>
          </cell>
          <cell r="I95">
            <v>1.5172329166666665</v>
          </cell>
          <cell r="J95">
            <v>1.5172329166666665</v>
          </cell>
          <cell r="K95">
            <v>1.5172329166666665</v>
          </cell>
          <cell r="L95">
            <v>1.5172329166666665</v>
          </cell>
          <cell r="M95">
            <v>1.5172329166666665</v>
          </cell>
          <cell r="N95">
            <v>1.5172329166666665</v>
          </cell>
          <cell r="O95">
            <v>1.5172329166666665</v>
          </cell>
          <cell r="P95">
            <v>1.5172329166666665</v>
          </cell>
          <cell r="T95">
            <v>0</v>
          </cell>
          <cell r="U95">
            <v>18.206794999999996</v>
          </cell>
          <cell r="V95">
            <v>0</v>
          </cell>
          <cell r="W95">
            <v>0</v>
          </cell>
          <cell r="X95">
            <v>18.206794999999996</v>
          </cell>
          <cell r="Y95">
            <v>18.206794999999996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4.5039999999999996</v>
          </cell>
          <cell r="W97">
            <v>0</v>
          </cell>
          <cell r="X97">
            <v>2.1320000000000006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2.8234499999999998</v>
          </cell>
          <cell r="W98">
            <v>0</v>
          </cell>
          <cell r="X98">
            <v>2.8285500000000003</v>
          </cell>
          <cell r="Y98">
            <v>5.6520000000000001</v>
          </cell>
        </row>
        <row r="99">
          <cell r="C99">
            <v>0</v>
          </cell>
          <cell r="E99">
            <v>39.990848205229867</v>
          </cell>
          <cell r="F99">
            <v>39.990848205229867</v>
          </cell>
          <cell r="G99">
            <v>41.090848205229868</v>
          </cell>
          <cell r="H99">
            <v>39.990848205229867</v>
          </cell>
          <cell r="I99">
            <v>39.990848205229867</v>
          </cell>
          <cell r="J99">
            <v>41.090848205229868</v>
          </cell>
          <cell r="K99">
            <v>40.643640968929873</v>
          </cell>
          <cell r="L99">
            <v>40.643640968929873</v>
          </cell>
          <cell r="M99">
            <v>41.743640968929874</v>
          </cell>
          <cell r="N99">
            <v>40.643640968929873</v>
          </cell>
          <cell r="O99">
            <v>41.743640968929874</v>
          </cell>
          <cell r="P99">
            <v>41.743640968929874</v>
          </cell>
          <cell r="R99">
            <v>0</v>
          </cell>
          <cell r="S99">
            <v>0</v>
          </cell>
          <cell r="T99">
            <v>0</v>
          </cell>
          <cell r="U99">
            <v>489.30693504495855</v>
          </cell>
          <cell r="V99">
            <v>207.39718999999997</v>
          </cell>
          <cell r="W99">
            <v>0</v>
          </cell>
          <cell r="X99">
            <v>281.90974504495858</v>
          </cell>
          <cell r="Y99">
            <v>489.30693504495855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6.6890000000000001</v>
          </cell>
          <cell r="W102">
            <v>0</v>
          </cell>
          <cell r="X102">
            <v>8.9110000000000031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11.341833333333334</v>
          </cell>
          <cell r="W104">
            <v>0</v>
          </cell>
          <cell r="X104">
            <v>12.658166666666666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7.6019999999999985</v>
          </cell>
          <cell r="W105">
            <v>0</v>
          </cell>
          <cell r="X105">
            <v>4.3980000000000015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0.375</v>
          </cell>
          <cell r="W106">
            <v>0</v>
          </cell>
          <cell r="X106">
            <v>5.625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T108">
            <v>0</v>
          </cell>
          <cell r="U108">
            <v>3.6</v>
          </cell>
          <cell r="V108">
            <v>4.4026350000000001</v>
          </cell>
          <cell r="W108">
            <v>0</v>
          </cell>
          <cell r="X108">
            <v>-0.80263500000000088</v>
          </cell>
          <cell r="Y108">
            <v>3.6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5.2228800000000009</v>
          </cell>
          <cell r="L111">
            <v>7.2174399999999999</v>
          </cell>
          <cell r="M111">
            <v>5.2228800000000009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63.995200000000011</v>
          </cell>
          <cell r="V111">
            <v>35.171999999999997</v>
          </cell>
          <cell r="W111">
            <v>0</v>
          </cell>
          <cell r="X111">
            <v>28.823200000000014</v>
          </cell>
          <cell r="Y111">
            <v>63.995200000000011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26.081</v>
          </cell>
          <cell r="W112">
            <v>0</v>
          </cell>
          <cell r="X112">
            <v>21.919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9.2729999999999997</v>
          </cell>
          <cell r="W113">
            <v>0</v>
          </cell>
          <cell r="X113">
            <v>-2.0730000000000013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</v>
          </cell>
          <cell r="W114">
            <v>0</v>
          </cell>
          <cell r="X114">
            <v>-0.22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6.5140000000000011</v>
          </cell>
          <cell r="W115">
            <v>0</v>
          </cell>
          <cell r="X115">
            <v>-0.51400000000000112</v>
          </cell>
          <cell r="Y115">
            <v>6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2.81</v>
          </cell>
          <cell r="W117">
            <v>0</v>
          </cell>
          <cell r="X117">
            <v>-0.41</v>
          </cell>
          <cell r="Y117">
            <v>2.4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0.52490848205229867</v>
          </cell>
          <cell r="F119">
            <v>0.52490848205229867</v>
          </cell>
          <cell r="G119">
            <v>0.53590848205229868</v>
          </cell>
          <cell r="H119">
            <v>0.52490848205229867</v>
          </cell>
          <cell r="I119">
            <v>0.52490848205229867</v>
          </cell>
          <cell r="J119">
            <v>0.53590848205229868</v>
          </cell>
          <cell r="K119">
            <v>0.53143640968929895</v>
          </cell>
          <cell r="L119">
            <v>0.53143640968929895</v>
          </cell>
          <cell r="M119">
            <v>0.54243640968929885</v>
          </cell>
          <cell r="N119">
            <v>0.53143640968929895</v>
          </cell>
          <cell r="O119">
            <v>0.54243640968929885</v>
          </cell>
          <cell r="P119">
            <v>0.54243640968929885</v>
          </cell>
          <cell r="T119">
            <v>0</v>
          </cell>
          <cell r="U119">
            <v>6.3930693504495846</v>
          </cell>
          <cell r="V119">
            <v>3.6731748</v>
          </cell>
          <cell r="W119">
            <v>0</v>
          </cell>
          <cell r="X119">
            <v>2.7198945504495846</v>
          </cell>
          <cell r="Y119">
            <v>6.3930693504495846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7.8</v>
          </cell>
          <cell r="W120">
            <v>0</v>
          </cell>
          <cell r="X120">
            <v>7.8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2.8620000000000001</v>
          </cell>
          <cell r="W124">
            <v>0</v>
          </cell>
          <cell r="X124">
            <v>0.7379999999999991</v>
          </cell>
          <cell r="Y124">
            <v>3.6</v>
          </cell>
        </row>
        <row r="125">
          <cell r="C125">
            <v>0</v>
          </cell>
          <cell r="E125">
            <v>17.947788482052299</v>
          </cell>
          <cell r="F125">
            <v>17.947788482052299</v>
          </cell>
          <cell r="G125">
            <v>17.790308482052296</v>
          </cell>
          <cell r="H125">
            <v>17.947788482052299</v>
          </cell>
          <cell r="I125">
            <v>17.779308482052297</v>
          </cell>
          <cell r="J125">
            <v>17.958788482052299</v>
          </cell>
          <cell r="K125">
            <v>17.954316409689302</v>
          </cell>
          <cell r="L125">
            <v>19.948876409689298</v>
          </cell>
          <cell r="M125">
            <v>17.965316409689301</v>
          </cell>
          <cell r="N125">
            <v>17.785836409689299</v>
          </cell>
          <cell r="O125">
            <v>17.965316409689301</v>
          </cell>
          <cell r="P125">
            <v>17.796836409689298</v>
          </cell>
          <cell r="R125">
            <v>0</v>
          </cell>
          <cell r="S125">
            <v>0</v>
          </cell>
          <cell r="T125">
            <v>0</v>
          </cell>
          <cell r="U125">
            <v>216.78826935044958</v>
          </cell>
          <cell r="V125">
            <v>127.21564313333332</v>
          </cell>
          <cell r="W125">
            <v>0</v>
          </cell>
          <cell r="X125">
            <v>89.572626217116266</v>
          </cell>
          <cell r="Y125">
            <v>216.78826935044958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6" refreshError="1">
        <row r="11">
          <cell r="A11">
            <v>1</v>
          </cell>
          <cell r="B11" t="str">
            <v>Net Film Revenue</v>
          </cell>
          <cell r="E11">
            <v>591.6</v>
          </cell>
          <cell r="F11">
            <v>612</v>
          </cell>
          <cell r="G11">
            <v>816</v>
          </cell>
          <cell r="H11">
            <v>612</v>
          </cell>
          <cell r="I11">
            <v>652.79999999999995</v>
          </cell>
          <cell r="J11">
            <v>884</v>
          </cell>
          <cell r="K11">
            <v>612</v>
          </cell>
          <cell r="L11">
            <v>646</v>
          </cell>
          <cell r="M11">
            <v>802.4</v>
          </cell>
          <cell r="N11">
            <v>612</v>
          </cell>
          <cell r="O11">
            <v>816</v>
          </cell>
          <cell r="P11">
            <v>720.8</v>
          </cell>
          <cell r="Q11">
            <v>0</v>
          </cell>
          <cell r="T11">
            <v>0</v>
          </cell>
          <cell r="U11">
            <v>8377.6</v>
          </cell>
          <cell r="V11">
            <v>4429.0610000000006</v>
          </cell>
          <cell r="W11">
            <v>0</v>
          </cell>
          <cell r="X11">
            <v>3948.5389999999979</v>
          </cell>
          <cell r="Y11">
            <v>8377.6</v>
          </cell>
        </row>
        <row r="12">
          <cell r="A12">
            <v>2</v>
          </cell>
          <cell r="B12" t="str">
            <v>Concession Sales</v>
          </cell>
          <cell r="E12">
            <v>104.4</v>
          </cell>
          <cell r="F12">
            <v>108</v>
          </cell>
          <cell r="G12">
            <v>144</v>
          </cell>
          <cell r="H12">
            <v>108</v>
          </cell>
          <cell r="I12">
            <v>115.2</v>
          </cell>
          <cell r="J12">
            <v>156</v>
          </cell>
          <cell r="K12">
            <v>108</v>
          </cell>
          <cell r="L12">
            <v>114</v>
          </cell>
          <cell r="M12">
            <v>141.6</v>
          </cell>
          <cell r="N12">
            <v>108</v>
          </cell>
          <cell r="O12">
            <v>144</v>
          </cell>
          <cell r="P12">
            <v>127.2</v>
          </cell>
          <cell r="T12">
            <v>0</v>
          </cell>
          <cell r="U12">
            <v>1478.4</v>
          </cell>
          <cell r="V12">
            <v>783.50800000000004</v>
          </cell>
          <cell r="W12">
            <v>0</v>
          </cell>
          <cell r="X12">
            <v>694.89199999999983</v>
          </cell>
          <cell r="Y12">
            <v>1478.4</v>
          </cell>
        </row>
        <row r="13">
          <cell r="A13">
            <v>3</v>
          </cell>
          <cell r="B13" t="str">
            <v>Rental Income</v>
          </cell>
          <cell r="E13">
            <v>33.837000000000003</v>
          </cell>
          <cell r="F13">
            <v>33.837000000000003</v>
          </cell>
          <cell r="G13">
            <v>33.837000000000003</v>
          </cell>
          <cell r="H13">
            <v>33.837000000000003</v>
          </cell>
          <cell r="I13">
            <v>33.837000000000003</v>
          </cell>
          <cell r="J13">
            <v>33.837000000000003</v>
          </cell>
          <cell r="K13">
            <v>33.837000000000003</v>
          </cell>
          <cell r="L13">
            <v>33.837000000000003</v>
          </cell>
          <cell r="M13">
            <v>33.837000000000003</v>
          </cell>
          <cell r="N13">
            <v>33.837000000000003</v>
          </cell>
          <cell r="O13">
            <v>33.837000000000003</v>
          </cell>
          <cell r="P13">
            <v>33.837000000000003</v>
          </cell>
          <cell r="T13">
            <v>0</v>
          </cell>
          <cell r="U13">
            <v>406.04399999999993</v>
          </cell>
          <cell r="V13">
            <v>147</v>
          </cell>
          <cell r="W13">
            <v>0</v>
          </cell>
          <cell r="X13">
            <v>259.04399999999993</v>
          </cell>
          <cell r="Y13">
            <v>406.04399999999993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302.70999999999998</v>
          </cell>
          <cell r="W15">
            <v>0</v>
          </cell>
          <cell r="X15">
            <v>87.29</v>
          </cell>
          <cell r="Y15">
            <v>390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9.8899583333333325</v>
          </cell>
          <cell r="F16">
            <v>9.8899583333333325</v>
          </cell>
          <cell r="G16">
            <v>9.8899583333333325</v>
          </cell>
          <cell r="H16">
            <v>9.8899583333333325</v>
          </cell>
          <cell r="I16">
            <v>9.8899583333333325</v>
          </cell>
          <cell r="J16">
            <v>9.8899583333333325</v>
          </cell>
          <cell r="K16">
            <v>9.8899583333333325</v>
          </cell>
          <cell r="L16">
            <v>9.8899583333333325</v>
          </cell>
          <cell r="M16">
            <v>9.8899583333333325</v>
          </cell>
          <cell r="N16">
            <v>9.8899583333333325</v>
          </cell>
          <cell r="O16">
            <v>9.8899583333333325</v>
          </cell>
          <cell r="P16">
            <v>9.8899583333333325</v>
          </cell>
          <cell r="R16">
            <v>0</v>
          </cell>
          <cell r="S16">
            <v>0</v>
          </cell>
          <cell r="T16">
            <v>0</v>
          </cell>
          <cell r="U16">
            <v>118.67950000000002</v>
          </cell>
          <cell r="V16">
            <v>77.488249999999994</v>
          </cell>
          <cell r="W16">
            <v>0</v>
          </cell>
          <cell r="X16">
            <v>41.191249999999997</v>
          </cell>
          <cell r="Y16">
            <v>118.67950000000002</v>
          </cell>
        </row>
        <row r="17">
          <cell r="B17" t="str">
            <v>TOTAL REVENUE</v>
          </cell>
          <cell r="C17">
            <v>0</v>
          </cell>
          <cell r="E17">
            <v>772.2269583333333</v>
          </cell>
          <cell r="F17">
            <v>796.2269583333333</v>
          </cell>
          <cell r="G17">
            <v>1036.2269583333334</v>
          </cell>
          <cell r="H17">
            <v>796.2269583333333</v>
          </cell>
          <cell r="I17">
            <v>844.2269583333333</v>
          </cell>
          <cell r="J17">
            <v>1116.2269583333334</v>
          </cell>
          <cell r="K17">
            <v>796.2269583333333</v>
          </cell>
          <cell r="L17">
            <v>836.2269583333333</v>
          </cell>
          <cell r="M17">
            <v>1020.2269583333333</v>
          </cell>
          <cell r="N17">
            <v>796.2269583333333</v>
          </cell>
          <cell r="O17">
            <v>1036.2269583333334</v>
          </cell>
          <cell r="P17">
            <v>924.2269583333333</v>
          </cell>
          <cell r="R17">
            <v>0</v>
          </cell>
          <cell r="S17">
            <v>0</v>
          </cell>
          <cell r="T17">
            <v>0</v>
          </cell>
          <cell r="U17">
            <v>10770.7235</v>
          </cell>
          <cell r="V17">
            <v>5739.7672500000008</v>
          </cell>
          <cell r="W17">
            <v>0</v>
          </cell>
          <cell r="X17">
            <v>5030.9562499999993</v>
          </cell>
          <cell r="Y17">
            <v>10770.7235</v>
          </cell>
        </row>
        <row r="19">
          <cell r="A19">
            <v>7</v>
          </cell>
          <cell r="B19" t="str">
            <v>Film Hire</v>
          </cell>
          <cell r="E19">
            <v>275.09400000000005</v>
          </cell>
          <cell r="F19">
            <v>284.58</v>
          </cell>
          <cell r="G19">
            <v>379.44</v>
          </cell>
          <cell r="H19">
            <v>284.58</v>
          </cell>
          <cell r="I19">
            <v>303.55200000000002</v>
          </cell>
          <cell r="J19">
            <v>411.06</v>
          </cell>
          <cell r="K19">
            <v>284.58</v>
          </cell>
          <cell r="L19">
            <v>300.39</v>
          </cell>
          <cell r="M19">
            <v>373.11599999999999</v>
          </cell>
          <cell r="N19">
            <v>284.58</v>
          </cell>
          <cell r="O19">
            <v>379.44</v>
          </cell>
          <cell r="P19">
            <v>335.17199999999997</v>
          </cell>
          <cell r="U19">
            <v>3895.5839999999998</v>
          </cell>
          <cell r="V19">
            <v>2049.6968000000002</v>
          </cell>
          <cell r="W19">
            <v>0</v>
          </cell>
          <cell r="X19">
            <v>1845.8871999999997</v>
          </cell>
          <cell r="Y19">
            <v>3895.5839999999998</v>
          </cell>
        </row>
        <row r="20">
          <cell r="A20">
            <v>8</v>
          </cell>
          <cell r="B20" t="str">
            <v>Concession Cost</v>
          </cell>
          <cell r="E20">
            <v>24.012</v>
          </cell>
          <cell r="F20">
            <v>24.84</v>
          </cell>
          <cell r="G20">
            <v>33.119999999999997</v>
          </cell>
          <cell r="H20">
            <v>24.84</v>
          </cell>
          <cell r="I20">
            <v>26.495999999999999</v>
          </cell>
          <cell r="J20">
            <v>35.880000000000003</v>
          </cell>
          <cell r="K20">
            <v>24.84</v>
          </cell>
          <cell r="L20">
            <v>26.22</v>
          </cell>
          <cell r="M20">
            <v>32.567999999999998</v>
          </cell>
          <cell r="N20">
            <v>24.84</v>
          </cell>
          <cell r="O20">
            <v>33.119999999999997</v>
          </cell>
          <cell r="P20">
            <v>29.256</v>
          </cell>
          <cell r="T20">
            <v>0</v>
          </cell>
          <cell r="U20">
            <v>340.03200000000004</v>
          </cell>
          <cell r="V20">
            <v>148.9058</v>
          </cell>
          <cell r="W20">
            <v>0</v>
          </cell>
          <cell r="X20">
            <v>191.12620000000004</v>
          </cell>
          <cell r="Y20">
            <v>340.03200000000004</v>
          </cell>
        </row>
        <row r="21">
          <cell r="A21">
            <v>9</v>
          </cell>
          <cell r="B21" t="str">
            <v>Less Concession Rebates</v>
          </cell>
          <cell r="E21">
            <v>-2.61</v>
          </cell>
          <cell r="F21">
            <v>-2.7</v>
          </cell>
          <cell r="G21">
            <v>-3.6</v>
          </cell>
          <cell r="H21">
            <v>-2.7</v>
          </cell>
          <cell r="I21">
            <v>-2.88</v>
          </cell>
          <cell r="J21">
            <v>-3.9</v>
          </cell>
          <cell r="K21">
            <v>-2.7</v>
          </cell>
          <cell r="L21">
            <v>-2.85</v>
          </cell>
          <cell r="M21">
            <v>-3.54</v>
          </cell>
          <cell r="N21">
            <v>-2.7</v>
          </cell>
          <cell r="O21">
            <v>-3.6</v>
          </cell>
          <cell r="P21">
            <v>-3.18</v>
          </cell>
          <cell r="U21">
            <v>-36.96</v>
          </cell>
          <cell r="V21">
            <v>-23.1</v>
          </cell>
          <cell r="W21">
            <v>0</v>
          </cell>
          <cell r="X21">
            <v>-13.86</v>
          </cell>
          <cell r="Y21">
            <v>-36.96</v>
          </cell>
        </row>
        <row r="22">
          <cell r="A22">
            <v>10</v>
          </cell>
          <cell r="B22" t="str">
            <v>Advertising Cost</v>
          </cell>
          <cell r="E22">
            <v>13.6068</v>
          </cell>
          <cell r="F22">
            <v>14.076000000000001</v>
          </cell>
          <cell r="G22">
            <v>18.768000000000001</v>
          </cell>
          <cell r="H22">
            <v>14.076000000000001</v>
          </cell>
          <cell r="I22">
            <v>15.014399999999998</v>
          </cell>
          <cell r="J22">
            <v>20.332000000000001</v>
          </cell>
          <cell r="K22">
            <v>14.076000000000001</v>
          </cell>
          <cell r="L22">
            <v>14.858000000000001</v>
          </cell>
          <cell r="M22">
            <v>18.455199999999998</v>
          </cell>
          <cell r="N22">
            <v>14.076000000000001</v>
          </cell>
          <cell r="O22">
            <v>18.768000000000001</v>
          </cell>
          <cell r="P22">
            <v>16.578399999999998</v>
          </cell>
          <cell r="T22">
            <v>0</v>
          </cell>
          <cell r="U22">
            <v>192.68479999999997</v>
          </cell>
          <cell r="V22">
            <v>95.008440000000007</v>
          </cell>
          <cell r="W22">
            <v>0</v>
          </cell>
          <cell r="X22">
            <v>97.67635999999996</v>
          </cell>
          <cell r="Y22">
            <v>192.68479999999997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1.1832</v>
          </cell>
          <cell r="F23">
            <v>1.224</v>
          </cell>
          <cell r="G23">
            <v>1.6320000000000001</v>
          </cell>
          <cell r="H23">
            <v>1.224</v>
          </cell>
          <cell r="I23">
            <v>1.3055999999999999</v>
          </cell>
          <cell r="J23">
            <v>1.768</v>
          </cell>
          <cell r="K23">
            <v>1.224</v>
          </cell>
          <cell r="L23">
            <v>1.292</v>
          </cell>
          <cell r="M23">
            <v>1.6048</v>
          </cell>
          <cell r="N23">
            <v>1.224</v>
          </cell>
          <cell r="O23">
            <v>1.6320000000000001</v>
          </cell>
          <cell r="P23">
            <v>1.4416</v>
          </cell>
          <cell r="R23">
            <v>0</v>
          </cell>
          <cell r="S23">
            <v>0</v>
          </cell>
          <cell r="T23">
            <v>0</v>
          </cell>
          <cell r="U23">
            <v>16.755199999999999</v>
          </cell>
          <cell r="V23">
            <v>8.8581220000000016</v>
          </cell>
          <cell r="W23">
            <v>0</v>
          </cell>
          <cell r="X23">
            <v>7.8970779999999969</v>
          </cell>
          <cell r="Y23">
            <v>16.755199999999999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43.479529129827576</v>
          </cell>
          <cell r="F24">
            <v>43.479529129827576</v>
          </cell>
          <cell r="G24">
            <v>44.579529129827577</v>
          </cell>
          <cell r="H24">
            <v>43.479529129827576</v>
          </cell>
          <cell r="I24">
            <v>43.479529129827576</v>
          </cell>
          <cell r="J24">
            <v>44.579529129827577</v>
          </cell>
          <cell r="K24">
            <v>44.280345677127578</v>
          </cell>
          <cell r="L24">
            <v>44.280345677127578</v>
          </cell>
          <cell r="M24">
            <v>45.380345677127579</v>
          </cell>
          <cell r="N24">
            <v>44.280345677127578</v>
          </cell>
          <cell r="O24">
            <v>45.380345677127579</v>
          </cell>
          <cell r="P24">
            <v>45.380345677127579</v>
          </cell>
          <cell r="R24">
            <v>0</v>
          </cell>
          <cell r="S24">
            <v>0</v>
          </cell>
          <cell r="T24">
            <v>0</v>
          </cell>
          <cell r="U24">
            <v>532.05924884173089</v>
          </cell>
          <cell r="V24">
            <v>307.03711833333341</v>
          </cell>
          <cell r="W24">
            <v>0</v>
          </cell>
          <cell r="X24">
            <v>225.02213050839748</v>
          </cell>
          <cell r="Y24">
            <v>532.05924884173089</v>
          </cell>
        </row>
        <row r="25">
          <cell r="B25" t="str">
            <v>TOTAL COST</v>
          </cell>
          <cell r="C25">
            <v>0</v>
          </cell>
          <cell r="E25">
            <v>354.76552912982766</v>
          </cell>
          <cell r="F25">
            <v>365.49952912982764</v>
          </cell>
          <cell r="G25">
            <v>473.93952912982752</v>
          </cell>
          <cell r="H25">
            <v>365.49952912982764</v>
          </cell>
          <cell r="I25">
            <v>386.96752912982765</v>
          </cell>
          <cell r="J25">
            <v>509.71952912982755</v>
          </cell>
          <cell r="K25">
            <v>366.30034567712761</v>
          </cell>
          <cell r="L25">
            <v>384.1903456771276</v>
          </cell>
          <cell r="M25">
            <v>467.58434567712754</v>
          </cell>
          <cell r="N25">
            <v>366.30034567712761</v>
          </cell>
          <cell r="O25">
            <v>474.74034567712755</v>
          </cell>
          <cell r="P25">
            <v>424.64834567712757</v>
          </cell>
          <cell r="R25">
            <v>0</v>
          </cell>
          <cell r="S25">
            <v>0</v>
          </cell>
          <cell r="T25">
            <v>0</v>
          </cell>
          <cell r="U25">
            <v>4940.1552488417301</v>
          </cell>
          <cell r="V25">
            <v>2586.4062803333336</v>
          </cell>
          <cell r="W25">
            <v>0</v>
          </cell>
          <cell r="X25">
            <v>2353.7489685083965</v>
          </cell>
          <cell r="Y25">
            <v>4940.1552488417301</v>
          </cell>
        </row>
        <row r="27">
          <cell r="B27" t="str">
            <v>GROSS MARGIN</v>
          </cell>
          <cell r="C27">
            <v>0</v>
          </cell>
          <cell r="E27">
            <v>417.46142920350565</v>
          </cell>
          <cell r="F27">
            <v>430.72742920350566</v>
          </cell>
          <cell r="G27">
            <v>562.28742920350589</v>
          </cell>
          <cell r="H27">
            <v>430.72742920350566</v>
          </cell>
          <cell r="I27">
            <v>457.25942920350565</v>
          </cell>
          <cell r="J27">
            <v>606.50742920350581</v>
          </cell>
          <cell r="K27">
            <v>429.92661265620569</v>
          </cell>
          <cell r="L27">
            <v>452.0366126562057</v>
          </cell>
          <cell r="M27">
            <v>552.64261265620576</v>
          </cell>
          <cell r="N27">
            <v>429.92661265620569</v>
          </cell>
          <cell r="O27">
            <v>561.48661265620581</v>
          </cell>
          <cell r="P27">
            <v>499.57861265620573</v>
          </cell>
          <cell r="R27">
            <v>0</v>
          </cell>
          <cell r="S27">
            <v>0</v>
          </cell>
          <cell r="T27">
            <v>0</v>
          </cell>
          <cell r="U27">
            <v>5830.56825115827</v>
          </cell>
          <cell r="V27">
            <v>3153.3609696666672</v>
          </cell>
          <cell r="W27">
            <v>0</v>
          </cell>
          <cell r="X27">
            <v>2677.2072814916028</v>
          </cell>
          <cell r="Y27">
            <v>5830.56825115827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139.23310000000001</v>
          </cell>
          <cell r="F29">
            <v>139.23310000000001</v>
          </cell>
          <cell r="G29">
            <v>139.23310000000001</v>
          </cell>
          <cell r="H29">
            <v>139.23310000000001</v>
          </cell>
          <cell r="I29">
            <v>139.23310000000001</v>
          </cell>
          <cell r="J29">
            <v>139.23310000000001</v>
          </cell>
          <cell r="K29">
            <v>139.23310000000001</v>
          </cell>
          <cell r="L29">
            <v>139.23310000000001</v>
          </cell>
          <cell r="M29">
            <v>139.23310000000001</v>
          </cell>
          <cell r="N29">
            <v>139.23310000000001</v>
          </cell>
          <cell r="O29">
            <v>139.23310000000001</v>
          </cell>
          <cell r="P29">
            <v>139.23310000000001</v>
          </cell>
          <cell r="T29">
            <v>0</v>
          </cell>
          <cell r="U29">
            <v>1670.7971999999997</v>
          </cell>
          <cell r="V29">
            <v>726.56246428571433</v>
          </cell>
          <cell r="W29">
            <v>0</v>
          </cell>
          <cell r="X29">
            <v>944.23473571428542</v>
          </cell>
          <cell r="Y29">
            <v>1670.7971999999997</v>
          </cell>
        </row>
        <row r="30">
          <cell r="A30">
            <v>14</v>
          </cell>
          <cell r="B30" t="str">
            <v>Light, Heat and Power</v>
          </cell>
          <cell r="E30">
            <v>19</v>
          </cell>
          <cell r="F30">
            <v>19</v>
          </cell>
          <cell r="G30">
            <v>19</v>
          </cell>
          <cell r="H30">
            <v>19</v>
          </cell>
          <cell r="I30">
            <v>19</v>
          </cell>
          <cell r="J30">
            <v>19</v>
          </cell>
          <cell r="K30">
            <v>19</v>
          </cell>
          <cell r="L30">
            <v>19</v>
          </cell>
          <cell r="M30">
            <v>19</v>
          </cell>
          <cell r="N30">
            <v>19</v>
          </cell>
          <cell r="O30">
            <v>19</v>
          </cell>
          <cell r="P30">
            <v>19</v>
          </cell>
          <cell r="Q30" t="str">
            <v/>
          </cell>
          <cell r="R30">
            <v>19</v>
          </cell>
          <cell r="S30">
            <v>19</v>
          </cell>
          <cell r="T30">
            <v>19</v>
          </cell>
          <cell r="U30">
            <v>228</v>
          </cell>
          <cell r="V30">
            <v>123.25</v>
          </cell>
          <cell r="W30">
            <v>0</v>
          </cell>
          <cell r="X30">
            <v>104.75</v>
          </cell>
          <cell r="Y30">
            <v>228</v>
          </cell>
        </row>
        <row r="31">
          <cell r="A31">
            <v>15</v>
          </cell>
          <cell r="B31" t="str">
            <v>Repair &amp; Maintenance</v>
          </cell>
          <cell r="E31">
            <v>10.95</v>
          </cell>
          <cell r="F31">
            <v>35.950000000000003</v>
          </cell>
          <cell r="G31">
            <v>10.95</v>
          </cell>
          <cell r="H31">
            <v>15.95</v>
          </cell>
          <cell r="I31">
            <v>10.95</v>
          </cell>
          <cell r="J31">
            <v>12.255000000000001</v>
          </cell>
          <cell r="K31">
            <v>12.255000000000001</v>
          </cell>
          <cell r="L31">
            <v>12.255000000000001</v>
          </cell>
          <cell r="M31">
            <v>12.255000000000001</v>
          </cell>
          <cell r="N31">
            <v>12.255000000000001</v>
          </cell>
          <cell r="O31">
            <v>12.255000000000001</v>
          </cell>
          <cell r="P31">
            <v>12.255000000000001</v>
          </cell>
          <cell r="Q31" t="str">
            <v/>
          </cell>
          <cell r="R31">
            <v>10.95</v>
          </cell>
          <cell r="S31">
            <v>10.95</v>
          </cell>
          <cell r="T31">
            <v>10.95</v>
          </cell>
          <cell r="U31">
            <v>170.535</v>
          </cell>
          <cell r="V31">
            <v>68.81216666666667</v>
          </cell>
          <cell r="W31">
            <v>0</v>
          </cell>
          <cell r="X31">
            <v>101.72283333333333</v>
          </cell>
          <cell r="Y31">
            <v>170.535</v>
          </cell>
        </row>
        <row r="32">
          <cell r="A32">
            <v>16</v>
          </cell>
          <cell r="B32" t="str">
            <v>Common Area Maintenance</v>
          </cell>
          <cell r="E32">
            <v>94.813320000000004</v>
          </cell>
          <cell r="F32">
            <v>94.813320000000004</v>
          </cell>
          <cell r="G32">
            <v>94.813320000000004</v>
          </cell>
          <cell r="H32">
            <v>94.813320000000004</v>
          </cell>
          <cell r="I32">
            <v>94.813320000000004</v>
          </cell>
          <cell r="J32">
            <v>94.813320000000004</v>
          </cell>
          <cell r="K32">
            <v>94.813320000000004</v>
          </cell>
          <cell r="L32">
            <v>94.813320000000004</v>
          </cell>
          <cell r="M32">
            <v>94.813320000000004</v>
          </cell>
          <cell r="N32">
            <v>94.813320000000004</v>
          </cell>
          <cell r="O32">
            <v>94.813320000000004</v>
          </cell>
          <cell r="P32">
            <v>94.813320000000004</v>
          </cell>
          <cell r="T32">
            <v>0</v>
          </cell>
          <cell r="U32">
            <v>1137.7598399999999</v>
          </cell>
          <cell r="V32">
            <v>430.04613000000006</v>
          </cell>
          <cell r="W32">
            <v>0</v>
          </cell>
          <cell r="X32">
            <v>707.71370999999988</v>
          </cell>
          <cell r="Y32">
            <v>1137.7598399999999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20.947795291298277</v>
          </cell>
          <cell r="F33">
            <v>20.947795291298277</v>
          </cell>
          <cell r="G33">
            <v>20.750795291298278</v>
          </cell>
          <cell r="H33">
            <v>20.947795291298277</v>
          </cell>
          <cell r="I33">
            <v>20.739795291298279</v>
          </cell>
          <cell r="J33">
            <v>20.958795291298276</v>
          </cell>
          <cell r="K33">
            <v>20.955803456771278</v>
          </cell>
          <cell r="L33">
            <v>22.831803456771279</v>
          </cell>
          <cell r="M33">
            <v>20.966803456771277</v>
          </cell>
          <cell r="N33">
            <v>20.74780345677128</v>
          </cell>
          <cell r="O33">
            <v>20.966803456771277</v>
          </cell>
          <cell r="P33">
            <v>20.758803456771279</v>
          </cell>
          <cell r="R33">
            <v>0</v>
          </cell>
          <cell r="S33">
            <v>0</v>
          </cell>
          <cell r="T33">
            <v>0</v>
          </cell>
          <cell r="U33">
            <v>252.52059248841735</v>
          </cell>
          <cell r="V33">
            <v>193.86437853333331</v>
          </cell>
          <cell r="W33">
            <v>0</v>
          </cell>
          <cell r="X33">
            <v>58.656213955084041</v>
          </cell>
          <cell r="Y33">
            <v>252.52059248841735</v>
          </cell>
        </row>
        <row r="35">
          <cell r="B35" t="str">
            <v>Total Overhead Expenses</v>
          </cell>
          <cell r="C35">
            <v>0</v>
          </cell>
          <cell r="E35">
            <v>284.94421529129829</v>
          </cell>
          <cell r="F35">
            <v>309.94421529129835</v>
          </cell>
          <cell r="G35">
            <v>284.74721529129829</v>
          </cell>
          <cell r="H35">
            <v>289.94421529129829</v>
          </cell>
          <cell r="I35">
            <v>284.73621529129827</v>
          </cell>
          <cell r="J35">
            <v>286.26021529129827</v>
          </cell>
          <cell r="K35">
            <v>286.25722345677127</v>
          </cell>
          <cell r="L35">
            <v>288.1332234567713</v>
          </cell>
          <cell r="M35">
            <v>286.2682234567713</v>
          </cell>
          <cell r="N35">
            <v>286.0492234567713</v>
          </cell>
          <cell r="O35">
            <v>286.2682234567713</v>
          </cell>
          <cell r="P35">
            <v>286.06022345677127</v>
          </cell>
          <cell r="R35">
            <v>10.95</v>
          </cell>
          <cell r="S35">
            <v>10.95</v>
          </cell>
          <cell r="T35">
            <v>0</v>
          </cell>
          <cell r="U35">
            <v>3459.6126324884181</v>
          </cell>
          <cell r="V35">
            <v>1542.5351394857144</v>
          </cell>
          <cell r="W35">
            <v>0</v>
          </cell>
          <cell r="X35">
            <v>1917.0774930027037</v>
          </cell>
          <cell r="Y35">
            <v>3459.6126324884181</v>
          </cell>
        </row>
        <row r="37">
          <cell r="B37" t="str">
            <v>E.B.I.T.D.</v>
          </cell>
          <cell r="C37">
            <v>0</v>
          </cell>
          <cell r="E37">
            <v>132.51721391220735</v>
          </cell>
          <cell r="F37">
            <v>120.78321391220732</v>
          </cell>
          <cell r="G37">
            <v>277.54021391220761</v>
          </cell>
          <cell r="H37">
            <v>140.78321391220737</v>
          </cell>
          <cell r="I37">
            <v>172.52321391220738</v>
          </cell>
          <cell r="J37">
            <v>320.24721391220754</v>
          </cell>
          <cell r="K37">
            <v>143.66938919943442</v>
          </cell>
          <cell r="L37">
            <v>163.9033891994344</v>
          </cell>
          <cell r="M37">
            <v>266.37438919943446</v>
          </cell>
          <cell r="N37">
            <v>143.87738919943439</v>
          </cell>
          <cell r="O37">
            <v>275.21838919943451</v>
          </cell>
          <cell r="P37">
            <v>213.51838919943447</v>
          </cell>
          <cell r="R37">
            <v>-10.95</v>
          </cell>
          <cell r="S37">
            <v>-10.95</v>
          </cell>
          <cell r="T37">
            <v>0</v>
          </cell>
          <cell r="U37">
            <v>2370.9556186698519</v>
          </cell>
          <cell r="V37">
            <v>1610.8258301809528</v>
          </cell>
          <cell r="W37">
            <v>0</v>
          </cell>
          <cell r="X37">
            <v>760.12978848889907</v>
          </cell>
          <cell r="Y37">
            <v>2370.9556186698519</v>
          </cell>
        </row>
        <row r="39">
          <cell r="A39">
            <v>18</v>
          </cell>
          <cell r="B39" t="str">
            <v>Depreciation</v>
          </cell>
          <cell r="E39">
            <v>58.149062499999999</v>
          </cell>
          <cell r="F39">
            <v>58.149062499999999</v>
          </cell>
          <cell r="G39">
            <v>58.149062499999999</v>
          </cell>
          <cell r="H39">
            <v>58.149062499999999</v>
          </cell>
          <cell r="I39">
            <v>58.149062499999999</v>
          </cell>
          <cell r="J39">
            <v>58.149062499999999</v>
          </cell>
          <cell r="K39">
            <v>58.149062499999999</v>
          </cell>
          <cell r="L39">
            <v>58.149062499999999</v>
          </cell>
          <cell r="M39">
            <v>58.149062499999999</v>
          </cell>
          <cell r="N39">
            <v>58.149062499999999</v>
          </cell>
          <cell r="O39">
            <v>58.149062499999999</v>
          </cell>
          <cell r="P39">
            <v>58.149062499999999</v>
          </cell>
          <cell r="Q39" t="str">
            <v/>
          </cell>
          <cell r="R39" t="e">
            <v>#REF!</v>
          </cell>
          <cell r="S39" t="e">
            <v>#REF!</v>
          </cell>
          <cell r="T39" t="e">
            <v>#REF!</v>
          </cell>
          <cell r="U39">
            <v>697.78875000000005</v>
          </cell>
          <cell r="V39">
            <v>400.42122392708336</v>
          </cell>
          <cell r="W39">
            <v>0</v>
          </cell>
          <cell r="X39">
            <v>297.36752607291669</v>
          </cell>
          <cell r="Y39">
            <v>697.78875000000005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123.2876712328767</v>
          </cell>
          <cell r="W41">
            <v>0</v>
          </cell>
          <cell r="X41">
            <v>-123.2876712328767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74.368151412207354</v>
          </cell>
          <cell r="F44">
            <v>62.634151412207316</v>
          </cell>
          <cell r="G44">
            <v>219.39115141220759</v>
          </cell>
          <cell r="H44">
            <v>82.634151412207373</v>
          </cell>
          <cell r="I44">
            <v>114.37415141220738</v>
          </cell>
          <cell r="J44">
            <v>262.09815141220753</v>
          </cell>
          <cell r="K44">
            <v>85.52032669943442</v>
          </cell>
          <cell r="L44">
            <v>105.7543266994344</v>
          </cell>
          <cell r="M44">
            <v>208.22532669943445</v>
          </cell>
          <cell r="N44">
            <v>85.72832669943439</v>
          </cell>
          <cell r="O44">
            <v>217.0693266994345</v>
          </cell>
          <cell r="P44">
            <v>155.36932669943445</v>
          </cell>
          <cell r="Q44" t="e">
            <v>#VALUE!</v>
          </cell>
          <cell r="R44" t="e">
            <v>#REF!</v>
          </cell>
          <cell r="S44" t="e">
            <v>#REF!</v>
          </cell>
          <cell r="T44" t="e">
            <v>#REF!</v>
          </cell>
          <cell r="U44">
            <v>1673.1668686698517</v>
          </cell>
          <cell r="V44">
            <v>1086.6769350209929</v>
          </cell>
          <cell r="W44">
            <v>0</v>
          </cell>
          <cell r="X44">
            <v>586.48993364885882</v>
          </cell>
          <cell r="Y44">
            <v>1673.1668686698517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74.368151412207354</v>
          </cell>
          <cell r="F50">
            <v>62.634151412207316</v>
          </cell>
          <cell r="G50">
            <v>219.39115141220759</v>
          </cell>
          <cell r="H50">
            <v>82.634151412207373</v>
          </cell>
          <cell r="I50">
            <v>114.37415141220738</v>
          </cell>
          <cell r="J50">
            <v>262.09815141220753</v>
          </cell>
          <cell r="K50">
            <v>85.52032669943442</v>
          </cell>
          <cell r="L50">
            <v>105.7543266994344</v>
          </cell>
          <cell r="M50">
            <v>208.22532669943445</v>
          </cell>
          <cell r="N50">
            <v>85.72832669943439</v>
          </cell>
          <cell r="O50">
            <v>217.0693266994345</v>
          </cell>
          <cell r="P50">
            <v>155.36932669943445</v>
          </cell>
          <cell r="Q50" t="e">
            <v>#VALUE!</v>
          </cell>
          <cell r="R50" t="e">
            <v>#REF!</v>
          </cell>
          <cell r="S50" t="e">
            <v>#REF!</v>
          </cell>
          <cell r="T50" t="e">
            <v>#REF!</v>
          </cell>
          <cell r="U50">
            <v>1673.1668686698517</v>
          </cell>
          <cell r="V50">
            <v>1086.6769350209929</v>
          </cell>
          <cell r="W50">
            <v>0</v>
          </cell>
          <cell r="X50">
            <v>586.48993364885882</v>
          </cell>
          <cell r="Y50">
            <v>1673.1668686698517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28</v>
          </cell>
          <cell r="W53">
            <v>52</v>
          </cell>
          <cell r="X53">
            <v>24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85.26</v>
          </cell>
          <cell r="F54">
            <v>88.2</v>
          </cell>
          <cell r="G54">
            <v>117.6</v>
          </cell>
          <cell r="H54">
            <v>88.2</v>
          </cell>
          <cell r="I54">
            <v>94.08</v>
          </cell>
          <cell r="J54">
            <v>127.4</v>
          </cell>
          <cell r="K54">
            <v>88.2</v>
          </cell>
          <cell r="L54">
            <v>93.1</v>
          </cell>
          <cell r="M54">
            <v>115.64</v>
          </cell>
          <cell r="N54">
            <v>88.2</v>
          </cell>
          <cell r="O54">
            <v>117.6</v>
          </cell>
          <cell r="P54">
            <v>103.88</v>
          </cell>
          <cell r="T54">
            <v>0</v>
          </cell>
          <cell r="U54">
            <v>1207.3599999999999</v>
          </cell>
          <cell r="V54">
            <v>678</v>
          </cell>
          <cell r="W54">
            <v>0</v>
          </cell>
          <cell r="X54">
            <v>529.36</v>
          </cell>
          <cell r="Y54">
            <v>1207.3599999999999</v>
          </cell>
        </row>
        <row r="55">
          <cell r="A55">
            <v>28</v>
          </cell>
          <cell r="B55" t="str">
            <v>Admissions</v>
          </cell>
          <cell r="E55">
            <v>87</v>
          </cell>
          <cell r="F55">
            <v>90</v>
          </cell>
          <cell r="G55">
            <v>120</v>
          </cell>
          <cell r="H55">
            <v>90</v>
          </cell>
          <cell r="I55">
            <v>96</v>
          </cell>
          <cell r="J55">
            <v>130</v>
          </cell>
          <cell r="K55">
            <v>90</v>
          </cell>
          <cell r="L55">
            <v>95</v>
          </cell>
          <cell r="M55">
            <v>118</v>
          </cell>
          <cell r="N55">
            <v>90</v>
          </cell>
          <cell r="O55">
            <v>120</v>
          </cell>
          <cell r="P55">
            <v>106</v>
          </cell>
          <cell r="T55">
            <v>0</v>
          </cell>
          <cell r="U55">
            <v>1232</v>
          </cell>
          <cell r="V55">
            <v>678</v>
          </cell>
          <cell r="W55">
            <v>0</v>
          </cell>
          <cell r="X55">
            <v>554</v>
          </cell>
          <cell r="Y55">
            <v>1232</v>
          </cell>
        </row>
        <row r="56">
          <cell r="B56" t="str">
            <v>Utilisation Rate</v>
          </cell>
          <cell r="E56">
            <v>0.33065766669707197</v>
          </cell>
          <cell r="F56">
            <v>0.34205965520386755</v>
          </cell>
          <cell r="G56">
            <v>0.36486363221745871</v>
          </cell>
          <cell r="H56">
            <v>0.34205965520386755</v>
          </cell>
          <cell r="I56">
            <v>0.36486363221745871</v>
          </cell>
          <cell r="J56">
            <v>0.39526893490224696</v>
          </cell>
          <cell r="K56">
            <v>0.34205965520386755</v>
          </cell>
          <cell r="L56">
            <v>0.36106296938186022</v>
          </cell>
          <cell r="M56">
            <v>0.35878257168050109</v>
          </cell>
          <cell r="N56">
            <v>0.34205965520386755</v>
          </cell>
          <cell r="O56">
            <v>0.36486363221745871</v>
          </cell>
          <cell r="P56">
            <v>0.40287026057344399</v>
          </cell>
          <cell r="Q56" t="str">
            <v/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0.36018589334287593</v>
          </cell>
          <cell r="V56">
            <v>0.36812134321940032</v>
          </cell>
          <cell r="W56" t="str">
            <v>N.A.</v>
          </cell>
          <cell r="X56">
            <v>-7.9354498765243919E-3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6.8</v>
          </cell>
          <cell r="F57">
            <v>6.8</v>
          </cell>
          <cell r="G57">
            <v>6.8</v>
          </cell>
          <cell r="H57">
            <v>6.8</v>
          </cell>
          <cell r="I57">
            <v>6.8</v>
          </cell>
          <cell r="J57">
            <v>6.8</v>
          </cell>
          <cell r="K57">
            <v>6.8</v>
          </cell>
          <cell r="L57">
            <v>6.8</v>
          </cell>
          <cell r="M57">
            <v>6.8</v>
          </cell>
          <cell r="N57">
            <v>6.8</v>
          </cell>
          <cell r="O57">
            <v>6.8</v>
          </cell>
          <cell r="P57">
            <v>6.8</v>
          </cell>
          <cell r="R57" t="str">
            <v>N.A.</v>
          </cell>
          <cell r="S57" t="str">
            <v>N.A.</v>
          </cell>
          <cell r="U57">
            <v>6.8</v>
          </cell>
          <cell r="V57">
            <v>6.5325383480825971</v>
          </cell>
          <cell r="W57" t="str">
            <v>N.A.</v>
          </cell>
          <cell r="X57">
            <v>0.26746165191740179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2.1451147319939825E-2</v>
          </cell>
          <cell r="W58" t="str">
            <v>N.A.</v>
          </cell>
          <cell r="X58">
            <v>1.5488526800601747E-3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Q59" t="str">
            <v/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0.16056734583437565</v>
          </cell>
          <cell r="W59" t="str">
            <v>N.A.</v>
          </cell>
          <cell r="X59">
            <v>4.4432654165624419E-2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1.1556165191740413</v>
          </cell>
          <cell r="W60" t="str">
            <v>N.A.</v>
          </cell>
          <cell r="X60">
            <v>4.4383480825958666E-2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0.46278360130962293</v>
          </cell>
          <cell r="W61" t="str">
            <v>N.A.</v>
          </cell>
          <cell r="X61">
            <v>2.2163986903771526E-3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7.3494809212014151E-2</v>
          </cell>
          <cell r="F62">
            <v>7.1044982238280346E-2</v>
          </cell>
          <cell r="G62">
            <v>5.4631775894396543E-2</v>
          </cell>
          <cell r="H62">
            <v>7.1044982238280346E-2</v>
          </cell>
          <cell r="I62">
            <v>6.6604670848387837E-2</v>
          </cell>
          <cell r="J62">
            <v>5.0429331594827577E-2</v>
          </cell>
          <cell r="K62">
            <v>7.2353506008378393E-2</v>
          </cell>
          <cell r="L62">
            <v>6.8545426744779536E-2</v>
          </cell>
          <cell r="M62">
            <v>5.6555764802003465E-2</v>
          </cell>
          <cell r="N62">
            <v>7.2353506008378393E-2</v>
          </cell>
          <cell r="O62">
            <v>5.5613168721970072E-2</v>
          </cell>
          <cell r="P62">
            <v>6.2958304213551031E-2</v>
          </cell>
          <cell r="Q62" t="str">
            <v/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6.3509746089778815E-2</v>
          </cell>
          <cell r="V62">
            <v>6.9323298625449808E-2</v>
          </cell>
          <cell r="W62" t="str">
            <v>N.A.</v>
          </cell>
          <cell r="X62">
            <v>-5.8135525356709933E-3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6.2470587830212032E-2</v>
          </cell>
          <cell r="F63">
            <v>6.03882349025383E-2</v>
          </cell>
          <cell r="G63">
            <v>4.6437009510237062E-2</v>
          </cell>
          <cell r="H63">
            <v>6.03882349025383E-2</v>
          </cell>
          <cell r="I63">
            <v>5.6613970221129656E-2</v>
          </cell>
          <cell r="J63">
            <v>4.2864931855603437E-2</v>
          </cell>
          <cell r="K63">
            <v>6.1500480107121634E-2</v>
          </cell>
          <cell r="L63">
            <v>5.8263612733062603E-2</v>
          </cell>
          <cell r="M63">
            <v>4.8072400081702944E-2</v>
          </cell>
          <cell r="N63">
            <v>6.1500480107121634E-2</v>
          </cell>
          <cell r="O63">
            <v>4.7271193413674563E-2</v>
          </cell>
          <cell r="P63">
            <v>5.3514558581518372E-2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5.3983284176311992E-2</v>
          </cell>
          <cell r="V63">
            <v>5.8903223791058376E-2</v>
          </cell>
          <cell r="W63" t="str">
            <v>N.A.</v>
          </cell>
          <cell r="X63">
            <v>-4.9199396147463839E-3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0.49976470264169626</v>
          </cell>
          <cell r="F64">
            <v>0.4831058792203064</v>
          </cell>
          <cell r="G64">
            <v>0.3714960760818965</v>
          </cell>
          <cell r="H64">
            <v>0.4831058792203064</v>
          </cell>
          <cell r="I64">
            <v>0.45291176176903725</v>
          </cell>
          <cell r="J64">
            <v>0.3429194548448275</v>
          </cell>
          <cell r="K64">
            <v>0.49200384085697307</v>
          </cell>
          <cell r="L64">
            <v>0.46610890186450082</v>
          </cell>
          <cell r="M64">
            <v>0.38457920065362355</v>
          </cell>
          <cell r="N64">
            <v>0.49200384085697307</v>
          </cell>
          <cell r="O64">
            <v>0.3781695473093965</v>
          </cell>
          <cell r="P64">
            <v>0.42811646865214698</v>
          </cell>
          <cell r="Q64" t="str">
            <v/>
          </cell>
          <cell r="R64" t="e">
            <v>#DIV/0!</v>
          </cell>
          <cell r="S64" t="e">
            <v>#DIV/0!</v>
          </cell>
          <cell r="T64" t="e">
            <v>#DIV/0!</v>
          </cell>
          <cell r="U64">
            <v>0.43186627341049583</v>
          </cell>
          <cell r="V64">
            <v>0.45285710668633244</v>
          </cell>
          <cell r="W64" t="str">
            <v>N.A.</v>
          </cell>
          <cell r="X64">
            <v>-2.0990833275836618E-2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0.54059421870546454</v>
          </cell>
          <cell r="F65">
            <v>0.54096062020445368</v>
          </cell>
          <cell r="G65">
            <v>0.54262960896895462</v>
          </cell>
          <cell r="H65">
            <v>0.54096062020445368</v>
          </cell>
          <cell r="I65">
            <v>0.5416309260085983</v>
          </cell>
          <cell r="J65">
            <v>0.54335493752014141</v>
          </cell>
          <cell r="K65">
            <v>0.53995485603267002</v>
          </cell>
          <cell r="L65">
            <v>0.54056689772014832</v>
          </cell>
          <cell r="M65">
            <v>0.5416859534460996</v>
          </cell>
          <cell r="N65">
            <v>0.53995485603267002</v>
          </cell>
          <cell r="O65">
            <v>0.54185678932663595</v>
          </cell>
          <cell r="P65">
            <v>0.540536724396246</v>
          </cell>
          <cell r="Q65" t="str">
            <v/>
          </cell>
          <cell r="R65" t="e">
            <v>#DIV/0!</v>
          </cell>
          <cell r="S65" t="e">
            <v>#DIV/0!</v>
          </cell>
          <cell r="T65" t="e">
            <v>#DIV/0!</v>
          </cell>
          <cell r="U65">
            <v>0.54133487422254134</v>
          </cell>
          <cell r="V65">
            <v>0.54938829961557534</v>
          </cell>
          <cell r="W65" t="str">
            <v>N.A.</v>
          </cell>
          <cell r="X65">
            <v>-8.0534253930339972E-3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2.712647501520676E-2</v>
          </cell>
          <cell r="F66">
            <v>2.6308824477817631E-2</v>
          </cell>
          <cell r="G66">
            <v>2.0025338198760859E-2</v>
          </cell>
          <cell r="H66">
            <v>2.6308824477817631E-2</v>
          </cell>
          <cell r="I66">
            <v>2.4566611012093988E-2</v>
          </cell>
          <cell r="J66">
            <v>1.8776463993122314E-2</v>
          </cell>
          <cell r="K66">
            <v>2.6318882119535467E-2</v>
          </cell>
          <cell r="L66">
            <v>2.7303357335282368E-2</v>
          </cell>
          <cell r="M66">
            <v>2.0551116872095931E-2</v>
          </cell>
          <cell r="N66">
            <v>2.605765007027732E-2</v>
          </cell>
          <cell r="O66">
            <v>2.023379462207224E-2</v>
          </cell>
          <cell r="P66">
            <v>2.2460720572580802E-2</v>
          </cell>
          <cell r="Q66" t="str">
            <v/>
          </cell>
          <cell r="R66" t="str">
            <v>N.A.</v>
          </cell>
          <cell r="S66" t="str">
            <v>N.A.</v>
          </cell>
          <cell r="T66" t="str">
            <v>N.A.</v>
          </cell>
          <cell r="U66">
            <v>2.3445090990258672E-2</v>
          </cell>
          <cell r="V66">
            <v>3.3775651535928271E-2</v>
          </cell>
          <cell r="W66" t="str">
            <v>N.A.</v>
          </cell>
          <cell r="X66">
            <v>-1.0330560545669599E-2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0.17160397274683856</v>
          </cell>
          <cell r="F67">
            <v>0.15169445426092004</v>
          </cell>
          <cell r="G67">
            <v>0.26783728379215599</v>
          </cell>
          <cell r="H67">
            <v>0.17681292053574219</v>
          </cell>
          <cell r="I67">
            <v>0.20435643781478083</v>
          </cell>
          <cell r="J67">
            <v>0.28690152259928997</v>
          </cell>
          <cell r="K67">
            <v>0.18043773536651408</v>
          </cell>
          <cell r="L67">
            <v>0.19600347437507501</v>
          </cell>
          <cell r="M67">
            <v>0.26109326657530196</v>
          </cell>
          <cell r="N67">
            <v>0.18069896741577218</v>
          </cell>
          <cell r="O67">
            <v>0.26559663111071297</v>
          </cell>
          <cell r="P67">
            <v>0.23102376237160846</v>
          </cell>
          <cell r="Q67" t="str">
            <v/>
          </cell>
          <cell r="R67" t="e">
            <v>#DIV/0!</v>
          </cell>
          <cell r="S67" t="e">
            <v>#DIV/0!</v>
          </cell>
          <cell r="T67" t="e">
            <v>#DIV/0!</v>
          </cell>
          <cell r="U67">
            <v>0.22012965226243639</v>
          </cell>
          <cell r="V67">
            <v>0.28064305746560586</v>
          </cell>
          <cell r="W67" t="str">
            <v>N.A.</v>
          </cell>
          <cell r="X67">
            <v>-6.0513405203169474E-2</v>
          </cell>
          <cell r="Y67" t="str">
            <v>N.A.</v>
          </cell>
        </row>
        <row r="68">
          <cell r="B68" t="str">
            <v>No of Concession Transactions</v>
          </cell>
          <cell r="E68">
            <v>20</v>
          </cell>
          <cell r="F68">
            <v>23</v>
          </cell>
          <cell r="G68">
            <v>25</v>
          </cell>
          <cell r="H68">
            <v>20</v>
          </cell>
          <cell r="I68">
            <v>21</v>
          </cell>
          <cell r="J68">
            <v>28</v>
          </cell>
          <cell r="K68">
            <v>22</v>
          </cell>
          <cell r="L68">
            <v>25</v>
          </cell>
          <cell r="M68">
            <v>28</v>
          </cell>
          <cell r="N68">
            <v>21.253</v>
          </cell>
          <cell r="O68">
            <v>30</v>
          </cell>
          <cell r="P68">
            <v>30</v>
          </cell>
          <cell r="U68">
            <v>293.25299999999999</v>
          </cell>
          <cell r="V68">
            <v>221</v>
          </cell>
          <cell r="W68" t="str">
            <v>N.A.</v>
          </cell>
          <cell r="X68">
            <v>72.252999999999986</v>
          </cell>
          <cell r="Y68" t="str">
            <v>N.A.</v>
          </cell>
        </row>
        <row r="69">
          <cell r="B69" t="str">
            <v>Strike Rate %(No of Trans/Adm)</v>
          </cell>
          <cell r="E69">
            <v>0.22988505747126436</v>
          </cell>
          <cell r="F69">
            <v>0.25555555555555554</v>
          </cell>
          <cell r="G69">
            <v>0.20833333333333334</v>
          </cell>
          <cell r="H69">
            <v>0.22222222222222221</v>
          </cell>
          <cell r="I69">
            <v>0.21875</v>
          </cell>
          <cell r="J69">
            <v>0.2153846153846154</v>
          </cell>
          <cell r="K69">
            <v>0.24444444444444444</v>
          </cell>
          <cell r="L69">
            <v>0.26315789473684209</v>
          </cell>
          <cell r="M69">
            <v>0.23728813559322035</v>
          </cell>
          <cell r="N69">
            <v>0.23614444444444443</v>
          </cell>
          <cell r="O69">
            <v>0.25</v>
          </cell>
          <cell r="P69">
            <v>0.28301886792452829</v>
          </cell>
          <cell r="U69">
            <v>0.23803003246753246</v>
          </cell>
          <cell r="V69">
            <v>0.32595870206489674</v>
          </cell>
          <cell r="W69" t="str">
            <v>N.A.</v>
          </cell>
          <cell r="X69">
            <v>-8.7928669597364284E-2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5.22</v>
          </cell>
          <cell r="F70">
            <v>4.6956521739130439</v>
          </cell>
          <cell r="G70">
            <v>5.76</v>
          </cell>
          <cell r="H70">
            <v>5.4</v>
          </cell>
          <cell r="I70">
            <v>5.4857142857142849</v>
          </cell>
          <cell r="J70">
            <v>5.5714285714285712</v>
          </cell>
          <cell r="K70">
            <v>4.9090909090909092</v>
          </cell>
          <cell r="L70">
            <v>4.5599999999999996</v>
          </cell>
          <cell r="M70">
            <v>5.0571428571428569</v>
          </cell>
          <cell r="N70">
            <v>5.0816355338069918</v>
          </cell>
          <cell r="O70">
            <v>4.8</v>
          </cell>
          <cell r="P70">
            <v>4.24</v>
          </cell>
          <cell r="U70">
            <v>5.0413806508373318</v>
          </cell>
          <cell r="V70">
            <v>3.5452850678733032</v>
          </cell>
          <cell r="W70" t="str">
            <v>N.A.</v>
          </cell>
          <cell r="X70">
            <v>1.4960955829640286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49</v>
          </cell>
          <cell r="F71">
            <v>50</v>
          </cell>
          <cell r="G71">
            <v>58</v>
          </cell>
          <cell r="H71">
            <v>43</v>
          </cell>
          <cell r="I71">
            <v>46</v>
          </cell>
          <cell r="J71">
            <v>68</v>
          </cell>
          <cell r="K71">
            <v>47</v>
          </cell>
          <cell r="L71">
            <v>52</v>
          </cell>
          <cell r="M71">
            <v>59</v>
          </cell>
          <cell r="N71">
            <v>45</v>
          </cell>
          <cell r="O71">
            <v>64</v>
          </cell>
          <cell r="P71">
            <v>61</v>
          </cell>
          <cell r="U71">
            <v>642</v>
          </cell>
          <cell r="V71">
            <v>321</v>
          </cell>
          <cell r="W71" t="str">
            <v>N.A.</v>
          </cell>
          <cell r="X71">
            <v>321</v>
          </cell>
          <cell r="Y71" t="str">
            <v>N.A.</v>
          </cell>
        </row>
        <row r="72">
          <cell r="B72" t="str">
            <v>Combo Sales as % of Total Sales</v>
          </cell>
          <cell r="E72">
            <v>0.46934865900383144</v>
          </cell>
          <cell r="F72">
            <v>0.46296296296296297</v>
          </cell>
          <cell r="G72">
            <v>0.40277777777777779</v>
          </cell>
          <cell r="H72">
            <v>0.39814814814814814</v>
          </cell>
          <cell r="I72">
            <v>0.39930555555555558</v>
          </cell>
          <cell r="J72">
            <v>0.4358974358974359</v>
          </cell>
          <cell r="K72">
            <v>0.43518518518518517</v>
          </cell>
          <cell r="L72">
            <v>0.45614035087719296</v>
          </cell>
          <cell r="M72">
            <v>0.41666666666666669</v>
          </cell>
          <cell r="N72">
            <v>0.41666666666666669</v>
          </cell>
          <cell r="O72">
            <v>0.44444444444444442</v>
          </cell>
          <cell r="P72">
            <v>0.47955974842767302</v>
          </cell>
          <cell r="U72">
            <v>0.43425324675324678</v>
          </cell>
          <cell r="V72">
            <v>0.4096958805781179</v>
          </cell>
          <cell r="W72" t="str">
            <v>N.A.</v>
          </cell>
          <cell r="X72">
            <v>2.4557366175128881E-2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4</v>
          </cell>
          <cell r="G73">
            <v>5</v>
          </cell>
          <cell r="H73">
            <v>4</v>
          </cell>
          <cell r="I73">
            <v>4</v>
          </cell>
          <cell r="J73">
            <v>5</v>
          </cell>
          <cell r="K73">
            <v>4</v>
          </cell>
          <cell r="L73">
            <v>4</v>
          </cell>
          <cell r="M73">
            <v>5</v>
          </cell>
          <cell r="N73">
            <v>4</v>
          </cell>
          <cell r="O73">
            <v>4</v>
          </cell>
          <cell r="P73">
            <v>5</v>
          </cell>
          <cell r="U73">
            <v>92</v>
          </cell>
          <cell r="V73">
            <v>57</v>
          </cell>
          <cell r="W73" t="str">
            <v>N.A.</v>
          </cell>
          <cell r="X73">
            <v>35</v>
          </cell>
          <cell r="Y73" t="str">
            <v>N.A.</v>
          </cell>
        </row>
        <row r="74">
          <cell r="B74" t="str">
            <v>Admissions/labour hour paid</v>
          </cell>
          <cell r="E74">
            <v>12.428571428571429</v>
          </cell>
          <cell r="F74">
            <v>12.857142857142858</v>
          </cell>
          <cell r="G74">
            <v>13.333333333333334</v>
          </cell>
          <cell r="H74">
            <v>12.857142857142858</v>
          </cell>
          <cell r="I74">
            <v>13.714285714285714</v>
          </cell>
          <cell r="J74">
            <v>14.444444444444445</v>
          </cell>
          <cell r="K74">
            <v>12.857142857142858</v>
          </cell>
          <cell r="L74">
            <v>13.571428571428571</v>
          </cell>
          <cell r="M74">
            <v>14.75</v>
          </cell>
          <cell r="N74">
            <v>12.857142857142858</v>
          </cell>
          <cell r="O74">
            <v>13.333333333333334</v>
          </cell>
          <cell r="P74">
            <v>13.25</v>
          </cell>
          <cell r="U74">
            <v>13.391304347826088</v>
          </cell>
          <cell r="V74">
            <v>11.894736842105264</v>
          </cell>
          <cell r="W74" t="str">
            <v>N.A.</v>
          </cell>
          <cell r="X74">
            <v>1.4965675057208241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32.08625</v>
          </cell>
          <cell r="W77">
            <v>0</v>
          </cell>
          <cell r="X77">
            <v>-4.8987499999999997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10.821999999999999</v>
          </cell>
          <cell r="W78">
            <v>0</v>
          </cell>
          <cell r="X78">
            <v>13.178000000000001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5.6243333333333325</v>
          </cell>
          <cell r="F82">
            <v>5.6243333333333325</v>
          </cell>
          <cell r="G82">
            <v>5.6243333333333325</v>
          </cell>
          <cell r="H82">
            <v>5.6243333333333325</v>
          </cell>
          <cell r="I82">
            <v>5.6243333333333325</v>
          </cell>
          <cell r="J82">
            <v>5.6243333333333325</v>
          </cell>
          <cell r="K82">
            <v>5.6243333333333325</v>
          </cell>
          <cell r="L82">
            <v>5.6243333333333325</v>
          </cell>
          <cell r="M82">
            <v>5.6243333333333325</v>
          </cell>
          <cell r="N82">
            <v>5.6243333333333325</v>
          </cell>
          <cell r="O82">
            <v>5.6243333333333325</v>
          </cell>
          <cell r="P82">
            <v>5.6243333333333325</v>
          </cell>
          <cell r="T82">
            <v>0</v>
          </cell>
          <cell r="U82">
            <v>67.49199999999999</v>
          </cell>
          <cell r="V82">
            <v>34.58</v>
          </cell>
          <cell r="W82">
            <v>0</v>
          </cell>
          <cell r="X82">
            <v>32.911999999999992</v>
          </cell>
          <cell r="Y82">
            <v>67.49199999999999</v>
          </cell>
        </row>
        <row r="83">
          <cell r="C83">
            <v>0</v>
          </cell>
          <cell r="E83">
            <v>9.8899583333333325</v>
          </cell>
          <cell r="F83">
            <v>9.8899583333333325</v>
          </cell>
          <cell r="G83">
            <v>9.8899583333333325</v>
          </cell>
          <cell r="H83">
            <v>9.8899583333333325</v>
          </cell>
          <cell r="I83">
            <v>9.8899583333333325</v>
          </cell>
          <cell r="J83">
            <v>9.8899583333333325</v>
          </cell>
          <cell r="K83">
            <v>9.8899583333333325</v>
          </cell>
          <cell r="L83">
            <v>9.8899583333333325</v>
          </cell>
          <cell r="M83">
            <v>9.8899583333333325</v>
          </cell>
          <cell r="N83">
            <v>9.8899583333333325</v>
          </cell>
          <cell r="O83">
            <v>9.8899583333333325</v>
          </cell>
          <cell r="P83">
            <v>9.8899583333333325</v>
          </cell>
          <cell r="R83">
            <v>0</v>
          </cell>
          <cell r="S83">
            <v>0</v>
          </cell>
          <cell r="T83">
            <v>0</v>
          </cell>
          <cell r="U83">
            <v>118.67949999999999</v>
          </cell>
          <cell r="V83">
            <v>77.488249999999994</v>
          </cell>
          <cell r="W83">
            <v>0</v>
          </cell>
          <cell r="X83">
            <v>41.191249999999997</v>
          </cell>
          <cell r="Y83">
            <v>118.67949999999999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1.1832</v>
          </cell>
          <cell r="F86">
            <v>1.224</v>
          </cell>
          <cell r="G86">
            <v>1.6320000000000001</v>
          </cell>
          <cell r="H86">
            <v>1.224</v>
          </cell>
          <cell r="I86">
            <v>1.3055999999999999</v>
          </cell>
          <cell r="J86">
            <v>1.768</v>
          </cell>
          <cell r="K86">
            <v>1.224</v>
          </cell>
          <cell r="L86">
            <v>1.292</v>
          </cell>
          <cell r="M86">
            <v>1.6048</v>
          </cell>
          <cell r="N86">
            <v>1.224</v>
          </cell>
          <cell r="O86">
            <v>1.6320000000000001</v>
          </cell>
          <cell r="P86">
            <v>1.4416</v>
          </cell>
          <cell r="U86">
            <v>16.755199999999999</v>
          </cell>
          <cell r="V86">
            <v>8.8581220000000016</v>
          </cell>
          <cell r="W86">
            <v>0</v>
          </cell>
          <cell r="X86">
            <v>7.8970779999999969</v>
          </cell>
          <cell r="Y86">
            <v>16.755199999999999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1.1832</v>
          </cell>
          <cell r="F91">
            <v>1.224</v>
          </cell>
          <cell r="G91">
            <v>1.6320000000000001</v>
          </cell>
          <cell r="H91">
            <v>1.224</v>
          </cell>
          <cell r="I91">
            <v>1.3055999999999999</v>
          </cell>
          <cell r="J91">
            <v>1.768</v>
          </cell>
          <cell r="K91">
            <v>1.224</v>
          </cell>
          <cell r="L91">
            <v>1.292</v>
          </cell>
          <cell r="M91">
            <v>1.6048</v>
          </cell>
          <cell r="N91">
            <v>1.224</v>
          </cell>
          <cell r="O91">
            <v>1.6320000000000001</v>
          </cell>
          <cell r="P91">
            <v>1.4416</v>
          </cell>
          <cell r="U91">
            <v>16.755199999999999</v>
          </cell>
          <cell r="V91">
            <v>8.8581220000000016</v>
          </cell>
          <cell r="W91">
            <v>0</v>
          </cell>
          <cell r="X91">
            <v>7.8970779999999969</v>
          </cell>
          <cell r="Y91">
            <v>16.755199999999999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40.119659546494248</v>
          </cell>
          <cell r="F94">
            <v>40.119659546494248</v>
          </cell>
          <cell r="G94">
            <v>41.219659546494249</v>
          </cell>
          <cell r="H94">
            <v>40.119659546494248</v>
          </cell>
          <cell r="I94">
            <v>40.119659546494248</v>
          </cell>
          <cell r="J94">
            <v>41.219659546494249</v>
          </cell>
          <cell r="K94">
            <v>40.92047609379425</v>
          </cell>
          <cell r="L94">
            <v>40.92047609379425</v>
          </cell>
          <cell r="M94">
            <v>42.020476093794251</v>
          </cell>
          <cell r="N94">
            <v>40.92047609379425</v>
          </cell>
          <cell r="O94">
            <v>42.020476093794251</v>
          </cell>
          <cell r="P94">
            <v>42.020476093794251</v>
          </cell>
          <cell r="T94">
            <v>0</v>
          </cell>
          <cell r="U94">
            <v>491.74081384173098</v>
          </cell>
          <cell r="V94">
            <v>278.19983500000006</v>
          </cell>
          <cell r="W94">
            <v>0</v>
          </cell>
          <cell r="X94">
            <v>213.54097884173092</v>
          </cell>
          <cell r="Y94">
            <v>491.74081384173098</v>
          </cell>
        </row>
        <row r="95">
          <cell r="A95">
            <v>67</v>
          </cell>
          <cell r="B95" t="str">
            <v>Bonus/Commission</v>
          </cell>
          <cell r="E95">
            <v>2.0224695833333333</v>
          </cell>
          <cell r="F95">
            <v>2.0224695833333333</v>
          </cell>
          <cell r="G95">
            <v>2.0224695833333333</v>
          </cell>
          <cell r="H95">
            <v>2.0224695833333333</v>
          </cell>
          <cell r="I95">
            <v>2.0224695833333333</v>
          </cell>
          <cell r="J95">
            <v>2.0224695833333333</v>
          </cell>
          <cell r="K95">
            <v>2.0224695833333333</v>
          </cell>
          <cell r="L95">
            <v>2.0224695833333333</v>
          </cell>
          <cell r="M95">
            <v>2.0224695833333333</v>
          </cell>
          <cell r="N95">
            <v>2.0224695833333333</v>
          </cell>
          <cell r="O95">
            <v>2.0224695833333333</v>
          </cell>
          <cell r="P95">
            <v>2.0224695833333333</v>
          </cell>
          <cell r="T95">
            <v>0</v>
          </cell>
          <cell r="U95">
            <v>24.269634999999997</v>
          </cell>
          <cell r="V95">
            <v>18.586883333333336</v>
          </cell>
          <cell r="W95">
            <v>0</v>
          </cell>
          <cell r="X95">
            <v>5.6827516666666611</v>
          </cell>
          <cell r="Y95">
            <v>24.269634999999997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4.76</v>
          </cell>
          <cell r="W97">
            <v>0</v>
          </cell>
          <cell r="X97">
            <v>1.8760000000000003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T98">
            <v>0</v>
          </cell>
          <cell r="U98">
            <v>9.4127999999999989</v>
          </cell>
          <cell r="V98">
            <v>5.4904000000000011</v>
          </cell>
          <cell r="W98">
            <v>0</v>
          </cell>
          <cell r="X98">
            <v>3.9223999999999979</v>
          </cell>
          <cell r="Y98">
            <v>9.4127999999999989</v>
          </cell>
        </row>
        <row r="99">
          <cell r="C99">
            <v>0</v>
          </cell>
          <cell r="E99">
            <v>43.479529129827576</v>
          </cell>
          <cell r="F99">
            <v>43.479529129827576</v>
          </cell>
          <cell r="G99">
            <v>44.579529129827577</v>
          </cell>
          <cell r="H99">
            <v>43.479529129827576</v>
          </cell>
          <cell r="I99">
            <v>43.479529129827576</v>
          </cell>
          <cell r="J99">
            <v>44.579529129827577</v>
          </cell>
          <cell r="K99">
            <v>44.280345677127578</v>
          </cell>
          <cell r="L99">
            <v>44.280345677127578</v>
          </cell>
          <cell r="M99">
            <v>45.380345677127579</v>
          </cell>
          <cell r="N99">
            <v>44.280345677127578</v>
          </cell>
          <cell r="O99">
            <v>45.380345677127579</v>
          </cell>
          <cell r="P99">
            <v>45.380345677127579</v>
          </cell>
          <cell r="R99">
            <v>0</v>
          </cell>
          <cell r="S99">
            <v>0</v>
          </cell>
          <cell r="T99">
            <v>0</v>
          </cell>
          <cell r="U99">
            <v>532.05924884173089</v>
          </cell>
          <cell r="V99">
            <v>307.03711833333341</v>
          </cell>
          <cell r="W99">
            <v>0</v>
          </cell>
          <cell r="X99">
            <v>225.02213050839748</v>
          </cell>
          <cell r="Y99">
            <v>532.05924884173089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9.6349999999999998</v>
          </cell>
          <cell r="W102">
            <v>0</v>
          </cell>
          <cell r="X102">
            <v>5.9649999999999999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18.335833333333333</v>
          </cell>
          <cell r="W104">
            <v>0</v>
          </cell>
          <cell r="X104">
            <v>5.6641666666666666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6.3579999999999988</v>
          </cell>
          <cell r="W105">
            <v>0</v>
          </cell>
          <cell r="X105">
            <v>5.6420000000000012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1.5549999999999999</v>
          </cell>
          <cell r="W106">
            <v>0</v>
          </cell>
          <cell r="X106">
            <v>4.4450000000000003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0.24</v>
          </cell>
          <cell r="F108">
            <v>0.24</v>
          </cell>
          <cell r="G108">
            <v>0.24</v>
          </cell>
          <cell r="H108">
            <v>0.24</v>
          </cell>
          <cell r="I108">
            <v>0.24</v>
          </cell>
          <cell r="J108">
            <v>0.24</v>
          </cell>
          <cell r="K108">
            <v>0.24</v>
          </cell>
          <cell r="L108">
            <v>0.24</v>
          </cell>
          <cell r="M108">
            <v>0.24</v>
          </cell>
          <cell r="N108">
            <v>0.24</v>
          </cell>
          <cell r="O108">
            <v>0.24</v>
          </cell>
          <cell r="P108">
            <v>0.24</v>
          </cell>
          <cell r="T108">
            <v>0</v>
          </cell>
          <cell r="U108">
            <v>2.88</v>
          </cell>
          <cell r="V108">
            <v>3.8674779999999984</v>
          </cell>
          <cell r="W108">
            <v>0</v>
          </cell>
          <cell r="X108">
            <v>-0.98747799999999764</v>
          </cell>
          <cell r="Y108">
            <v>2.88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6.4480000000000004</v>
          </cell>
          <cell r="F111">
            <v>6.4480000000000004</v>
          </cell>
          <cell r="G111">
            <v>6.24</v>
          </cell>
          <cell r="H111">
            <v>6.4480000000000004</v>
          </cell>
          <cell r="I111">
            <v>6.24</v>
          </cell>
          <cell r="J111">
            <v>6.4480000000000004</v>
          </cell>
          <cell r="K111">
            <v>6.4480000000000004</v>
          </cell>
          <cell r="L111">
            <v>8.3239999999999998</v>
          </cell>
          <cell r="M111">
            <v>6.4480000000000004</v>
          </cell>
          <cell r="N111">
            <v>6.24</v>
          </cell>
          <cell r="O111">
            <v>6.4480000000000004</v>
          </cell>
          <cell r="P111">
            <v>6.24</v>
          </cell>
          <cell r="T111">
            <v>0</v>
          </cell>
          <cell r="U111">
            <v>78.42</v>
          </cell>
          <cell r="V111">
            <v>56.227000000000004</v>
          </cell>
          <cell r="W111">
            <v>0</v>
          </cell>
          <cell r="X111">
            <v>22.192999999999998</v>
          </cell>
          <cell r="Y111">
            <v>78.42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29.887999999999998</v>
          </cell>
          <cell r="W112">
            <v>0</v>
          </cell>
          <cell r="X112">
            <v>18.112000000000002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10.143000000000001</v>
          </cell>
          <cell r="W113">
            <v>0</v>
          </cell>
          <cell r="X113">
            <v>-2.9430000000000023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2.629</v>
          </cell>
          <cell r="W114">
            <v>0</v>
          </cell>
          <cell r="X114">
            <v>-0.22900000000000009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12.696</v>
          </cell>
          <cell r="W115">
            <v>0</v>
          </cell>
          <cell r="X115">
            <v>-12.696</v>
          </cell>
          <cell r="Y115">
            <v>0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2.5</v>
          </cell>
          <cell r="F117">
            <v>2.5</v>
          </cell>
          <cell r="G117">
            <v>2.5</v>
          </cell>
          <cell r="H117">
            <v>2.5</v>
          </cell>
          <cell r="I117">
            <v>2.5</v>
          </cell>
          <cell r="J117">
            <v>2.5</v>
          </cell>
          <cell r="K117">
            <v>2.5</v>
          </cell>
          <cell r="L117">
            <v>2.5</v>
          </cell>
          <cell r="M117">
            <v>2.5</v>
          </cell>
          <cell r="N117">
            <v>2.5</v>
          </cell>
          <cell r="O117">
            <v>2.5</v>
          </cell>
          <cell r="P117">
            <v>2.5</v>
          </cell>
          <cell r="T117">
            <v>0</v>
          </cell>
          <cell r="U117">
            <v>30</v>
          </cell>
          <cell r="V117">
            <v>27.247</v>
          </cell>
          <cell r="W117">
            <v>0</v>
          </cell>
          <cell r="X117">
            <v>2.7530000000000001</v>
          </cell>
          <cell r="Y117">
            <v>30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0.55979529129827588</v>
          </cell>
          <cell r="F119">
            <v>0.55979529129827588</v>
          </cell>
          <cell r="G119">
            <v>0.57079529129827589</v>
          </cell>
          <cell r="H119">
            <v>0.55979529129827588</v>
          </cell>
          <cell r="I119">
            <v>0.55979529129827588</v>
          </cell>
          <cell r="J119">
            <v>0.57079529129827589</v>
          </cell>
          <cell r="K119">
            <v>0.56780345677127586</v>
          </cell>
          <cell r="L119">
            <v>0.56780345677127586</v>
          </cell>
          <cell r="M119">
            <v>0.57880345677127587</v>
          </cell>
          <cell r="N119">
            <v>0.56780345677127586</v>
          </cell>
          <cell r="O119">
            <v>0.57880345677127587</v>
          </cell>
          <cell r="P119">
            <v>0.57880345677127587</v>
          </cell>
          <cell r="T119">
            <v>0</v>
          </cell>
          <cell r="U119">
            <v>6.8205924884173097</v>
          </cell>
          <cell r="V119">
            <v>5.0430672000000012</v>
          </cell>
          <cell r="W119">
            <v>0</v>
          </cell>
          <cell r="X119">
            <v>1.7775252884173085</v>
          </cell>
          <cell r="Y119">
            <v>6.8205924884173097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0</v>
          </cell>
          <cell r="X120">
            <v>6.8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1.44</v>
          </cell>
          <cell r="W124">
            <v>0</v>
          </cell>
          <cell r="X124">
            <v>2.16</v>
          </cell>
          <cell r="Y124">
            <v>3.6</v>
          </cell>
        </row>
        <row r="125">
          <cell r="C125">
            <v>0</v>
          </cell>
          <cell r="E125">
            <v>20.947795291298277</v>
          </cell>
          <cell r="F125">
            <v>20.947795291298277</v>
          </cell>
          <cell r="G125">
            <v>20.750795291298278</v>
          </cell>
          <cell r="H125">
            <v>20.947795291298277</v>
          </cell>
          <cell r="I125">
            <v>20.739795291298279</v>
          </cell>
          <cell r="J125">
            <v>20.958795291298276</v>
          </cell>
          <cell r="K125">
            <v>20.955803456771278</v>
          </cell>
          <cell r="L125">
            <v>22.831803456771279</v>
          </cell>
          <cell r="M125">
            <v>20.966803456771277</v>
          </cell>
          <cell r="N125">
            <v>20.74780345677128</v>
          </cell>
          <cell r="O125">
            <v>20.966803456771277</v>
          </cell>
          <cell r="P125">
            <v>20.758803456771279</v>
          </cell>
          <cell r="R125">
            <v>0</v>
          </cell>
          <cell r="S125">
            <v>0</v>
          </cell>
          <cell r="T125">
            <v>0</v>
          </cell>
          <cell r="U125">
            <v>252.52059248841729</v>
          </cell>
          <cell r="V125">
            <v>193.86437853333331</v>
          </cell>
          <cell r="W125">
            <v>0</v>
          </cell>
          <cell r="X125">
            <v>58.656213955083985</v>
          </cell>
          <cell r="Y125">
            <v>252.52059248841729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7" refreshError="1"/>
      <sheetData sheetId="38" refreshError="1">
        <row r="11">
          <cell r="A11">
            <v>1</v>
          </cell>
          <cell r="B11" t="str">
            <v>Net Film Revenue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A12">
            <v>2</v>
          </cell>
          <cell r="B12" t="str">
            <v>Concession Sales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0.5</v>
          </cell>
          <cell r="L16">
            <v>0.5</v>
          </cell>
          <cell r="M16">
            <v>0.5</v>
          </cell>
          <cell r="N16">
            <v>0.5</v>
          </cell>
          <cell r="O16">
            <v>0.5</v>
          </cell>
          <cell r="P16">
            <v>0.5</v>
          </cell>
          <cell r="R16">
            <v>0</v>
          </cell>
          <cell r="S16">
            <v>0</v>
          </cell>
          <cell r="T16">
            <v>0</v>
          </cell>
          <cell r="U16">
            <v>6</v>
          </cell>
          <cell r="V16">
            <v>13.6</v>
          </cell>
          <cell r="W16">
            <v>5.0979999999999999</v>
          </cell>
          <cell r="X16">
            <v>-7.6</v>
          </cell>
          <cell r="Y16">
            <v>0.90200000000000014</v>
          </cell>
        </row>
        <row r="17">
          <cell r="B17" t="str">
            <v>TOTAL REVENUE</v>
          </cell>
          <cell r="C17">
            <v>0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0.5</v>
          </cell>
          <cell r="L17">
            <v>0.5</v>
          </cell>
          <cell r="M17">
            <v>0.5</v>
          </cell>
          <cell r="N17">
            <v>0.5</v>
          </cell>
          <cell r="O17">
            <v>0.5</v>
          </cell>
          <cell r="P17">
            <v>0.5</v>
          </cell>
          <cell r="R17">
            <v>0</v>
          </cell>
          <cell r="S17">
            <v>0</v>
          </cell>
          <cell r="T17">
            <v>0</v>
          </cell>
          <cell r="U17">
            <v>6</v>
          </cell>
          <cell r="V17">
            <v>13.6</v>
          </cell>
          <cell r="W17">
            <v>5.0979999999999999</v>
          </cell>
          <cell r="X17">
            <v>-7.6</v>
          </cell>
          <cell r="Y17">
            <v>0.90200000000000014</v>
          </cell>
        </row>
        <row r="19">
          <cell r="A19">
            <v>7</v>
          </cell>
          <cell r="B19" t="str">
            <v>Film Hire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>
            <v>8</v>
          </cell>
          <cell r="B20" t="str">
            <v>Concession Cost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>
            <v>9</v>
          </cell>
          <cell r="B21" t="str">
            <v>Less Concession Rebates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>
            <v>10</v>
          </cell>
          <cell r="B22" t="str">
            <v>Advertising Cost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T22">
            <v>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-1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90.765082916666657</v>
          </cell>
          <cell r="F24">
            <v>90.765082916666657</v>
          </cell>
          <cell r="G24">
            <v>88.735082916666656</v>
          </cell>
          <cell r="H24">
            <v>87.865082916666665</v>
          </cell>
          <cell r="I24">
            <v>87.865082916666665</v>
          </cell>
          <cell r="J24">
            <v>87.865082916666665</v>
          </cell>
          <cell r="K24">
            <v>89.941772916666679</v>
          </cell>
          <cell r="L24">
            <v>89.941772916666679</v>
          </cell>
          <cell r="M24">
            <v>89.941772916666679</v>
          </cell>
          <cell r="N24">
            <v>89.941772916666679</v>
          </cell>
          <cell r="O24">
            <v>89.941772916666679</v>
          </cell>
          <cell r="P24">
            <v>89.941772916666679</v>
          </cell>
          <cell r="R24">
            <v>0</v>
          </cell>
          <cell r="S24">
            <v>0</v>
          </cell>
          <cell r="T24">
            <v>0</v>
          </cell>
          <cell r="U24">
            <v>1073.511135</v>
          </cell>
          <cell r="V24">
            <v>1092.7482116666667</v>
          </cell>
          <cell r="W24">
            <v>1211.7870000000003</v>
          </cell>
          <cell r="X24">
            <v>-19.237076666666781</v>
          </cell>
          <cell r="Y24">
            <v>-138.27586500000029</v>
          </cell>
        </row>
        <row r="25">
          <cell r="B25" t="str">
            <v>TOTAL COST</v>
          </cell>
          <cell r="C25">
            <v>0</v>
          </cell>
          <cell r="E25">
            <v>90.765082916666657</v>
          </cell>
          <cell r="F25">
            <v>90.765082916666657</v>
          </cell>
          <cell r="G25">
            <v>88.735082916666656</v>
          </cell>
          <cell r="H25">
            <v>87.865082916666665</v>
          </cell>
          <cell r="I25">
            <v>87.865082916666665</v>
          </cell>
          <cell r="J25">
            <v>87.865082916666665</v>
          </cell>
          <cell r="K25">
            <v>89.941772916666679</v>
          </cell>
          <cell r="L25">
            <v>89.941772916666679</v>
          </cell>
          <cell r="M25">
            <v>89.941772916666679</v>
          </cell>
          <cell r="N25">
            <v>89.941772916666679</v>
          </cell>
          <cell r="O25">
            <v>89.941772916666679</v>
          </cell>
          <cell r="P25">
            <v>89.941772916666679</v>
          </cell>
          <cell r="R25">
            <v>0</v>
          </cell>
          <cell r="S25">
            <v>0</v>
          </cell>
          <cell r="T25">
            <v>0</v>
          </cell>
          <cell r="U25">
            <v>1073.511135</v>
          </cell>
          <cell r="V25">
            <v>1092.7482116666667</v>
          </cell>
          <cell r="W25">
            <v>1212.7870000000003</v>
          </cell>
          <cell r="X25">
            <v>-19.237076666666781</v>
          </cell>
          <cell r="Y25">
            <v>-139.27586500000029</v>
          </cell>
        </row>
        <row r="27">
          <cell r="B27" t="str">
            <v>GROSS MARGIN</v>
          </cell>
          <cell r="C27">
            <v>0</v>
          </cell>
          <cell r="E27">
            <v>-90.265082916666657</v>
          </cell>
          <cell r="F27">
            <v>-90.265082916666657</v>
          </cell>
          <cell r="G27">
            <v>-88.235082916666656</v>
          </cell>
          <cell r="H27">
            <v>-87.365082916666665</v>
          </cell>
          <cell r="I27">
            <v>-87.365082916666665</v>
          </cell>
          <cell r="J27">
            <v>-87.365082916666665</v>
          </cell>
          <cell r="K27">
            <v>-89.441772916666679</v>
          </cell>
          <cell r="L27">
            <v>-89.441772916666679</v>
          </cell>
          <cell r="M27">
            <v>-89.441772916666679</v>
          </cell>
          <cell r="N27">
            <v>-89.441772916666679</v>
          </cell>
          <cell r="O27">
            <v>-89.441772916666679</v>
          </cell>
          <cell r="P27">
            <v>-89.441772916666679</v>
          </cell>
          <cell r="R27">
            <v>0</v>
          </cell>
          <cell r="S27">
            <v>0</v>
          </cell>
          <cell r="T27">
            <v>0</v>
          </cell>
          <cell r="U27">
            <v>-1067.511135</v>
          </cell>
          <cell r="V27">
            <v>-1079.1482116666668</v>
          </cell>
          <cell r="W27">
            <v>-1207.6890000000003</v>
          </cell>
          <cell r="X27">
            <v>11.637076666666871</v>
          </cell>
          <cell r="Y27">
            <v>140.17786500000034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20.953899999999997</v>
          </cell>
          <cell r="F29">
            <v>20.953899999999997</v>
          </cell>
          <cell r="G29">
            <v>20.953899999999997</v>
          </cell>
          <cell r="H29">
            <v>20.953899999999997</v>
          </cell>
          <cell r="I29">
            <v>20.953899999999997</v>
          </cell>
          <cell r="J29">
            <v>20.953899999999997</v>
          </cell>
          <cell r="K29">
            <v>20.953899999999997</v>
          </cell>
          <cell r="L29">
            <v>20.953899999999997</v>
          </cell>
          <cell r="M29">
            <v>20.953899999999997</v>
          </cell>
          <cell r="N29">
            <v>20.953899999999997</v>
          </cell>
          <cell r="O29">
            <v>20.953899999999997</v>
          </cell>
          <cell r="P29">
            <v>20.953899999999997</v>
          </cell>
          <cell r="T29">
            <v>0</v>
          </cell>
          <cell r="U29">
            <v>251.44680000000002</v>
          </cell>
          <cell r="V29">
            <v>216.42934491871819</v>
          </cell>
          <cell r="W29">
            <v>199.74</v>
          </cell>
          <cell r="X29">
            <v>35.017455081281838</v>
          </cell>
          <cell r="Y29">
            <v>51.706800000000015</v>
          </cell>
        </row>
        <row r="30">
          <cell r="A30">
            <v>14</v>
          </cell>
          <cell r="B30" t="str">
            <v>Light, Heat and Power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T30">
            <v>0</v>
          </cell>
          <cell r="U30">
            <v>12</v>
          </cell>
          <cell r="V30">
            <v>7.7254799999999983</v>
          </cell>
          <cell r="W30">
            <v>7.9870000000000001</v>
          </cell>
          <cell r="X30">
            <v>4.2745200000000017</v>
          </cell>
          <cell r="Y30">
            <v>4.0129999999999999</v>
          </cell>
        </row>
        <row r="31">
          <cell r="A31">
            <v>15</v>
          </cell>
          <cell r="B31" t="str">
            <v>Repair &amp; Maintenance</v>
          </cell>
          <cell r="E31">
            <v>4.2</v>
          </cell>
          <cell r="F31">
            <v>4.2</v>
          </cell>
          <cell r="G31">
            <v>4.2</v>
          </cell>
          <cell r="H31">
            <v>4.2</v>
          </cell>
          <cell r="I31">
            <v>4.2</v>
          </cell>
          <cell r="J31">
            <v>4.2</v>
          </cell>
          <cell r="K31">
            <v>4.2</v>
          </cell>
          <cell r="L31">
            <v>4.2</v>
          </cell>
          <cell r="M31">
            <v>4.2</v>
          </cell>
          <cell r="N31">
            <v>4.2</v>
          </cell>
          <cell r="O31">
            <v>4.2</v>
          </cell>
          <cell r="P31">
            <v>4.2</v>
          </cell>
          <cell r="T31">
            <v>0</v>
          </cell>
          <cell r="U31">
            <v>50.4</v>
          </cell>
          <cell r="V31">
            <v>71.554509999999993</v>
          </cell>
          <cell r="W31">
            <v>40.314999999999998</v>
          </cell>
          <cell r="X31">
            <v>-21.154509999999981</v>
          </cell>
          <cell r="Y31">
            <v>10.085000000000001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37.070150829166664</v>
          </cell>
          <cell r="F33">
            <v>37.070150829166664</v>
          </cell>
          <cell r="G33">
            <v>37.049850829166672</v>
          </cell>
          <cell r="H33">
            <v>37.041150829166668</v>
          </cell>
          <cell r="I33">
            <v>37.041150829166668</v>
          </cell>
          <cell r="J33">
            <v>37.041150829166668</v>
          </cell>
          <cell r="K33">
            <v>37.061917729166666</v>
          </cell>
          <cell r="L33">
            <v>37.061917729166666</v>
          </cell>
          <cell r="M33">
            <v>37.061917729166666</v>
          </cell>
          <cell r="N33">
            <v>37.061917729166666</v>
          </cell>
          <cell r="O33">
            <v>37.061917729166666</v>
          </cell>
          <cell r="P33">
            <v>37.061917729166666</v>
          </cell>
          <cell r="R33">
            <v>0</v>
          </cell>
          <cell r="S33">
            <v>0</v>
          </cell>
          <cell r="T33">
            <v>0</v>
          </cell>
          <cell r="U33">
            <v>444.68511135000006</v>
          </cell>
          <cell r="V33">
            <v>496.03872999999999</v>
          </cell>
          <cell r="W33">
            <v>694.47800000000007</v>
          </cell>
          <cell r="X33">
            <v>-51.35361864999993</v>
          </cell>
          <cell r="Y33">
            <v>-249.79288865000001</v>
          </cell>
        </row>
        <row r="35">
          <cell r="B35" t="str">
            <v>Total Overhead Expenses</v>
          </cell>
          <cell r="C35">
            <v>0</v>
          </cell>
          <cell r="E35">
            <v>63.224050829166657</v>
          </cell>
          <cell r="F35">
            <v>63.224050829166657</v>
          </cell>
          <cell r="G35">
            <v>63.203750829166665</v>
          </cell>
          <cell r="H35">
            <v>63.195050829166661</v>
          </cell>
          <cell r="I35">
            <v>63.195050829166661</v>
          </cell>
          <cell r="J35">
            <v>63.195050829166661</v>
          </cell>
          <cell r="K35">
            <v>63.215817729166659</v>
          </cell>
          <cell r="L35">
            <v>63.215817729166659</v>
          </cell>
          <cell r="M35">
            <v>63.215817729166659</v>
          </cell>
          <cell r="N35">
            <v>63.215817729166659</v>
          </cell>
          <cell r="O35">
            <v>63.215817729166659</v>
          </cell>
          <cell r="P35">
            <v>63.215817729166659</v>
          </cell>
          <cell r="R35">
            <v>0</v>
          </cell>
          <cell r="S35">
            <v>0</v>
          </cell>
          <cell r="T35">
            <v>0</v>
          </cell>
          <cell r="U35">
            <v>758.53191135000009</v>
          </cell>
          <cell r="V35">
            <v>791.74806491871823</v>
          </cell>
          <cell r="W35">
            <v>942.52</v>
          </cell>
          <cell r="X35">
            <v>-33.216153568718141</v>
          </cell>
          <cell r="Y35">
            <v>-183.98808865000001</v>
          </cell>
        </row>
        <row r="37">
          <cell r="B37" t="str">
            <v>E.B.I.T.D.</v>
          </cell>
          <cell r="C37">
            <v>0</v>
          </cell>
          <cell r="E37">
            <v>-153.48913374583333</v>
          </cell>
          <cell r="F37">
            <v>-153.48913374583333</v>
          </cell>
          <cell r="G37">
            <v>-151.43883374583334</v>
          </cell>
          <cell r="H37">
            <v>-150.56013374583333</v>
          </cell>
          <cell r="I37">
            <v>-150.56013374583333</v>
          </cell>
          <cell r="J37">
            <v>-150.56013374583333</v>
          </cell>
          <cell r="K37">
            <v>-152.65759064583335</v>
          </cell>
          <cell r="L37">
            <v>-152.65759064583335</v>
          </cell>
          <cell r="M37">
            <v>-152.65759064583335</v>
          </cell>
          <cell r="N37">
            <v>-152.65759064583335</v>
          </cell>
          <cell r="O37">
            <v>-152.65759064583335</v>
          </cell>
          <cell r="P37">
            <v>-152.65759064583335</v>
          </cell>
          <cell r="R37">
            <v>0</v>
          </cell>
          <cell r="S37">
            <v>0</v>
          </cell>
          <cell r="T37">
            <v>0</v>
          </cell>
          <cell r="U37">
            <v>-1826.0430463500002</v>
          </cell>
          <cell r="V37">
            <v>-1870.8962765853851</v>
          </cell>
          <cell r="W37">
            <v>-2150.2090000000003</v>
          </cell>
          <cell r="X37">
            <v>44.853230235385013</v>
          </cell>
          <cell r="Y37">
            <v>324.16595365000035</v>
          </cell>
        </row>
        <row r="39">
          <cell r="A39">
            <v>18</v>
          </cell>
          <cell r="B39" t="str">
            <v>Depreciation</v>
          </cell>
          <cell r="E39">
            <v>33.989666666666665</v>
          </cell>
          <cell r="F39">
            <v>33.989666666666665</v>
          </cell>
          <cell r="G39">
            <v>33.989666666666665</v>
          </cell>
          <cell r="H39">
            <v>33.989666666666665</v>
          </cell>
          <cell r="I39">
            <v>33.989666666666665</v>
          </cell>
          <cell r="J39">
            <v>33.989666666666665</v>
          </cell>
          <cell r="K39">
            <v>33.989666666666665</v>
          </cell>
          <cell r="L39">
            <v>33.989666666666665</v>
          </cell>
          <cell r="M39">
            <v>33.989666666666665</v>
          </cell>
          <cell r="N39">
            <v>33.989666666666665</v>
          </cell>
          <cell r="O39">
            <v>33.989666666666665</v>
          </cell>
          <cell r="P39">
            <v>33.989666666666665</v>
          </cell>
          <cell r="T39">
            <v>0</v>
          </cell>
          <cell r="U39">
            <v>407.87599999999998</v>
          </cell>
          <cell r="V39">
            <v>122.57752000000001</v>
          </cell>
          <cell r="W39">
            <v>103.379</v>
          </cell>
          <cell r="X39">
            <v>285.29847999999998</v>
          </cell>
          <cell r="Y39">
            <v>304.49699999999996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47.983849821315353</v>
          </cell>
          <cell r="W40">
            <v>0.125</v>
          </cell>
          <cell r="X40">
            <v>-47.983849821315353</v>
          </cell>
          <cell r="Y40">
            <v>-0.125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1417.652397260274</v>
          </cell>
          <cell r="V41">
            <v>3.9070800000000001</v>
          </cell>
          <cell r="W41">
            <v>0</v>
          </cell>
          <cell r="X41">
            <v>1413.7453172602741</v>
          </cell>
          <cell r="Y41">
            <v>1417.652397260274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0.39100000000000001</v>
          </cell>
          <cell r="V43">
            <v>0</v>
          </cell>
          <cell r="W43">
            <v>0</v>
          </cell>
          <cell r="X43">
            <v>0.39100000000000001</v>
          </cell>
          <cell r="Y43">
            <v>0.39100000000000001</v>
          </cell>
        </row>
        <row r="44">
          <cell r="B44" t="str">
            <v>E.B.T.</v>
          </cell>
          <cell r="C44">
            <v>0</v>
          </cell>
          <cell r="E44">
            <v>-315.31133465907533</v>
          </cell>
          <cell r="F44">
            <v>-314.67434835770547</v>
          </cell>
          <cell r="G44">
            <v>-307.90452780976028</v>
          </cell>
          <cell r="H44">
            <v>-308.77274561797947</v>
          </cell>
          <cell r="I44">
            <v>-303.98011548099316</v>
          </cell>
          <cell r="J44">
            <v>-304.71290315222609</v>
          </cell>
          <cell r="K44">
            <v>-305.04708607962334</v>
          </cell>
          <cell r="L44">
            <v>-293.01369566866441</v>
          </cell>
          <cell r="M44">
            <v>-303.77311347688357</v>
          </cell>
          <cell r="N44">
            <v>-299.37842169606165</v>
          </cell>
          <cell r="O44">
            <v>-300.6943463535959</v>
          </cell>
          <cell r="P44">
            <v>-293.91780525770548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-3651.1804436102739</v>
          </cell>
          <cell r="V44">
            <v>-2045.3647264067004</v>
          </cell>
          <cell r="W44">
            <v>-2253.7130000000002</v>
          </cell>
          <cell r="X44">
            <v>-1605.8157172035735</v>
          </cell>
          <cell r="Y44">
            <v>-1397.4674436102737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-18.3</v>
          </cell>
          <cell r="F47">
            <v>-18.3</v>
          </cell>
          <cell r="G47">
            <v>-18.3</v>
          </cell>
          <cell r="H47">
            <v>-18.3</v>
          </cell>
          <cell r="I47">
            <v>-18.3</v>
          </cell>
          <cell r="J47">
            <v>-18.3</v>
          </cell>
          <cell r="K47">
            <v>-18.3</v>
          </cell>
          <cell r="L47">
            <v>-18.3</v>
          </cell>
          <cell r="M47">
            <v>-18.3</v>
          </cell>
          <cell r="N47">
            <v>-18.3</v>
          </cell>
          <cell r="O47">
            <v>-18.3</v>
          </cell>
          <cell r="P47">
            <v>-18.3</v>
          </cell>
          <cell r="R47">
            <v>0</v>
          </cell>
          <cell r="S47">
            <v>0</v>
          </cell>
          <cell r="T47">
            <v>0</v>
          </cell>
          <cell r="U47">
            <v>-219.6</v>
          </cell>
          <cell r="V47">
            <v>-231.23731502155525</v>
          </cell>
          <cell r="W47">
            <v>-52.8</v>
          </cell>
          <cell r="X47">
            <v>11.637315021555196</v>
          </cell>
          <cell r="Y47">
            <v>-166.8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-297.01133465907532</v>
          </cell>
          <cell r="F50">
            <v>-296.37434835770546</v>
          </cell>
          <cell r="G50">
            <v>-289.60452780976027</v>
          </cell>
          <cell r="H50">
            <v>-290.47274561797946</v>
          </cell>
          <cell r="I50">
            <v>-285.68011548099315</v>
          </cell>
          <cell r="J50">
            <v>-286.41290315222608</v>
          </cell>
          <cell r="K50">
            <v>-286.74708607962333</v>
          </cell>
          <cell r="L50">
            <v>-274.7136956686644</v>
          </cell>
          <cell r="M50">
            <v>-285.47311347688355</v>
          </cell>
          <cell r="N50">
            <v>-281.07842169606164</v>
          </cell>
          <cell r="O50">
            <v>-282.39434635359589</v>
          </cell>
          <cell r="P50">
            <v>-275.61780525770547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-3431.580443610274</v>
          </cell>
          <cell r="V50">
            <v>-1814.127411385145</v>
          </cell>
          <cell r="W50">
            <v>-2200.913</v>
          </cell>
          <cell r="X50">
            <v>-1617.4530322251289</v>
          </cell>
          <cell r="Y50">
            <v>-1230.6674436102739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28</v>
          </cell>
          <cell r="B55" t="str">
            <v>Admissions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 t="str">
            <v>Utilisation Rate</v>
          </cell>
          <cell r="E56" t="str">
            <v>N.A.</v>
          </cell>
          <cell r="F56" t="str">
            <v>N.A.</v>
          </cell>
          <cell r="G56" t="str">
            <v>N.A.</v>
          </cell>
          <cell r="H56" t="str">
            <v>N.A.</v>
          </cell>
          <cell r="I56" t="str">
            <v>N.A.</v>
          </cell>
          <cell r="J56" t="str">
            <v>N.A.</v>
          </cell>
          <cell r="K56" t="str">
            <v>N.A.</v>
          </cell>
          <cell r="L56" t="str">
            <v>N.A.</v>
          </cell>
          <cell r="M56" t="str">
            <v>N.A.</v>
          </cell>
          <cell r="N56" t="str">
            <v>N.A.</v>
          </cell>
          <cell r="O56" t="str">
            <v>N.A.</v>
          </cell>
          <cell r="P56" t="str">
            <v>N.A.</v>
          </cell>
          <cell r="U56" t="str">
            <v>N.A.</v>
          </cell>
          <cell r="V56" t="str">
            <v>N.A.</v>
          </cell>
          <cell r="W56" t="str">
            <v>N.A.</v>
          </cell>
          <cell r="X56" t="str">
            <v>N.A.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 t="str">
            <v>N.A.</v>
          </cell>
          <cell r="F57" t="str">
            <v>N.A.</v>
          </cell>
          <cell r="G57" t="str">
            <v>N.A.</v>
          </cell>
          <cell r="H57" t="str">
            <v>N.A.</v>
          </cell>
          <cell r="I57" t="str">
            <v>N.A.</v>
          </cell>
          <cell r="J57" t="str">
            <v>N.A.</v>
          </cell>
          <cell r="K57" t="str">
            <v>N.A.</v>
          </cell>
          <cell r="L57" t="str">
            <v>N.A.</v>
          </cell>
          <cell r="M57" t="str">
            <v>N.A.</v>
          </cell>
          <cell r="N57" t="str">
            <v>N.A.</v>
          </cell>
          <cell r="O57" t="str">
            <v>N.A.</v>
          </cell>
          <cell r="P57" t="str">
            <v>N.A.</v>
          </cell>
          <cell r="R57" t="str">
            <v>N.A.</v>
          </cell>
          <cell r="S57" t="str">
            <v>N.A.</v>
          </cell>
          <cell r="T57" t="str">
            <v>N.A.</v>
          </cell>
          <cell r="U57" t="str">
            <v>N.A.</v>
          </cell>
          <cell r="V57" t="str">
            <v>N.A.</v>
          </cell>
          <cell r="W57" t="str">
            <v>N.A.</v>
          </cell>
          <cell r="X57" t="str">
            <v>N.A.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 t="str">
            <v>N.A.</v>
          </cell>
          <cell r="F58" t="str">
            <v>N.A.</v>
          </cell>
          <cell r="G58" t="str">
            <v>N.A.</v>
          </cell>
          <cell r="H58" t="str">
            <v>N.A.</v>
          </cell>
          <cell r="I58" t="str">
            <v>N.A.</v>
          </cell>
          <cell r="J58" t="str">
            <v>N.A.</v>
          </cell>
          <cell r="K58" t="str">
            <v>N.A.</v>
          </cell>
          <cell r="L58" t="str">
            <v>N.A.</v>
          </cell>
          <cell r="M58" t="str">
            <v>N.A.</v>
          </cell>
          <cell r="N58" t="str">
            <v>N.A.</v>
          </cell>
          <cell r="O58" t="str">
            <v>N.A.</v>
          </cell>
          <cell r="P58" t="str">
            <v>N.A.</v>
          </cell>
          <cell r="R58" t="str">
            <v>N.A.</v>
          </cell>
          <cell r="S58" t="str">
            <v>N.A.</v>
          </cell>
          <cell r="T58" t="str">
            <v>N.A.</v>
          </cell>
          <cell r="U58" t="str">
            <v>N.A.</v>
          </cell>
          <cell r="V58" t="str">
            <v>N.A.</v>
          </cell>
          <cell r="W58" t="str">
            <v>N.A.</v>
          </cell>
          <cell r="X58" t="str">
            <v>N.A.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 t="str">
            <v>N.A.</v>
          </cell>
          <cell r="F59" t="str">
            <v>N.A.</v>
          </cell>
          <cell r="G59" t="str">
            <v>N.A.</v>
          </cell>
          <cell r="H59" t="str">
            <v>N.A.</v>
          </cell>
          <cell r="I59" t="str">
            <v>N.A.</v>
          </cell>
          <cell r="J59" t="str">
            <v>N.A.</v>
          </cell>
          <cell r="K59" t="str">
            <v>N.A.</v>
          </cell>
          <cell r="L59" t="str">
            <v>N.A.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W59" t="str">
            <v>N.A.</v>
          </cell>
          <cell r="X59" t="str">
            <v>N.A.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 t="str">
            <v>N.A.</v>
          </cell>
          <cell r="F60" t="str">
            <v>N.A.</v>
          </cell>
          <cell r="G60" t="str">
            <v>N.A.</v>
          </cell>
          <cell r="H60" t="str">
            <v>N.A.</v>
          </cell>
          <cell r="I60" t="str">
            <v>N.A.</v>
          </cell>
          <cell r="J60" t="str">
            <v>N.A.</v>
          </cell>
          <cell r="K60" t="str">
            <v>N.A.</v>
          </cell>
          <cell r="L60" t="str">
            <v>N.A.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W60" t="str">
            <v>N.A.</v>
          </cell>
          <cell r="X60" t="str">
            <v>N.A.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 t="str">
            <v>N.A.</v>
          </cell>
          <cell r="F61" t="str">
            <v>N.A.</v>
          </cell>
          <cell r="G61" t="str">
            <v>N.A.</v>
          </cell>
          <cell r="H61" t="str">
            <v>N.A.</v>
          </cell>
          <cell r="I61" t="str">
            <v>N.A.</v>
          </cell>
          <cell r="J61" t="str">
            <v>N.A.</v>
          </cell>
          <cell r="K61" t="str">
            <v>N.A.</v>
          </cell>
          <cell r="L61" t="str">
            <v>N.A.</v>
          </cell>
          <cell r="M61" t="str">
            <v>N.A.</v>
          </cell>
          <cell r="N61" t="str">
            <v>N.A.</v>
          </cell>
          <cell r="O61" t="str">
            <v>N.A.</v>
          </cell>
          <cell r="P61" t="str">
            <v>N.A.</v>
          </cell>
          <cell r="R61" t="str">
            <v>N.A.</v>
          </cell>
          <cell r="S61" t="str">
            <v>N.A.</v>
          </cell>
          <cell r="T61" t="str">
            <v>N.A.</v>
          </cell>
          <cell r="U61" t="str">
            <v>N.A.</v>
          </cell>
          <cell r="V61" t="str">
            <v>N.A.</v>
          </cell>
          <cell r="W61" t="str">
            <v>N.A.</v>
          </cell>
          <cell r="X61" t="str">
            <v>N.A.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 t="str">
            <v>N.A.</v>
          </cell>
          <cell r="F62" t="str">
            <v>N.A.</v>
          </cell>
          <cell r="G62" t="str">
            <v>N.A.</v>
          </cell>
          <cell r="H62" t="str">
            <v>N.A.</v>
          </cell>
          <cell r="I62" t="str">
            <v>N.A.</v>
          </cell>
          <cell r="J62" t="str">
            <v>N.A.</v>
          </cell>
          <cell r="K62" t="str">
            <v>N.A.</v>
          </cell>
          <cell r="L62" t="str">
            <v>N.A.</v>
          </cell>
          <cell r="M62" t="str">
            <v>N.A.</v>
          </cell>
          <cell r="N62" t="str">
            <v>N.A.</v>
          </cell>
          <cell r="O62" t="str">
            <v>N.A.</v>
          </cell>
          <cell r="P62" t="str">
            <v>N.A.</v>
          </cell>
          <cell r="R62" t="str">
            <v>N.A.</v>
          </cell>
          <cell r="S62" t="str">
            <v>N.A.</v>
          </cell>
          <cell r="T62" t="str">
            <v>N.A.</v>
          </cell>
          <cell r="U62" t="str">
            <v>N.A.</v>
          </cell>
          <cell r="V62" t="str">
            <v>N.A.</v>
          </cell>
          <cell r="W62" t="str">
            <v>N.A.</v>
          </cell>
          <cell r="X62" t="str">
            <v>N.A.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 t="str">
            <v>N.A.</v>
          </cell>
          <cell r="F63" t="str">
            <v>N.A.</v>
          </cell>
          <cell r="G63" t="str">
            <v>N.A.</v>
          </cell>
          <cell r="H63" t="str">
            <v>N.A.</v>
          </cell>
          <cell r="I63" t="str">
            <v>N.A.</v>
          </cell>
          <cell r="J63" t="str">
            <v>N.A.</v>
          </cell>
          <cell r="K63" t="str">
            <v>N.A.</v>
          </cell>
          <cell r="L63" t="str">
            <v>N.A.</v>
          </cell>
          <cell r="M63" t="str">
            <v>N.A.</v>
          </cell>
          <cell r="N63" t="str">
            <v>N.A.</v>
          </cell>
          <cell r="O63" t="str">
            <v>N.A.</v>
          </cell>
          <cell r="P63" t="str">
            <v>N.A.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 t="str">
            <v>N.A.</v>
          </cell>
          <cell r="V63" t="str">
            <v>N.A.</v>
          </cell>
          <cell r="W63" t="str">
            <v>N.A.</v>
          </cell>
          <cell r="X63" t="str">
            <v>N.A.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 t="str">
            <v>N.A.</v>
          </cell>
          <cell r="F64" t="str">
            <v>N.A.</v>
          </cell>
          <cell r="G64" t="str">
            <v>N.A.</v>
          </cell>
          <cell r="H64" t="str">
            <v>N.A.</v>
          </cell>
          <cell r="I64" t="str">
            <v>N.A.</v>
          </cell>
          <cell r="J64" t="str">
            <v>N.A.</v>
          </cell>
          <cell r="K64" t="str">
            <v>N.A.</v>
          </cell>
          <cell r="L64" t="str">
            <v>N.A.</v>
          </cell>
          <cell r="M64" t="str">
            <v>N.A.</v>
          </cell>
          <cell r="N64" t="str">
            <v>N.A.</v>
          </cell>
          <cell r="O64" t="str">
            <v>N.A.</v>
          </cell>
          <cell r="P64" t="str">
            <v>N.A.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 t="str">
            <v>N.A.</v>
          </cell>
          <cell r="V64" t="str">
            <v>N.A.</v>
          </cell>
          <cell r="W64" t="str">
            <v>N.A.</v>
          </cell>
          <cell r="X64" t="str">
            <v>N.A.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 t="str">
            <v>N.A.</v>
          </cell>
          <cell r="F65" t="str">
            <v>N.A.</v>
          </cell>
          <cell r="G65" t="str">
            <v>N.A.</v>
          </cell>
          <cell r="H65" t="str">
            <v>N.A.</v>
          </cell>
          <cell r="I65" t="str">
            <v>N.A.</v>
          </cell>
          <cell r="J65" t="str">
            <v>N.A.</v>
          </cell>
          <cell r="K65" t="str">
            <v>N.A.</v>
          </cell>
          <cell r="L65" t="str">
            <v>N.A.</v>
          </cell>
          <cell r="M65" t="str">
            <v>N.A.</v>
          </cell>
          <cell r="N65" t="str">
            <v>N.A.</v>
          </cell>
          <cell r="O65" t="str">
            <v>N.A.</v>
          </cell>
          <cell r="P65" t="str">
            <v>N.A.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 t="str">
            <v>N.A.</v>
          </cell>
          <cell r="V65" t="str">
            <v>N.A.</v>
          </cell>
          <cell r="W65" t="str">
            <v>N.A.</v>
          </cell>
          <cell r="X65" t="str">
            <v>N.A.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 t="str">
            <v>N.A.</v>
          </cell>
          <cell r="F66" t="str">
            <v>N.A.</v>
          </cell>
          <cell r="G66" t="str">
            <v>N.A.</v>
          </cell>
          <cell r="H66" t="str">
            <v>N.A.</v>
          </cell>
          <cell r="I66" t="str">
            <v>N.A.</v>
          </cell>
          <cell r="J66" t="str">
            <v>N.A.</v>
          </cell>
          <cell r="K66" t="str">
            <v>N.A.</v>
          </cell>
          <cell r="L66" t="str">
            <v>N.A.</v>
          </cell>
          <cell r="M66" t="str">
            <v>N.A.</v>
          </cell>
          <cell r="N66" t="str">
            <v>N.A.</v>
          </cell>
          <cell r="O66" t="str">
            <v>N.A.</v>
          </cell>
          <cell r="P66" t="str">
            <v>N.A.</v>
          </cell>
          <cell r="Q66" t="str">
            <v/>
          </cell>
          <cell r="R66" t="str">
            <v>N.A.</v>
          </cell>
          <cell r="S66" t="str">
            <v>N.A.</v>
          </cell>
          <cell r="T66" t="str">
            <v>N.A.</v>
          </cell>
          <cell r="U66" t="str">
            <v>N.A.</v>
          </cell>
          <cell r="V66" t="str">
            <v>N.A.</v>
          </cell>
          <cell r="W66" t="str">
            <v>N.A.</v>
          </cell>
          <cell r="X66" t="str">
            <v>N.A.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 t="str">
            <v>N.A.</v>
          </cell>
          <cell r="F67" t="str">
            <v>N.A.</v>
          </cell>
          <cell r="G67" t="str">
            <v>N.A.</v>
          </cell>
          <cell r="H67" t="str">
            <v>N.A.</v>
          </cell>
          <cell r="I67" t="str">
            <v>N.A.</v>
          </cell>
          <cell r="J67" t="str">
            <v>N.A.</v>
          </cell>
          <cell r="K67" t="str">
            <v>N.A.</v>
          </cell>
          <cell r="L67" t="str">
            <v>N.A.</v>
          </cell>
          <cell r="M67" t="str">
            <v>N.A.</v>
          </cell>
          <cell r="N67" t="str">
            <v>N.A.</v>
          </cell>
          <cell r="O67" t="str">
            <v>N.A.</v>
          </cell>
          <cell r="P67" t="str">
            <v>N.A.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 t="str">
            <v>N.A.</v>
          </cell>
          <cell r="V67" t="str">
            <v>N.A.</v>
          </cell>
          <cell r="W67" t="str">
            <v>N.A.</v>
          </cell>
          <cell r="X67" t="str">
            <v>N.A.</v>
          </cell>
          <cell r="Y67" t="str">
            <v>N.A.</v>
          </cell>
        </row>
        <row r="68">
          <cell r="B68" t="str">
            <v>No of Concession Transactions</v>
          </cell>
          <cell r="E68" t="str">
            <v>N.A.</v>
          </cell>
          <cell r="F68" t="str">
            <v>N.A.</v>
          </cell>
          <cell r="G68" t="str">
            <v>N.A.</v>
          </cell>
          <cell r="H68" t="str">
            <v>N.A.</v>
          </cell>
          <cell r="I68" t="str">
            <v>N.A.</v>
          </cell>
          <cell r="J68" t="str">
            <v>N.A.</v>
          </cell>
          <cell r="K68" t="str">
            <v>N.A.</v>
          </cell>
          <cell r="L68" t="str">
            <v>N.A.</v>
          </cell>
          <cell r="M68" t="str">
            <v>N.A.</v>
          </cell>
          <cell r="N68" t="str">
            <v>N.A.</v>
          </cell>
          <cell r="O68" t="str">
            <v>N.A.</v>
          </cell>
          <cell r="P68" t="str">
            <v>N.A.</v>
          </cell>
          <cell r="Q68" t="str">
            <v/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 t="str">
            <v>N.A.</v>
          </cell>
          <cell r="V68" t="str">
            <v>N.A.</v>
          </cell>
          <cell r="W68" t="str">
            <v>N.A.</v>
          </cell>
          <cell r="X68" t="str">
            <v>N.A.</v>
          </cell>
          <cell r="Y68" t="str">
            <v>N.A.</v>
          </cell>
        </row>
        <row r="69">
          <cell r="B69" t="str">
            <v>Strike Rate %(No of Trans/Adm)</v>
          </cell>
          <cell r="E69" t="str">
            <v>N.A.</v>
          </cell>
          <cell r="F69" t="str">
            <v>N.A.</v>
          </cell>
          <cell r="G69" t="str">
            <v>N.A.</v>
          </cell>
          <cell r="H69" t="str">
            <v>N.A.</v>
          </cell>
          <cell r="I69" t="str">
            <v>N.A.</v>
          </cell>
          <cell r="J69" t="str">
            <v>N.A.</v>
          </cell>
          <cell r="K69" t="str">
            <v>N.A.</v>
          </cell>
          <cell r="L69" t="str">
            <v>N.A.</v>
          </cell>
          <cell r="M69" t="str">
            <v>N.A.</v>
          </cell>
          <cell r="N69" t="str">
            <v>N.A.</v>
          </cell>
          <cell r="O69" t="str">
            <v>N.A.</v>
          </cell>
          <cell r="P69" t="str">
            <v>N.A.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 t="str">
            <v>N.A.</v>
          </cell>
          <cell r="V69" t="str">
            <v>N.A.</v>
          </cell>
          <cell r="W69" t="str">
            <v>N.A.</v>
          </cell>
          <cell r="X69" t="str">
            <v>N.A.</v>
          </cell>
          <cell r="Y69" t="str">
            <v>N.A.</v>
          </cell>
        </row>
        <row r="70">
          <cell r="B70" t="str">
            <v>Ave Sales (Total Sale/No of Trans) (S$)</v>
          </cell>
          <cell r="E70" t="str">
            <v>N.A.</v>
          </cell>
          <cell r="F70" t="str">
            <v>N.A.</v>
          </cell>
          <cell r="G70" t="str">
            <v>N.A.</v>
          </cell>
          <cell r="H70" t="str">
            <v>N.A.</v>
          </cell>
          <cell r="I70" t="str">
            <v>N.A.</v>
          </cell>
          <cell r="J70" t="str">
            <v>N.A.</v>
          </cell>
          <cell r="K70" t="str">
            <v>N.A.</v>
          </cell>
          <cell r="L70" t="str">
            <v>N.A.</v>
          </cell>
          <cell r="M70" t="str">
            <v>N.A.</v>
          </cell>
          <cell r="N70" t="str">
            <v>N.A.</v>
          </cell>
          <cell r="O70" t="str">
            <v>N.A.</v>
          </cell>
          <cell r="P70" t="str">
            <v>N.A.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 t="str">
            <v>N.A.</v>
          </cell>
          <cell r="V70" t="str">
            <v>N.A.</v>
          </cell>
          <cell r="W70" t="str">
            <v>N.A.</v>
          </cell>
          <cell r="X70" t="str">
            <v>N.A.</v>
          </cell>
          <cell r="Y70" t="str">
            <v>N.A.</v>
          </cell>
        </row>
        <row r="71">
          <cell r="B71" t="str">
            <v xml:space="preserve">Total Concession Combo Sales </v>
          </cell>
          <cell r="E71" t="str">
            <v>N.A.</v>
          </cell>
          <cell r="F71" t="str">
            <v>N.A.</v>
          </cell>
          <cell r="G71" t="str">
            <v>N.A.</v>
          </cell>
          <cell r="H71" t="str">
            <v>N.A.</v>
          </cell>
          <cell r="I71" t="str">
            <v>N.A.</v>
          </cell>
          <cell r="J71" t="str">
            <v>N.A.</v>
          </cell>
          <cell r="K71" t="str">
            <v>N.A.</v>
          </cell>
          <cell r="L71" t="str">
            <v>N.A.</v>
          </cell>
          <cell r="M71" t="str">
            <v>N.A.</v>
          </cell>
          <cell r="N71" t="str">
            <v>N.A.</v>
          </cell>
          <cell r="O71" t="str">
            <v>N.A.</v>
          </cell>
          <cell r="P71" t="str">
            <v>N.A.</v>
          </cell>
          <cell r="Q71" t="str">
            <v/>
          </cell>
          <cell r="R71">
            <v>74.369</v>
          </cell>
          <cell r="S71">
            <v>75.369</v>
          </cell>
          <cell r="T71">
            <v>76.369</v>
          </cell>
          <cell r="U71" t="str">
            <v>N.A.</v>
          </cell>
          <cell r="V71" t="str">
            <v>N.A.</v>
          </cell>
          <cell r="W71" t="str">
            <v>N.A.</v>
          </cell>
          <cell r="X71" t="str">
            <v>N.A.</v>
          </cell>
          <cell r="Y71" t="str">
            <v>N.A.</v>
          </cell>
        </row>
        <row r="72">
          <cell r="B72" t="str">
            <v>Combo Sales as % of Total Sales</v>
          </cell>
          <cell r="E72" t="str">
            <v>N.A.</v>
          </cell>
          <cell r="F72" t="str">
            <v>N.A.</v>
          </cell>
          <cell r="G72" t="str">
            <v>N.A.</v>
          </cell>
          <cell r="H72" t="str">
            <v>N.A.</v>
          </cell>
          <cell r="I72" t="str">
            <v>N.A.</v>
          </cell>
          <cell r="J72" t="str">
            <v>N.A.</v>
          </cell>
          <cell r="K72" t="str">
            <v>N.A.</v>
          </cell>
          <cell r="L72" t="str">
            <v>N.A.</v>
          </cell>
          <cell r="M72" t="str">
            <v>N.A.</v>
          </cell>
          <cell r="N72" t="str">
            <v>N.A.</v>
          </cell>
          <cell r="O72" t="str">
            <v>N.A.</v>
          </cell>
          <cell r="P72" t="str">
            <v>N.A.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 t="str">
            <v>N.A.</v>
          </cell>
          <cell r="V72" t="str">
            <v>N.A.</v>
          </cell>
          <cell r="W72" t="str">
            <v>N.A.</v>
          </cell>
          <cell r="X72" t="str">
            <v>N.A.</v>
          </cell>
          <cell r="Y72" t="str">
            <v>N.A.</v>
          </cell>
        </row>
        <row r="73">
          <cell r="B73" t="str">
            <v>No of Payroll hours Paid</v>
          </cell>
          <cell r="E73" t="str">
            <v>N.A.</v>
          </cell>
          <cell r="F73" t="str">
            <v>N.A.</v>
          </cell>
          <cell r="G73" t="str">
            <v>N.A.</v>
          </cell>
          <cell r="H73" t="str">
            <v>N.A.</v>
          </cell>
          <cell r="I73" t="str">
            <v>N.A.</v>
          </cell>
          <cell r="J73" t="str">
            <v>N.A.</v>
          </cell>
          <cell r="K73" t="str">
            <v>N.A.</v>
          </cell>
          <cell r="L73" t="str">
            <v>N.A.</v>
          </cell>
          <cell r="M73" t="str">
            <v>N.A.</v>
          </cell>
          <cell r="N73" t="str">
            <v>N.A.</v>
          </cell>
          <cell r="O73" t="str">
            <v>N.A.</v>
          </cell>
          <cell r="P73" t="str">
            <v>N.A.</v>
          </cell>
          <cell r="Q73" t="str">
            <v/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 t="str">
            <v>N.A.</v>
          </cell>
          <cell r="V73" t="str">
            <v>N.A.</v>
          </cell>
          <cell r="W73" t="str">
            <v>N.A.</v>
          </cell>
          <cell r="X73" t="str">
            <v>N.A.</v>
          </cell>
          <cell r="Y73" t="str">
            <v>N.A.</v>
          </cell>
        </row>
        <row r="74">
          <cell r="B74" t="str">
            <v>Admissions/labour hour paid</v>
          </cell>
          <cell r="E74" t="str">
            <v>N.A.</v>
          </cell>
          <cell r="F74" t="str">
            <v>N.A.</v>
          </cell>
          <cell r="G74" t="str">
            <v>N.A.</v>
          </cell>
          <cell r="H74" t="str">
            <v>N.A.</v>
          </cell>
          <cell r="I74" t="str">
            <v>N.A.</v>
          </cell>
          <cell r="J74" t="str">
            <v>N.A.</v>
          </cell>
          <cell r="K74" t="str">
            <v>N.A.</v>
          </cell>
          <cell r="L74" t="str">
            <v>N.A.</v>
          </cell>
          <cell r="M74" t="str">
            <v>N.A.</v>
          </cell>
          <cell r="N74" t="str">
            <v>N.A.</v>
          </cell>
          <cell r="O74" t="str">
            <v>N.A.</v>
          </cell>
          <cell r="P74" t="str">
            <v>N.A.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 t="str">
            <v>N.A.</v>
          </cell>
          <cell r="V74" t="str">
            <v>N.A.</v>
          </cell>
          <cell r="W74" t="str">
            <v>N.A.</v>
          </cell>
          <cell r="X74" t="str">
            <v>N.A.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T77">
            <v>0</v>
          </cell>
          <cell r="U77">
            <v>0</v>
          </cell>
          <cell r="V77">
            <v>0.5</v>
          </cell>
          <cell r="W77">
            <v>0</v>
          </cell>
          <cell r="X77">
            <v>-0.5</v>
          </cell>
          <cell r="Y77">
            <v>0</v>
          </cell>
        </row>
        <row r="78">
          <cell r="A78">
            <v>53</v>
          </cell>
          <cell r="B78" t="str">
            <v>Auditorium Rentals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0.5</v>
          </cell>
          <cell r="F82">
            <v>0.5</v>
          </cell>
          <cell r="G82">
            <v>0.5</v>
          </cell>
          <cell r="H82">
            <v>0.5</v>
          </cell>
          <cell r="I82">
            <v>0.5</v>
          </cell>
          <cell r="J82">
            <v>0.5</v>
          </cell>
          <cell r="K82">
            <v>0.5</v>
          </cell>
          <cell r="L82">
            <v>0.5</v>
          </cell>
          <cell r="M82">
            <v>0.5</v>
          </cell>
          <cell r="N82">
            <v>0.5</v>
          </cell>
          <cell r="O82">
            <v>0.5</v>
          </cell>
          <cell r="P82">
            <v>0.5</v>
          </cell>
          <cell r="T82">
            <v>0</v>
          </cell>
          <cell r="U82">
            <v>6</v>
          </cell>
          <cell r="V82">
            <v>13</v>
          </cell>
          <cell r="W82">
            <v>5.0979999999999999</v>
          </cell>
          <cell r="X82">
            <v>-7</v>
          </cell>
          <cell r="Y82">
            <v>0.90200000000000014</v>
          </cell>
        </row>
        <row r="83">
          <cell r="C83">
            <v>0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0.5</v>
          </cell>
          <cell r="K83">
            <v>0.5</v>
          </cell>
          <cell r="L83">
            <v>0.5</v>
          </cell>
          <cell r="M83">
            <v>0.5</v>
          </cell>
          <cell r="N83">
            <v>0.5</v>
          </cell>
          <cell r="O83">
            <v>0.5</v>
          </cell>
          <cell r="P83">
            <v>0.5</v>
          </cell>
          <cell r="R83">
            <v>0</v>
          </cell>
          <cell r="S83">
            <v>0</v>
          </cell>
          <cell r="T83">
            <v>0</v>
          </cell>
          <cell r="U83">
            <v>6</v>
          </cell>
          <cell r="V83">
            <v>13.5</v>
          </cell>
          <cell r="W83">
            <v>5.0979999999999999</v>
          </cell>
          <cell r="X83">
            <v>-7.5</v>
          </cell>
          <cell r="Y83">
            <v>0.90200000000000014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74.415462083333338</v>
          </cell>
          <cell r="F94">
            <v>74.415462083333338</v>
          </cell>
          <cell r="G94">
            <v>74.415462083333338</v>
          </cell>
          <cell r="H94">
            <v>74.415462083333338</v>
          </cell>
          <cell r="I94">
            <v>74.415462083333338</v>
          </cell>
          <cell r="J94">
            <v>74.415462083333338</v>
          </cell>
          <cell r="K94">
            <v>76.492152083333337</v>
          </cell>
          <cell r="L94">
            <v>76.492152083333337</v>
          </cell>
          <cell r="M94">
            <v>76.492152083333337</v>
          </cell>
          <cell r="N94">
            <v>76.492152083333337</v>
          </cell>
          <cell r="O94">
            <v>76.492152083333337</v>
          </cell>
          <cell r="P94">
            <v>76.492152083333337</v>
          </cell>
          <cell r="Q94" t="str">
            <v/>
          </cell>
          <cell r="T94">
            <v>0</v>
          </cell>
          <cell r="U94">
            <v>905.44568500000037</v>
          </cell>
          <cell r="V94">
            <v>921.25519499999984</v>
          </cell>
          <cell r="W94">
            <v>918.11300000000006</v>
          </cell>
          <cell r="X94">
            <v>-15.809509999999477</v>
          </cell>
          <cell r="Y94">
            <v>-12.667314999999689</v>
          </cell>
        </row>
        <row r="95">
          <cell r="A95">
            <v>67</v>
          </cell>
          <cell r="B95" t="str">
            <v>Bonus/Commission</v>
          </cell>
          <cell r="E95">
            <v>5.6696208333333331</v>
          </cell>
          <cell r="F95">
            <v>5.6696208333333331</v>
          </cell>
          <cell r="G95">
            <v>5.6696208333333331</v>
          </cell>
          <cell r="H95">
            <v>5.6696208333333331</v>
          </cell>
          <cell r="I95">
            <v>5.6696208333333331</v>
          </cell>
          <cell r="J95">
            <v>5.6696208333333331</v>
          </cell>
          <cell r="K95">
            <v>5.6696208333333331</v>
          </cell>
          <cell r="L95">
            <v>5.6696208333333331</v>
          </cell>
          <cell r="M95">
            <v>5.6696208333333331</v>
          </cell>
          <cell r="N95">
            <v>5.6696208333333331</v>
          </cell>
          <cell r="O95">
            <v>5.6696208333333331</v>
          </cell>
          <cell r="P95">
            <v>5.6696208333333331</v>
          </cell>
          <cell r="Q95" t="str">
            <v/>
          </cell>
          <cell r="T95">
            <v>0</v>
          </cell>
          <cell r="U95">
            <v>68.035449999999997</v>
          </cell>
          <cell r="V95">
            <v>65.161416666666668</v>
          </cell>
          <cell r="W95">
            <v>136.34299999999999</v>
          </cell>
          <cell r="X95">
            <v>2.8740333333333297</v>
          </cell>
          <cell r="Y95">
            <v>-68.307549999999992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1.74</v>
          </cell>
          <cell r="F97">
            <v>1.74</v>
          </cell>
          <cell r="G97">
            <v>1.74</v>
          </cell>
          <cell r="H97">
            <v>1.74</v>
          </cell>
          <cell r="I97">
            <v>1.74</v>
          </cell>
          <cell r="J97">
            <v>1.74</v>
          </cell>
          <cell r="K97">
            <v>1.74</v>
          </cell>
          <cell r="L97">
            <v>1.74</v>
          </cell>
          <cell r="M97">
            <v>1.74</v>
          </cell>
          <cell r="N97">
            <v>1.74</v>
          </cell>
          <cell r="O97">
            <v>1.74</v>
          </cell>
          <cell r="P97">
            <v>1.74</v>
          </cell>
          <cell r="Q97" t="str">
            <v/>
          </cell>
          <cell r="T97">
            <v>0</v>
          </cell>
          <cell r="U97">
            <v>20.88</v>
          </cell>
          <cell r="V97">
            <v>15.915600000000001</v>
          </cell>
          <cell r="W97">
            <v>25.748000000000001</v>
          </cell>
          <cell r="X97">
            <v>4.9643999999999942</v>
          </cell>
          <cell r="Y97">
            <v>-4.8680000000000057</v>
          </cell>
        </row>
        <row r="98">
          <cell r="A98">
            <v>70</v>
          </cell>
          <cell r="B98" t="str">
            <v>Miscellaneous</v>
          </cell>
          <cell r="E98">
            <v>8.94</v>
          </cell>
          <cell r="F98">
            <v>8.94</v>
          </cell>
          <cell r="G98">
            <v>6.91</v>
          </cell>
          <cell r="H98">
            <v>6.04</v>
          </cell>
          <cell r="I98">
            <v>6.04</v>
          </cell>
          <cell r="J98">
            <v>6.04</v>
          </cell>
          <cell r="K98">
            <v>6.04</v>
          </cell>
          <cell r="L98">
            <v>6.04</v>
          </cell>
          <cell r="M98">
            <v>6.04</v>
          </cell>
          <cell r="N98">
            <v>6.04</v>
          </cell>
          <cell r="O98">
            <v>6.04</v>
          </cell>
          <cell r="P98">
            <v>6.04</v>
          </cell>
          <cell r="Q98" t="str">
            <v/>
          </cell>
          <cell r="T98">
            <v>0</v>
          </cell>
          <cell r="U98">
            <v>79.150000000000006</v>
          </cell>
          <cell r="V98">
            <v>90.41400000000003</v>
          </cell>
          <cell r="W98">
            <v>131.583</v>
          </cell>
          <cell r="X98">
            <v>-11.264000000000024</v>
          </cell>
          <cell r="Y98">
            <v>-52.432999999999993</v>
          </cell>
        </row>
        <row r="99">
          <cell r="C99">
            <v>0</v>
          </cell>
          <cell r="E99">
            <v>90.765082916666657</v>
          </cell>
          <cell r="F99">
            <v>90.765082916666657</v>
          </cell>
          <cell r="G99">
            <v>88.735082916666656</v>
          </cell>
          <cell r="H99">
            <v>87.865082916666665</v>
          </cell>
          <cell r="I99">
            <v>87.865082916666665</v>
          </cell>
          <cell r="J99">
            <v>87.865082916666665</v>
          </cell>
          <cell r="K99">
            <v>89.941772916666679</v>
          </cell>
          <cell r="L99">
            <v>89.941772916666679</v>
          </cell>
          <cell r="M99">
            <v>89.941772916666679</v>
          </cell>
          <cell r="N99">
            <v>89.941772916666679</v>
          </cell>
          <cell r="O99">
            <v>89.941772916666679</v>
          </cell>
          <cell r="P99">
            <v>89.941772916666679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1073.5111350000004</v>
          </cell>
          <cell r="V99">
            <v>1092.7462116666666</v>
          </cell>
          <cell r="W99">
            <v>1211.7870000000003</v>
          </cell>
          <cell r="X99">
            <v>-19.235076666666146</v>
          </cell>
          <cell r="Y99">
            <v>-138.27586499999984</v>
          </cell>
        </row>
        <row r="100">
          <cell r="Q100" t="str">
            <v/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/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1.5</v>
          </cell>
          <cell r="F102">
            <v>1.5</v>
          </cell>
          <cell r="G102">
            <v>1.5</v>
          </cell>
          <cell r="H102">
            <v>1.5</v>
          </cell>
          <cell r="I102">
            <v>1.5</v>
          </cell>
          <cell r="J102">
            <v>1.5</v>
          </cell>
          <cell r="K102">
            <v>1.5</v>
          </cell>
          <cell r="L102">
            <v>1.5</v>
          </cell>
          <cell r="M102">
            <v>1.5</v>
          </cell>
          <cell r="N102">
            <v>1.5</v>
          </cell>
          <cell r="O102">
            <v>1.5</v>
          </cell>
          <cell r="P102">
            <v>1.5</v>
          </cell>
          <cell r="Q102" t="str">
            <v/>
          </cell>
          <cell r="T102">
            <v>0</v>
          </cell>
          <cell r="U102">
            <v>18</v>
          </cell>
          <cell r="V102">
            <v>15.72799</v>
          </cell>
          <cell r="W102">
            <v>20.826000000000001</v>
          </cell>
          <cell r="X102">
            <v>2.2720099999999999</v>
          </cell>
          <cell r="Y102">
            <v>-2.8260000000000005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/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9</v>
          </cell>
          <cell r="F104">
            <v>9</v>
          </cell>
          <cell r="G104">
            <v>9</v>
          </cell>
          <cell r="H104">
            <v>9</v>
          </cell>
          <cell r="I104">
            <v>9</v>
          </cell>
          <cell r="J104">
            <v>9</v>
          </cell>
          <cell r="K104">
            <v>9</v>
          </cell>
          <cell r="L104">
            <v>9</v>
          </cell>
          <cell r="M104">
            <v>9</v>
          </cell>
          <cell r="N104">
            <v>9</v>
          </cell>
          <cell r="O104">
            <v>9</v>
          </cell>
          <cell r="P104">
            <v>9</v>
          </cell>
          <cell r="T104">
            <v>0</v>
          </cell>
          <cell r="U104">
            <v>108</v>
          </cell>
          <cell r="V104">
            <v>88.448200000000014</v>
          </cell>
          <cell r="W104">
            <v>70.89</v>
          </cell>
          <cell r="X104">
            <v>19.551799999999986</v>
          </cell>
          <cell r="Y104">
            <v>37.11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52.978819999999992</v>
          </cell>
          <cell r="W105">
            <v>132.49100000000001</v>
          </cell>
          <cell r="X105">
            <v>-40.978819999999992</v>
          </cell>
          <cell r="Y105">
            <v>-120.49100000000001</v>
          </cell>
        </row>
        <row r="106">
          <cell r="A106">
            <v>75</v>
          </cell>
          <cell r="B106" t="str">
            <v>Credit Card Charges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T106">
            <v>0</v>
          </cell>
          <cell r="U106">
            <v>0</v>
          </cell>
          <cell r="V106">
            <v>0.22500000000000001</v>
          </cell>
          <cell r="W106">
            <v>0</v>
          </cell>
          <cell r="X106">
            <v>-0.22500000000000001</v>
          </cell>
          <cell r="Y106">
            <v>0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0.5</v>
          </cell>
          <cell r="K111">
            <v>0.5</v>
          </cell>
          <cell r="L111">
            <v>0.5</v>
          </cell>
          <cell r="M111">
            <v>0.5</v>
          </cell>
          <cell r="N111">
            <v>0.5</v>
          </cell>
          <cell r="O111">
            <v>0.5</v>
          </cell>
          <cell r="P111">
            <v>0.5</v>
          </cell>
          <cell r="T111">
            <v>0</v>
          </cell>
          <cell r="U111">
            <v>6</v>
          </cell>
          <cell r="V111">
            <v>3.9910000000000005</v>
          </cell>
          <cell r="W111">
            <v>3.956</v>
          </cell>
          <cell r="X111">
            <v>2.0089999999999995</v>
          </cell>
          <cell r="Y111">
            <v>2.044</v>
          </cell>
        </row>
        <row r="112">
          <cell r="A112">
            <v>81</v>
          </cell>
          <cell r="B112" t="str">
            <v>Telephone &amp; Faxes</v>
          </cell>
          <cell r="E112">
            <v>10</v>
          </cell>
          <cell r="F112">
            <v>10</v>
          </cell>
          <cell r="G112">
            <v>10</v>
          </cell>
          <cell r="H112">
            <v>10</v>
          </cell>
          <cell r="I112">
            <v>10</v>
          </cell>
          <cell r="J112">
            <v>10</v>
          </cell>
          <cell r="K112">
            <v>10</v>
          </cell>
          <cell r="L112">
            <v>10</v>
          </cell>
          <cell r="M112">
            <v>10</v>
          </cell>
          <cell r="N112">
            <v>10</v>
          </cell>
          <cell r="O112">
            <v>10</v>
          </cell>
          <cell r="P112">
            <v>10</v>
          </cell>
          <cell r="T112">
            <v>0</v>
          </cell>
          <cell r="U112">
            <v>120</v>
          </cell>
          <cell r="V112">
            <v>127.40438999999998</v>
          </cell>
          <cell r="W112">
            <v>98.522999999999996</v>
          </cell>
          <cell r="X112">
            <v>-7.404389999999978</v>
          </cell>
          <cell r="Y112">
            <v>21.477000000000004</v>
          </cell>
        </row>
        <row r="113">
          <cell r="A113">
            <v>82</v>
          </cell>
          <cell r="B113" t="str">
            <v>Stationery &amp; Printing</v>
          </cell>
          <cell r="E113">
            <v>3</v>
          </cell>
          <cell r="F113">
            <v>3</v>
          </cell>
          <cell r="G113">
            <v>3</v>
          </cell>
          <cell r="H113">
            <v>3</v>
          </cell>
          <cell r="I113">
            <v>3</v>
          </cell>
          <cell r="J113">
            <v>3</v>
          </cell>
          <cell r="K113">
            <v>3</v>
          </cell>
          <cell r="L113">
            <v>3</v>
          </cell>
          <cell r="M113">
            <v>3</v>
          </cell>
          <cell r="N113">
            <v>3</v>
          </cell>
          <cell r="O113">
            <v>3</v>
          </cell>
          <cell r="P113">
            <v>3</v>
          </cell>
          <cell r="T113">
            <v>0</v>
          </cell>
          <cell r="U113">
            <v>36</v>
          </cell>
          <cell r="V113">
            <v>34.327619999999996</v>
          </cell>
          <cell r="W113">
            <v>33.523000000000003</v>
          </cell>
          <cell r="X113">
            <v>1.672380000000004</v>
          </cell>
          <cell r="Y113">
            <v>2.4769999999999968</v>
          </cell>
        </row>
        <row r="114">
          <cell r="A114">
            <v>83</v>
          </cell>
          <cell r="B114" t="str">
            <v>Uniforms &amp; Laundry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A115">
            <v>84</v>
          </cell>
          <cell r="B115" t="str">
            <v>Freight</v>
          </cell>
          <cell r="E115">
            <v>2</v>
          </cell>
          <cell r="F115">
            <v>2</v>
          </cell>
          <cell r="G115">
            <v>2</v>
          </cell>
          <cell r="H115">
            <v>2</v>
          </cell>
          <cell r="I115">
            <v>2</v>
          </cell>
          <cell r="J115">
            <v>2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  <cell r="P115">
            <v>2</v>
          </cell>
          <cell r="T115">
            <v>0</v>
          </cell>
          <cell r="U115">
            <v>24</v>
          </cell>
          <cell r="V115">
            <v>12.452110000000003</v>
          </cell>
          <cell r="W115">
            <v>33.911999999999999</v>
          </cell>
          <cell r="X115">
            <v>11.547889999999997</v>
          </cell>
          <cell r="Y115">
            <v>-9.911999999999999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3.7499999999999999E-2</v>
          </cell>
          <cell r="F117">
            <v>3.7499999999999999E-2</v>
          </cell>
          <cell r="G117">
            <v>3.7499999999999999E-2</v>
          </cell>
          <cell r="H117">
            <v>3.7499999999999999E-2</v>
          </cell>
          <cell r="I117">
            <v>3.7499999999999999E-2</v>
          </cell>
          <cell r="J117">
            <v>3.7499999999999999E-2</v>
          </cell>
          <cell r="K117">
            <v>3.7499999999999999E-2</v>
          </cell>
          <cell r="L117">
            <v>3.7499999999999999E-2</v>
          </cell>
          <cell r="M117">
            <v>3.7499999999999999E-2</v>
          </cell>
          <cell r="N117">
            <v>3.7499999999999999E-2</v>
          </cell>
          <cell r="O117">
            <v>3.7499999999999999E-2</v>
          </cell>
          <cell r="P117">
            <v>3.7499999999999999E-2</v>
          </cell>
          <cell r="T117">
            <v>0</v>
          </cell>
          <cell r="U117">
            <v>0.45</v>
          </cell>
          <cell r="V117">
            <v>0.72349999999999992</v>
          </cell>
          <cell r="W117">
            <v>0.77700000000000002</v>
          </cell>
          <cell r="X117">
            <v>-0.27350000000000002</v>
          </cell>
          <cell r="Y117">
            <v>-0.32700000000000012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1.0326508291666667</v>
          </cell>
          <cell r="F119">
            <v>1.0326508291666667</v>
          </cell>
          <cell r="G119">
            <v>1.0123508291666667</v>
          </cell>
          <cell r="H119">
            <v>1.0036508291666666</v>
          </cell>
          <cell r="I119">
            <v>1.0036508291666666</v>
          </cell>
          <cell r="J119">
            <v>1.0036508291666666</v>
          </cell>
          <cell r="K119">
            <v>1.0244177291666667</v>
          </cell>
          <cell r="L119">
            <v>1.0244177291666667</v>
          </cell>
          <cell r="M119">
            <v>1.0244177291666667</v>
          </cell>
          <cell r="N119">
            <v>1.0244177291666667</v>
          </cell>
          <cell r="O119">
            <v>1.0244177291666667</v>
          </cell>
          <cell r="P119">
            <v>1.0244177291666667</v>
          </cell>
          <cell r="T119">
            <v>0</v>
          </cell>
          <cell r="U119">
            <v>12.235111349999997</v>
          </cell>
          <cell r="V119">
            <v>14.345000000000001</v>
          </cell>
          <cell r="W119">
            <v>11.03</v>
          </cell>
          <cell r="X119">
            <v>-2.1098886500000038</v>
          </cell>
          <cell r="Y119">
            <v>1.2051113499999975</v>
          </cell>
        </row>
        <row r="120">
          <cell r="A120">
            <v>89</v>
          </cell>
          <cell r="B120" t="str">
            <v>Security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9</v>
          </cell>
          <cell r="F124">
            <v>9</v>
          </cell>
          <cell r="G124">
            <v>9</v>
          </cell>
          <cell r="H124">
            <v>9</v>
          </cell>
          <cell r="I124">
            <v>9</v>
          </cell>
          <cell r="J124">
            <v>9</v>
          </cell>
          <cell r="K124">
            <v>9</v>
          </cell>
          <cell r="L124">
            <v>9</v>
          </cell>
          <cell r="M124">
            <v>9</v>
          </cell>
          <cell r="N124">
            <v>9</v>
          </cell>
          <cell r="O124">
            <v>9</v>
          </cell>
          <cell r="P124">
            <v>9</v>
          </cell>
          <cell r="T124">
            <v>0</v>
          </cell>
          <cell r="U124">
            <v>108</v>
          </cell>
          <cell r="V124">
            <v>145.4151</v>
          </cell>
          <cell r="W124">
            <v>288.55</v>
          </cell>
          <cell r="X124">
            <v>-37.415099999999995</v>
          </cell>
          <cell r="Y124">
            <v>-180.55</v>
          </cell>
        </row>
        <row r="125">
          <cell r="C125">
            <v>0</v>
          </cell>
          <cell r="E125">
            <v>37.070150829166664</v>
          </cell>
          <cell r="F125">
            <v>37.070150829166664</v>
          </cell>
          <cell r="G125">
            <v>37.049850829166672</v>
          </cell>
          <cell r="H125">
            <v>37.041150829166668</v>
          </cell>
          <cell r="I125">
            <v>37.041150829166668</v>
          </cell>
          <cell r="J125">
            <v>37.041150829166668</v>
          </cell>
          <cell r="K125">
            <v>37.061917729166666</v>
          </cell>
          <cell r="L125">
            <v>37.061917729166666</v>
          </cell>
          <cell r="M125">
            <v>37.061917729166666</v>
          </cell>
          <cell r="N125">
            <v>37.061917729166666</v>
          </cell>
          <cell r="O125">
            <v>37.061917729166666</v>
          </cell>
          <cell r="P125">
            <v>37.061917729166666</v>
          </cell>
          <cell r="R125">
            <v>0</v>
          </cell>
          <cell r="S125">
            <v>0</v>
          </cell>
          <cell r="T125">
            <v>0</v>
          </cell>
          <cell r="U125">
            <v>444.68511135</v>
          </cell>
          <cell r="V125">
            <v>496.03873000000004</v>
          </cell>
          <cell r="W125">
            <v>694.47800000000007</v>
          </cell>
          <cell r="X125">
            <v>-51.353618650000044</v>
          </cell>
          <cell r="Y125">
            <v>-249.79288865000007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Mgme fee income - CGV</v>
          </cell>
          <cell r="E129">
            <v>-18.3</v>
          </cell>
          <cell r="F129">
            <v>-18.3</v>
          </cell>
          <cell r="G129">
            <v>-18.3</v>
          </cell>
          <cell r="H129">
            <v>-18.3</v>
          </cell>
          <cell r="I129">
            <v>-18.3</v>
          </cell>
          <cell r="J129">
            <v>-18.3</v>
          </cell>
          <cell r="K129">
            <v>-18.3</v>
          </cell>
          <cell r="L129">
            <v>-18.3</v>
          </cell>
          <cell r="M129">
            <v>-18.3</v>
          </cell>
          <cell r="N129">
            <v>-18.3</v>
          </cell>
          <cell r="O129">
            <v>-18.3</v>
          </cell>
          <cell r="P129">
            <v>-18.3</v>
          </cell>
          <cell r="T129">
            <v>0</v>
          </cell>
          <cell r="U129">
            <v>-219.6</v>
          </cell>
          <cell r="V129">
            <v>-52.8</v>
          </cell>
          <cell r="W129">
            <v>-52.8</v>
          </cell>
          <cell r="X129">
            <v>-166.8</v>
          </cell>
          <cell r="Y129">
            <v>-166.8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 t="str">
            <v/>
          </cell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-18.3</v>
          </cell>
          <cell r="F133">
            <v>-18.3</v>
          </cell>
          <cell r="G133">
            <v>-18.3</v>
          </cell>
          <cell r="H133">
            <v>-18.3</v>
          </cell>
          <cell r="I133">
            <v>-18.3</v>
          </cell>
          <cell r="J133">
            <v>-18.3</v>
          </cell>
          <cell r="K133">
            <v>-18.3</v>
          </cell>
          <cell r="L133">
            <v>-18.3</v>
          </cell>
          <cell r="M133">
            <v>-18.3</v>
          </cell>
          <cell r="N133">
            <v>-18.3</v>
          </cell>
          <cell r="O133">
            <v>-18.3</v>
          </cell>
          <cell r="P133">
            <v>-18.3</v>
          </cell>
          <cell r="R133">
            <v>0</v>
          </cell>
          <cell r="S133">
            <v>0</v>
          </cell>
          <cell r="T133">
            <v>0</v>
          </cell>
          <cell r="U133">
            <v>-219.6</v>
          </cell>
          <cell r="V133">
            <v>-52.8</v>
          </cell>
          <cell r="W133">
            <v>-52.8</v>
          </cell>
          <cell r="X133">
            <v>-166.8</v>
          </cell>
          <cell r="Y133">
            <v>-166.8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12">
          <cell r="E12">
            <v>1400</v>
          </cell>
        </row>
      </sheetData>
      <sheetData sheetId="59">
        <row r="11">
          <cell r="A11">
            <v>1</v>
          </cell>
        </row>
      </sheetData>
      <sheetData sheetId="60">
        <row r="11">
          <cell r="A11">
            <v>1</v>
          </cell>
        </row>
      </sheetData>
      <sheetData sheetId="61">
        <row r="11">
          <cell r="A11">
            <v>1</v>
          </cell>
        </row>
      </sheetData>
      <sheetData sheetId="62">
        <row r="11">
          <cell r="A11">
            <v>1</v>
          </cell>
        </row>
      </sheetData>
      <sheetData sheetId="63">
        <row r="11">
          <cell r="A11">
            <v>1</v>
          </cell>
        </row>
      </sheetData>
      <sheetData sheetId="64">
        <row r="11">
          <cell r="A11">
            <v>1</v>
          </cell>
        </row>
      </sheetData>
      <sheetData sheetId="65">
        <row r="11">
          <cell r="A11">
            <v>1</v>
          </cell>
        </row>
      </sheetData>
      <sheetData sheetId="66">
        <row r="11">
          <cell r="A11">
            <v>1</v>
          </cell>
        </row>
      </sheetData>
      <sheetData sheetId="67">
        <row r="11">
          <cell r="A11">
            <v>1</v>
          </cell>
        </row>
      </sheetData>
      <sheetData sheetId="68">
        <row r="11">
          <cell r="A11">
            <v>1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box"/>
    </sheetNames>
    <definedNames>
      <definedName name="box2_select"/>
      <definedName name="OptionChk1"/>
      <definedName name="OptionChk2"/>
      <definedName name="OptionChk3"/>
    </definedNames>
    <sheetDataSet>
      <sheetData sheetId="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_res"/>
      <sheetName val="CRITERIA3"/>
      <sheetName val="CRITERIA1"/>
      <sheetName val="InputPO_Del"/>
      <sheetName val="Summary"/>
      <sheetName val="Compiled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ARY-UPLOAD"/>
      <sheetName val="SALARY-DETAILS"/>
      <sheetName val="ALL-IBANK-BRS"/>
      <sheetName val="ALL_IBANK_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  <sheetData sheetId="3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PAP Reco"/>
      <sheetName val="Subsidiary Operating Profit"/>
      <sheetName val="Borrowing Bifurcation"/>
      <sheetName val="Interest Allocation Sheet"/>
      <sheetName val="PAP Memo"/>
      <sheetName val="Non Fund"/>
      <sheetName val="Esti report"/>
      <sheetName val="SPR"/>
      <sheetName val="Facility"/>
      <sheetName val="PAP"/>
      <sheetName val="Borrowing"/>
      <sheetName val="B S"/>
      <sheetName val="BOD BS"/>
      <sheetName val="deb"/>
      <sheetName val="InfraTL-COB"/>
      <sheetName val="Yield-COB"/>
      <sheetName val="Yield-COB sum"/>
      <sheetName val="Cntrl Sheet"/>
      <sheetName val="Interest"/>
      <sheetName val="Sheet2"/>
      <sheetName val="STAS"/>
      <sheetName val="Seg. report"/>
      <sheetName val="note_to_RP"/>
      <sheetName val="P L"/>
      <sheetName val="Yield-backup"/>
      <sheetName val="DTPL"/>
      <sheetName val="Cashflow"/>
      <sheetName val="BOD PL"/>
      <sheetName val="prof"/>
      <sheetName val="Bal"/>
      <sheetName val="Keyratios"/>
      <sheetName val="Key Ratio Back up"/>
      <sheetName val="Treasury MIS"/>
      <sheetName val="Proprietory MIS"/>
      <sheetName val="MIS reports"/>
      <sheetName val="Demerged"/>
      <sheetName val="Interest on IL&amp;FS lOANS"/>
      <sheetName val="Shantaram"/>
      <sheetName val="dAILY aVERAGE"/>
      <sheetName val="Daily Avera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 refreshError="1"/>
      <sheetData sheetId="25"/>
      <sheetData sheetId="26" refreshError="1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PAP Reco"/>
      <sheetName val="Subsidiary Operating Profit"/>
      <sheetName val="Borrowing Bifurcation"/>
      <sheetName val="Interest Allocation Sheet"/>
      <sheetName val="PAP Memo"/>
      <sheetName val="Non Fund"/>
      <sheetName val="Esti report"/>
      <sheetName val="SPR"/>
      <sheetName val="Facility"/>
      <sheetName val="PAP"/>
      <sheetName val="Borrowing"/>
      <sheetName val="B S"/>
      <sheetName val="BOD BS"/>
      <sheetName val="deb"/>
      <sheetName val="InfraTL-COB"/>
      <sheetName val="Yield-COB"/>
      <sheetName val="Yield-COB sum"/>
      <sheetName val="Cntrl Sheet"/>
      <sheetName val="Interest"/>
      <sheetName val="Sheet2"/>
      <sheetName val="STAS"/>
      <sheetName val="Seg. report"/>
      <sheetName val="note_to_RP"/>
      <sheetName val="P L"/>
      <sheetName val="Yield-backup"/>
      <sheetName val="DTPL"/>
      <sheetName val="Cashflow"/>
      <sheetName val="BOD PL"/>
      <sheetName val="prof"/>
      <sheetName val="Bal"/>
      <sheetName val="Keyratios"/>
      <sheetName val="Key Ratio Back up"/>
      <sheetName val="Treasury MIS"/>
      <sheetName val="Proprietory MIS"/>
      <sheetName val="MIS reports"/>
      <sheetName val="Demerged"/>
      <sheetName val="Interest on IL&amp;FS lOANS"/>
      <sheetName val="Shantaram"/>
      <sheetName val="dAILY aVERAGE"/>
      <sheetName val="Daily Avera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 refreshError="1"/>
      <sheetData sheetId="25"/>
      <sheetData sheetId="26" refreshError="1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sults"/>
      <sheetName val="p-2  (WEXTRA)"/>
      <sheetName val="p-2 "/>
      <sheetName val="p-2 (OLD)"/>
      <sheetName val="p-2 (2)"/>
      <sheetName val="P-3 (2)"/>
      <sheetName val="PAGE-3"/>
      <sheetName val="P-1 (2)"/>
      <sheetName val="P-1"/>
      <sheetName val="P-4 (2)"/>
      <sheetName val="P-4"/>
      <sheetName val="P-5F"/>
      <sheetName val="SHARE"/>
      <sheetName val="P-6 (2)"/>
      <sheetName val="P-6"/>
      <sheetName val="P-10(2)"/>
      <sheetName val="P-7"/>
      <sheetName val="P-8 (1)"/>
      <sheetName val="P-8"/>
      <sheetName val="P-9 (1)"/>
      <sheetName val="P-9"/>
      <sheetName val="P-10(1)"/>
      <sheetName val="P-10"/>
      <sheetName val="Ratio (2)"/>
      <sheetName val="P-11"/>
      <sheetName val="DIVIDEND"/>
      <sheetName val="2003-04"/>
      <sheetName val="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s"/>
      <sheetName val="BS"/>
      <sheetName val="PL"/>
      <sheetName val="MC"/>
      <sheetName val="CF"/>
      <sheetName val="Cash flows"/>
      <sheetName val="Rates"/>
      <sheetName val="Entries'03"/>
      <sheetName val="Bal sheet"/>
      <sheetName val="Equity roll forward"/>
      <sheetName val="Groupings 2004"/>
      <sheetName val="Inc Statement"/>
      <sheetName val="India CF"/>
      <sheetName val="UK CF"/>
      <sheetName val="India Cons"/>
      <sheetName val="UK Cons"/>
      <sheetName val="US BS&amp;PL"/>
      <sheetName val="Italy-BS&amp;PL"/>
      <sheetName val="UK-BS&amp;PL"/>
      <sheetName val="India-BS&amp;PL"/>
      <sheetName val="Mectrac-BS&amp;PL"/>
      <sheetName val="US-grpg"/>
      <sheetName val="US-BS"/>
      <sheetName val="US P&amp;L"/>
      <sheetName val="India-grpg"/>
      <sheetName val="Salary Direct - indirect"/>
      <sheetName val="TB-India"/>
      <sheetName val="Fx Gain"/>
      <sheetName val="UK-grpg"/>
      <sheetName val="TB-UK"/>
      <sheetName val="Italy-grpg"/>
      <sheetName val="TB-ITALY"/>
      <sheetName val="Mectrac-grpg"/>
      <sheetName val="TB-Mectrac"/>
      <sheetName val="TB - Inc."/>
      <sheetName val="Sheet4"/>
      <sheetName val="Groupings 2003 (2)"/>
      <sheetName val="Sheet2"/>
      <sheetName val="Sheet1"/>
      <sheetName val="FN-CHN"/>
      <sheetName val="TB-CHN"/>
      <sheetName val="FN-GER"/>
      <sheetName val="TB-GER"/>
      <sheetName val="FN-IND"/>
      <sheetName val="ERF"/>
      <sheetName val="CF-W"/>
      <sheetName val="Consol"/>
      <sheetName val="FN-LLC"/>
      <sheetName val="GP-LLC"/>
      <sheetName val="TB-LLC"/>
      <sheetName val="FN-IND-C"/>
      <sheetName val="GP-IND"/>
      <sheetName val="TB-IND"/>
      <sheetName val="FN-MEC"/>
      <sheetName val="GP-MEC"/>
      <sheetName val="TB-MEC"/>
      <sheetName val="FN-ITL"/>
      <sheetName val="TB-ITL"/>
      <sheetName val="FN-UKL-C"/>
      <sheetName val="FN-UKL"/>
      <sheetName val="GP-UKL"/>
      <sheetName val="TB-UKL"/>
      <sheetName val="FN-ITB"/>
      <sheetName val="GP-ITB"/>
      <sheetName val="TB-ITB"/>
      <sheetName val="TB-INC"/>
      <sheetName val="FN-INC"/>
      <sheetName val="FN-JAPAN"/>
      <sheetName val="FN-QMLLC"/>
      <sheetName val="FN-UK"/>
      <sheetName val="GP-UK"/>
      <sheetName val="GP-ITL"/>
      <sheetName val="FN-QMPL"/>
      <sheetName val="GP-GER"/>
      <sheetName val="Chart of Ac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C3">
            <v>1.8345494353537681</v>
          </cell>
          <cell r="D3">
            <v>1.7032982262862177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dt"/>
      <sheetName val="Report Setup Sheet"/>
      <sheetName val="Business Summary Financial"/>
      <sheetName val="Unit Breakup"/>
      <sheetName val="Segment"/>
      <sheetName val="Ughai"/>
      <sheetName val="KPM"/>
      <sheetName val="Project Progress"/>
      <sheetName val="Initiative Progress"/>
      <sheetName val="Business Position Paper"/>
      <sheetName val="Consolidated Business"/>
      <sheetName val="Unit1"/>
      <sheetName val="Unit2"/>
      <sheetName val="Unit3"/>
      <sheetName val="Unit4"/>
      <sheetName val="Unit5"/>
      <sheetName val="Unit6"/>
      <sheetName val="Unit7"/>
      <sheetName val="Unit8"/>
      <sheetName val="Unit9"/>
      <sheetName val="Unit10"/>
      <sheetName val="Unit11"/>
      <sheetName val="Unit12"/>
      <sheetName val="Unit13"/>
      <sheetName val="Unit14"/>
      <sheetName val="Unit15"/>
    </sheetNames>
    <sheetDataSet>
      <sheetData sheetId="0" refreshError="1"/>
      <sheetData sheetId="1" refreshError="1">
        <row r="50">
          <cell r="B50" t="str">
            <v>Carbon Black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ng"/>
      <sheetName val="Misc"/>
      <sheetName val="Summary"/>
      <sheetName val="Rollup"/>
      <sheetName val="Assumptions"/>
      <sheetName val="A.O.R."/>
    </sheetNames>
    <sheetDataSet>
      <sheetData sheetId="0" refreshError="1"/>
      <sheetData sheetId="1" refreshError="1"/>
      <sheetData sheetId="2"/>
      <sheetData sheetId="3" refreshError="1">
        <row r="25">
          <cell r="E25" t="str">
            <v>x</v>
          </cell>
        </row>
        <row r="26">
          <cell r="E26" t="str">
            <v>X</v>
          </cell>
        </row>
      </sheetData>
      <sheetData sheetId="4" refreshError="1"/>
      <sheetData sheetId="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epn Sch"/>
      <sheetName val="Rates"/>
      <sheetName val="architect fees"/>
      <sheetName val="Monalisa - Lease Hold"/>
      <sheetName val="Depreciation Lease"/>
      <sheetName val="Asset Card"/>
      <sheetName val="Sheet3"/>
      <sheetName val="Other"/>
      <sheetName val="Summary"/>
      <sheetName val="Tools Rev"/>
      <sheetName val="G110"/>
      <sheetName val="ReBS"/>
      <sheetName val="SCH-A"/>
      <sheetName val="Debtors reco with GL"/>
      <sheetName val="MAY"/>
      <sheetName val="Cash Flow Forecast_USD"/>
      <sheetName val="OG-EP"/>
      <sheetName val="Ion NewCo"/>
      <sheetName val="NOTES"/>
      <sheetName val="OKS Data"/>
      <sheetName val="30.09.00"/>
      <sheetName val="#REF"/>
      <sheetName val="fa"/>
      <sheetName val="DHL KL Revenue"/>
      <sheetName val="P&amp;L"/>
      <sheetName val="SCH-A,B,C"/>
      <sheetName val="Travel Expense Report(1week)"/>
      <sheetName val="MTD Prod Support Drill2"/>
      <sheetName val="to be cost adjusted up"/>
      <sheetName val="Positions "/>
      <sheetName val="HYD"/>
      <sheetName val="Logistics"/>
      <sheetName val="Consol"/>
      <sheetName val="WNS UK P1"/>
      <sheetName val="Ann -1"/>
      <sheetName val="mp_rev"/>
      <sheetName val="Summary "/>
      <sheetName val="Misc"/>
      <sheetName val="Break up Sheet"/>
      <sheetName val="UK"/>
      <sheetName val="Rate_dec02"/>
      <sheetName val="Rate_Table"/>
      <sheetName val="Resource_Table"/>
      <sheetName val="Sheet1"/>
      <sheetName val="Payroll_Statement"/>
      <sheetName val="Exchange Rates"/>
      <sheetName val="May09"/>
      <sheetName val="feb 09"/>
      <sheetName val="CFA-INFORMATION"/>
      <sheetName val="PV"/>
      <sheetName val="PopCache"/>
      <sheetName val="List"/>
      <sheetName val="PL"/>
      <sheetName val="INV"/>
      <sheetName val="R.1.5_GL Dump"/>
      <sheetName val="3A - Segment Calculation"/>
      <sheetName val="Schedules"/>
      <sheetName val="__ls___ls___ls___ls___ls___ls_J"/>
      <sheetName val="__ls___ls___ls___ls___ls___ls_A"/>
      <sheetName val="vendor listing (2)"/>
      <sheetName val="Depn_Sch"/>
      <sheetName val="architect_fees"/>
      <sheetName val="Monalisa_-_Lease_Hold"/>
      <sheetName val="Depreciation_Lease"/>
      <sheetName val="Asset_Card"/>
      <sheetName val="Debtors_reco_with_GL"/>
      <sheetName val="Cash_Flow_Forecast_USD"/>
      <sheetName val="Tools_Rev"/>
      <sheetName val="DHL_KL_Revenue"/>
      <sheetName val="WNS_UK_P1"/>
      <sheetName val="Positions_"/>
      <sheetName val="Ann_-1"/>
      <sheetName val="OKS_Data"/>
      <sheetName val="30_09_00"/>
      <sheetName val="Summary_"/>
      <sheetName val="Ion_NewCo"/>
      <sheetName val="Break_up_Sheet"/>
      <sheetName val="Travel_Expense_Report(1week)"/>
      <sheetName val="MTD_Prod_Support_Drill2"/>
      <sheetName val="to_be_cost_adjusted_up"/>
      <sheetName val="Exchange_Rates"/>
      <sheetName val="feb_09"/>
      <sheetName val="Sheet16"/>
      <sheetName val="Parameters"/>
      <sheetName val="Depn_Sch1"/>
      <sheetName val="architect_fees1"/>
      <sheetName val="Monalisa_-_Lease_Hold1"/>
      <sheetName val="Depreciation_Lease1"/>
      <sheetName val="Asset_Card1"/>
      <sheetName val="Debtors_reco_with_GL1"/>
      <sheetName val="Cash_Flow_Forecast_USD1"/>
      <sheetName val="Tools_Rev1"/>
      <sheetName val="DHL_KL_Revenue1"/>
      <sheetName val="WNS_UK_P11"/>
      <sheetName val="Positions_1"/>
      <sheetName val="Ann_-11"/>
      <sheetName val="OKS_Data1"/>
      <sheetName val="30_09_001"/>
      <sheetName val="Summary_1"/>
      <sheetName val="Ion_NewCo1"/>
      <sheetName val="Break_up_Sheet1"/>
      <sheetName val="Travel_Expense_Report(1week)1"/>
      <sheetName val="MTD_Prod_Support_Drill21"/>
      <sheetName val="to_be_cost_adjusted_up1"/>
      <sheetName val="Exchange_Rates1"/>
      <sheetName val="feb_091"/>
      <sheetName val="R_1_5_GL_Dump"/>
      <sheetName val="3A_-_Segment_Calculation"/>
      <sheetName val="vendor_listing_(2)"/>
      <sheetName val="Depn_Sch2"/>
      <sheetName val="architect_fees2"/>
      <sheetName val="Monalisa_-_Lease_Hold2"/>
      <sheetName val="Depreciation_Lease2"/>
      <sheetName val="Asset_Card2"/>
      <sheetName val="Debtors_reco_with_GL2"/>
      <sheetName val="Cash_Flow_Forecast_USD2"/>
      <sheetName val="Tools_Rev2"/>
      <sheetName val="DHL_KL_Revenue2"/>
      <sheetName val="WNS_UK_P12"/>
      <sheetName val="Positions_2"/>
      <sheetName val="Ann_-12"/>
      <sheetName val="OKS_Data2"/>
      <sheetName val="30_09_002"/>
      <sheetName val="Summary_2"/>
      <sheetName val="Ion_NewCo2"/>
      <sheetName val="Break_up_Sheet2"/>
      <sheetName val="Travel_Expense_Report(1week)2"/>
      <sheetName val="MTD_Prod_Support_Drill22"/>
      <sheetName val="to_be_cost_adjusted_up2"/>
      <sheetName val="Exchange_Rates2"/>
      <sheetName val="feb_092"/>
      <sheetName val="R_1_5_GL_Dump1"/>
      <sheetName val="3A_-_Segment_Calculation1"/>
      <sheetName val="vendor_listing_(2)1"/>
      <sheetName val="Basic Details"/>
      <sheetName val="fidelity"/>
      <sheetName val="Query Results ALL"/>
      <sheetName val="Sheet2"/>
      <sheetName val="Comp with UP west"/>
      <sheetName val="STREET ESTIMATES"/>
      <sheetName val="License Summary Q2"/>
      <sheetName val="Input - 2000 Core Actual"/>
      <sheetName val="BDGET94"/>
      <sheetName val="Depn_Sch3"/>
      <sheetName val="architect_fees3"/>
      <sheetName val="Monalisa_-_Lease_Hold3"/>
      <sheetName val="Depreciation_Lease3"/>
      <sheetName val="Asset_Card3"/>
      <sheetName val="Debtors_reco_with_GL3"/>
      <sheetName val="Cash_Flow_Forecast_USD3"/>
      <sheetName val="Tools_Rev3"/>
      <sheetName val="DHL_KL_Revenue3"/>
      <sheetName val="WNS_UK_P13"/>
      <sheetName val="Summary_3"/>
      <sheetName val="Ion_NewCo3"/>
      <sheetName val="OKS_Data3"/>
      <sheetName val="30_09_003"/>
      <sheetName val="Positions_3"/>
      <sheetName val="Break_up_Sheet3"/>
      <sheetName val="Ann_-13"/>
      <sheetName val="Travel_Expense_Report(1week)3"/>
      <sheetName val="MTD_Prod_Support_Drill23"/>
      <sheetName val="to_be_cost_adjusted_up3"/>
      <sheetName val="Exchange_Rates3"/>
      <sheetName val="feb_093"/>
      <sheetName val="R_1_5_GL_Dump2"/>
      <sheetName val="3A_-_Segment_Calculation2"/>
      <sheetName val="vendor_listing_(2)2"/>
      <sheetName val="Gross_Rec"/>
      <sheetName val="QRE's"/>
      <sheetName val="Dallas Stuff"/>
      <sheetName val="qryAll_Regions"/>
      <sheetName val="UBS Q3"/>
      <sheetName val="RDY OPEN PO.APR.07"/>
      <sheetName val="PopCache_Sheet1"/>
      <sheetName val="Ref"/>
      <sheetName val="QCNL 100 BS"/>
      <sheetName val="Manual Inputs"/>
      <sheetName val="pack pnl-99"/>
      <sheetName val="Tax Computation"/>
      <sheetName val="Balance Sheet"/>
      <sheetName val="PO.Detail"/>
      <sheetName val="TRIAL BALANCE"/>
      <sheetName val="Groupings 2004"/>
      <sheetName val="Pronk"/>
      <sheetName val="FA Schedule"/>
      <sheetName val="Deletion"/>
      <sheetName val="Opening balance"/>
      <sheetName val="additions"/>
      <sheetName val="Closing balance"/>
      <sheetName val="Pivot for Dep charge"/>
      <sheetName val="２Ｒ 売上・収益推移"/>
      <sheetName val="12-19-00"/>
      <sheetName val="Distribution"/>
      <sheetName val="Depn_Sch4"/>
      <sheetName val="architect_fees4"/>
      <sheetName val="Monalisa_-_Lease_Hold4"/>
      <sheetName val="Depreciation_Lease4"/>
      <sheetName val="Asset_Card4"/>
      <sheetName val="Debtors_reco_with_GL4"/>
      <sheetName val="Cash_Flow_Forecast_USD4"/>
      <sheetName val="Tools_Rev4"/>
      <sheetName val="DHL_KL_Revenue4"/>
      <sheetName val="WNS_UK_P14"/>
      <sheetName val="Positions_4"/>
      <sheetName val="Ann_-14"/>
      <sheetName val="Summary_4"/>
      <sheetName val="Ion_NewCo4"/>
      <sheetName val="OKS_Data4"/>
      <sheetName val="30_09_004"/>
      <sheetName val="Break_up_Sheet4"/>
      <sheetName val="Travel_Expense_Report(1week)4"/>
      <sheetName val="MTD_Prod_Support_Drill24"/>
      <sheetName val="to_be_cost_adjusted_up4"/>
      <sheetName val="Exchange_Rates4"/>
      <sheetName val="feb_094"/>
      <sheetName val="R_1_5_GL_Dump3"/>
      <sheetName val="3A_-_Segment_Calculation3"/>
      <sheetName val="vendor_listing_(2)3"/>
      <sheetName val="Basic_Details"/>
      <sheetName val="Query_Results_ALL"/>
      <sheetName val="Comp_with_UP_west"/>
      <sheetName val="204eiffel"/>
      <sheetName val="Assumption"/>
      <sheetName val="Sensitivity "/>
      <sheetName val="Main Data Sheet"/>
      <sheetName val="Direct Cost"/>
      <sheetName val="P &amp; L Ac"/>
      <sheetName val="CRITERIA1"/>
      <sheetName val="15"/>
      <sheetName val="PM2"/>
      <sheetName val="Tables"/>
      <sheetName val="BS Rec Control Sheet"/>
      <sheetName val="PRINT-BL"/>
      <sheetName val="Lists"/>
      <sheetName val="P_L"/>
      <sheetName val="Details"/>
      <sheetName val="lookup"/>
      <sheetName val="ignore 0804"/>
      <sheetName val="IOPlan"/>
      <sheetName val="Balance Sheet "/>
      <sheetName val="To be Discuss"/>
      <sheetName val="Mohali_Rate"/>
      <sheetName val="D"/>
      <sheetName val="vlookup"/>
      <sheetName val="OI MONTH-YTD"/>
      <sheetName val="NS YTG"/>
      <sheetName val="%NS YTG vs PY"/>
      <sheetName val="OI YTG"/>
      <sheetName val="ROS YTG"/>
      <sheetName val="NS QTRS"/>
      <sheetName val="Company"/>
      <sheetName val="Applicability"/>
      <sheetName val="MERGER"/>
      <sheetName val="Table of Contents"/>
      <sheetName val="Grp-schs1"/>
      <sheetName val="Alloc CORP Summary"/>
      <sheetName val="Depn_Sch5"/>
      <sheetName val="architect_fees5"/>
      <sheetName val="Monalisa_-_Lease_Hold5"/>
      <sheetName val="Depreciation_Lease5"/>
      <sheetName val="Asset_Card5"/>
      <sheetName val="Ion_NewCo5"/>
      <sheetName val="OKS_Data5"/>
      <sheetName val="30_09_005"/>
      <sheetName val="Debtors_reco_with_GL5"/>
      <sheetName val="Cash_Flow_Forecast_USD5"/>
      <sheetName val="Tools_Rev5"/>
      <sheetName val="DHL_KL_Revenue5"/>
      <sheetName val="Positions_5"/>
      <sheetName val="Break_up_Sheet5"/>
      <sheetName val="WNS_UK_P15"/>
      <sheetName val="Summary_5"/>
      <sheetName val="Travel_Expense_Report(1week)5"/>
      <sheetName val="MTD_Prod_Support_Drill25"/>
      <sheetName val="to_be_cost_adjusted_up5"/>
      <sheetName val="Ann_-15"/>
      <sheetName val="Basic_Details1"/>
      <sheetName val="FA_Schedule"/>
      <sheetName val="Opening_balance"/>
      <sheetName val="Closing_balance"/>
      <sheetName val="Pivot_for_Dep_charge"/>
      <sheetName val="Comp_with_UP_west1"/>
      <sheetName val="STREET_ESTIMATES"/>
      <sheetName val="License_Summary_Q2"/>
      <sheetName val="Input_-_2000_Core_Actual"/>
      <sheetName val="feb_095"/>
      <sheetName val="R_1_5_GL_Dump4"/>
      <sheetName val="3A_-_Segment_Calculation4"/>
      <sheetName val="Exchange_Rates5"/>
      <sheetName val="vendor_listing_(2)4"/>
      <sheetName val="Query_Results_ALL1"/>
      <sheetName val="pack_pnl-99"/>
      <sheetName val="Tax_Computation"/>
      <sheetName val="QCNL_100_BS"/>
      <sheetName val="Manual_Inputs"/>
      <sheetName val="ignore_0804"/>
      <sheetName val="Dallas_Stuff"/>
      <sheetName val="UBS_Q3"/>
      <sheetName val="RDY_OPEN_PO_APR_07"/>
      <sheetName val="TRIAL_BALANCE"/>
      <sheetName val="Groupings_2004"/>
      <sheetName val="BS_Rec_Control_Sheet"/>
      <sheetName val="P_&amp;_L_Ac"/>
      <sheetName val="２Ｒ_売上・収益推移"/>
      <sheetName val="SPI"/>
      <sheetName val="gbp"/>
      <sheetName val="Sept '99"/>
      <sheetName val="P&amp;L Summary Page"/>
      <sheetName val="R11_Schedules"/>
      <sheetName val="Exchange rate"/>
      <sheetName val="QTY. PROV.LAB"/>
      <sheetName val="Purchases-CT1"/>
      <sheetName val="bs BP 04 SA"/>
      <sheetName val="CDR"/>
      <sheetName val="YTD"/>
      <sheetName val="Final TB-Oracle"/>
      <sheetName val="Main Sheet"/>
      <sheetName val="Manpower Master"/>
      <sheetName val="Lookup Table"/>
      <sheetName val="Level 0"/>
      <sheetName val="oracleTB"/>
      <sheetName val="Japan Reco"/>
      <sheetName val="description of fixed assets"/>
      <sheetName val="2136 Q1 Formatted"/>
      <sheetName val="2136 Q2 Formatted"/>
      <sheetName val="2136 Q3 Formatted"/>
      <sheetName val="2136 Q4 Formatted-7 April"/>
      <sheetName val="2136 Q5 Formatted-7April"/>
      <sheetName val="2136 YTD Formatted-7 April"/>
      <sheetName val="hmax_2"/>
      <sheetName val="Depn_Sch6"/>
      <sheetName val="architect_fees6"/>
      <sheetName val="Monalisa_-_Lease_Hold6"/>
      <sheetName val="Depreciation_Lease6"/>
      <sheetName val="Asset_Card6"/>
      <sheetName val="Ion_NewCo6"/>
      <sheetName val="OKS_Data6"/>
      <sheetName val="30_09_006"/>
      <sheetName val="Debtors_reco_with_GL6"/>
      <sheetName val="Cash_Flow_Forecast_USD6"/>
      <sheetName val="Tools_Rev6"/>
      <sheetName val="DHL_KL_Revenue6"/>
      <sheetName val="Positions_6"/>
      <sheetName val="Break_up_Sheet6"/>
      <sheetName val="WNS_UK_P16"/>
      <sheetName val="Ann_-16"/>
      <sheetName val="Travel_Expense_Report(1week)6"/>
      <sheetName val="MTD_Prod_Support_Drill26"/>
      <sheetName val="to_be_cost_adjusted_up6"/>
      <sheetName val="Query_Results_ALL2"/>
      <sheetName val="Exchange_Rates6"/>
      <sheetName val="Comp_with_UP_west2"/>
      <sheetName val="Summary_6"/>
      <sheetName val="feb_096"/>
      <sheetName val="QCNL_100_BS1"/>
      <sheetName val="Manual_Inputs1"/>
      <sheetName val="R_1_5_GL_Dump5"/>
      <sheetName val="3A_-_Segment_Calculation5"/>
      <sheetName val="STREET_ESTIMATES1"/>
      <sheetName val="License_Summary_Q21"/>
      <sheetName val="Input_-_2000_Core_Actual1"/>
      <sheetName val="Dallas_Stuff1"/>
      <sheetName val="Basic_Details2"/>
      <sheetName val="FA_Schedule1"/>
      <sheetName val="Opening_balance1"/>
      <sheetName val="Closing_balance1"/>
      <sheetName val="Pivot_for_Dep_charge1"/>
      <sheetName val="TRIAL_BALANCE1"/>
      <sheetName val="Groupings_20041"/>
      <sheetName val="２Ｒ_売上・収益推移1"/>
      <sheetName val="P_&amp;_L_Ac1"/>
      <sheetName val="vendor_listing_(2)5"/>
      <sheetName val="UBS_Q31"/>
      <sheetName val="RDY_OPEN_PO_APR_071"/>
      <sheetName val="pack_pnl-991"/>
      <sheetName val="Tax_Computation1"/>
      <sheetName val="ignore_08041"/>
      <sheetName val="BS_Rec_Control_Sheet1"/>
      <sheetName val="OI_MONTH-YTD"/>
      <sheetName val="NS_YTG"/>
      <sheetName val="%NS_YTG_vs_PY"/>
      <sheetName val="OI_YTG"/>
      <sheetName val="ROS_YTG"/>
      <sheetName val="NS_QTRS"/>
      <sheetName val="Balance_Sheet"/>
      <sheetName val="PO_Detail"/>
      <sheetName val="Table_of_Contents"/>
      <sheetName val="Main_Data_Sheet"/>
      <sheetName val="P&amp;L_Summary_Page"/>
      <sheetName val="Sept_'99"/>
      <sheetName val="Final_TB-Oracle"/>
      <sheetName val="Main_Sheet"/>
      <sheetName val="Direct_Cost"/>
      <sheetName val="Balance_Sheet_"/>
      <sheetName val="Cost details Jul08"/>
      <sheetName val="DataInput1"/>
      <sheetName val="NAV"/>
      <sheetName val="RCC,Ret. Wall"/>
      <sheetName val="CPIPE 1"/>
      <sheetName val="Ctinh 10kV"/>
      <sheetName val="ANNEXURE-P&amp;L"/>
      <sheetName val="Other:Summary"/>
      <sheetName val="esxa"/>
      <sheetName val="IT-accruals"/>
      <sheetName val="STEEL"/>
      <sheetName val="REVENUES &amp; BS"/>
      <sheetName val="STREET_ESTIMATES2"/>
      <sheetName val="License_Summary_Q22"/>
      <sheetName val="Input_-_2000_Core_Actual2"/>
      <sheetName val="QCNL_100_BS2"/>
      <sheetName val="Manual_Inputs2"/>
      <sheetName val="Dallas_Stuff2"/>
      <sheetName val="P_&amp;_L_Ac2"/>
      <sheetName val="TRIAL_BALANCE2"/>
      <sheetName val="Groupings_20042"/>
      <sheetName val="FA_Schedule2"/>
      <sheetName val="Opening_balance2"/>
      <sheetName val="Closing_balance2"/>
      <sheetName val="Pivot_for_Dep_charge2"/>
      <sheetName val="２Ｒ_売上・収益推移2"/>
      <sheetName val="UBS_Q32"/>
      <sheetName val="RDY_OPEN_PO_APR_072"/>
      <sheetName val="STREET_ESTIMATES4"/>
      <sheetName val="License_Summary_Q24"/>
      <sheetName val="Input_-_2000_Core_Actual4"/>
      <sheetName val="Query_Results_ALL4"/>
      <sheetName val="Comp_with_UP_west4"/>
      <sheetName val="QCNL_100_BS4"/>
      <sheetName val="Manual_Inputs4"/>
      <sheetName val="Dallas_Stuff4"/>
      <sheetName val="P_&amp;_L_Ac4"/>
      <sheetName val="Basic_Details4"/>
      <sheetName val="TRIAL_BALANCE4"/>
      <sheetName val="Groupings_20044"/>
      <sheetName val="FA_Schedule4"/>
      <sheetName val="Opening_balance4"/>
      <sheetName val="Closing_balance4"/>
      <sheetName val="Pivot_for_Dep_charge4"/>
      <sheetName val="２Ｒ_売上・収益推移4"/>
      <sheetName val="UBS_Q34"/>
      <sheetName val="RDY_OPEN_PO_APR_074"/>
      <sheetName val="STREET_ESTIMATES3"/>
      <sheetName val="License_Summary_Q23"/>
      <sheetName val="Input_-_2000_Core_Actual3"/>
      <sheetName val="Query_Results_ALL3"/>
      <sheetName val="Comp_with_UP_west3"/>
      <sheetName val="QCNL_100_BS3"/>
      <sheetName val="Manual_Inputs3"/>
      <sheetName val="Dallas_Stuff3"/>
      <sheetName val="P_&amp;_L_Ac3"/>
      <sheetName val="Basic_Details3"/>
      <sheetName val="TRIAL_BALANCE3"/>
      <sheetName val="Groupings_20043"/>
      <sheetName val="FA_Schedule3"/>
      <sheetName val="Opening_balance3"/>
      <sheetName val="Closing_balance3"/>
      <sheetName val="Pivot_for_Dep_charge3"/>
      <sheetName val="２Ｒ_売上・収益推移3"/>
      <sheetName val="UBS_Q33"/>
      <sheetName val="RDY_OPEN_PO_APR_073"/>
      <sheetName val="This Proj OCC"/>
      <sheetName val="RA-markate"/>
      <sheetName val="97 TRIAL BALANCE"/>
      <sheetName val="CC &amp; PC"/>
      <sheetName val="General info"/>
      <sheetName val="Assump"/>
      <sheetName val="HIDDEN"/>
      <sheetName val="meeting rectification control"/>
      <sheetName val="PO"/>
      <sheetName val="FAR"/>
      <sheetName val="PGTV Bond Levels"/>
      <sheetName val="DBS Rev &amp; COGS 11-09"/>
      <sheetName val="POP Inventory Detail 08-19-02"/>
      <sheetName val="Valuation"/>
      <sheetName val="ap 2"/>
      <sheetName val="gl 2"/>
      <sheetName val="Capital Structure"/>
      <sheetName val="S0110"/>
      <sheetName val="S0100"/>
      <sheetName val="Mobilephones"/>
      <sheetName val="master"/>
      <sheetName val="Sheet4"/>
      <sheetName val="AR_PL"/>
      <sheetName val="Long-Term Borrowings"/>
      <sheetName val="P&amp;L February"/>
      <sheetName val="Q-Mtr"/>
      <sheetName val="P&amp;L Feb 2001 cumulative"/>
      <sheetName val="Lead"/>
      <sheetName val="Interconnect"/>
      <sheetName val="Template"/>
      <sheetName val="B2 - 2017 Cubi TB PLN Loc GAAP"/>
      <sheetName val="B1 - 2017 Cubi TB PLN US GAAP"/>
      <sheetName val="Quarterly P&amp;L - VG"/>
      <sheetName val="FR4"/>
      <sheetName val="headcount"/>
      <sheetName val="Dep AY 6-7"/>
      <sheetName val="ENCL6"/>
      <sheetName val="Guidance"/>
      <sheetName val="Licences"/>
      <sheetName val="CM Calc"/>
      <sheetName val="BS"/>
      <sheetName val="COMICRO ROM"/>
      <sheetName val="Alloc_CORP_Summary"/>
      <sheetName val="2136_Q1_Formatted"/>
      <sheetName val="2136_Q2_Formatted"/>
      <sheetName val="2136_Q3_Formatted"/>
      <sheetName val="2136_Q4_Formatted-7_April"/>
      <sheetName val="2136_Q5_Formatted-7April"/>
      <sheetName val="2136_YTD_Formatted-7_April"/>
      <sheetName val="P&amp;L-Rptg format"/>
      <sheetName val="PC Master List"/>
      <sheetName val="Comp"/>
      <sheetName val="Depn_Sch7"/>
      <sheetName val="architect_fees7"/>
      <sheetName val="Monalisa_-_Lease_Hold7"/>
      <sheetName val="Depreciation_Lease7"/>
      <sheetName val="Asset_Card7"/>
      <sheetName val="Debtors_reco_with_GL7"/>
      <sheetName val="Cash_Flow_Forecast_USD7"/>
      <sheetName val="Summary_7"/>
      <sheetName val="Ion_NewCo7"/>
      <sheetName val="Tools_Rev7"/>
      <sheetName val="DHL_KL_Revenue7"/>
      <sheetName val="Positions_7"/>
      <sheetName val="OKS_Data7"/>
      <sheetName val="30_09_007"/>
      <sheetName val="Break_up_Sheet7"/>
      <sheetName val="WNS_UK_P17"/>
      <sheetName val="Travel_Expense_Report(1week)7"/>
      <sheetName val="MTD_Prod_Support_Drill27"/>
      <sheetName val="to_be_cost_adjusted_up7"/>
      <sheetName val="Ann_-17"/>
      <sheetName val="feb_097"/>
      <sheetName val="R_1_5_GL_Dump6"/>
      <sheetName val="3A_-_Segment_Calculation6"/>
      <sheetName val="Exchange_Rates7"/>
      <sheetName val="vendor_listing_(2)6"/>
      <sheetName val="pack_pnl-992"/>
      <sheetName val="Tax_Computation2"/>
      <sheetName val="BS_Rec_Control_Sheet2"/>
      <sheetName val="ignore_08042"/>
      <sheetName val="Balance_Sheet1"/>
      <sheetName val="PO_Detail1"/>
      <sheetName val="OI_MONTH-YTD1"/>
      <sheetName val="NS_YTG1"/>
      <sheetName val="%NS_YTG_vs_PY1"/>
      <sheetName val="OI_YTG1"/>
      <sheetName val="ROS_YTG1"/>
      <sheetName val="NS_QTRS1"/>
      <sheetName val="Table_of_Contents1"/>
      <sheetName val="Main_Data_Sheet1"/>
      <sheetName val="Direct_Cost1"/>
      <sheetName val="Balance_Sheet_1"/>
      <sheetName val="Sept_'991"/>
      <sheetName val="P&amp;L_Summary_Page1"/>
      <sheetName val="Exchange_rate"/>
      <sheetName val="QTY__PROV_LAB"/>
      <sheetName val="Sensitivity_"/>
      <sheetName val="To_be_Discuss"/>
      <sheetName val="bs_BP_04_SA"/>
      <sheetName val="Final_TB-Oracle1"/>
      <sheetName val="Main_Sheet1"/>
      <sheetName val="Manpower_Master"/>
      <sheetName val="Lookup_Table"/>
      <sheetName val="Level_0"/>
      <sheetName val="Japan_Reco"/>
      <sheetName val="description_of_fixed_assets"/>
      <sheetName val="Cost_details_Jul08"/>
      <sheetName val="RCC,Ret__Wall"/>
      <sheetName val="CPIPE_1"/>
      <sheetName val="Ctinh_10kV"/>
      <sheetName val="Depn_Sch8"/>
      <sheetName val="architect_fees8"/>
      <sheetName val="Monalisa_-_Lease_Hold8"/>
      <sheetName val="Depreciation_Lease8"/>
      <sheetName val="Asset_Card8"/>
      <sheetName val="Debtors_reco_with_GL8"/>
      <sheetName val="Cash_Flow_Forecast_USD8"/>
      <sheetName val="Summary_8"/>
      <sheetName val="Ion_NewCo8"/>
      <sheetName val="Tools_Rev8"/>
      <sheetName val="DHL_KL_Revenue8"/>
      <sheetName val="Positions_8"/>
      <sheetName val="OKS_Data8"/>
      <sheetName val="30_09_008"/>
      <sheetName val="Break_up_Sheet8"/>
      <sheetName val="WNS_UK_P18"/>
      <sheetName val="Travel_Expense_Report(1week)8"/>
      <sheetName val="MTD_Prod_Support_Drill28"/>
      <sheetName val="to_be_cost_adjusted_up8"/>
      <sheetName val="Ann_-18"/>
      <sheetName val="feb_098"/>
      <sheetName val="R_1_5_GL_Dump7"/>
      <sheetName val="3A_-_Segment_Calculation7"/>
      <sheetName val="Exchange_Rates8"/>
      <sheetName val="vendor_listing_(2)7"/>
      <sheetName val="pack_pnl-993"/>
      <sheetName val="Tax_Computation3"/>
      <sheetName val="BS_Rec_Control_Sheet3"/>
      <sheetName val="ignore_08043"/>
      <sheetName val="Balance_Sheet2"/>
      <sheetName val="PO_Detail2"/>
      <sheetName val="OI_MONTH-YTD2"/>
      <sheetName val="NS_YTG2"/>
      <sheetName val="%NS_YTG_vs_PY2"/>
      <sheetName val="OI_YTG2"/>
      <sheetName val="ROS_YTG2"/>
      <sheetName val="NS_QTRS2"/>
      <sheetName val="Table_of_Contents2"/>
      <sheetName val="Main_Data_Sheet2"/>
      <sheetName val="Direct_Cost2"/>
      <sheetName val="Balance_Sheet_2"/>
      <sheetName val="Sept_'992"/>
      <sheetName val="P&amp;L_Summary_Page2"/>
      <sheetName val="Exchange_rate1"/>
      <sheetName val="QTY__PROV_LAB1"/>
      <sheetName val="Sensitivity_1"/>
      <sheetName val="To_be_Discuss1"/>
      <sheetName val="bs_BP_04_SA1"/>
      <sheetName val="Final_TB-Oracle2"/>
      <sheetName val="Main_Sheet2"/>
      <sheetName val="Manpower_Master1"/>
      <sheetName val="Lookup_Table1"/>
      <sheetName val="Level_01"/>
      <sheetName val="Japan_Reco1"/>
      <sheetName val="description_of_fixed_assets1"/>
      <sheetName val="2136_Q1_Formatted1"/>
      <sheetName val="2136_Q2_Formatted1"/>
      <sheetName val="2136_Q3_Formatted1"/>
      <sheetName val="2136_Q4_Formatted-7_April1"/>
      <sheetName val="2136_Q5_Formatted-7April1"/>
      <sheetName val="2136_YTD_Formatted-7_April1"/>
      <sheetName val="Alloc_CORP_Summary1"/>
      <sheetName val="Cost_details_Jul081"/>
      <sheetName val="RCC,Ret__Wall1"/>
      <sheetName val="CPIPE_11"/>
      <sheetName val="Ctinh_10kV1"/>
      <sheetName val="MIS"/>
      <sheetName val="March Onwards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">
          <cell r="B1">
            <v>0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B1">
            <v>0</v>
          </cell>
        </row>
      </sheetData>
      <sheetData sheetId="73" refreshError="1"/>
      <sheetData sheetId="74" refreshError="1"/>
      <sheetData sheetId="75">
        <row r="1">
          <cell r="B1">
            <v>0</v>
          </cell>
        </row>
      </sheetData>
      <sheetData sheetId="76" refreshError="1"/>
      <sheetData sheetId="77">
        <row r="1">
          <cell r="B1">
            <v>0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1">
          <cell r="B1">
            <v>0</v>
          </cell>
        </row>
      </sheetData>
      <sheetData sheetId="95">
        <row r="1">
          <cell r="B1">
            <v>0</v>
          </cell>
        </row>
      </sheetData>
      <sheetData sheetId="96">
        <row r="1">
          <cell r="B1">
            <v>0</v>
          </cell>
        </row>
      </sheetData>
      <sheetData sheetId="97">
        <row r="1">
          <cell r="B1">
            <v>0</v>
          </cell>
        </row>
      </sheetData>
      <sheetData sheetId="98">
        <row r="1">
          <cell r="B1">
            <v>0</v>
          </cell>
        </row>
      </sheetData>
      <sheetData sheetId="99">
        <row r="1">
          <cell r="B1">
            <v>0</v>
          </cell>
        </row>
      </sheetData>
      <sheetData sheetId="100">
        <row r="1">
          <cell r="B1">
            <v>0</v>
          </cell>
        </row>
      </sheetData>
      <sheetData sheetId="101">
        <row r="1">
          <cell r="B1">
            <v>0</v>
          </cell>
        </row>
      </sheetData>
      <sheetData sheetId="102">
        <row r="1">
          <cell r="B1">
            <v>0</v>
          </cell>
        </row>
      </sheetData>
      <sheetData sheetId="103">
        <row r="1">
          <cell r="B1">
            <v>0</v>
          </cell>
        </row>
      </sheetData>
      <sheetData sheetId="104">
        <row r="1">
          <cell r="B1">
            <v>0</v>
          </cell>
        </row>
      </sheetData>
      <sheetData sheetId="105">
        <row r="1">
          <cell r="B1">
            <v>0</v>
          </cell>
        </row>
      </sheetData>
      <sheetData sheetId="106">
        <row r="1">
          <cell r="B1">
            <v>0</v>
          </cell>
        </row>
      </sheetData>
      <sheetData sheetId="107">
        <row r="1">
          <cell r="B1">
            <v>0</v>
          </cell>
        </row>
      </sheetData>
      <sheetData sheetId="108">
        <row r="1">
          <cell r="B1">
            <v>0</v>
          </cell>
        </row>
      </sheetData>
      <sheetData sheetId="109">
        <row r="1">
          <cell r="B1">
            <v>0</v>
          </cell>
        </row>
      </sheetData>
      <sheetData sheetId="110">
        <row r="1">
          <cell r="B1">
            <v>0</v>
          </cell>
        </row>
      </sheetData>
      <sheetData sheetId="111">
        <row r="1">
          <cell r="B1">
            <v>0</v>
          </cell>
        </row>
      </sheetData>
      <sheetData sheetId="112">
        <row r="1">
          <cell r="B1">
            <v>0</v>
          </cell>
        </row>
      </sheetData>
      <sheetData sheetId="113">
        <row r="1">
          <cell r="B1">
            <v>0</v>
          </cell>
        </row>
      </sheetData>
      <sheetData sheetId="114">
        <row r="1">
          <cell r="B1">
            <v>0</v>
          </cell>
        </row>
      </sheetData>
      <sheetData sheetId="115">
        <row r="1">
          <cell r="B1">
            <v>0</v>
          </cell>
        </row>
      </sheetData>
      <sheetData sheetId="116">
        <row r="1">
          <cell r="B1">
            <v>0</v>
          </cell>
        </row>
      </sheetData>
      <sheetData sheetId="117">
        <row r="1">
          <cell r="B1">
            <v>0</v>
          </cell>
        </row>
      </sheetData>
      <sheetData sheetId="118">
        <row r="1">
          <cell r="B1">
            <v>0</v>
          </cell>
        </row>
      </sheetData>
      <sheetData sheetId="119">
        <row r="1">
          <cell r="B1">
            <v>0</v>
          </cell>
        </row>
      </sheetData>
      <sheetData sheetId="120">
        <row r="1">
          <cell r="B1">
            <v>0</v>
          </cell>
        </row>
      </sheetData>
      <sheetData sheetId="121">
        <row r="1">
          <cell r="B1">
            <v>0</v>
          </cell>
        </row>
      </sheetData>
      <sheetData sheetId="122">
        <row r="1">
          <cell r="B1">
            <v>0</v>
          </cell>
        </row>
      </sheetData>
      <sheetData sheetId="123">
        <row r="1">
          <cell r="B1">
            <v>0</v>
          </cell>
        </row>
      </sheetData>
      <sheetData sheetId="124">
        <row r="1">
          <cell r="B1">
            <v>0</v>
          </cell>
        </row>
      </sheetData>
      <sheetData sheetId="125">
        <row r="1">
          <cell r="B1">
            <v>0</v>
          </cell>
        </row>
      </sheetData>
      <sheetData sheetId="126">
        <row r="1">
          <cell r="B1">
            <v>0</v>
          </cell>
        </row>
      </sheetData>
      <sheetData sheetId="127">
        <row r="1">
          <cell r="B1">
            <v>0</v>
          </cell>
        </row>
      </sheetData>
      <sheetData sheetId="128">
        <row r="1">
          <cell r="B1">
            <v>0</v>
          </cell>
        </row>
      </sheetData>
      <sheetData sheetId="129">
        <row r="1">
          <cell r="B1">
            <v>0</v>
          </cell>
        </row>
      </sheetData>
      <sheetData sheetId="130">
        <row r="1">
          <cell r="B1">
            <v>0</v>
          </cell>
        </row>
      </sheetData>
      <sheetData sheetId="131">
        <row r="1">
          <cell r="B1">
            <v>0</v>
          </cell>
        </row>
      </sheetData>
      <sheetData sheetId="132">
        <row r="1">
          <cell r="B1">
            <v>0</v>
          </cell>
        </row>
      </sheetData>
      <sheetData sheetId="133">
        <row r="1">
          <cell r="B1">
            <v>0</v>
          </cell>
        </row>
      </sheetData>
      <sheetData sheetId="134">
        <row r="1">
          <cell r="B1">
            <v>0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1">
          <cell r="B1">
            <v>0</v>
          </cell>
        </row>
      </sheetData>
      <sheetData sheetId="145">
        <row r="1">
          <cell r="B1">
            <v>0</v>
          </cell>
        </row>
      </sheetData>
      <sheetData sheetId="146">
        <row r="1">
          <cell r="B1">
            <v>0</v>
          </cell>
        </row>
      </sheetData>
      <sheetData sheetId="147">
        <row r="1">
          <cell r="B1">
            <v>0</v>
          </cell>
        </row>
      </sheetData>
      <sheetData sheetId="148">
        <row r="1">
          <cell r="B1">
            <v>0</v>
          </cell>
        </row>
      </sheetData>
      <sheetData sheetId="149">
        <row r="1">
          <cell r="B1">
            <v>0</v>
          </cell>
        </row>
      </sheetData>
      <sheetData sheetId="150">
        <row r="1">
          <cell r="B1">
            <v>0</v>
          </cell>
        </row>
      </sheetData>
      <sheetData sheetId="151">
        <row r="1">
          <cell r="B1">
            <v>0</v>
          </cell>
        </row>
      </sheetData>
      <sheetData sheetId="152">
        <row r="1">
          <cell r="B1">
            <v>0</v>
          </cell>
        </row>
      </sheetData>
      <sheetData sheetId="153">
        <row r="1">
          <cell r="B1">
            <v>0</v>
          </cell>
        </row>
      </sheetData>
      <sheetData sheetId="154">
        <row r="1">
          <cell r="B1">
            <v>0</v>
          </cell>
        </row>
      </sheetData>
      <sheetData sheetId="155">
        <row r="1">
          <cell r="B1">
            <v>0</v>
          </cell>
        </row>
      </sheetData>
      <sheetData sheetId="156">
        <row r="1">
          <cell r="B1">
            <v>0</v>
          </cell>
        </row>
      </sheetData>
      <sheetData sheetId="157">
        <row r="1">
          <cell r="B1">
            <v>0</v>
          </cell>
        </row>
      </sheetData>
      <sheetData sheetId="158">
        <row r="1">
          <cell r="B1">
            <v>0</v>
          </cell>
        </row>
      </sheetData>
      <sheetData sheetId="159">
        <row r="1">
          <cell r="B1">
            <v>0</v>
          </cell>
        </row>
      </sheetData>
      <sheetData sheetId="160">
        <row r="1">
          <cell r="B1">
            <v>0</v>
          </cell>
        </row>
      </sheetData>
      <sheetData sheetId="161">
        <row r="1">
          <cell r="B1">
            <v>0</v>
          </cell>
        </row>
      </sheetData>
      <sheetData sheetId="162">
        <row r="1">
          <cell r="B1">
            <v>0</v>
          </cell>
        </row>
      </sheetData>
      <sheetData sheetId="163">
        <row r="1">
          <cell r="B1">
            <v>0</v>
          </cell>
        </row>
      </sheetData>
      <sheetData sheetId="164">
        <row r="1">
          <cell r="B1">
            <v>0</v>
          </cell>
        </row>
      </sheetData>
      <sheetData sheetId="165">
        <row r="1">
          <cell r="B1">
            <v>0</v>
          </cell>
        </row>
      </sheetData>
      <sheetData sheetId="166">
        <row r="1">
          <cell r="B1">
            <v>0</v>
          </cell>
        </row>
      </sheetData>
      <sheetData sheetId="167">
        <row r="1">
          <cell r="B1">
            <v>0</v>
          </cell>
        </row>
      </sheetData>
      <sheetData sheetId="168">
        <row r="1">
          <cell r="B1">
            <v>0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1">
          <cell r="B1">
            <v>0</v>
          </cell>
        </row>
      </sheetData>
      <sheetData sheetId="187">
        <row r="1">
          <cell r="B1">
            <v>0</v>
          </cell>
        </row>
      </sheetData>
      <sheetData sheetId="188"/>
      <sheetData sheetId="189">
        <row r="1">
          <cell r="B1">
            <v>0</v>
          </cell>
        </row>
      </sheetData>
      <sheetData sheetId="190">
        <row r="1">
          <cell r="B1">
            <v>0</v>
          </cell>
        </row>
      </sheetData>
      <sheetData sheetId="191">
        <row r="1">
          <cell r="B1">
            <v>0</v>
          </cell>
        </row>
      </sheetData>
      <sheetData sheetId="192" refreshError="1"/>
      <sheetData sheetId="193" refreshError="1"/>
      <sheetData sheetId="194" refreshError="1"/>
      <sheetData sheetId="195">
        <row r="1">
          <cell r="B1">
            <v>0</v>
          </cell>
        </row>
      </sheetData>
      <sheetData sheetId="196">
        <row r="1">
          <cell r="B1">
            <v>0</v>
          </cell>
        </row>
      </sheetData>
      <sheetData sheetId="197">
        <row r="1">
          <cell r="B1">
            <v>0</v>
          </cell>
        </row>
      </sheetData>
      <sheetData sheetId="198">
        <row r="1">
          <cell r="B1">
            <v>0</v>
          </cell>
        </row>
      </sheetData>
      <sheetData sheetId="199">
        <row r="1">
          <cell r="B1">
            <v>0</v>
          </cell>
        </row>
      </sheetData>
      <sheetData sheetId="200">
        <row r="1">
          <cell r="B1">
            <v>0</v>
          </cell>
        </row>
      </sheetData>
      <sheetData sheetId="201">
        <row r="1">
          <cell r="B1">
            <v>0</v>
          </cell>
        </row>
      </sheetData>
      <sheetData sheetId="202">
        <row r="1">
          <cell r="B1">
            <v>0</v>
          </cell>
        </row>
      </sheetData>
      <sheetData sheetId="203">
        <row r="1">
          <cell r="B1">
            <v>0</v>
          </cell>
        </row>
      </sheetData>
      <sheetData sheetId="204">
        <row r="1">
          <cell r="B1">
            <v>0</v>
          </cell>
        </row>
      </sheetData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">
          <cell r="B1">
            <v>0</v>
          </cell>
        </row>
      </sheetData>
      <sheetData sheetId="259">
        <row r="1">
          <cell r="B1">
            <v>0</v>
          </cell>
        </row>
      </sheetData>
      <sheetData sheetId="260">
        <row r="1">
          <cell r="B1">
            <v>0</v>
          </cell>
        </row>
      </sheetData>
      <sheetData sheetId="261">
        <row r="1">
          <cell r="B1">
            <v>0</v>
          </cell>
        </row>
      </sheetData>
      <sheetData sheetId="262">
        <row r="1">
          <cell r="B1">
            <v>0</v>
          </cell>
        </row>
      </sheetData>
      <sheetData sheetId="263">
        <row r="1">
          <cell r="B1">
            <v>0</v>
          </cell>
        </row>
      </sheetData>
      <sheetData sheetId="264">
        <row r="1">
          <cell r="B1">
            <v>0</v>
          </cell>
        </row>
      </sheetData>
      <sheetData sheetId="265">
        <row r="1">
          <cell r="B1">
            <v>0</v>
          </cell>
        </row>
      </sheetData>
      <sheetData sheetId="266">
        <row r="1">
          <cell r="B1">
            <v>0</v>
          </cell>
        </row>
      </sheetData>
      <sheetData sheetId="267">
        <row r="1">
          <cell r="B1">
            <v>0</v>
          </cell>
        </row>
      </sheetData>
      <sheetData sheetId="268">
        <row r="1">
          <cell r="B1">
            <v>0</v>
          </cell>
        </row>
      </sheetData>
      <sheetData sheetId="269">
        <row r="1">
          <cell r="B1">
            <v>0</v>
          </cell>
        </row>
      </sheetData>
      <sheetData sheetId="270">
        <row r="1">
          <cell r="B1">
            <v>0</v>
          </cell>
        </row>
      </sheetData>
      <sheetData sheetId="271">
        <row r="1">
          <cell r="B1">
            <v>0</v>
          </cell>
        </row>
      </sheetData>
      <sheetData sheetId="272">
        <row r="1">
          <cell r="B1">
            <v>0</v>
          </cell>
        </row>
      </sheetData>
      <sheetData sheetId="273">
        <row r="1">
          <cell r="B1">
            <v>0</v>
          </cell>
        </row>
      </sheetData>
      <sheetData sheetId="274">
        <row r="1">
          <cell r="B1">
            <v>0</v>
          </cell>
        </row>
      </sheetData>
      <sheetData sheetId="275">
        <row r="1">
          <cell r="B1">
            <v>0</v>
          </cell>
        </row>
      </sheetData>
      <sheetData sheetId="276">
        <row r="1">
          <cell r="B1">
            <v>0</v>
          </cell>
        </row>
      </sheetData>
      <sheetData sheetId="277">
        <row r="1">
          <cell r="B1">
            <v>0</v>
          </cell>
        </row>
      </sheetData>
      <sheetData sheetId="278">
        <row r="1">
          <cell r="B1">
            <v>0</v>
          </cell>
        </row>
      </sheetData>
      <sheetData sheetId="279">
        <row r="1">
          <cell r="B1">
            <v>0</v>
          </cell>
        </row>
      </sheetData>
      <sheetData sheetId="280">
        <row r="1">
          <cell r="B1">
            <v>0</v>
          </cell>
        </row>
      </sheetData>
      <sheetData sheetId="281">
        <row r="1">
          <cell r="B1">
            <v>0</v>
          </cell>
        </row>
      </sheetData>
      <sheetData sheetId="282">
        <row r="1">
          <cell r="B1">
            <v>0</v>
          </cell>
        </row>
      </sheetData>
      <sheetData sheetId="283">
        <row r="1">
          <cell r="B1">
            <v>0</v>
          </cell>
        </row>
      </sheetData>
      <sheetData sheetId="284">
        <row r="1">
          <cell r="B1">
            <v>0</v>
          </cell>
        </row>
      </sheetData>
      <sheetData sheetId="285">
        <row r="1">
          <cell r="B1">
            <v>0</v>
          </cell>
        </row>
      </sheetData>
      <sheetData sheetId="286">
        <row r="1">
          <cell r="B1">
            <v>0</v>
          </cell>
        </row>
      </sheetData>
      <sheetData sheetId="287">
        <row r="1">
          <cell r="B1">
            <v>0</v>
          </cell>
        </row>
      </sheetData>
      <sheetData sheetId="288">
        <row r="1">
          <cell r="B1">
            <v>0</v>
          </cell>
        </row>
      </sheetData>
      <sheetData sheetId="289">
        <row r="1">
          <cell r="B1">
            <v>0</v>
          </cell>
        </row>
      </sheetData>
      <sheetData sheetId="290">
        <row r="1">
          <cell r="B1">
            <v>0</v>
          </cell>
        </row>
      </sheetData>
      <sheetData sheetId="291">
        <row r="1">
          <cell r="B1">
            <v>0</v>
          </cell>
        </row>
      </sheetData>
      <sheetData sheetId="292">
        <row r="1">
          <cell r="B1">
            <v>0</v>
          </cell>
        </row>
      </sheetData>
      <sheetData sheetId="293">
        <row r="1">
          <cell r="B1">
            <v>0</v>
          </cell>
        </row>
      </sheetData>
      <sheetData sheetId="294">
        <row r="1">
          <cell r="B1">
            <v>0</v>
          </cell>
        </row>
      </sheetData>
      <sheetData sheetId="295">
        <row r="1">
          <cell r="B1">
            <v>0</v>
          </cell>
        </row>
      </sheetData>
      <sheetData sheetId="296">
        <row r="1">
          <cell r="B1">
            <v>0</v>
          </cell>
        </row>
      </sheetData>
      <sheetData sheetId="297">
        <row r="1">
          <cell r="B1">
            <v>0</v>
          </cell>
        </row>
      </sheetData>
      <sheetData sheetId="298">
        <row r="1">
          <cell r="B1">
            <v>0</v>
          </cell>
        </row>
      </sheetData>
      <sheetData sheetId="299">
        <row r="1">
          <cell r="B1">
            <v>0</v>
          </cell>
        </row>
      </sheetData>
      <sheetData sheetId="300">
        <row r="1">
          <cell r="B1">
            <v>0</v>
          </cell>
        </row>
      </sheetData>
      <sheetData sheetId="301">
        <row r="1">
          <cell r="B1">
            <v>0</v>
          </cell>
        </row>
      </sheetData>
      <sheetData sheetId="302">
        <row r="1">
          <cell r="B1">
            <v>0</v>
          </cell>
        </row>
      </sheetData>
      <sheetData sheetId="303">
        <row r="1">
          <cell r="B1">
            <v>0</v>
          </cell>
        </row>
      </sheetData>
      <sheetData sheetId="304">
        <row r="1">
          <cell r="B1">
            <v>0</v>
          </cell>
        </row>
      </sheetData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>
        <row r="1">
          <cell r="B1">
            <v>0</v>
          </cell>
        </row>
      </sheetData>
      <sheetData sheetId="339">
        <row r="1">
          <cell r="B1">
            <v>0</v>
          </cell>
        </row>
      </sheetData>
      <sheetData sheetId="340"/>
      <sheetData sheetId="341"/>
      <sheetData sheetId="342">
        <row r="1">
          <cell r="B1">
            <v>0</v>
          </cell>
        </row>
      </sheetData>
      <sheetData sheetId="343">
        <row r="1">
          <cell r="B1">
            <v>0</v>
          </cell>
        </row>
      </sheetData>
      <sheetData sheetId="344">
        <row r="1">
          <cell r="B1">
            <v>0</v>
          </cell>
        </row>
      </sheetData>
      <sheetData sheetId="345">
        <row r="1">
          <cell r="B1">
            <v>0</v>
          </cell>
        </row>
      </sheetData>
      <sheetData sheetId="346">
        <row r="1">
          <cell r="B1">
            <v>0</v>
          </cell>
        </row>
      </sheetData>
      <sheetData sheetId="347">
        <row r="1">
          <cell r="B1">
            <v>0</v>
          </cell>
        </row>
      </sheetData>
      <sheetData sheetId="348">
        <row r="1">
          <cell r="B1">
            <v>0</v>
          </cell>
        </row>
      </sheetData>
      <sheetData sheetId="349">
        <row r="1">
          <cell r="B1">
            <v>0</v>
          </cell>
        </row>
      </sheetData>
      <sheetData sheetId="350">
        <row r="1">
          <cell r="B1">
            <v>0</v>
          </cell>
        </row>
      </sheetData>
      <sheetData sheetId="351">
        <row r="1">
          <cell r="B1">
            <v>0</v>
          </cell>
        </row>
      </sheetData>
      <sheetData sheetId="352">
        <row r="1">
          <cell r="B1">
            <v>0</v>
          </cell>
        </row>
      </sheetData>
      <sheetData sheetId="353">
        <row r="1">
          <cell r="B1">
            <v>0</v>
          </cell>
        </row>
      </sheetData>
      <sheetData sheetId="354">
        <row r="1">
          <cell r="B1">
            <v>0</v>
          </cell>
        </row>
      </sheetData>
      <sheetData sheetId="355">
        <row r="1">
          <cell r="B1">
            <v>0</v>
          </cell>
        </row>
      </sheetData>
      <sheetData sheetId="356">
        <row r="1">
          <cell r="B1">
            <v>0</v>
          </cell>
        </row>
      </sheetData>
      <sheetData sheetId="357">
        <row r="1">
          <cell r="B1">
            <v>0</v>
          </cell>
        </row>
      </sheetData>
      <sheetData sheetId="358">
        <row r="1">
          <cell r="B1">
            <v>0</v>
          </cell>
        </row>
      </sheetData>
      <sheetData sheetId="359">
        <row r="1">
          <cell r="B1">
            <v>0</v>
          </cell>
        </row>
      </sheetData>
      <sheetData sheetId="360">
        <row r="1">
          <cell r="B1">
            <v>0</v>
          </cell>
        </row>
      </sheetData>
      <sheetData sheetId="361">
        <row r="1">
          <cell r="B1">
            <v>0</v>
          </cell>
        </row>
      </sheetData>
      <sheetData sheetId="362">
        <row r="1">
          <cell r="B1">
            <v>0</v>
          </cell>
        </row>
      </sheetData>
      <sheetData sheetId="363">
        <row r="1">
          <cell r="B1">
            <v>0</v>
          </cell>
        </row>
      </sheetData>
      <sheetData sheetId="364">
        <row r="1">
          <cell r="B1">
            <v>0</v>
          </cell>
        </row>
      </sheetData>
      <sheetData sheetId="365">
        <row r="1">
          <cell r="B1">
            <v>0</v>
          </cell>
        </row>
      </sheetData>
      <sheetData sheetId="366">
        <row r="1">
          <cell r="B1">
            <v>0</v>
          </cell>
        </row>
      </sheetData>
      <sheetData sheetId="367">
        <row r="1">
          <cell r="B1">
            <v>0</v>
          </cell>
        </row>
      </sheetData>
      <sheetData sheetId="368">
        <row r="1">
          <cell r="B1">
            <v>0</v>
          </cell>
        </row>
      </sheetData>
      <sheetData sheetId="369">
        <row r="1">
          <cell r="B1">
            <v>0</v>
          </cell>
        </row>
      </sheetData>
      <sheetData sheetId="370">
        <row r="1">
          <cell r="B1">
            <v>0</v>
          </cell>
        </row>
      </sheetData>
      <sheetData sheetId="371">
        <row r="1">
          <cell r="B1">
            <v>0</v>
          </cell>
        </row>
      </sheetData>
      <sheetData sheetId="372">
        <row r="1">
          <cell r="B1">
            <v>0</v>
          </cell>
        </row>
      </sheetData>
      <sheetData sheetId="373">
        <row r="1">
          <cell r="B1">
            <v>0</v>
          </cell>
        </row>
      </sheetData>
      <sheetData sheetId="374">
        <row r="1">
          <cell r="B1">
            <v>0</v>
          </cell>
        </row>
      </sheetData>
      <sheetData sheetId="375">
        <row r="1">
          <cell r="B1">
            <v>0</v>
          </cell>
        </row>
      </sheetData>
      <sheetData sheetId="376">
        <row r="1">
          <cell r="B1">
            <v>0</v>
          </cell>
        </row>
      </sheetData>
      <sheetData sheetId="377">
        <row r="1">
          <cell r="B1">
            <v>0</v>
          </cell>
        </row>
      </sheetData>
      <sheetData sheetId="378">
        <row r="1">
          <cell r="B1">
            <v>0</v>
          </cell>
        </row>
      </sheetData>
      <sheetData sheetId="379">
        <row r="1">
          <cell r="B1">
            <v>0</v>
          </cell>
        </row>
      </sheetData>
      <sheetData sheetId="380"/>
      <sheetData sheetId="381">
        <row r="1">
          <cell r="B1">
            <v>0</v>
          </cell>
        </row>
      </sheetData>
      <sheetData sheetId="382"/>
      <sheetData sheetId="383">
        <row r="1">
          <cell r="B1">
            <v>0</v>
          </cell>
        </row>
      </sheetData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>
        <row r="1">
          <cell r="B1">
            <v>0</v>
          </cell>
        </row>
      </sheetData>
      <sheetData sheetId="417">
        <row r="1">
          <cell r="B1">
            <v>0</v>
          </cell>
        </row>
      </sheetData>
      <sheetData sheetId="418"/>
      <sheetData sheetId="419"/>
      <sheetData sheetId="420"/>
      <sheetData sheetId="421"/>
      <sheetData sheetId="422"/>
      <sheetData sheetId="423"/>
      <sheetData sheetId="424">
        <row r="1">
          <cell r="B1">
            <v>0</v>
          </cell>
        </row>
      </sheetData>
      <sheetData sheetId="425">
        <row r="1">
          <cell r="B1">
            <v>0</v>
          </cell>
        </row>
      </sheetData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>
        <row r="1">
          <cell r="B1">
            <v>0</v>
          </cell>
        </row>
      </sheetData>
      <sheetData sheetId="436">
        <row r="1">
          <cell r="B1">
            <v>0</v>
          </cell>
        </row>
      </sheetData>
      <sheetData sheetId="437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/>
      <sheetData sheetId="496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OVER"/>
      <sheetName val="INDEX"/>
      <sheetName val="BAL"/>
      <sheetName val="P&amp;L"/>
      <sheetName val="NOTES "/>
      <sheetName val="NOTES_"/>
      <sheetName val="NOTES_1"/>
      <sheetName val="NOTES_2"/>
      <sheetName val="Indirect expenses"/>
      <sheetName val="Consolidated Groupings"/>
      <sheetName val="Indirect_expenses"/>
      <sheetName val="Consolidated_Groupings"/>
      <sheetName val="Scenarios"/>
      <sheetName val="Input Sheet"/>
      <sheetName val="CONTROL"/>
      <sheetName val="IRR Gaming"/>
      <sheetName val="P&amp;L breakup"/>
      <sheetName val="SPS DETAIL"/>
      <sheetName val="MODEL"/>
      <sheetName val="MSU"/>
      <sheetName val="FX"/>
      <sheetName val="Capital_by_Years_Valuation"/>
      <sheetName val="ReportsParameters"/>
      <sheetName val="Nopat_by_Years_Valuation"/>
      <sheetName val="Data"/>
      <sheetName val="Feedprice2"/>
      <sheetName val="Selprices1"/>
      <sheetName val="Selprices2"/>
      <sheetName val="ALL-IBANK-BRS"/>
      <sheetName val="Controls"/>
      <sheetName val="BS"/>
      <sheetName val="CFS"/>
      <sheetName val="NOTES_3"/>
      <sheetName val="NOTES_4"/>
      <sheetName val="NOTES_5"/>
      <sheetName val="NOTES_6"/>
      <sheetName val="NOTES_7"/>
      <sheetName val="Rates"/>
      <sheetName val="Groupings 2004"/>
      <sheetName val="CRITERIA5"/>
      <sheetName val="Additions"/>
      <sheetName val="NOTES_8"/>
      <sheetName val="NOTES_9"/>
      <sheetName val="NOTES_10"/>
      <sheetName val="Tools Rev"/>
      <sheetName val="Sheet1"/>
      <sheetName val="NOTES_11"/>
      <sheetName val="TODO"/>
      <sheetName val="hr table"/>
      <sheetName val="Lkps"/>
      <sheetName val="Cons Payout Perfomance"/>
      <sheetName val="Sales Perfomance FY 19-20"/>
      <sheetName val="Consol MRR"/>
      <sheetName val="Sheet2"/>
      <sheetName val="888_COMMSBOOKINGS"/>
      <sheetName val="888_COMMSTARGETS"/>
      <sheetName val="CRB CORRECTIONS FY1819"/>
      <sheetName val="IRU FY (ALL YEARS)"/>
      <sheetName val="IRU diff.Perf. FY 18-19 "/>
      <sheetName val="IRU diff. Perf. FY 17-18"/>
      <sheetName val="IRU.Diff.Per FY 16-17 "/>
      <sheetName val="AMJ'19 180+Debit"/>
      <sheetName val="AMJ'19 Winback"/>
      <sheetName val="Renewal Incentive"/>
      <sheetName val="O&amp;M"/>
      <sheetName val="SVS_ADMIN_DB_UPDATES"/>
      <sheetName val="hr_table"/>
      <sheetName val="Cons_Payout_Perfomance"/>
      <sheetName val="Sales_Perfomance_FY_19-20"/>
      <sheetName val="Consol_MRR"/>
      <sheetName val="CRB_CORRECTIONS_FY1819"/>
      <sheetName val="IRU_FY_(ALL_YEARS)"/>
      <sheetName val="IRU_diff_Perf__FY_18-19_"/>
      <sheetName val="IRU_diff__Perf__FY_17-18"/>
      <sheetName val="IRU_Diff_Per_FY_16-17_"/>
      <sheetName val="AMJ'19_180+Debit"/>
      <sheetName val="AMJ'19_Winback"/>
      <sheetName val="Renewal_Incentive"/>
      <sheetName val="NOTES_12"/>
      <sheetName val="hr_table1"/>
      <sheetName val="Cons_Payout_Perfomance1"/>
      <sheetName val="Sales_Perfomance_FY_19-201"/>
      <sheetName val="Consol_MRR1"/>
      <sheetName val="CRB_CORRECTIONS_FY18191"/>
      <sheetName val="IRU_FY_(ALL_YEARS)1"/>
      <sheetName val="IRU_diff_Perf__FY_18-19_1"/>
      <sheetName val="IRU_diff__Perf__FY_17-181"/>
      <sheetName val="IRU_Diff_Per_FY_16-17_1"/>
      <sheetName val="AMJ'19_180+Debit1"/>
      <sheetName val="AMJ'19_Winback1"/>
      <sheetName val="Renewal_Incentive1"/>
      <sheetName val="LEDGER"/>
      <sheetName val="Const QMS Dash Board"/>
      <sheetName val="procurement"/>
      <sheetName val="BPC"/>
      <sheetName val="RMMB_Convcst"/>
    </sheetNames>
    <sheetDataSet>
      <sheetData sheetId="0" refreshError="1">
        <row r="4">
          <cell r="B4" t="str">
            <v>September 30, 2003</v>
          </cell>
        </row>
        <row r="5">
          <cell r="B5" t="str">
            <v>March 31,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61">
          <cell r="D61">
            <v>1112000</v>
          </cell>
        </row>
      </sheetData>
      <sheetData sheetId="6">
        <row r="61">
          <cell r="D61">
            <v>1112000</v>
          </cell>
        </row>
      </sheetData>
      <sheetData sheetId="7">
        <row r="61">
          <cell r="D61">
            <v>1112000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1">
          <cell r="D61">
            <v>1112000</v>
          </cell>
        </row>
      </sheetData>
      <sheetData sheetId="34">
        <row r="61">
          <cell r="D61">
            <v>1112000</v>
          </cell>
        </row>
      </sheetData>
      <sheetData sheetId="35">
        <row r="61">
          <cell r="D61">
            <v>1112000</v>
          </cell>
        </row>
      </sheetData>
      <sheetData sheetId="36">
        <row r="61">
          <cell r="D61">
            <v>1112000</v>
          </cell>
        </row>
      </sheetData>
      <sheetData sheetId="37">
        <row r="61">
          <cell r="D61">
            <v>1112000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>
        <row r="61">
          <cell r="D61">
            <v>1112000</v>
          </cell>
        </row>
      </sheetData>
      <sheetData sheetId="43">
        <row r="4">
          <cell r="B4" t="str">
            <v>RptName</v>
          </cell>
        </row>
      </sheetData>
      <sheetData sheetId="44" refreshError="1"/>
      <sheetData sheetId="45" refreshError="1"/>
      <sheetData sheetId="46" refreshError="1"/>
      <sheetData sheetId="47"/>
      <sheetData sheetId="48">
        <row r="4">
          <cell r="B4" t="str">
            <v>RptName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B4" t="str">
            <v>RptName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CFLOW"/>
      <sheetName val="construction"/>
      <sheetName val="C"/>
      <sheetName val="returns"/>
      <sheetName val="Loan Amo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"/>
      <sheetName val="Sheet1"/>
      <sheetName val="1997-1998"/>
      <sheetName val="1998-1999"/>
      <sheetName val="1999-2000"/>
      <sheetName val="2000-01"/>
      <sheetName val="2001-02"/>
      <sheetName val="2002-03"/>
      <sheetName val="2003-04"/>
      <sheetName val="2004-05"/>
      <sheetName val="2005-06"/>
      <sheetName val="2006-07"/>
      <sheetName val="2007-08"/>
      <sheetName val="2008-09"/>
      <sheetName val="2009-10"/>
      <sheetName val="2010-11"/>
      <sheetName val="2011-12"/>
      <sheetName val="2012-13"/>
      <sheetName val="2013-14"/>
      <sheetName val="2014-15"/>
      <sheetName val="2014-15-U-2ESD"/>
      <sheetName val="Yly-Gen"/>
      <sheetName val="Data"/>
      <sheetName val="Since Comm,"/>
      <sheetName val="History Data"/>
      <sheetName val="Gen.Data 87-97"/>
      <sheetName val="C.F., C.V. &amp; H.R."/>
      <sheetName val="Gen., Coal Factor, Heat Rate"/>
      <sheetName val="SAP-Data"/>
      <sheetName val="Assumptions"/>
      <sheetName val="Assumption_P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y Region"/>
      <sheetName val="Assumptions"/>
      <sheetName val="Data"/>
      <sheetName val="Bloomberg"/>
      <sheetName val="Setting"/>
      <sheetName val="Descriptions"/>
      <sheetName val="Estimates Sheet"/>
      <sheetName val="Old Estimates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ummary"/>
      <sheetName val="Master Sheet"/>
      <sheetName val="Biz Projections"/>
    </sheetNames>
    <sheetDataSet>
      <sheetData sheetId="0">
        <row r="2">
          <cell r="A2">
            <v>1</v>
          </cell>
          <cell r="B2">
            <v>0.1</v>
          </cell>
          <cell r="C2">
            <v>5.0000000000000001E-3</v>
          </cell>
        </row>
        <row r="3">
          <cell r="A3">
            <v>2</v>
          </cell>
          <cell r="B3">
            <v>0.2</v>
          </cell>
          <cell r="C3">
            <v>0.01</v>
          </cell>
        </row>
        <row r="4">
          <cell r="A4">
            <v>3</v>
          </cell>
          <cell r="B4">
            <v>0.3</v>
          </cell>
          <cell r="C4">
            <v>1.4999999999999999E-2</v>
          </cell>
        </row>
        <row r="5">
          <cell r="A5">
            <v>4</v>
          </cell>
          <cell r="B5">
            <v>0.4</v>
          </cell>
          <cell r="C5">
            <v>0.02</v>
          </cell>
        </row>
        <row r="6">
          <cell r="A6">
            <v>5</v>
          </cell>
          <cell r="B6">
            <v>0.5</v>
          </cell>
          <cell r="C6">
            <v>2.5000000000000001E-2</v>
          </cell>
        </row>
        <row r="7">
          <cell r="A7">
            <v>6</v>
          </cell>
          <cell r="B7">
            <v>0.6</v>
          </cell>
          <cell r="C7">
            <v>0.03</v>
          </cell>
        </row>
        <row r="8">
          <cell r="A8">
            <v>7</v>
          </cell>
          <cell r="B8">
            <v>0.7</v>
          </cell>
          <cell r="C8">
            <v>3.5000000000000003E-2</v>
          </cell>
        </row>
        <row r="9">
          <cell r="A9">
            <v>8</v>
          </cell>
          <cell r="B9">
            <v>0.8</v>
          </cell>
          <cell r="C9">
            <v>0.04</v>
          </cell>
        </row>
        <row r="10">
          <cell r="A10">
            <v>9</v>
          </cell>
          <cell r="B10">
            <v>0.9</v>
          </cell>
          <cell r="C10">
            <v>4.4999999999999998E-2</v>
          </cell>
        </row>
        <row r="11">
          <cell r="A11">
            <v>10</v>
          </cell>
          <cell r="B11">
            <v>1</v>
          </cell>
          <cell r="C11">
            <v>0.05</v>
          </cell>
        </row>
        <row r="12">
          <cell r="A12">
            <v>11</v>
          </cell>
          <cell r="B12">
            <v>1.1000000000000001</v>
          </cell>
          <cell r="C12">
            <v>5.5E-2</v>
          </cell>
        </row>
        <row r="13">
          <cell r="A13">
            <v>12</v>
          </cell>
          <cell r="B13">
            <v>1.2</v>
          </cell>
          <cell r="C13">
            <v>0.06</v>
          </cell>
        </row>
        <row r="14">
          <cell r="A14">
            <v>13</v>
          </cell>
          <cell r="B14">
            <v>1.3</v>
          </cell>
          <cell r="C14">
            <v>6.5000000000000002E-2</v>
          </cell>
        </row>
        <row r="15">
          <cell r="A15">
            <v>14</v>
          </cell>
          <cell r="B15">
            <v>1.4</v>
          </cell>
          <cell r="C15">
            <v>7.0000000000000007E-2</v>
          </cell>
        </row>
        <row r="16">
          <cell r="A16">
            <v>15</v>
          </cell>
          <cell r="B16">
            <v>1.5</v>
          </cell>
          <cell r="C16">
            <v>7.4999999999999997E-2</v>
          </cell>
        </row>
        <row r="17">
          <cell r="A17">
            <v>16</v>
          </cell>
          <cell r="B17">
            <v>1.6</v>
          </cell>
          <cell r="C17">
            <v>0.08</v>
          </cell>
        </row>
        <row r="18">
          <cell r="A18">
            <v>17</v>
          </cell>
          <cell r="B18">
            <v>1.7</v>
          </cell>
          <cell r="C18">
            <v>8.5000000000000006E-2</v>
          </cell>
        </row>
        <row r="19">
          <cell r="A19">
            <v>18</v>
          </cell>
          <cell r="B19">
            <v>1.8</v>
          </cell>
          <cell r="C19">
            <v>0.09</v>
          </cell>
        </row>
        <row r="20">
          <cell r="A20">
            <v>19</v>
          </cell>
          <cell r="B20">
            <v>1.9</v>
          </cell>
          <cell r="C20">
            <v>9.5000000000000001E-2</v>
          </cell>
        </row>
        <row r="21">
          <cell r="A21">
            <v>20</v>
          </cell>
          <cell r="B21">
            <v>2</v>
          </cell>
          <cell r="C21">
            <v>0.1</v>
          </cell>
        </row>
        <row r="22">
          <cell r="A22">
            <v>21</v>
          </cell>
          <cell r="B22">
            <v>2.1</v>
          </cell>
          <cell r="C22">
            <v>0.105</v>
          </cell>
        </row>
        <row r="23">
          <cell r="A23">
            <v>22</v>
          </cell>
          <cell r="B23">
            <v>2.2000000000000002</v>
          </cell>
          <cell r="C23">
            <v>0.11</v>
          </cell>
        </row>
        <row r="24">
          <cell r="A24">
            <v>23</v>
          </cell>
          <cell r="B24">
            <v>2.2999999999999998</v>
          </cell>
          <cell r="C24">
            <v>0.115</v>
          </cell>
        </row>
        <row r="25">
          <cell r="A25">
            <v>24</v>
          </cell>
          <cell r="B25">
            <v>2.4</v>
          </cell>
          <cell r="C25">
            <v>0.12</v>
          </cell>
        </row>
        <row r="26">
          <cell r="A26">
            <v>25</v>
          </cell>
          <cell r="B26">
            <v>2.5</v>
          </cell>
          <cell r="C26">
            <v>0.125</v>
          </cell>
        </row>
        <row r="27">
          <cell r="A27">
            <v>26</v>
          </cell>
          <cell r="B27">
            <v>2.6</v>
          </cell>
          <cell r="C27">
            <v>0.13</v>
          </cell>
        </row>
        <row r="28">
          <cell r="A28">
            <v>27</v>
          </cell>
          <cell r="B28">
            <v>2.7</v>
          </cell>
          <cell r="C28">
            <v>0.13500000000000001</v>
          </cell>
        </row>
        <row r="29">
          <cell r="A29">
            <v>28</v>
          </cell>
          <cell r="B29">
            <v>2.8</v>
          </cell>
          <cell r="C29">
            <v>0.14000000000000001</v>
          </cell>
        </row>
        <row r="30">
          <cell r="A30">
            <v>29</v>
          </cell>
          <cell r="B30">
            <v>2.9</v>
          </cell>
          <cell r="C30">
            <v>0.14499999999999999</v>
          </cell>
        </row>
        <row r="31">
          <cell r="A31">
            <v>30</v>
          </cell>
          <cell r="B31">
            <v>3</v>
          </cell>
          <cell r="C31">
            <v>0.15</v>
          </cell>
        </row>
        <row r="32">
          <cell r="A32">
            <v>31</v>
          </cell>
          <cell r="B32">
            <v>3.1</v>
          </cell>
          <cell r="C32">
            <v>0.155</v>
          </cell>
        </row>
        <row r="33">
          <cell r="A33">
            <v>32</v>
          </cell>
          <cell r="B33">
            <v>3.2</v>
          </cell>
          <cell r="C33">
            <v>0.16</v>
          </cell>
        </row>
        <row r="34">
          <cell r="A34">
            <v>33</v>
          </cell>
          <cell r="B34">
            <v>3.3</v>
          </cell>
          <cell r="C34">
            <v>0.16500000000000001</v>
          </cell>
        </row>
        <row r="35">
          <cell r="A35">
            <v>34</v>
          </cell>
          <cell r="B35">
            <v>3.4</v>
          </cell>
          <cell r="C35">
            <v>0.17</v>
          </cell>
        </row>
        <row r="36">
          <cell r="A36">
            <v>35</v>
          </cell>
          <cell r="B36">
            <v>3.5</v>
          </cell>
          <cell r="C36">
            <v>0.17499999999999999</v>
          </cell>
        </row>
        <row r="37">
          <cell r="A37">
            <v>36</v>
          </cell>
          <cell r="B37">
            <v>3.6</v>
          </cell>
          <cell r="C37">
            <v>0.18</v>
          </cell>
        </row>
        <row r="38">
          <cell r="A38">
            <v>37</v>
          </cell>
          <cell r="B38">
            <v>3.7</v>
          </cell>
          <cell r="C38">
            <v>0.185</v>
          </cell>
        </row>
        <row r="39">
          <cell r="A39">
            <v>38</v>
          </cell>
          <cell r="B39">
            <v>3.8</v>
          </cell>
          <cell r="C39">
            <v>0.19</v>
          </cell>
        </row>
        <row r="40">
          <cell r="A40">
            <v>39</v>
          </cell>
          <cell r="B40">
            <v>3.9</v>
          </cell>
          <cell r="C40">
            <v>0.19500000000000001</v>
          </cell>
        </row>
        <row r="41">
          <cell r="A41">
            <v>40</v>
          </cell>
          <cell r="B41">
            <v>4</v>
          </cell>
          <cell r="C41">
            <v>0.2</v>
          </cell>
        </row>
        <row r="42">
          <cell r="A42">
            <v>41</v>
          </cell>
          <cell r="B42">
            <v>4.0999999999999996</v>
          </cell>
          <cell r="C42">
            <v>0.20499999999999999</v>
          </cell>
        </row>
        <row r="43">
          <cell r="A43">
            <v>42</v>
          </cell>
          <cell r="B43">
            <v>4.2</v>
          </cell>
          <cell r="C43">
            <v>0.21</v>
          </cell>
        </row>
        <row r="44">
          <cell r="A44">
            <v>43</v>
          </cell>
          <cell r="B44">
            <v>4.3</v>
          </cell>
          <cell r="C44">
            <v>0.215</v>
          </cell>
        </row>
        <row r="45">
          <cell r="A45">
            <v>44</v>
          </cell>
          <cell r="B45">
            <v>4.4000000000000004</v>
          </cell>
          <cell r="C45">
            <v>0.22</v>
          </cell>
        </row>
        <row r="46">
          <cell r="A46">
            <v>45</v>
          </cell>
          <cell r="B46">
            <v>4.5</v>
          </cell>
          <cell r="C46">
            <v>0.22500000000000001</v>
          </cell>
        </row>
        <row r="47">
          <cell r="A47">
            <v>46</v>
          </cell>
          <cell r="B47">
            <v>4.5999999999999996</v>
          </cell>
          <cell r="C47">
            <v>0.23</v>
          </cell>
        </row>
        <row r="48">
          <cell r="A48">
            <v>47</v>
          </cell>
          <cell r="B48">
            <v>4.7</v>
          </cell>
          <cell r="C48">
            <v>0.23499999999999999</v>
          </cell>
        </row>
        <row r="49">
          <cell r="A49">
            <v>48</v>
          </cell>
          <cell r="B49">
            <v>4.8</v>
          </cell>
          <cell r="C49">
            <v>0.24</v>
          </cell>
        </row>
        <row r="50">
          <cell r="A50">
            <v>49</v>
          </cell>
          <cell r="B50">
            <v>4.9000000000000004</v>
          </cell>
          <cell r="C50">
            <v>0.245</v>
          </cell>
        </row>
        <row r="51">
          <cell r="A51">
            <v>50</v>
          </cell>
          <cell r="B51">
            <v>5</v>
          </cell>
          <cell r="C51">
            <v>0.25</v>
          </cell>
        </row>
        <row r="52">
          <cell r="A52">
            <v>51</v>
          </cell>
          <cell r="C52">
            <v>0.255</v>
          </cell>
        </row>
        <row r="53">
          <cell r="A53">
            <v>52</v>
          </cell>
          <cell r="C53">
            <v>0.26</v>
          </cell>
        </row>
        <row r="54">
          <cell r="A54">
            <v>53</v>
          </cell>
          <cell r="C54">
            <v>0.26500000000000001</v>
          </cell>
        </row>
        <row r="55">
          <cell r="A55">
            <v>54</v>
          </cell>
          <cell r="C55">
            <v>0.27</v>
          </cell>
        </row>
        <row r="56">
          <cell r="A56">
            <v>55</v>
          </cell>
          <cell r="C56">
            <v>0.27500000000000002</v>
          </cell>
        </row>
        <row r="57">
          <cell r="A57">
            <v>56</v>
          </cell>
          <cell r="C57">
            <v>0.28000000000000003</v>
          </cell>
        </row>
        <row r="58">
          <cell r="A58">
            <v>57</v>
          </cell>
          <cell r="C58">
            <v>0.28499999999999998</v>
          </cell>
        </row>
        <row r="59">
          <cell r="A59">
            <v>58</v>
          </cell>
          <cell r="C59">
            <v>0.28999999999999998</v>
          </cell>
        </row>
        <row r="60">
          <cell r="A60">
            <v>59</v>
          </cell>
          <cell r="C60">
            <v>0.29499999999999998</v>
          </cell>
        </row>
        <row r="61">
          <cell r="A61">
            <v>60</v>
          </cell>
          <cell r="C61">
            <v>0.3</v>
          </cell>
        </row>
        <row r="62">
          <cell r="A62">
            <v>61</v>
          </cell>
          <cell r="C62">
            <v>0.30499999999999999</v>
          </cell>
        </row>
        <row r="63">
          <cell r="A63">
            <v>62</v>
          </cell>
          <cell r="C63">
            <v>0.31</v>
          </cell>
        </row>
        <row r="64">
          <cell r="A64">
            <v>63</v>
          </cell>
          <cell r="C64">
            <v>0.315</v>
          </cell>
        </row>
        <row r="65">
          <cell r="A65">
            <v>64</v>
          </cell>
          <cell r="C65">
            <v>0.32</v>
          </cell>
        </row>
        <row r="66">
          <cell r="A66">
            <v>65</v>
          </cell>
          <cell r="C66">
            <v>0.32500000000000001</v>
          </cell>
        </row>
        <row r="67">
          <cell r="A67">
            <v>66</v>
          </cell>
          <cell r="C67">
            <v>0.33</v>
          </cell>
        </row>
        <row r="68">
          <cell r="A68">
            <v>67</v>
          </cell>
          <cell r="C68">
            <v>0.33500000000000002</v>
          </cell>
        </row>
        <row r="69">
          <cell r="A69">
            <v>68</v>
          </cell>
          <cell r="C69">
            <v>0.34</v>
          </cell>
        </row>
        <row r="70">
          <cell r="A70">
            <v>69</v>
          </cell>
          <cell r="C70">
            <v>0.34499999999999997</v>
          </cell>
        </row>
        <row r="71">
          <cell r="A71">
            <v>70</v>
          </cell>
          <cell r="C71">
            <v>0.35</v>
          </cell>
        </row>
        <row r="72">
          <cell r="A72">
            <v>71</v>
          </cell>
          <cell r="C72">
            <v>0.35499999999999998</v>
          </cell>
        </row>
        <row r="73">
          <cell r="A73">
            <v>72</v>
          </cell>
          <cell r="C73">
            <v>0.36</v>
          </cell>
        </row>
        <row r="74">
          <cell r="A74">
            <v>73</v>
          </cell>
          <cell r="C74">
            <v>0.36499999999999999</v>
          </cell>
        </row>
        <row r="75">
          <cell r="A75">
            <v>74</v>
          </cell>
          <cell r="C75">
            <v>0.37</v>
          </cell>
        </row>
        <row r="76">
          <cell r="A76">
            <v>75</v>
          </cell>
          <cell r="C76">
            <v>0.375</v>
          </cell>
        </row>
        <row r="77">
          <cell r="A77">
            <v>76</v>
          </cell>
          <cell r="C77">
            <v>0.38</v>
          </cell>
        </row>
        <row r="78">
          <cell r="A78">
            <v>77</v>
          </cell>
          <cell r="C78">
            <v>0.38500000000000001</v>
          </cell>
        </row>
        <row r="79">
          <cell r="A79">
            <v>78</v>
          </cell>
          <cell r="C79">
            <v>0.39</v>
          </cell>
        </row>
        <row r="80">
          <cell r="A80">
            <v>79</v>
          </cell>
          <cell r="C80">
            <v>0.39500000000000002</v>
          </cell>
        </row>
        <row r="81">
          <cell r="A81">
            <v>80</v>
          </cell>
          <cell r="C81">
            <v>0.4</v>
          </cell>
        </row>
        <row r="82">
          <cell r="A82">
            <v>81</v>
          </cell>
          <cell r="C82">
            <v>0.40500000000000003</v>
          </cell>
        </row>
        <row r="83">
          <cell r="A83">
            <v>82</v>
          </cell>
          <cell r="C83">
            <v>0.41</v>
          </cell>
        </row>
        <row r="84">
          <cell r="A84">
            <v>83</v>
          </cell>
          <cell r="C84">
            <v>0.41499999999999998</v>
          </cell>
        </row>
        <row r="85">
          <cell r="A85">
            <v>84</v>
          </cell>
          <cell r="C85">
            <v>0.42</v>
          </cell>
        </row>
        <row r="86">
          <cell r="A86">
            <v>85</v>
          </cell>
          <cell r="C86">
            <v>0.42499999999999999</v>
          </cell>
        </row>
        <row r="87">
          <cell r="A87">
            <v>86</v>
          </cell>
          <cell r="C87">
            <v>0.43</v>
          </cell>
        </row>
        <row r="88">
          <cell r="A88">
            <v>87</v>
          </cell>
          <cell r="C88">
            <v>0.435</v>
          </cell>
        </row>
        <row r="89">
          <cell r="A89">
            <v>88</v>
          </cell>
          <cell r="C89">
            <v>0.44</v>
          </cell>
        </row>
        <row r="90">
          <cell r="A90">
            <v>89</v>
          </cell>
          <cell r="C90">
            <v>0.44500000000000001</v>
          </cell>
        </row>
        <row r="91">
          <cell r="A91">
            <v>90</v>
          </cell>
          <cell r="C91">
            <v>0.45</v>
          </cell>
        </row>
        <row r="92">
          <cell r="A92">
            <v>91</v>
          </cell>
          <cell r="C92">
            <v>0.45500000000000002</v>
          </cell>
        </row>
        <row r="93">
          <cell r="A93">
            <v>92</v>
          </cell>
          <cell r="C93">
            <v>0.46</v>
          </cell>
        </row>
        <row r="94">
          <cell r="A94">
            <v>93</v>
          </cell>
          <cell r="C94">
            <v>0.46500000000000002</v>
          </cell>
        </row>
        <row r="95">
          <cell r="A95">
            <v>94</v>
          </cell>
          <cell r="C95">
            <v>0.47</v>
          </cell>
        </row>
        <row r="96">
          <cell r="A96">
            <v>95</v>
          </cell>
          <cell r="C96">
            <v>0.47499999999999998</v>
          </cell>
        </row>
        <row r="97">
          <cell r="A97">
            <v>96</v>
          </cell>
          <cell r="C97">
            <v>0.48</v>
          </cell>
        </row>
        <row r="98">
          <cell r="A98">
            <v>97</v>
          </cell>
          <cell r="C98">
            <v>0.48499999999999999</v>
          </cell>
        </row>
        <row r="99">
          <cell r="A99">
            <v>98</v>
          </cell>
          <cell r="C99">
            <v>0.49</v>
          </cell>
        </row>
        <row r="100">
          <cell r="A100">
            <v>99</v>
          </cell>
          <cell r="C100">
            <v>0.495</v>
          </cell>
        </row>
        <row r="101">
          <cell r="A101">
            <v>100</v>
          </cell>
          <cell r="C101">
            <v>0.5</v>
          </cell>
        </row>
        <row r="102">
          <cell r="C102">
            <v>0.505</v>
          </cell>
        </row>
        <row r="103">
          <cell r="C103">
            <v>0.51</v>
          </cell>
        </row>
        <row r="104">
          <cell r="C104">
            <v>0.51500000000000001</v>
          </cell>
        </row>
        <row r="105">
          <cell r="C105">
            <v>0.52</v>
          </cell>
        </row>
        <row r="106">
          <cell r="C106">
            <v>0.52500000000000002</v>
          </cell>
        </row>
        <row r="107">
          <cell r="C107">
            <v>0.53</v>
          </cell>
        </row>
        <row r="108">
          <cell r="C108">
            <v>0.53500000000000003</v>
          </cell>
        </row>
        <row r="109">
          <cell r="C109">
            <v>0.54</v>
          </cell>
        </row>
        <row r="110">
          <cell r="C110">
            <v>0.54500000000000004</v>
          </cell>
        </row>
        <row r="111">
          <cell r="C111">
            <v>0.55000000000000004</v>
          </cell>
        </row>
        <row r="112">
          <cell r="C112">
            <v>0.55500000000000005</v>
          </cell>
        </row>
        <row r="113">
          <cell r="C113">
            <v>0.56000000000000005</v>
          </cell>
        </row>
        <row r="114">
          <cell r="C114">
            <v>0.56499999999999995</v>
          </cell>
        </row>
        <row r="115">
          <cell r="C115">
            <v>0.56999999999999995</v>
          </cell>
        </row>
        <row r="116">
          <cell r="C116">
            <v>0.57499999999999996</v>
          </cell>
        </row>
        <row r="117">
          <cell r="C117">
            <v>0.57999999999999996</v>
          </cell>
        </row>
        <row r="118">
          <cell r="C118">
            <v>0.58499999999999996</v>
          </cell>
        </row>
        <row r="119">
          <cell r="C119">
            <v>0.59</v>
          </cell>
        </row>
        <row r="120">
          <cell r="C120">
            <v>0.59499999999999997</v>
          </cell>
        </row>
        <row r="121">
          <cell r="C121">
            <v>0.6</v>
          </cell>
        </row>
        <row r="122">
          <cell r="C122">
            <v>0.60499999999999998</v>
          </cell>
        </row>
        <row r="123">
          <cell r="C123">
            <v>0.61</v>
          </cell>
        </row>
        <row r="124">
          <cell r="C124">
            <v>0.61499999999999999</v>
          </cell>
        </row>
        <row r="125">
          <cell r="C125">
            <v>0.62</v>
          </cell>
        </row>
        <row r="126">
          <cell r="C126">
            <v>0.625</v>
          </cell>
        </row>
        <row r="127">
          <cell r="C127">
            <v>0.63</v>
          </cell>
        </row>
        <row r="128">
          <cell r="C128">
            <v>0.63500000000000001</v>
          </cell>
        </row>
        <row r="129">
          <cell r="C129">
            <v>0.64</v>
          </cell>
        </row>
        <row r="130">
          <cell r="C130">
            <v>0.64500000000000002</v>
          </cell>
        </row>
        <row r="131">
          <cell r="C131">
            <v>0.65</v>
          </cell>
        </row>
        <row r="132">
          <cell r="C132">
            <v>0.65500000000000003</v>
          </cell>
        </row>
        <row r="133">
          <cell r="C133">
            <v>0.66</v>
          </cell>
        </row>
        <row r="134">
          <cell r="C134">
            <v>0.66500000000000004</v>
          </cell>
        </row>
        <row r="135">
          <cell r="C135">
            <v>0.67</v>
          </cell>
        </row>
        <row r="136">
          <cell r="C136">
            <v>0.67500000000000004</v>
          </cell>
        </row>
        <row r="137">
          <cell r="C137">
            <v>0.68</v>
          </cell>
        </row>
        <row r="138">
          <cell r="C138">
            <v>0.68500000000000005</v>
          </cell>
        </row>
        <row r="139">
          <cell r="C139">
            <v>0.69</v>
          </cell>
        </row>
        <row r="140">
          <cell r="C140">
            <v>0.69499999999999995</v>
          </cell>
        </row>
        <row r="141">
          <cell r="C141">
            <v>0.7</v>
          </cell>
        </row>
        <row r="142">
          <cell r="C142">
            <v>0.70499999999999996</v>
          </cell>
        </row>
        <row r="143">
          <cell r="C143">
            <v>0.71</v>
          </cell>
        </row>
        <row r="144">
          <cell r="C144">
            <v>0.71499999999999997</v>
          </cell>
        </row>
        <row r="145">
          <cell r="C145">
            <v>0.72</v>
          </cell>
        </row>
        <row r="146">
          <cell r="C146">
            <v>0.72499999999999998</v>
          </cell>
        </row>
        <row r="147">
          <cell r="C147">
            <v>0.73</v>
          </cell>
        </row>
        <row r="148">
          <cell r="C148">
            <v>0.73499999999999999</v>
          </cell>
        </row>
        <row r="149">
          <cell r="C149">
            <v>0.74</v>
          </cell>
        </row>
        <row r="150">
          <cell r="C150">
            <v>0.745</v>
          </cell>
        </row>
        <row r="151">
          <cell r="C151">
            <v>0.75</v>
          </cell>
        </row>
        <row r="152">
          <cell r="C152">
            <v>0.755</v>
          </cell>
        </row>
        <row r="153">
          <cell r="C153">
            <v>0.76</v>
          </cell>
        </row>
        <row r="154">
          <cell r="C154">
            <v>0.76500000000000001</v>
          </cell>
        </row>
        <row r="155">
          <cell r="C155">
            <v>0.77</v>
          </cell>
        </row>
        <row r="156">
          <cell r="C156">
            <v>0.77500000000000002</v>
          </cell>
        </row>
        <row r="157">
          <cell r="C157">
            <v>0.78</v>
          </cell>
        </row>
        <row r="158">
          <cell r="C158">
            <v>0.78500000000000003</v>
          </cell>
        </row>
        <row r="159">
          <cell r="C159">
            <v>0.79</v>
          </cell>
        </row>
        <row r="160">
          <cell r="C160">
            <v>0.79500000000000004</v>
          </cell>
        </row>
        <row r="161">
          <cell r="C161">
            <v>0.8</v>
          </cell>
        </row>
        <row r="162">
          <cell r="C162">
            <v>0.80500000000000005</v>
          </cell>
        </row>
        <row r="163">
          <cell r="C163">
            <v>0.81</v>
          </cell>
        </row>
        <row r="164">
          <cell r="C164">
            <v>0.81499999999999995</v>
          </cell>
        </row>
        <row r="165">
          <cell r="C165">
            <v>0.82</v>
          </cell>
        </row>
        <row r="166">
          <cell r="C166">
            <v>0.82499999999999996</v>
          </cell>
        </row>
        <row r="167">
          <cell r="C167">
            <v>0.83</v>
          </cell>
        </row>
        <row r="168">
          <cell r="C168">
            <v>0.83499999999999996</v>
          </cell>
        </row>
        <row r="169">
          <cell r="C169">
            <v>0.84</v>
          </cell>
        </row>
        <row r="170">
          <cell r="C170">
            <v>0.84499999999999997</v>
          </cell>
        </row>
        <row r="171">
          <cell r="C171">
            <v>0.85</v>
          </cell>
        </row>
        <row r="172">
          <cell r="C172">
            <v>0.85499999999999998</v>
          </cell>
        </row>
        <row r="173">
          <cell r="C173">
            <v>0.86</v>
          </cell>
        </row>
        <row r="174">
          <cell r="C174">
            <v>0.86499999999999999</v>
          </cell>
        </row>
        <row r="175">
          <cell r="C175">
            <v>0.87</v>
          </cell>
        </row>
        <row r="176">
          <cell r="C176">
            <v>0.875</v>
          </cell>
        </row>
        <row r="177">
          <cell r="C177">
            <v>0.88</v>
          </cell>
        </row>
        <row r="178">
          <cell r="C178">
            <v>0.88500000000000001</v>
          </cell>
        </row>
        <row r="179">
          <cell r="C179">
            <v>0.89</v>
          </cell>
        </row>
        <row r="180">
          <cell r="C180">
            <v>0.89500000000000002</v>
          </cell>
        </row>
        <row r="181">
          <cell r="C181">
            <v>0.9</v>
          </cell>
        </row>
        <row r="182">
          <cell r="C182">
            <v>0.90500000000000003</v>
          </cell>
        </row>
        <row r="183">
          <cell r="C183">
            <v>0.91</v>
          </cell>
        </row>
        <row r="184">
          <cell r="C184">
            <v>0.91500000000000004</v>
          </cell>
        </row>
        <row r="185">
          <cell r="C185">
            <v>0.92</v>
          </cell>
        </row>
        <row r="186">
          <cell r="C186">
            <v>0.92500000000000004</v>
          </cell>
        </row>
        <row r="187">
          <cell r="C187">
            <v>0.93</v>
          </cell>
        </row>
        <row r="188">
          <cell r="C188">
            <v>0.93500000000000005</v>
          </cell>
        </row>
        <row r="189">
          <cell r="C189">
            <v>0.94</v>
          </cell>
        </row>
        <row r="190">
          <cell r="C190">
            <v>0.94499999999999995</v>
          </cell>
        </row>
        <row r="191">
          <cell r="C191">
            <v>0.95</v>
          </cell>
        </row>
        <row r="192">
          <cell r="C192">
            <v>0.95499999999999996</v>
          </cell>
        </row>
        <row r="193">
          <cell r="C193">
            <v>0.96</v>
          </cell>
        </row>
        <row r="194">
          <cell r="C194">
            <v>0.96499999999999997</v>
          </cell>
        </row>
        <row r="195">
          <cell r="C195">
            <v>0.97</v>
          </cell>
        </row>
        <row r="196">
          <cell r="C196">
            <v>0.97499999999999998</v>
          </cell>
        </row>
        <row r="197">
          <cell r="C197">
            <v>0.98</v>
          </cell>
        </row>
        <row r="198">
          <cell r="C198">
            <v>0.98499999999999999</v>
          </cell>
        </row>
        <row r="199">
          <cell r="C199">
            <v>0.99</v>
          </cell>
        </row>
        <row r="200">
          <cell r="C200">
            <v>0.995</v>
          </cell>
        </row>
        <row r="201">
          <cell r="C201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- bldg"/>
      <sheetName val="BAN"/>
      <sheetName val="SDCA"/>
      <sheetName val="Access-Interconnect-BW"/>
      <sheetName val="OSP cost"/>
      <sheetName val="Capex"/>
      <sheetName val="Sheet2"/>
      <sheetName val="Interconnect"/>
      <sheetName val="S&amp;M"/>
      <sheetName val="power cost"/>
      <sheetName val="Nw Cost"/>
      <sheetName val="capex1"/>
      <sheetName val="G&amp;A"/>
      <sheetName val="assumptions"/>
      <sheetName val="Manpower"/>
      <sheetName val="Database"/>
      <sheetName val="Main workings"/>
      <sheetName val="monthwise budget"/>
      <sheetName val="Sheet4"/>
      <sheetName val="Sheet1"/>
      <sheetName val="Revenue 10 yr"/>
      <sheetName val="Revenue 10 FY"/>
      <sheetName val="Sheet3"/>
      <sheetName val="percentage_analysis"/>
      <sheetName val="Introduction"/>
      <sheetName val="IDC 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56">
          <cell r="A156" t="str">
            <v>CAPEX WORKINGS</v>
          </cell>
        </row>
        <row r="158">
          <cell r="A158" t="str">
            <v>DLC  assumed for Electronics Cost</v>
          </cell>
        </row>
        <row r="159">
          <cell r="A159" t="str">
            <v>Top 10 Cities</v>
          </cell>
          <cell r="B159">
            <v>2</v>
          </cell>
          <cell r="D159">
            <v>26563</v>
          </cell>
          <cell r="E159">
            <v>33875</v>
          </cell>
          <cell r="F159">
            <v>41188</v>
          </cell>
          <cell r="G159">
            <v>48500</v>
          </cell>
          <cell r="H159">
            <v>48500</v>
          </cell>
          <cell r="I159">
            <v>48500</v>
          </cell>
          <cell r="J159">
            <v>48500</v>
          </cell>
          <cell r="K159">
            <v>48500</v>
          </cell>
          <cell r="L159">
            <v>48500</v>
          </cell>
          <cell r="M159">
            <v>48500</v>
          </cell>
          <cell r="N159">
            <v>48500</v>
          </cell>
          <cell r="O159">
            <v>48500</v>
          </cell>
          <cell r="P159">
            <v>48500</v>
          </cell>
          <cell r="Q159">
            <v>48500</v>
          </cell>
          <cell r="R159">
            <v>48500</v>
          </cell>
          <cell r="S159">
            <v>48500</v>
          </cell>
          <cell r="T159">
            <v>48500</v>
          </cell>
          <cell r="U159">
            <v>48500</v>
          </cell>
          <cell r="V159">
            <v>48500</v>
          </cell>
          <cell r="W159">
            <v>48500</v>
          </cell>
          <cell r="X159">
            <v>48500</v>
          </cell>
          <cell r="Y159">
            <v>48500</v>
          </cell>
          <cell r="Z159">
            <v>48500</v>
          </cell>
          <cell r="AA159">
            <v>48500</v>
          </cell>
          <cell r="AB159">
            <v>48500</v>
          </cell>
          <cell r="AC159">
            <v>48500</v>
          </cell>
          <cell r="AD159">
            <v>48500</v>
          </cell>
          <cell r="AE159">
            <v>48500</v>
          </cell>
          <cell r="AF159">
            <v>48500</v>
          </cell>
          <cell r="AG159">
            <v>48500</v>
          </cell>
          <cell r="AH159">
            <v>48500</v>
          </cell>
          <cell r="AI159">
            <v>48500</v>
          </cell>
          <cell r="AJ159">
            <v>48500</v>
          </cell>
          <cell r="AK159">
            <v>48500</v>
          </cell>
          <cell r="AL159">
            <v>48500</v>
          </cell>
          <cell r="AM159">
            <v>48500</v>
          </cell>
          <cell r="AN159">
            <v>48500</v>
          </cell>
          <cell r="AO159">
            <v>48500</v>
          </cell>
          <cell r="AP159">
            <v>48500</v>
          </cell>
          <cell r="AQ159">
            <v>48500</v>
          </cell>
          <cell r="AR159">
            <v>48500</v>
          </cell>
          <cell r="AS159">
            <v>48500</v>
          </cell>
          <cell r="AT159">
            <v>48500</v>
          </cell>
          <cell r="AU159">
            <v>48500</v>
          </cell>
          <cell r="AV159">
            <v>48500</v>
          </cell>
          <cell r="AW159">
            <v>48500</v>
          </cell>
          <cell r="AX159">
            <v>48500</v>
          </cell>
          <cell r="AY159">
            <v>48500</v>
          </cell>
          <cell r="AZ159">
            <v>48500</v>
          </cell>
          <cell r="BA159">
            <v>48500</v>
          </cell>
          <cell r="BB159">
            <v>48500</v>
          </cell>
          <cell r="BC159">
            <v>48500</v>
          </cell>
          <cell r="BD159">
            <v>48500</v>
          </cell>
          <cell r="BE159">
            <v>48500</v>
          </cell>
          <cell r="BF159">
            <v>48500</v>
          </cell>
          <cell r="BG159">
            <v>48500</v>
          </cell>
          <cell r="BH159">
            <v>48500</v>
          </cell>
          <cell r="BI159">
            <v>48500</v>
          </cell>
          <cell r="BJ159">
            <v>48500</v>
          </cell>
          <cell r="BK159">
            <v>48500</v>
          </cell>
          <cell r="BL159">
            <v>48500</v>
          </cell>
          <cell r="BM159">
            <v>48500</v>
          </cell>
          <cell r="BN159">
            <v>48500</v>
          </cell>
          <cell r="BO159">
            <v>48500</v>
          </cell>
          <cell r="BP159">
            <v>48500</v>
          </cell>
          <cell r="BQ159">
            <v>48500</v>
          </cell>
          <cell r="BR159">
            <v>48500</v>
          </cell>
          <cell r="BS159">
            <v>48500</v>
          </cell>
          <cell r="BT159">
            <v>48500</v>
          </cell>
          <cell r="BU159">
            <v>48500</v>
          </cell>
          <cell r="BV159">
            <v>48500</v>
          </cell>
          <cell r="BW159">
            <v>48500</v>
          </cell>
          <cell r="BX159">
            <v>48500</v>
          </cell>
          <cell r="BY159">
            <v>48500</v>
          </cell>
          <cell r="BZ159">
            <v>48500</v>
          </cell>
          <cell r="CA159">
            <v>48500</v>
          </cell>
          <cell r="CB159">
            <v>48500</v>
          </cell>
          <cell r="CC159">
            <v>48500</v>
          </cell>
          <cell r="CD159">
            <v>48500</v>
          </cell>
          <cell r="CE159">
            <v>48500</v>
          </cell>
          <cell r="CF159">
            <v>48500</v>
          </cell>
          <cell r="CG159">
            <v>48500</v>
          </cell>
          <cell r="CH159">
            <v>48500</v>
          </cell>
          <cell r="CI159">
            <v>48500</v>
          </cell>
          <cell r="CJ159">
            <v>48500</v>
          </cell>
          <cell r="CK159">
            <v>48500</v>
          </cell>
          <cell r="CL159">
            <v>48500</v>
          </cell>
          <cell r="CM159">
            <v>48500</v>
          </cell>
          <cell r="CN159">
            <v>48500</v>
          </cell>
          <cell r="CO159">
            <v>48500</v>
          </cell>
          <cell r="CP159">
            <v>48500</v>
          </cell>
          <cell r="CQ159">
            <v>48500</v>
          </cell>
          <cell r="CR159">
            <v>48500</v>
          </cell>
          <cell r="CS159">
            <v>48500</v>
          </cell>
          <cell r="CT159">
            <v>48500</v>
          </cell>
          <cell r="CU159">
            <v>48500</v>
          </cell>
          <cell r="CV159">
            <v>48500</v>
          </cell>
          <cell r="CW159">
            <v>48500</v>
          </cell>
          <cell r="CX159">
            <v>48500</v>
          </cell>
          <cell r="CY159">
            <v>48500</v>
          </cell>
          <cell r="CZ159">
            <v>48500</v>
          </cell>
          <cell r="DA159">
            <v>48500</v>
          </cell>
          <cell r="DB159">
            <v>48500</v>
          </cell>
          <cell r="DC159">
            <v>48500</v>
          </cell>
          <cell r="DD159">
            <v>48500</v>
          </cell>
          <cell r="DE159">
            <v>48500</v>
          </cell>
          <cell r="DF159">
            <v>48500</v>
          </cell>
          <cell r="DG159">
            <v>48500</v>
          </cell>
          <cell r="DH159">
            <v>48500</v>
          </cell>
          <cell r="DI159">
            <v>48500</v>
          </cell>
          <cell r="DJ159">
            <v>48500</v>
          </cell>
          <cell r="DK159">
            <v>48500</v>
          </cell>
          <cell r="DL159">
            <v>48500</v>
          </cell>
          <cell r="DM159">
            <v>48500</v>
          </cell>
          <cell r="DN159">
            <v>48500</v>
          </cell>
          <cell r="DO159">
            <v>48500</v>
          </cell>
          <cell r="DP159">
            <v>48500</v>
          </cell>
          <cell r="DQ159">
            <v>48500</v>
          </cell>
          <cell r="DR159">
            <v>48500</v>
          </cell>
          <cell r="DS159">
            <v>48500</v>
          </cell>
        </row>
        <row r="160">
          <cell r="A160" t="str">
            <v>Balance 184 Cities</v>
          </cell>
          <cell r="B160">
            <v>3</v>
          </cell>
          <cell r="D160">
            <v>3374</v>
          </cell>
          <cell r="E160">
            <v>6748</v>
          </cell>
          <cell r="F160">
            <v>10121</v>
          </cell>
          <cell r="G160">
            <v>13495</v>
          </cell>
          <cell r="H160">
            <v>17662</v>
          </cell>
          <cell r="I160">
            <v>21829</v>
          </cell>
          <cell r="J160">
            <v>25995</v>
          </cell>
          <cell r="K160">
            <v>30162</v>
          </cell>
          <cell r="L160">
            <v>30162</v>
          </cell>
          <cell r="M160">
            <v>30162</v>
          </cell>
          <cell r="N160">
            <v>30162</v>
          </cell>
          <cell r="O160">
            <v>30162</v>
          </cell>
          <cell r="P160">
            <v>30162</v>
          </cell>
          <cell r="Q160">
            <v>30162</v>
          </cell>
          <cell r="R160">
            <v>30162</v>
          </cell>
          <cell r="S160">
            <v>30162</v>
          </cell>
          <cell r="T160">
            <v>30162</v>
          </cell>
          <cell r="U160">
            <v>30162</v>
          </cell>
          <cell r="V160">
            <v>30162</v>
          </cell>
          <cell r="W160">
            <v>30162</v>
          </cell>
          <cell r="X160">
            <v>30162</v>
          </cell>
          <cell r="Y160">
            <v>30162</v>
          </cell>
          <cell r="Z160">
            <v>30162</v>
          </cell>
          <cell r="AA160">
            <v>30162</v>
          </cell>
          <cell r="AB160">
            <v>30162</v>
          </cell>
          <cell r="AC160">
            <v>30162</v>
          </cell>
          <cell r="AD160">
            <v>30162</v>
          </cell>
          <cell r="AE160">
            <v>30162</v>
          </cell>
          <cell r="AF160">
            <v>30162</v>
          </cell>
          <cell r="AG160">
            <v>30162</v>
          </cell>
          <cell r="AH160">
            <v>30162</v>
          </cell>
          <cell r="AI160">
            <v>30162</v>
          </cell>
          <cell r="AJ160">
            <v>30162</v>
          </cell>
          <cell r="AK160">
            <v>30162</v>
          </cell>
          <cell r="AL160">
            <v>30162</v>
          </cell>
          <cell r="AM160">
            <v>30162</v>
          </cell>
          <cell r="AN160">
            <v>30162</v>
          </cell>
          <cell r="AO160">
            <v>30162</v>
          </cell>
          <cell r="AP160">
            <v>30162</v>
          </cell>
          <cell r="AQ160">
            <v>30162</v>
          </cell>
          <cell r="AR160">
            <v>30162</v>
          </cell>
          <cell r="AS160">
            <v>30162</v>
          </cell>
          <cell r="AT160">
            <v>30162</v>
          </cell>
          <cell r="AU160">
            <v>30162</v>
          </cell>
          <cell r="AV160">
            <v>30162</v>
          </cell>
          <cell r="AW160">
            <v>30162</v>
          </cell>
          <cell r="AX160">
            <v>30162</v>
          </cell>
          <cell r="AY160">
            <v>30162</v>
          </cell>
          <cell r="AZ160">
            <v>30162</v>
          </cell>
          <cell r="BA160">
            <v>30162</v>
          </cell>
          <cell r="BB160">
            <v>30162</v>
          </cell>
          <cell r="BC160">
            <v>30162</v>
          </cell>
          <cell r="BD160">
            <v>30162</v>
          </cell>
          <cell r="BE160">
            <v>30162</v>
          </cell>
          <cell r="BF160">
            <v>30162</v>
          </cell>
          <cell r="BG160">
            <v>30162</v>
          </cell>
          <cell r="BH160">
            <v>30162</v>
          </cell>
          <cell r="BI160">
            <v>30162</v>
          </cell>
          <cell r="BJ160">
            <v>30162</v>
          </cell>
          <cell r="BK160">
            <v>30162</v>
          </cell>
          <cell r="BL160">
            <v>30162</v>
          </cell>
          <cell r="BM160">
            <v>30162</v>
          </cell>
          <cell r="BN160">
            <v>30162</v>
          </cell>
          <cell r="BO160">
            <v>30162</v>
          </cell>
          <cell r="BP160">
            <v>30162</v>
          </cell>
          <cell r="BQ160">
            <v>30162</v>
          </cell>
          <cell r="BR160">
            <v>30162</v>
          </cell>
          <cell r="BS160">
            <v>30162</v>
          </cell>
          <cell r="BT160">
            <v>30162</v>
          </cell>
          <cell r="BU160">
            <v>30162</v>
          </cell>
          <cell r="BV160">
            <v>30162</v>
          </cell>
          <cell r="BW160">
            <v>30162</v>
          </cell>
          <cell r="BX160">
            <v>30162</v>
          </cell>
          <cell r="BY160">
            <v>30162</v>
          </cell>
          <cell r="BZ160">
            <v>30162</v>
          </cell>
          <cell r="CA160">
            <v>30162</v>
          </cell>
          <cell r="CB160">
            <v>30162</v>
          </cell>
          <cell r="CC160">
            <v>30162</v>
          </cell>
          <cell r="CD160">
            <v>30162</v>
          </cell>
          <cell r="CE160">
            <v>30162</v>
          </cell>
          <cell r="CF160">
            <v>30162</v>
          </cell>
          <cell r="CG160">
            <v>30162</v>
          </cell>
          <cell r="CH160">
            <v>30162</v>
          </cell>
          <cell r="CI160">
            <v>30162</v>
          </cell>
          <cell r="CJ160">
            <v>30162</v>
          </cell>
          <cell r="CK160">
            <v>30162</v>
          </cell>
          <cell r="CL160">
            <v>30162</v>
          </cell>
          <cell r="CM160">
            <v>30162</v>
          </cell>
          <cell r="CN160">
            <v>30162</v>
          </cell>
          <cell r="CO160">
            <v>30162</v>
          </cell>
          <cell r="CP160">
            <v>30162</v>
          </cell>
          <cell r="CQ160">
            <v>30162</v>
          </cell>
          <cell r="CR160">
            <v>30162</v>
          </cell>
          <cell r="CS160">
            <v>30162</v>
          </cell>
          <cell r="CT160">
            <v>30162</v>
          </cell>
          <cell r="CU160">
            <v>30162</v>
          </cell>
          <cell r="CV160">
            <v>30162</v>
          </cell>
          <cell r="CW160">
            <v>30162</v>
          </cell>
          <cell r="CX160">
            <v>30162</v>
          </cell>
          <cell r="CY160">
            <v>30162</v>
          </cell>
          <cell r="CZ160">
            <v>30162</v>
          </cell>
          <cell r="DA160">
            <v>30162</v>
          </cell>
          <cell r="DB160">
            <v>30162</v>
          </cell>
          <cell r="DC160">
            <v>30162</v>
          </cell>
          <cell r="DD160">
            <v>30162</v>
          </cell>
          <cell r="DE160">
            <v>30162</v>
          </cell>
          <cell r="DF160">
            <v>30162</v>
          </cell>
          <cell r="DG160">
            <v>30162</v>
          </cell>
          <cell r="DH160">
            <v>30162</v>
          </cell>
          <cell r="DI160">
            <v>30162</v>
          </cell>
          <cell r="DJ160">
            <v>30162</v>
          </cell>
          <cell r="DK160">
            <v>30162</v>
          </cell>
          <cell r="DL160">
            <v>30162</v>
          </cell>
          <cell r="DM160">
            <v>30162</v>
          </cell>
          <cell r="DN160">
            <v>30162</v>
          </cell>
          <cell r="DO160">
            <v>30162</v>
          </cell>
          <cell r="DP160">
            <v>30162</v>
          </cell>
          <cell r="DQ160">
            <v>30162</v>
          </cell>
          <cell r="DR160">
            <v>30162</v>
          </cell>
          <cell r="DS160">
            <v>30162</v>
          </cell>
        </row>
        <row r="161">
          <cell r="A161" t="str">
            <v>Total DLCs</v>
          </cell>
          <cell r="D161">
            <v>29937</v>
          </cell>
          <cell r="E161">
            <v>40623</v>
          </cell>
          <cell r="F161">
            <v>51309</v>
          </cell>
          <cell r="G161">
            <v>61995</v>
          </cell>
          <cell r="H161">
            <v>66162</v>
          </cell>
          <cell r="I161">
            <v>70329</v>
          </cell>
          <cell r="J161">
            <v>74495</v>
          </cell>
          <cell r="K161">
            <v>78662</v>
          </cell>
          <cell r="L161">
            <v>78662</v>
          </cell>
          <cell r="M161">
            <v>78662</v>
          </cell>
          <cell r="N161">
            <v>78662</v>
          </cell>
          <cell r="O161">
            <v>78662</v>
          </cell>
          <cell r="P161">
            <v>78662</v>
          </cell>
          <cell r="Q161">
            <v>78662</v>
          </cell>
          <cell r="R161">
            <v>78662</v>
          </cell>
          <cell r="S161">
            <v>78662</v>
          </cell>
          <cell r="T161">
            <v>78662</v>
          </cell>
          <cell r="U161">
            <v>78662</v>
          </cell>
          <cell r="V161">
            <v>78662</v>
          </cell>
          <cell r="W161">
            <v>78662</v>
          </cell>
          <cell r="X161">
            <v>78662</v>
          </cell>
          <cell r="Y161">
            <v>78662</v>
          </cell>
          <cell r="Z161">
            <v>78662</v>
          </cell>
          <cell r="AA161">
            <v>78662</v>
          </cell>
          <cell r="AB161">
            <v>78662</v>
          </cell>
          <cell r="AC161">
            <v>78662</v>
          </cell>
          <cell r="AD161">
            <v>78662</v>
          </cell>
          <cell r="AE161">
            <v>78662</v>
          </cell>
          <cell r="AF161">
            <v>78662</v>
          </cell>
          <cell r="AG161">
            <v>78662</v>
          </cell>
          <cell r="AH161">
            <v>78662</v>
          </cell>
          <cell r="AI161">
            <v>78662</v>
          </cell>
          <cell r="AJ161">
            <v>78662</v>
          </cell>
          <cell r="AK161">
            <v>78662</v>
          </cell>
          <cell r="AL161">
            <v>78662</v>
          </cell>
          <cell r="AM161">
            <v>78662</v>
          </cell>
          <cell r="AN161">
            <v>78662</v>
          </cell>
          <cell r="AO161">
            <v>78662</v>
          </cell>
          <cell r="AP161">
            <v>78662</v>
          </cell>
          <cell r="AQ161">
            <v>78662</v>
          </cell>
          <cell r="AR161">
            <v>78662</v>
          </cell>
          <cell r="AS161">
            <v>78662</v>
          </cell>
          <cell r="AT161">
            <v>78662</v>
          </cell>
          <cell r="AU161">
            <v>78662</v>
          </cell>
          <cell r="AV161">
            <v>78662</v>
          </cell>
          <cell r="AW161">
            <v>78662</v>
          </cell>
          <cell r="AX161">
            <v>78662</v>
          </cell>
          <cell r="AY161">
            <v>78662</v>
          </cell>
          <cell r="AZ161">
            <v>78662</v>
          </cell>
          <cell r="BA161">
            <v>78662</v>
          </cell>
          <cell r="BB161">
            <v>78662</v>
          </cell>
          <cell r="BC161">
            <v>78662</v>
          </cell>
          <cell r="BD161">
            <v>78662</v>
          </cell>
          <cell r="BE161">
            <v>78662</v>
          </cell>
          <cell r="BF161">
            <v>78662</v>
          </cell>
          <cell r="BG161">
            <v>78662</v>
          </cell>
          <cell r="BH161">
            <v>78662</v>
          </cell>
          <cell r="BI161">
            <v>78662</v>
          </cell>
          <cell r="BJ161">
            <v>78662</v>
          </cell>
          <cell r="BK161">
            <v>78662</v>
          </cell>
          <cell r="BL161">
            <v>78662</v>
          </cell>
          <cell r="BM161">
            <v>78662</v>
          </cell>
          <cell r="BN161">
            <v>78662</v>
          </cell>
          <cell r="BO161">
            <v>78662</v>
          </cell>
          <cell r="BP161">
            <v>78662</v>
          </cell>
          <cell r="BQ161">
            <v>78662</v>
          </cell>
          <cell r="BR161">
            <v>78662</v>
          </cell>
          <cell r="BS161">
            <v>78662</v>
          </cell>
          <cell r="BT161">
            <v>78662</v>
          </cell>
          <cell r="BU161">
            <v>78662</v>
          </cell>
          <cell r="BV161">
            <v>78662</v>
          </cell>
          <cell r="BW161">
            <v>78662</v>
          </cell>
          <cell r="BX161">
            <v>78662</v>
          </cell>
          <cell r="BY161">
            <v>78662</v>
          </cell>
          <cell r="BZ161">
            <v>78662</v>
          </cell>
          <cell r="CA161">
            <v>78662</v>
          </cell>
          <cell r="CB161">
            <v>78662</v>
          </cell>
          <cell r="CC161">
            <v>78662</v>
          </cell>
          <cell r="CD161">
            <v>78662</v>
          </cell>
          <cell r="CE161">
            <v>78662</v>
          </cell>
          <cell r="CF161">
            <v>78662</v>
          </cell>
          <cell r="CG161">
            <v>78662</v>
          </cell>
          <cell r="CH161">
            <v>78662</v>
          </cell>
          <cell r="CI161">
            <v>78662</v>
          </cell>
          <cell r="CJ161">
            <v>78662</v>
          </cell>
          <cell r="CK161">
            <v>78662</v>
          </cell>
          <cell r="CL161">
            <v>78662</v>
          </cell>
          <cell r="CM161">
            <v>78662</v>
          </cell>
          <cell r="CN161">
            <v>78662</v>
          </cell>
          <cell r="CO161">
            <v>78662</v>
          </cell>
          <cell r="CP161">
            <v>78662</v>
          </cell>
          <cell r="CQ161">
            <v>78662</v>
          </cell>
          <cell r="CR161">
            <v>78662</v>
          </cell>
          <cell r="CS161">
            <v>78662</v>
          </cell>
          <cell r="CT161">
            <v>78662</v>
          </cell>
          <cell r="CU161">
            <v>78662</v>
          </cell>
          <cell r="CV161">
            <v>78662</v>
          </cell>
          <cell r="CW161">
            <v>78662</v>
          </cell>
          <cell r="CX161">
            <v>78662</v>
          </cell>
          <cell r="CY161">
            <v>78662</v>
          </cell>
          <cell r="CZ161">
            <v>78662</v>
          </cell>
          <cell r="DA161">
            <v>78662</v>
          </cell>
          <cell r="DB161">
            <v>78662</v>
          </cell>
          <cell r="DC161">
            <v>78662</v>
          </cell>
          <cell r="DD161">
            <v>78662</v>
          </cell>
          <cell r="DE161">
            <v>78662</v>
          </cell>
          <cell r="DF161">
            <v>78662</v>
          </cell>
          <cell r="DG161">
            <v>78662</v>
          </cell>
          <cell r="DH161">
            <v>78662</v>
          </cell>
          <cell r="DI161">
            <v>78662</v>
          </cell>
          <cell r="DJ161">
            <v>78662</v>
          </cell>
          <cell r="DK161">
            <v>78662</v>
          </cell>
          <cell r="DL161">
            <v>78662</v>
          </cell>
          <cell r="DM161">
            <v>78662</v>
          </cell>
          <cell r="DN161">
            <v>78662</v>
          </cell>
          <cell r="DO161">
            <v>78662</v>
          </cell>
          <cell r="DP161">
            <v>78662</v>
          </cell>
          <cell r="DQ161">
            <v>78662</v>
          </cell>
          <cell r="DR161">
            <v>78662</v>
          </cell>
          <cell r="DS161">
            <v>78662</v>
          </cell>
        </row>
        <row r="163">
          <cell r="A163" t="str">
            <v>Capex Workings for Fiber Buildings</v>
          </cell>
        </row>
        <row r="164">
          <cell r="A164" t="str">
            <v xml:space="preserve">Amounts in Rs Cr </v>
          </cell>
        </row>
        <row r="165">
          <cell r="A165" t="str">
            <v>Fixed Capex per Building Cummulative</v>
          </cell>
        </row>
        <row r="166">
          <cell r="A166" t="str">
            <v>Fiber Termination based on No of Buildings</v>
          </cell>
          <cell r="D166">
            <v>212.42097720000001</v>
          </cell>
          <cell r="E166">
            <v>288.24455879999999</v>
          </cell>
          <cell r="F166">
            <v>364.0681404</v>
          </cell>
          <cell r="G166">
            <v>439.89172200000002</v>
          </cell>
          <cell r="H166">
            <v>469.4590872</v>
          </cell>
          <cell r="I166">
            <v>499.02645239999998</v>
          </cell>
          <cell r="J166">
            <v>528.58672200000001</v>
          </cell>
          <cell r="K166">
            <v>558.15408720000005</v>
          </cell>
          <cell r="L166">
            <v>558.15408720000005</v>
          </cell>
          <cell r="M166">
            <v>558.15408720000005</v>
          </cell>
          <cell r="N166">
            <v>558.15408720000005</v>
          </cell>
          <cell r="O166">
            <v>558.15408720000005</v>
          </cell>
          <cell r="P166">
            <v>558.15408720000005</v>
          </cell>
          <cell r="Q166">
            <v>558.15408720000005</v>
          </cell>
          <cell r="R166">
            <v>558.15408720000005</v>
          </cell>
          <cell r="S166">
            <v>558.15408720000005</v>
          </cell>
          <cell r="T166">
            <v>558.15408720000005</v>
          </cell>
          <cell r="U166">
            <v>558.15408720000005</v>
          </cell>
          <cell r="V166">
            <v>558.15408720000005</v>
          </cell>
          <cell r="W166">
            <v>558.15408720000005</v>
          </cell>
          <cell r="X166">
            <v>558.15408720000005</v>
          </cell>
          <cell r="Y166">
            <v>558.15408720000005</v>
          </cell>
          <cell r="Z166">
            <v>558.15408720000005</v>
          </cell>
          <cell r="AA166">
            <v>558.15408720000005</v>
          </cell>
          <cell r="AB166">
            <v>558.15408720000005</v>
          </cell>
          <cell r="AC166">
            <v>558.15408720000005</v>
          </cell>
          <cell r="AD166">
            <v>558.15408720000005</v>
          </cell>
          <cell r="AE166">
            <v>558.15408720000005</v>
          </cell>
          <cell r="AF166">
            <v>558.15408720000005</v>
          </cell>
          <cell r="AG166">
            <v>558.15408720000005</v>
          </cell>
          <cell r="AH166">
            <v>558.15408720000005</v>
          </cell>
          <cell r="AI166">
            <v>558.15408720000005</v>
          </cell>
          <cell r="AJ166">
            <v>558.15408720000005</v>
          </cell>
          <cell r="AK166">
            <v>558.15408720000005</v>
          </cell>
          <cell r="AL166">
            <v>558.15408720000005</v>
          </cell>
          <cell r="AM166">
            <v>558.15408720000005</v>
          </cell>
          <cell r="AN166">
            <v>558.15408720000005</v>
          </cell>
          <cell r="AO166">
            <v>558.15408720000005</v>
          </cell>
          <cell r="AP166">
            <v>558.15408720000005</v>
          </cell>
          <cell r="AQ166">
            <v>558.15408720000005</v>
          </cell>
          <cell r="AR166">
            <v>558.15408720000005</v>
          </cell>
          <cell r="AS166">
            <v>558.15408720000005</v>
          </cell>
          <cell r="AT166">
            <v>558.15408720000005</v>
          </cell>
          <cell r="AU166">
            <v>558.15408720000005</v>
          </cell>
          <cell r="AV166">
            <v>558.15408720000005</v>
          </cell>
          <cell r="AW166">
            <v>558.15408720000005</v>
          </cell>
          <cell r="AX166">
            <v>558.15408720000005</v>
          </cell>
          <cell r="AY166">
            <v>558.15408720000005</v>
          </cell>
          <cell r="AZ166">
            <v>558.15408720000005</v>
          </cell>
          <cell r="BA166">
            <v>558.15408720000005</v>
          </cell>
          <cell r="BB166">
            <v>558.15408720000005</v>
          </cell>
          <cell r="BC166">
            <v>558.15408720000005</v>
          </cell>
          <cell r="BD166">
            <v>558.15408720000005</v>
          </cell>
          <cell r="BE166">
            <v>558.15408720000005</v>
          </cell>
          <cell r="BF166">
            <v>558.15408720000005</v>
          </cell>
          <cell r="BG166">
            <v>558.15408720000005</v>
          </cell>
          <cell r="BH166">
            <v>558.15408720000005</v>
          </cell>
          <cell r="BI166">
            <v>558.15408720000005</v>
          </cell>
          <cell r="BJ166">
            <v>558.15408720000005</v>
          </cell>
          <cell r="BK166">
            <v>558.15408720000005</v>
          </cell>
          <cell r="BL166">
            <v>558.15408720000005</v>
          </cell>
          <cell r="BM166">
            <v>558.15408720000005</v>
          </cell>
          <cell r="BN166">
            <v>558.15408720000005</v>
          </cell>
          <cell r="BO166">
            <v>558.15408720000005</v>
          </cell>
          <cell r="BP166">
            <v>558.15408720000005</v>
          </cell>
          <cell r="BQ166">
            <v>558.15408720000005</v>
          </cell>
          <cell r="BR166">
            <v>558.15408720000005</v>
          </cell>
          <cell r="BS166">
            <v>558.15408720000005</v>
          </cell>
          <cell r="BT166">
            <v>558.15408720000005</v>
          </cell>
          <cell r="BU166">
            <v>558.15408720000005</v>
          </cell>
          <cell r="BV166">
            <v>558.15408720000005</v>
          </cell>
          <cell r="BW166">
            <v>558.15408720000005</v>
          </cell>
          <cell r="BX166">
            <v>558.15408720000005</v>
          </cell>
          <cell r="BY166">
            <v>558.15408720000005</v>
          </cell>
          <cell r="BZ166">
            <v>558.15408720000005</v>
          </cell>
          <cell r="CA166">
            <v>558.15408720000005</v>
          </cell>
          <cell r="CB166">
            <v>558.15408720000005</v>
          </cell>
          <cell r="CC166">
            <v>558.15408720000005</v>
          </cell>
          <cell r="CD166">
            <v>558.15408720000005</v>
          </cell>
          <cell r="CE166">
            <v>558.15408720000005</v>
          </cell>
          <cell r="CF166">
            <v>558.15408720000005</v>
          </cell>
          <cell r="CG166">
            <v>558.15408720000005</v>
          </cell>
          <cell r="CH166">
            <v>558.15408720000005</v>
          </cell>
          <cell r="CI166">
            <v>558.15408720000005</v>
          </cell>
          <cell r="CJ166">
            <v>558.15408720000005</v>
          </cell>
          <cell r="CK166">
            <v>558.15408720000005</v>
          </cell>
          <cell r="CL166">
            <v>558.15408720000005</v>
          </cell>
          <cell r="CM166">
            <v>558.15408720000005</v>
          </cell>
          <cell r="CN166">
            <v>558.15408720000005</v>
          </cell>
          <cell r="CO166">
            <v>558.15408720000005</v>
          </cell>
          <cell r="CP166">
            <v>558.15408720000005</v>
          </cell>
          <cell r="CQ166">
            <v>558.15408720000005</v>
          </cell>
          <cell r="CR166">
            <v>558.15408720000005</v>
          </cell>
          <cell r="CS166">
            <v>558.15408720000005</v>
          </cell>
          <cell r="CT166">
            <v>558.15408720000005</v>
          </cell>
          <cell r="CU166">
            <v>558.15408720000005</v>
          </cell>
          <cell r="CV166">
            <v>558.15408720000005</v>
          </cell>
          <cell r="CW166">
            <v>558.15408720000005</v>
          </cell>
          <cell r="CX166">
            <v>558.15408720000005</v>
          </cell>
          <cell r="CY166">
            <v>558.15408720000005</v>
          </cell>
          <cell r="CZ166">
            <v>558.15408720000005</v>
          </cell>
          <cell r="DA166">
            <v>558.15408720000005</v>
          </cell>
          <cell r="DB166">
            <v>558.15408720000005</v>
          </cell>
          <cell r="DC166">
            <v>558.15408720000005</v>
          </cell>
          <cell r="DD166">
            <v>558.15408720000005</v>
          </cell>
          <cell r="DE166">
            <v>558.15408720000005</v>
          </cell>
          <cell r="DF166">
            <v>558.15408720000005</v>
          </cell>
          <cell r="DG166">
            <v>558.15408720000005</v>
          </cell>
          <cell r="DH166">
            <v>558.15408720000005</v>
          </cell>
          <cell r="DI166">
            <v>558.15408720000005</v>
          </cell>
          <cell r="DJ166">
            <v>558.15408720000005</v>
          </cell>
          <cell r="DK166">
            <v>558.15408720000005</v>
          </cell>
          <cell r="DL166">
            <v>558.15408720000005</v>
          </cell>
          <cell r="DM166">
            <v>558.15408720000005</v>
          </cell>
          <cell r="DN166">
            <v>558.15408720000005</v>
          </cell>
          <cell r="DO166">
            <v>558.15408720000005</v>
          </cell>
          <cell r="DP166">
            <v>558.15408720000005</v>
          </cell>
          <cell r="DQ166">
            <v>558.15408720000005</v>
          </cell>
          <cell r="DR166">
            <v>558.15408720000005</v>
          </cell>
          <cell r="DS166">
            <v>558.15408720000005</v>
          </cell>
        </row>
        <row r="167">
          <cell r="A167" t="str">
            <v>Electronics - DLCs</v>
          </cell>
          <cell r="D167">
            <v>280.04267279999999</v>
          </cell>
          <cell r="E167">
            <v>380.00379120000002</v>
          </cell>
          <cell r="F167">
            <v>479.9649096</v>
          </cell>
          <cell r="G167">
            <v>579.92602799999997</v>
          </cell>
          <cell r="H167">
            <v>618.90581280000004</v>
          </cell>
          <cell r="I167">
            <v>657.88559759999998</v>
          </cell>
          <cell r="J167">
            <v>696.85602800000004</v>
          </cell>
          <cell r="K167">
            <v>735.83581279999999</v>
          </cell>
          <cell r="L167">
            <v>735.83581279999999</v>
          </cell>
          <cell r="M167">
            <v>735.83581279999999</v>
          </cell>
          <cell r="N167">
            <v>735.83581279999999</v>
          </cell>
          <cell r="O167">
            <v>735.83581279999999</v>
          </cell>
          <cell r="P167">
            <v>735.83581279999999</v>
          </cell>
          <cell r="Q167">
            <v>735.83581279999999</v>
          </cell>
          <cell r="R167">
            <v>735.83581279999999</v>
          </cell>
          <cell r="S167">
            <v>735.83581279999999</v>
          </cell>
          <cell r="T167">
            <v>735.83581279999999</v>
          </cell>
          <cell r="U167">
            <v>735.83581279999999</v>
          </cell>
          <cell r="V167">
            <v>735.83581279999999</v>
          </cell>
          <cell r="W167">
            <v>735.83581279999999</v>
          </cell>
          <cell r="X167">
            <v>735.83581279999999</v>
          </cell>
          <cell r="Y167">
            <v>735.83581279999999</v>
          </cell>
          <cell r="Z167">
            <v>735.83581279999999</v>
          </cell>
          <cell r="AA167">
            <v>735.83581279999999</v>
          </cell>
          <cell r="AB167">
            <v>735.83581279999999</v>
          </cell>
          <cell r="AC167">
            <v>735.83581279999999</v>
          </cell>
          <cell r="AD167">
            <v>735.83581279999999</v>
          </cell>
          <cell r="AE167">
            <v>735.83581279999999</v>
          </cell>
          <cell r="AF167">
            <v>735.83581279999999</v>
          </cell>
          <cell r="AG167">
            <v>735.83581279999999</v>
          </cell>
          <cell r="AH167">
            <v>735.83581279999999</v>
          </cell>
          <cell r="AI167">
            <v>735.83581279999999</v>
          </cell>
          <cell r="AJ167">
            <v>735.83581279999999</v>
          </cell>
          <cell r="AK167">
            <v>735.83581279999999</v>
          </cell>
          <cell r="AL167">
            <v>735.83581279999999</v>
          </cell>
          <cell r="AM167">
            <v>735.83581279999999</v>
          </cell>
          <cell r="AN167">
            <v>735.83581279999999</v>
          </cell>
          <cell r="AO167">
            <v>735.83581279999999</v>
          </cell>
          <cell r="AP167">
            <v>735.83581279999999</v>
          </cell>
          <cell r="AQ167">
            <v>735.83581279999999</v>
          </cell>
          <cell r="AR167">
            <v>735.83581279999999</v>
          </cell>
          <cell r="AS167">
            <v>735.83581279999999</v>
          </cell>
          <cell r="AT167">
            <v>735.83581279999999</v>
          </cell>
          <cell r="AU167">
            <v>735.83581279999999</v>
          </cell>
          <cell r="AV167">
            <v>735.83581279999999</v>
          </cell>
          <cell r="AW167">
            <v>735.83581279999999</v>
          </cell>
          <cell r="AX167">
            <v>735.83581279999999</v>
          </cell>
          <cell r="AY167">
            <v>735.83581279999999</v>
          </cell>
          <cell r="AZ167">
            <v>735.83581279999999</v>
          </cell>
          <cell r="BA167">
            <v>735.83581279999999</v>
          </cell>
          <cell r="BB167">
            <v>735.83581279999999</v>
          </cell>
          <cell r="BC167">
            <v>735.83581279999999</v>
          </cell>
          <cell r="BD167">
            <v>735.83581279999999</v>
          </cell>
          <cell r="BE167">
            <v>735.83581279999999</v>
          </cell>
          <cell r="BF167">
            <v>735.83581279999999</v>
          </cell>
          <cell r="BG167">
            <v>735.83581279999999</v>
          </cell>
          <cell r="BH167">
            <v>735.83581279999999</v>
          </cell>
          <cell r="BI167">
            <v>735.83581279999999</v>
          </cell>
          <cell r="BJ167">
            <v>735.83581279999999</v>
          </cell>
          <cell r="BK167">
            <v>735.83581279999999</v>
          </cell>
          <cell r="BL167">
            <v>735.83581279999999</v>
          </cell>
          <cell r="BM167">
            <v>735.83581279999999</v>
          </cell>
          <cell r="BN167">
            <v>735.83581279999999</v>
          </cell>
          <cell r="BO167">
            <v>735.83581279999999</v>
          </cell>
          <cell r="BP167">
            <v>735.83581279999999</v>
          </cell>
          <cell r="BQ167">
            <v>735.83581279999999</v>
          </cell>
          <cell r="BR167">
            <v>735.83581279999999</v>
          </cell>
          <cell r="BS167">
            <v>735.83581279999999</v>
          </cell>
          <cell r="BT167">
            <v>735.83581279999999</v>
          </cell>
          <cell r="BU167">
            <v>735.83581279999999</v>
          </cell>
          <cell r="BV167">
            <v>735.83581279999999</v>
          </cell>
          <cell r="BW167">
            <v>735.83581279999999</v>
          </cell>
          <cell r="BX167">
            <v>735.83581279999999</v>
          </cell>
          <cell r="BY167">
            <v>735.83581279999999</v>
          </cell>
          <cell r="BZ167">
            <v>735.83581279999999</v>
          </cell>
          <cell r="CA167">
            <v>735.83581279999999</v>
          </cell>
          <cell r="CB167">
            <v>735.83581279999999</v>
          </cell>
          <cell r="CC167">
            <v>735.83581279999999</v>
          </cell>
          <cell r="CD167">
            <v>735.83581279999999</v>
          </cell>
          <cell r="CE167">
            <v>735.83581279999999</v>
          </cell>
          <cell r="CF167">
            <v>735.83581279999999</v>
          </cell>
          <cell r="CG167">
            <v>735.83581279999999</v>
          </cell>
          <cell r="CH167">
            <v>735.83581279999999</v>
          </cell>
          <cell r="CI167">
            <v>735.83581279999999</v>
          </cell>
          <cell r="CJ167">
            <v>735.83581279999999</v>
          </cell>
          <cell r="CK167">
            <v>735.83581279999999</v>
          </cell>
          <cell r="CL167">
            <v>735.83581279999999</v>
          </cell>
          <cell r="CM167">
            <v>735.83581279999999</v>
          </cell>
          <cell r="CN167">
            <v>735.83581279999999</v>
          </cell>
          <cell r="CO167">
            <v>735.83581279999999</v>
          </cell>
          <cell r="CP167">
            <v>735.83581279999999</v>
          </cell>
          <cell r="CQ167">
            <v>735.83581279999999</v>
          </cell>
          <cell r="CR167">
            <v>735.83581279999999</v>
          </cell>
          <cell r="CS167">
            <v>735.83581279999999</v>
          </cell>
          <cell r="CT167">
            <v>735.83581279999999</v>
          </cell>
          <cell r="CU167">
            <v>735.83581279999999</v>
          </cell>
          <cell r="CV167">
            <v>735.83581279999999</v>
          </cell>
          <cell r="CW167">
            <v>735.83581279999999</v>
          </cell>
          <cell r="CX167">
            <v>735.83581279999999</v>
          </cell>
          <cell r="CY167">
            <v>735.83581279999999</v>
          </cell>
          <cell r="CZ167">
            <v>735.83581279999999</v>
          </cell>
          <cell r="DA167">
            <v>735.83581279999999</v>
          </cell>
          <cell r="DB167">
            <v>735.83581279999999</v>
          </cell>
          <cell r="DC167">
            <v>735.83581279999999</v>
          </cell>
          <cell r="DD167">
            <v>735.83581279999999</v>
          </cell>
          <cell r="DE167">
            <v>735.83581279999999</v>
          </cell>
          <cell r="DF167">
            <v>735.83581279999999</v>
          </cell>
          <cell r="DG167">
            <v>735.83581279999999</v>
          </cell>
          <cell r="DH167">
            <v>735.83581279999999</v>
          </cell>
          <cell r="DI167">
            <v>735.83581279999999</v>
          </cell>
          <cell r="DJ167">
            <v>735.83581279999999</v>
          </cell>
          <cell r="DK167">
            <v>735.83581279999999</v>
          </cell>
          <cell r="DL167">
            <v>735.83581279999999</v>
          </cell>
          <cell r="DM167">
            <v>735.83581279999999</v>
          </cell>
          <cell r="DN167">
            <v>735.83581279999999</v>
          </cell>
          <cell r="DO167">
            <v>735.83581279999999</v>
          </cell>
          <cell r="DP167">
            <v>735.83581279999999</v>
          </cell>
          <cell r="DQ167">
            <v>735.83581279999999</v>
          </cell>
          <cell r="DR167">
            <v>735.83581279999999</v>
          </cell>
          <cell r="DS167">
            <v>735.83581279999999</v>
          </cell>
        </row>
        <row r="169">
          <cell r="A169" t="str">
            <v>No of Buildings (ie fiber bldgs with electronics) per BAN</v>
          </cell>
          <cell r="B169">
            <v>224</v>
          </cell>
        </row>
        <row r="170">
          <cell r="A170" t="str">
            <v>Redundancy</v>
          </cell>
        </row>
        <row r="171">
          <cell r="A171" t="str">
            <v>BAN's required for Fiber Buildings covered by co-located BAN's</v>
          </cell>
          <cell r="B171">
            <v>0.7</v>
          </cell>
          <cell r="C171">
            <v>84</v>
          </cell>
          <cell r="D171">
            <v>527.05331577258676</v>
          </cell>
          <cell r="E171">
            <v>733.27329821184014</v>
          </cell>
          <cell r="F171">
            <v>939.49328065109353</v>
          </cell>
          <cell r="G171">
            <v>1145.713263090347</v>
          </cell>
          <cell r="H171">
            <v>1249.8799297570138</v>
          </cell>
          <cell r="I171">
            <v>1354.0465964236803</v>
          </cell>
          <cell r="J171">
            <v>1458.2132630903468</v>
          </cell>
          <cell r="K171">
            <v>1562.3799297570135</v>
          </cell>
          <cell r="L171">
            <v>1562.3799297570135</v>
          </cell>
          <cell r="M171">
            <v>1562.3799297570135</v>
          </cell>
          <cell r="N171">
            <v>1562.3799297570135</v>
          </cell>
          <cell r="O171">
            <v>1562.3799297570135</v>
          </cell>
          <cell r="P171">
            <v>1562.3799297570135</v>
          </cell>
          <cell r="Q171">
            <v>1562.3799297570135</v>
          </cell>
          <cell r="R171">
            <v>1562.3799297570135</v>
          </cell>
          <cell r="S171">
            <v>1562.3799297570135</v>
          </cell>
          <cell r="T171">
            <v>1562.3799297570135</v>
          </cell>
          <cell r="U171">
            <v>1562.3799297570135</v>
          </cell>
          <cell r="V171">
            <v>1562.3799297570135</v>
          </cell>
          <cell r="W171">
            <v>1562.3799297570135</v>
          </cell>
          <cell r="X171">
            <v>1562.3799297570135</v>
          </cell>
          <cell r="Y171">
            <v>1562.3799297570135</v>
          </cell>
          <cell r="Z171">
            <v>1562.3799297570135</v>
          </cell>
          <cell r="AA171">
            <v>1562.3799297570135</v>
          </cell>
          <cell r="AB171">
            <v>1562.3799297570135</v>
          </cell>
          <cell r="AC171">
            <v>1562.3799297570135</v>
          </cell>
          <cell r="AD171">
            <v>1562.3799297570135</v>
          </cell>
          <cell r="AE171">
            <v>1562.3799297570135</v>
          </cell>
          <cell r="AF171">
            <v>1562.3799297570135</v>
          </cell>
          <cell r="AG171">
            <v>1562.3799297570135</v>
          </cell>
          <cell r="AH171">
            <v>1562.3799297570135</v>
          </cell>
          <cell r="AI171">
            <v>1562.3799297570135</v>
          </cell>
          <cell r="AJ171">
            <v>1562.3799297570135</v>
          </cell>
          <cell r="AK171">
            <v>1562.3799297570135</v>
          </cell>
          <cell r="AL171">
            <v>1562.3799297570135</v>
          </cell>
          <cell r="AM171">
            <v>1562.3799297570135</v>
          </cell>
          <cell r="AN171">
            <v>1562.3799297570135</v>
          </cell>
          <cell r="AO171">
            <v>1562.3799297570135</v>
          </cell>
          <cell r="AP171">
            <v>1562.3799297570135</v>
          </cell>
          <cell r="AQ171">
            <v>1562.3799297570135</v>
          </cell>
          <cell r="AR171">
            <v>1562.3799297570135</v>
          </cell>
          <cell r="AS171">
            <v>1562.3799297570135</v>
          </cell>
          <cell r="AT171">
            <v>1562.3799297570135</v>
          </cell>
          <cell r="AU171">
            <v>1562.3799297570135</v>
          </cell>
          <cell r="AV171">
            <v>1562.3799297570135</v>
          </cell>
          <cell r="AW171">
            <v>1562.3799297570135</v>
          </cell>
          <cell r="AX171">
            <v>1562.3799297570135</v>
          </cell>
          <cell r="AY171">
            <v>1562.3799297570135</v>
          </cell>
          <cell r="AZ171">
            <v>1562.3799297570135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</row>
        <row r="172">
          <cell r="A172" t="str">
            <v>BAN's required for Fiber Buildings covered by independent BAN's</v>
          </cell>
          <cell r="B172">
            <v>0.30000000000000004</v>
          </cell>
          <cell r="C172">
            <v>112</v>
          </cell>
          <cell r="D172">
            <v>169.40999435547434</v>
          </cell>
          <cell r="E172">
            <v>235.69498871094865</v>
          </cell>
          <cell r="F172">
            <v>301.97998306642296</v>
          </cell>
          <cell r="G172">
            <v>368.2649774218973</v>
          </cell>
          <cell r="H172">
            <v>401.74712027904019</v>
          </cell>
          <cell r="I172">
            <v>435.22926313618302</v>
          </cell>
          <cell r="J172">
            <v>468.71140599332591</v>
          </cell>
          <cell r="K172">
            <v>502.19354885046874</v>
          </cell>
          <cell r="L172">
            <v>502.19354885046874</v>
          </cell>
          <cell r="M172">
            <v>502.19354885046874</v>
          </cell>
          <cell r="N172">
            <v>502.19354885046874</v>
          </cell>
          <cell r="O172">
            <v>502.19354885046874</v>
          </cell>
          <cell r="P172">
            <v>502.19354885046874</v>
          </cell>
          <cell r="Q172">
            <v>502.19354885046874</v>
          </cell>
          <cell r="R172">
            <v>502.19354885046874</v>
          </cell>
          <cell r="S172">
            <v>502.19354885046874</v>
          </cell>
          <cell r="T172">
            <v>502.19354885046874</v>
          </cell>
          <cell r="U172">
            <v>502.19354885046874</v>
          </cell>
          <cell r="V172">
            <v>502.19354885046874</v>
          </cell>
          <cell r="W172">
            <v>502.19354885046874</v>
          </cell>
          <cell r="X172">
            <v>502.19354885046874</v>
          </cell>
          <cell r="Y172">
            <v>502.19354885046874</v>
          </cell>
          <cell r="Z172">
            <v>502.19354885046874</v>
          </cell>
          <cell r="AA172">
            <v>502.19354885046874</v>
          </cell>
          <cell r="AB172">
            <v>502.19354885046874</v>
          </cell>
          <cell r="AC172">
            <v>502.19354885046874</v>
          </cell>
          <cell r="AD172">
            <v>502.19354885046874</v>
          </cell>
          <cell r="AE172">
            <v>502.19354885046874</v>
          </cell>
          <cell r="AF172">
            <v>502.19354885046874</v>
          </cell>
          <cell r="AG172">
            <v>502.19354885046874</v>
          </cell>
          <cell r="AH172">
            <v>502.19354885046874</v>
          </cell>
          <cell r="AI172">
            <v>502.19354885046874</v>
          </cell>
          <cell r="AJ172">
            <v>502.19354885046874</v>
          </cell>
          <cell r="AK172">
            <v>502.19354885046874</v>
          </cell>
          <cell r="AL172">
            <v>502.19354885046874</v>
          </cell>
          <cell r="AM172">
            <v>502.19354885046874</v>
          </cell>
          <cell r="AN172">
            <v>502.19354885046874</v>
          </cell>
          <cell r="AO172">
            <v>502.19354885046874</v>
          </cell>
          <cell r="AP172">
            <v>502.19354885046874</v>
          </cell>
          <cell r="AQ172">
            <v>502.19354885046874</v>
          </cell>
          <cell r="AR172">
            <v>502.19354885046874</v>
          </cell>
          <cell r="AS172">
            <v>502.19354885046874</v>
          </cell>
          <cell r="AT172">
            <v>502.19354885046874</v>
          </cell>
          <cell r="AU172">
            <v>502.19354885046874</v>
          </cell>
          <cell r="AV172">
            <v>502.19354885046874</v>
          </cell>
          <cell r="AW172">
            <v>502.19354885046874</v>
          </cell>
          <cell r="AX172">
            <v>502.19354885046874</v>
          </cell>
          <cell r="AY172">
            <v>502.19354885046874</v>
          </cell>
          <cell r="AZ172">
            <v>502.19354885046874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</row>
        <row r="173">
          <cell r="A173" t="str">
            <v>No of BANs required</v>
          </cell>
          <cell r="D173">
            <v>696.46331012806104</v>
          </cell>
          <cell r="E173">
            <v>968.96828692278882</v>
          </cell>
          <cell r="F173">
            <v>1241.4732637175166</v>
          </cell>
          <cell r="G173">
            <v>1513.9782405122444</v>
          </cell>
          <cell r="H173">
            <v>1651.627050036054</v>
          </cell>
          <cell r="I173">
            <v>1789.2758595598634</v>
          </cell>
          <cell r="J173">
            <v>1926.9246690836726</v>
          </cell>
          <cell r="K173">
            <v>2064.5734786074822</v>
          </cell>
          <cell r="L173">
            <v>2064.5734786074822</v>
          </cell>
          <cell r="M173">
            <v>2064.5734786074822</v>
          </cell>
          <cell r="N173">
            <v>2064.5734786074822</v>
          </cell>
          <cell r="O173">
            <v>2064.5734786074822</v>
          </cell>
          <cell r="P173">
            <v>2064.5734786074822</v>
          </cell>
          <cell r="Q173">
            <v>2064.5734786074822</v>
          </cell>
          <cell r="R173">
            <v>2064.5734786074822</v>
          </cell>
          <cell r="S173">
            <v>2064.5734786074822</v>
          </cell>
          <cell r="T173">
            <v>2064.5734786074822</v>
          </cell>
          <cell r="U173">
            <v>2064.5734786074822</v>
          </cell>
          <cell r="V173">
            <v>2064.5734786074822</v>
          </cell>
          <cell r="W173">
            <v>2064.5734786074822</v>
          </cell>
          <cell r="X173">
            <v>2064.5734786074822</v>
          </cell>
          <cell r="Y173">
            <v>2064.5734786074822</v>
          </cell>
          <cell r="Z173">
            <v>2064.5734786074822</v>
          </cell>
          <cell r="AA173">
            <v>2064.5734786074822</v>
          </cell>
          <cell r="AB173">
            <v>2064.5734786074822</v>
          </cell>
          <cell r="AC173">
            <v>2064.5734786074822</v>
          </cell>
          <cell r="AD173">
            <v>2064.5734786074822</v>
          </cell>
          <cell r="AE173">
            <v>2064.5734786074822</v>
          </cell>
          <cell r="AF173">
            <v>2064.5734786074822</v>
          </cell>
          <cell r="AG173">
            <v>2064.5734786074822</v>
          </cell>
          <cell r="AH173">
            <v>2064.5734786074822</v>
          </cell>
          <cell r="AI173">
            <v>2064.5734786074822</v>
          </cell>
          <cell r="AJ173">
            <v>2064.5734786074822</v>
          </cell>
          <cell r="AK173">
            <v>2064.5734786074822</v>
          </cell>
          <cell r="AL173">
            <v>2064.5734786074822</v>
          </cell>
          <cell r="AM173">
            <v>2064.5734786074822</v>
          </cell>
          <cell r="AN173">
            <v>2064.5734786074822</v>
          </cell>
          <cell r="AO173">
            <v>2064.5734786074822</v>
          </cell>
          <cell r="AP173">
            <v>2064.5734786074822</v>
          </cell>
          <cell r="AQ173">
            <v>2064.5734786074822</v>
          </cell>
          <cell r="AR173">
            <v>2064.5734786074822</v>
          </cell>
          <cell r="AS173">
            <v>2064.5734786074822</v>
          </cell>
          <cell r="AT173">
            <v>2064.5734786074822</v>
          </cell>
          <cell r="AU173">
            <v>2064.5734786074822</v>
          </cell>
          <cell r="AV173">
            <v>2064.5734786074822</v>
          </cell>
          <cell r="AW173">
            <v>2064.5734786074822</v>
          </cell>
          <cell r="AX173">
            <v>2064.5734786074822</v>
          </cell>
          <cell r="AY173">
            <v>2064.5734786074822</v>
          </cell>
          <cell r="AZ173">
            <v>2064.5734786074822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</row>
        <row r="175">
          <cell r="A175" t="str">
            <v>Fixed Facilities</v>
          </cell>
          <cell r="D175">
            <v>7.5236860826536756</v>
          </cell>
          <cell r="E175">
            <v>10.467476331974018</v>
          </cell>
          <cell r="F175">
            <v>13.411266581294361</v>
          </cell>
          <cell r="G175">
            <v>16.355056830614704</v>
          </cell>
          <cell r="H175">
            <v>17.842035997281371</v>
          </cell>
          <cell r="I175">
            <v>19.329015163948036</v>
          </cell>
          <cell r="J175">
            <v>20.8159943306147</v>
          </cell>
          <cell r="K175">
            <v>22.302973497281368</v>
          </cell>
          <cell r="L175">
            <v>22.302973497281368</v>
          </cell>
          <cell r="M175">
            <v>22.302973497281368</v>
          </cell>
          <cell r="N175">
            <v>22.302973497281368</v>
          </cell>
          <cell r="O175">
            <v>22.302973497281368</v>
          </cell>
          <cell r="P175">
            <v>22.302973497281368</v>
          </cell>
          <cell r="Q175">
            <v>22.302973497281368</v>
          </cell>
          <cell r="R175">
            <v>22.302973497281368</v>
          </cell>
          <cell r="S175">
            <v>22.302973497281368</v>
          </cell>
          <cell r="T175">
            <v>22.302973497281368</v>
          </cell>
          <cell r="U175">
            <v>22.302973497281368</v>
          </cell>
          <cell r="V175">
            <v>22.302973497281368</v>
          </cell>
          <cell r="W175">
            <v>22.302973497281368</v>
          </cell>
          <cell r="X175">
            <v>22.302973497281368</v>
          </cell>
          <cell r="Y175">
            <v>22.302973497281368</v>
          </cell>
          <cell r="Z175">
            <v>22.302973497281368</v>
          </cell>
          <cell r="AA175">
            <v>22.302973497281368</v>
          </cell>
          <cell r="AB175">
            <v>22.302973497281368</v>
          </cell>
          <cell r="AC175">
            <v>22.302973497281368</v>
          </cell>
          <cell r="AD175">
            <v>22.302973497281368</v>
          </cell>
          <cell r="AE175">
            <v>22.302973497281368</v>
          </cell>
          <cell r="AF175">
            <v>22.302973497281368</v>
          </cell>
          <cell r="AG175">
            <v>22.302973497281368</v>
          </cell>
          <cell r="AH175">
            <v>22.302973497281368</v>
          </cell>
          <cell r="AI175">
            <v>22.302973497281368</v>
          </cell>
          <cell r="AJ175">
            <v>22.302973497281368</v>
          </cell>
          <cell r="AK175">
            <v>22.302973497281368</v>
          </cell>
          <cell r="AL175">
            <v>22.302973497281368</v>
          </cell>
          <cell r="AM175">
            <v>22.302973497281368</v>
          </cell>
          <cell r="AN175">
            <v>22.302973497281368</v>
          </cell>
          <cell r="AO175">
            <v>22.302973497281368</v>
          </cell>
          <cell r="AP175">
            <v>22.302973497281368</v>
          </cell>
          <cell r="AQ175">
            <v>22.302973497281368</v>
          </cell>
          <cell r="AR175">
            <v>22.302973497281368</v>
          </cell>
          <cell r="AS175">
            <v>22.302973497281368</v>
          </cell>
          <cell r="AT175">
            <v>22.302973497281368</v>
          </cell>
          <cell r="AU175">
            <v>22.302973497281368</v>
          </cell>
          <cell r="AV175">
            <v>22.302973497281368</v>
          </cell>
          <cell r="AW175">
            <v>22.302973497281368</v>
          </cell>
          <cell r="AX175">
            <v>22.302973497281368</v>
          </cell>
          <cell r="AY175">
            <v>22.302973497281368</v>
          </cell>
          <cell r="AZ175">
            <v>22.302973497281368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</row>
        <row r="176">
          <cell r="A176" t="str">
            <v>Fxed Electronics</v>
          </cell>
          <cell r="D176">
            <v>190.12751903185938</v>
          </cell>
          <cell r="E176">
            <v>264.51865264705208</v>
          </cell>
          <cell r="F176">
            <v>338.90978626224484</v>
          </cell>
          <cell r="G176">
            <v>413.30091987743759</v>
          </cell>
          <cell r="H176">
            <v>450.87766838934238</v>
          </cell>
          <cell r="I176">
            <v>488.4544169012471</v>
          </cell>
          <cell r="J176">
            <v>526.03116541315171</v>
          </cell>
          <cell r="K176">
            <v>563.60791392505655</v>
          </cell>
          <cell r="L176">
            <v>563.60791392505655</v>
          </cell>
          <cell r="M176">
            <v>563.60791392505655</v>
          </cell>
          <cell r="N176">
            <v>563.60791392505655</v>
          </cell>
          <cell r="O176">
            <v>563.60791392505655</v>
          </cell>
          <cell r="P176">
            <v>563.60791392505655</v>
          </cell>
          <cell r="Q176">
            <v>563.60791392505655</v>
          </cell>
          <cell r="R176">
            <v>563.60791392505655</v>
          </cell>
          <cell r="S176">
            <v>563.60791392505655</v>
          </cell>
          <cell r="T176">
            <v>563.60791392505655</v>
          </cell>
          <cell r="U176">
            <v>563.60791392505655</v>
          </cell>
          <cell r="V176">
            <v>563.60791392505655</v>
          </cell>
          <cell r="W176">
            <v>563.60791392505655</v>
          </cell>
          <cell r="X176">
            <v>563.60791392505655</v>
          </cell>
          <cell r="Y176">
            <v>563.60791392505655</v>
          </cell>
          <cell r="Z176">
            <v>563.60791392505655</v>
          </cell>
          <cell r="AA176">
            <v>563.60791392505655</v>
          </cell>
          <cell r="AB176">
            <v>563.60791392505655</v>
          </cell>
          <cell r="AC176">
            <v>563.60791392505655</v>
          </cell>
          <cell r="AD176">
            <v>563.60791392505655</v>
          </cell>
          <cell r="AE176">
            <v>563.60791392505655</v>
          </cell>
          <cell r="AF176">
            <v>563.60791392505655</v>
          </cell>
          <cell r="AG176">
            <v>563.60791392505655</v>
          </cell>
          <cell r="AH176">
            <v>563.60791392505655</v>
          </cell>
          <cell r="AI176">
            <v>563.60791392505655</v>
          </cell>
          <cell r="AJ176">
            <v>563.60791392505655</v>
          </cell>
          <cell r="AK176">
            <v>563.60791392505655</v>
          </cell>
          <cell r="AL176">
            <v>563.60791392505655</v>
          </cell>
          <cell r="AM176">
            <v>563.60791392505655</v>
          </cell>
          <cell r="AN176">
            <v>563.60791392505655</v>
          </cell>
          <cell r="AO176">
            <v>563.60791392505655</v>
          </cell>
          <cell r="AP176">
            <v>563.60791392505655</v>
          </cell>
          <cell r="AQ176">
            <v>563.60791392505655</v>
          </cell>
          <cell r="AR176">
            <v>563.60791392505655</v>
          </cell>
          <cell r="AS176">
            <v>563.60791392505655</v>
          </cell>
          <cell r="AT176">
            <v>563.60791392505655</v>
          </cell>
          <cell r="AU176">
            <v>563.60791392505655</v>
          </cell>
          <cell r="AV176">
            <v>563.60791392505655</v>
          </cell>
          <cell r="AW176">
            <v>563.60791392505655</v>
          </cell>
          <cell r="AX176">
            <v>563.60791392505655</v>
          </cell>
          <cell r="AY176">
            <v>563.60791392505655</v>
          </cell>
          <cell r="AZ176">
            <v>563.60791392505655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</row>
        <row r="177">
          <cell r="A177" t="str">
            <v xml:space="preserve">Independent BAN facilities cost </v>
          </cell>
          <cell r="D177">
            <v>21.176249294434292</v>
          </cell>
          <cell r="E177">
            <v>29.461873588868581</v>
          </cell>
          <cell r="F177">
            <v>37.74749788330287</v>
          </cell>
          <cell r="G177">
            <v>46.033122177737162</v>
          </cell>
          <cell r="H177">
            <v>50.218390034880024</v>
          </cell>
          <cell r="I177">
            <v>54.403657892022871</v>
          </cell>
          <cell r="J177">
            <v>58.588925749165739</v>
          </cell>
          <cell r="K177">
            <v>62.774193606308593</v>
          </cell>
          <cell r="L177">
            <v>62.774193606308593</v>
          </cell>
          <cell r="M177">
            <v>62.774193606308593</v>
          </cell>
          <cell r="N177">
            <v>62.774193606308593</v>
          </cell>
          <cell r="O177">
            <v>62.774193606308593</v>
          </cell>
          <cell r="P177">
            <v>62.774193606308593</v>
          </cell>
          <cell r="Q177">
            <v>62.774193606308593</v>
          </cell>
          <cell r="R177">
            <v>62.774193606308593</v>
          </cell>
          <cell r="S177">
            <v>62.774193606308593</v>
          </cell>
          <cell r="T177">
            <v>62.774193606308593</v>
          </cell>
          <cell r="U177">
            <v>62.774193606308593</v>
          </cell>
          <cell r="V177">
            <v>62.774193606308593</v>
          </cell>
          <cell r="W177">
            <v>62.774193606308593</v>
          </cell>
          <cell r="X177">
            <v>62.774193606308593</v>
          </cell>
          <cell r="Y177">
            <v>62.774193606308593</v>
          </cell>
          <cell r="Z177">
            <v>62.774193606308593</v>
          </cell>
          <cell r="AA177">
            <v>62.774193606308593</v>
          </cell>
          <cell r="AB177">
            <v>62.774193606308593</v>
          </cell>
          <cell r="AC177">
            <v>62.774193606308593</v>
          </cell>
          <cell r="AD177">
            <v>62.774193606308593</v>
          </cell>
          <cell r="AE177">
            <v>62.774193606308593</v>
          </cell>
          <cell r="AF177">
            <v>62.774193606308593</v>
          </cell>
          <cell r="AG177">
            <v>62.774193606308593</v>
          </cell>
          <cell r="AH177">
            <v>62.774193606308593</v>
          </cell>
          <cell r="AI177">
            <v>62.774193606308593</v>
          </cell>
          <cell r="AJ177">
            <v>62.774193606308593</v>
          </cell>
          <cell r="AK177">
            <v>62.774193606308593</v>
          </cell>
          <cell r="AL177">
            <v>62.774193606308593</v>
          </cell>
          <cell r="AM177">
            <v>62.774193606308593</v>
          </cell>
          <cell r="AN177">
            <v>62.774193606308593</v>
          </cell>
          <cell r="AO177">
            <v>62.774193606308593</v>
          </cell>
          <cell r="AP177">
            <v>62.774193606308593</v>
          </cell>
          <cell r="AQ177">
            <v>62.774193606308593</v>
          </cell>
          <cell r="AR177">
            <v>62.774193606308593</v>
          </cell>
          <cell r="AS177">
            <v>62.774193606308593</v>
          </cell>
          <cell r="AT177">
            <v>62.774193606308593</v>
          </cell>
          <cell r="AU177">
            <v>62.774193606308593</v>
          </cell>
          <cell r="AV177">
            <v>62.774193606308593</v>
          </cell>
          <cell r="AW177">
            <v>62.774193606308593</v>
          </cell>
          <cell r="AX177">
            <v>62.774193606308593</v>
          </cell>
          <cell r="AY177">
            <v>62.774193606308593</v>
          </cell>
          <cell r="AZ177">
            <v>62.774193606308593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</row>
        <row r="178">
          <cell r="A178" t="str">
            <v>Capex Workings for Copper Buildings</v>
          </cell>
        </row>
        <row r="179">
          <cell r="A179" t="str">
            <v>Fixed Cost per Copper Building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58.97444450431253</v>
          </cell>
          <cell r="I179">
            <v>117.94888900862506</v>
          </cell>
          <cell r="J179">
            <v>176.92333351293757</v>
          </cell>
          <cell r="K179">
            <v>235.89777801725012</v>
          </cell>
          <cell r="L179">
            <v>479.41868927803142</v>
          </cell>
          <cell r="M179">
            <v>722.93960053881278</v>
          </cell>
          <cell r="N179">
            <v>966.46051179959409</v>
          </cell>
          <cell r="O179">
            <v>1209.9814230603756</v>
          </cell>
          <cell r="P179">
            <v>1235.5185323603755</v>
          </cell>
          <cell r="Q179">
            <v>1261.0556416603756</v>
          </cell>
          <cell r="R179">
            <v>1286.5927509603755</v>
          </cell>
          <cell r="S179">
            <v>1312.1298602603756</v>
          </cell>
          <cell r="T179">
            <v>1312.1298602603756</v>
          </cell>
          <cell r="U179">
            <v>1312.1298602603756</v>
          </cell>
          <cell r="V179">
            <v>1312.1298602603756</v>
          </cell>
          <cell r="W179">
            <v>1312.1298602603756</v>
          </cell>
          <cell r="X179">
            <v>1312.1298602603756</v>
          </cell>
          <cell r="Y179">
            <v>1312.1298602603756</v>
          </cell>
          <cell r="Z179">
            <v>1312.1298602603756</v>
          </cell>
          <cell r="AA179">
            <v>1312.1298602603756</v>
          </cell>
          <cell r="AB179">
            <v>1312.1298602603756</v>
          </cell>
          <cell r="AC179">
            <v>1312.1298602603756</v>
          </cell>
          <cell r="AD179">
            <v>1312.1298602603756</v>
          </cell>
          <cell r="AE179">
            <v>1312.1298602603756</v>
          </cell>
          <cell r="AF179">
            <v>1312.1298602603756</v>
          </cell>
          <cell r="AG179">
            <v>1312.1298602603756</v>
          </cell>
          <cell r="AH179">
            <v>1312.1298602603756</v>
          </cell>
          <cell r="AI179">
            <v>1312.1298602603756</v>
          </cell>
          <cell r="AJ179">
            <v>1312.1298602603756</v>
          </cell>
          <cell r="AK179">
            <v>1312.1298602603756</v>
          </cell>
          <cell r="AL179">
            <v>1312.1298602603756</v>
          </cell>
          <cell r="AM179">
            <v>1312.1298602603756</v>
          </cell>
          <cell r="AN179">
            <v>1312.1298602603756</v>
          </cell>
          <cell r="AO179">
            <v>1312.1298602603756</v>
          </cell>
          <cell r="AP179">
            <v>1312.1298602603756</v>
          </cell>
          <cell r="AQ179">
            <v>1312.1298602603756</v>
          </cell>
          <cell r="AR179">
            <v>1312.1298602603756</v>
          </cell>
          <cell r="AS179">
            <v>1312.1298602603756</v>
          </cell>
          <cell r="AT179">
            <v>1312.1298602603756</v>
          </cell>
          <cell r="AU179">
            <v>1312.1298602603756</v>
          </cell>
          <cell r="AV179">
            <v>1312.1298602603756</v>
          </cell>
          <cell r="AW179">
            <v>1312.1298602603756</v>
          </cell>
          <cell r="AX179">
            <v>1312.1298602603756</v>
          </cell>
          <cell r="AY179">
            <v>1312.1298602603756</v>
          </cell>
          <cell r="AZ179">
            <v>1312.1298602603756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</row>
        <row r="181">
          <cell r="A181" t="str">
            <v>Total Fixed Cost</v>
          </cell>
          <cell r="D181">
            <v>711.29110440894738</v>
          </cell>
          <cell r="E181">
            <v>972.69635256789468</v>
          </cell>
          <cell r="F181">
            <v>1234.101600726842</v>
          </cell>
          <cell r="G181">
            <v>1495.5068488857896</v>
          </cell>
          <cell r="H181">
            <v>1666.2774389258166</v>
          </cell>
          <cell r="I181">
            <v>1837.0480289658431</v>
          </cell>
          <cell r="J181">
            <v>2007.8021690058699</v>
          </cell>
          <cell r="K181">
            <v>2178.5727590458969</v>
          </cell>
          <cell r="L181">
            <v>2422.0936703066782</v>
          </cell>
          <cell r="M181">
            <v>2665.614581567459</v>
          </cell>
          <cell r="N181">
            <v>2909.1354928282408</v>
          </cell>
          <cell r="O181">
            <v>3152.6564040890225</v>
          </cell>
          <cell r="P181">
            <v>3178.193513389022</v>
          </cell>
          <cell r="Q181">
            <v>3203.7306226890223</v>
          </cell>
          <cell r="R181">
            <v>3229.2677319890217</v>
          </cell>
          <cell r="S181">
            <v>3254.8048412890221</v>
          </cell>
          <cell r="T181">
            <v>3254.8048412890221</v>
          </cell>
          <cell r="U181">
            <v>3254.8048412890221</v>
          </cell>
          <cell r="V181">
            <v>3254.8048412890221</v>
          </cell>
          <cell r="W181">
            <v>3254.8048412890221</v>
          </cell>
          <cell r="X181">
            <v>3254.8048412890221</v>
          </cell>
          <cell r="Y181">
            <v>3254.8048412890221</v>
          </cell>
          <cell r="Z181">
            <v>3254.8048412890221</v>
          </cell>
          <cell r="AA181">
            <v>3254.8048412890221</v>
          </cell>
          <cell r="AB181">
            <v>3254.8048412890221</v>
          </cell>
          <cell r="AC181">
            <v>3254.8048412890221</v>
          </cell>
          <cell r="AD181">
            <v>3254.8048412890221</v>
          </cell>
          <cell r="AE181">
            <v>3254.8048412890221</v>
          </cell>
          <cell r="AF181">
            <v>3254.8048412890221</v>
          </cell>
          <cell r="AG181">
            <v>3254.8048412890221</v>
          </cell>
          <cell r="AH181">
            <v>3254.8048412890221</v>
          </cell>
          <cell r="AI181">
            <v>3254.8048412890221</v>
          </cell>
          <cell r="AJ181">
            <v>3254.8048412890221</v>
          </cell>
          <cell r="AK181">
            <v>3254.8048412890221</v>
          </cell>
          <cell r="AL181">
            <v>3254.8048412890221</v>
          </cell>
          <cell r="AM181">
            <v>3254.8048412890221</v>
          </cell>
          <cell r="AN181">
            <v>3254.8048412890221</v>
          </cell>
          <cell r="AO181">
            <v>3254.8048412890221</v>
          </cell>
          <cell r="AP181">
            <v>3254.8048412890221</v>
          </cell>
          <cell r="AQ181">
            <v>3254.8048412890221</v>
          </cell>
          <cell r="AR181">
            <v>3254.8048412890221</v>
          </cell>
          <cell r="AS181">
            <v>3254.8048412890221</v>
          </cell>
          <cell r="AT181">
            <v>3254.8048412890221</v>
          </cell>
          <cell r="AU181">
            <v>3254.8048412890221</v>
          </cell>
          <cell r="AV181">
            <v>3254.8048412890221</v>
          </cell>
          <cell r="AW181">
            <v>3254.8048412890221</v>
          </cell>
          <cell r="AX181">
            <v>3254.8048412890221</v>
          </cell>
          <cell r="AY181">
            <v>3254.8048412890221</v>
          </cell>
          <cell r="AZ181">
            <v>3254.8048412890221</v>
          </cell>
          <cell r="BA181">
            <v>1293.9899</v>
          </cell>
          <cell r="BB181">
            <v>1293.9899</v>
          </cell>
          <cell r="BC181">
            <v>1293.9899</v>
          </cell>
          <cell r="BD181">
            <v>1293.9899</v>
          </cell>
          <cell r="BE181">
            <v>1293.9899</v>
          </cell>
          <cell r="BF181">
            <v>1293.9899</v>
          </cell>
          <cell r="BG181">
            <v>1293.9899</v>
          </cell>
          <cell r="BH181">
            <v>1293.9899</v>
          </cell>
          <cell r="BI181">
            <v>1293.9899</v>
          </cell>
          <cell r="BJ181">
            <v>1293.9899</v>
          </cell>
          <cell r="BK181">
            <v>1293.9899</v>
          </cell>
          <cell r="BL181">
            <v>1293.9899</v>
          </cell>
          <cell r="BM181">
            <v>1293.9899</v>
          </cell>
          <cell r="BN181">
            <v>1293.9899</v>
          </cell>
          <cell r="BO181">
            <v>1293.9899</v>
          </cell>
          <cell r="BP181">
            <v>1293.9899</v>
          </cell>
          <cell r="BQ181">
            <v>1293.9899</v>
          </cell>
          <cell r="BR181">
            <v>1293.9899</v>
          </cell>
          <cell r="BS181">
            <v>1293.9899</v>
          </cell>
          <cell r="BT181">
            <v>1293.9899</v>
          </cell>
          <cell r="BU181">
            <v>1293.9899</v>
          </cell>
          <cell r="BV181">
            <v>1293.9899</v>
          </cell>
          <cell r="BW181">
            <v>1293.9899</v>
          </cell>
          <cell r="BX181">
            <v>1293.9899</v>
          </cell>
          <cell r="BY181">
            <v>1293.9899</v>
          </cell>
          <cell r="BZ181">
            <v>1293.9899</v>
          </cell>
          <cell r="CA181">
            <v>1293.9899</v>
          </cell>
          <cell r="CB181">
            <v>1293.9899</v>
          </cell>
          <cell r="CC181">
            <v>1293.9899</v>
          </cell>
          <cell r="CD181">
            <v>1293.9899</v>
          </cell>
          <cell r="CE181">
            <v>1293.9899</v>
          </cell>
          <cell r="CF181">
            <v>1293.9899</v>
          </cell>
          <cell r="CG181">
            <v>1293.9899</v>
          </cell>
          <cell r="CH181">
            <v>1293.9899</v>
          </cell>
          <cell r="CI181">
            <v>1293.9899</v>
          </cell>
          <cell r="CJ181">
            <v>1293.9899</v>
          </cell>
          <cell r="CK181">
            <v>1293.9899</v>
          </cell>
          <cell r="CL181">
            <v>1293.9899</v>
          </cell>
          <cell r="CM181">
            <v>1293.9899</v>
          </cell>
          <cell r="CN181">
            <v>1293.9899</v>
          </cell>
          <cell r="CO181">
            <v>1293.9899</v>
          </cell>
          <cell r="CP181">
            <v>1293.9899</v>
          </cell>
          <cell r="CQ181">
            <v>1293.9899</v>
          </cell>
          <cell r="CR181">
            <v>1293.9899</v>
          </cell>
          <cell r="CS181">
            <v>1293.9899</v>
          </cell>
          <cell r="CT181">
            <v>1293.9899</v>
          </cell>
          <cell r="CU181">
            <v>1293.9899</v>
          </cell>
          <cell r="CV181">
            <v>1293.9899</v>
          </cell>
          <cell r="CW181">
            <v>1293.9899</v>
          </cell>
          <cell r="CX181">
            <v>1293.9899</v>
          </cell>
          <cell r="CY181">
            <v>1293.9899</v>
          </cell>
          <cell r="CZ181">
            <v>1293.9899</v>
          </cell>
          <cell r="DA181">
            <v>1293.9899</v>
          </cell>
          <cell r="DB181">
            <v>1293.9899</v>
          </cell>
          <cell r="DC181">
            <v>1293.9899</v>
          </cell>
          <cell r="DD181">
            <v>1293.9899</v>
          </cell>
          <cell r="DE181">
            <v>1293.9899</v>
          </cell>
          <cell r="DF181">
            <v>1293.9899</v>
          </cell>
          <cell r="DG181">
            <v>1293.9899</v>
          </cell>
          <cell r="DH181">
            <v>1293.9899</v>
          </cell>
          <cell r="DI181">
            <v>1293.9899</v>
          </cell>
          <cell r="DJ181">
            <v>1293.9899</v>
          </cell>
          <cell r="DK181">
            <v>1293.9899</v>
          </cell>
          <cell r="DL181">
            <v>1293.9899</v>
          </cell>
          <cell r="DM181">
            <v>1293.9899</v>
          </cell>
          <cell r="DN181">
            <v>1293.9899</v>
          </cell>
          <cell r="DO181">
            <v>1293.9899</v>
          </cell>
          <cell r="DP181">
            <v>1293.9899</v>
          </cell>
          <cell r="DQ181">
            <v>1293.9899</v>
          </cell>
          <cell r="DR181">
            <v>1293.9899</v>
          </cell>
          <cell r="DS181">
            <v>1293.9899</v>
          </cell>
        </row>
        <row r="183">
          <cell r="A183" t="str">
            <v>Variable Cost</v>
          </cell>
        </row>
        <row r="184">
          <cell r="A184" t="str">
            <v>Fiber DELs</v>
          </cell>
          <cell r="D184">
            <v>65.407859802842609</v>
          </cell>
          <cell r="E184">
            <v>89.402420498542355</v>
          </cell>
          <cell r="F184">
            <v>113.3969811942421</v>
          </cell>
          <cell r="G184">
            <v>137.39154188994186</v>
          </cell>
          <cell r="H184">
            <v>176.20527557671303</v>
          </cell>
          <cell r="I184">
            <v>180.67112379099876</v>
          </cell>
          <cell r="J184">
            <v>185.13697200528446</v>
          </cell>
          <cell r="K184">
            <v>189.60282021957019</v>
          </cell>
          <cell r="L184">
            <v>211.24261117009863</v>
          </cell>
          <cell r="M184">
            <v>211.24261117009863</v>
          </cell>
          <cell r="N184">
            <v>211.24261117009863</v>
          </cell>
          <cell r="O184">
            <v>211.24261117009863</v>
          </cell>
          <cell r="P184">
            <v>230.64947801348418</v>
          </cell>
          <cell r="Q184">
            <v>230.64947801348418</v>
          </cell>
          <cell r="R184">
            <v>230.64947801348418</v>
          </cell>
          <cell r="S184">
            <v>230.64947801348418</v>
          </cell>
          <cell r="T184">
            <v>232.88240212062706</v>
          </cell>
          <cell r="U184">
            <v>232.88240212062706</v>
          </cell>
          <cell r="V184">
            <v>232.88240212062706</v>
          </cell>
          <cell r="W184">
            <v>232.88240212062706</v>
          </cell>
          <cell r="X184">
            <v>232.88240212062706</v>
          </cell>
          <cell r="Y184">
            <v>232.88240212062706</v>
          </cell>
          <cell r="Z184">
            <v>232.88240212062706</v>
          </cell>
          <cell r="AA184">
            <v>232.88240212062706</v>
          </cell>
          <cell r="AB184">
            <v>232.88240212062706</v>
          </cell>
          <cell r="AC184">
            <v>232.88240212062706</v>
          </cell>
          <cell r="AD184">
            <v>232.88240212062706</v>
          </cell>
          <cell r="AE184">
            <v>232.88240212062706</v>
          </cell>
          <cell r="AF184">
            <v>232.88240212062706</v>
          </cell>
          <cell r="AG184">
            <v>232.88240212062706</v>
          </cell>
          <cell r="AH184">
            <v>232.88240212062706</v>
          </cell>
          <cell r="AI184">
            <v>232.88240212062706</v>
          </cell>
          <cell r="AJ184">
            <v>232.88240212062706</v>
          </cell>
          <cell r="AK184">
            <v>232.88240212062706</v>
          </cell>
          <cell r="AL184">
            <v>232.88240212062706</v>
          </cell>
          <cell r="AM184">
            <v>232.88240212062706</v>
          </cell>
          <cell r="AN184">
            <v>232.88240212062706</v>
          </cell>
          <cell r="AO184">
            <v>232.88240212062706</v>
          </cell>
          <cell r="AP184">
            <v>232.88240212062706</v>
          </cell>
          <cell r="AQ184">
            <v>232.88240212062706</v>
          </cell>
          <cell r="AR184">
            <v>232.88240212062706</v>
          </cell>
          <cell r="AS184">
            <v>232.88240212062706</v>
          </cell>
          <cell r="AT184">
            <v>232.88240212062706</v>
          </cell>
          <cell r="AU184">
            <v>232.88240212062706</v>
          </cell>
          <cell r="AV184">
            <v>232.88240212062706</v>
          </cell>
          <cell r="AW184">
            <v>232.88240212062706</v>
          </cell>
          <cell r="AX184">
            <v>232.88240212062706</v>
          </cell>
          <cell r="AY184">
            <v>232.88240212062706</v>
          </cell>
          <cell r="AZ184">
            <v>232.88240212062706</v>
          </cell>
          <cell r="BA184" t="e">
            <v>#N/A</v>
          </cell>
          <cell r="BB184" t="e">
            <v>#N/A</v>
          </cell>
          <cell r="BC184" t="e">
            <v>#N/A</v>
          </cell>
          <cell r="BD184" t="e">
            <v>#N/A</v>
          </cell>
          <cell r="BE184" t="e">
            <v>#N/A</v>
          </cell>
          <cell r="BF184" t="e">
            <v>#N/A</v>
          </cell>
          <cell r="BG184" t="e">
            <v>#N/A</v>
          </cell>
          <cell r="BH184" t="e">
            <v>#N/A</v>
          </cell>
          <cell r="BI184" t="e">
            <v>#N/A</v>
          </cell>
          <cell r="BJ184" t="e">
            <v>#N/A</v>
          </cell>
          <cell r="BK184" t="e">
            <v>#N/A</v>
          </cell>
          <cell r="BL184" t="e">
            <v>#N/A</v>
          </cell>
          <cell r="BM184" t="e">
            <v>#N/A</v>
          </cell>
          <cell r="BN184" t="e">
            <v>#N/A</v>
          </cell>
          <cell r="BO184" t="e">
            <v>#N/A</v>
          </cell>
          <cell r="BP184" t="e">
            <v>#N/A</v>
          </cell>
          <cell r="BQ184" t="e">
            <v>#N/A</v>
          </cell>
          <cell r="BR184" t="e">
            <v>#N/A</v>
          </cell>
          <cell r="BS184" t="e">
            <v>#N/A</v>
          </cell>
          <cell r="BT184" t="e">
            <v>#N/A</v>
          </cell>
          <cell r="BU184" t="e">
            <v>#N/A</v>
          </cell>
          <cell r="BV184" t="e">
            <v>#N/A</v>
          </cell>
          <cell r="BW184" t="e">
            <v>#N/A</v>
          </cell>
          <cell r="BX184" t="e">
            <v>#N/A</v>
          </cell>
          <cell r="BY184" t="e">
            <v>#N/A</v>
          </cell>
          <cell r="BZ184" t="e">
            <v>#N/A</v>
          </cell>
          <cell r="CA184" t="e">
            <v>#N/A</v>
          </cell>
          <cell r="CB184" t="e">
            <v>#N/A</v>
          </cell>
          <cell r="CC184" t="e">
            <v>#N/A</v>
          </cell>
          <cell r="CD184" t="e">
            <v>#N/A</v>
          </cell>
          <cell r="CE184" t="e">
            <v>#N/A</v>
          </cell>
          <cell r="CF184" t="e">
            <v>#N/A</v>
          </cell>
          <cell r="CG184" t="e">
            <v>#N/A</v>
          </cell>
          <cell r="CH184" t="e">
            <v>#N/A</v>
          </cell>
          <cell r="CI184" t="e">
            <v>#N/A</v>
          </cell>
          <cell r="CJ184" t="e">
            <v>#N/A</v>
          </cell>
          <cell r="CK184" t="e">
            <v>#N/A</v>
          </cell>
          <cell r="CL184" t="e">
            <v>#N/A</v>
          </cell>
          <cell r="CM184" t="e">
            <v>#N/A</v>
          </cell>
          <cell r="CN184" t="e">
            <v>#N/A</v>
          </cell>
          <cell r="CO184" t="e">
            <v>#N/A</v>
          </cell>
          <cell r="CP184" t="e">
            <v>#N/A</v>
          </cell>
          <cell r="CQ184" t="e">
            <v>#N/A</v>
          </cell>
          <cell r="CR184" t="e">
            <v>#N/A</v>
          </cell>
          <cell r="CS184" t="e">
            <v>#N/A</v>
          </cell>
          <cell r="CT184" t="e">
            <v>#N/A</v>
          </cell>
          <cell r="CU184" t="e">
            <v>#N/A</v>
          </cell>
          <cell r="CV184" t="e">
            <v>#N/A</v>
          </cell>
          <cell r="CW184" t="e">
            <v>#N/A</v>
          </cell>
          <cell r="CX184" t="e">
            <v>#N/A</v>
          </cell>
          <cell r="CY184" t="e">
            <v>#N/A</v>
          </cell>
          <cell r="CZ184" t="e">
            <v>#N/A</v>
          </cell>
          <cell r="DA184" t="e">
            <v>#N/A</v>
          </cell>
          <cell r="DB184" t="e">
            <v>#N/A</v>
          </cell>
          <cell r="DC184" t="e">
            <v>#N/A</v>
          </cell>
          <cell r="DD184" t="e">
            <v>#N/A</v>
          </cell>
          <cell r="DE184" t="e">
            <v>#N/A</v>
          </cell>
          <cell r="DF184" t="e">
            <v>#N/A</v>
          </cell>
          <cell r="DG184" t="e">
            <v>#N/A</v>
          </cell>
          <cell r="DH184" t="e">
            <v>#N/A</v>
          </cell>
          <cell r="DI184" t="e">
            <v>#N/A</v>
          </cell>
          <cell r="DJ184" t="e">
            <v>#N/A</v>
          </cell>
          <cell r="DK184" t="e">
            <v>#N/A</v>
          </cell>
          <cell r="DL184" t="e">
            <v>#N/A</v>
          </cell>
          <cell r="DM184" t="e">
            <v>#N/A</v>
          </cell>
          <cell r="DN184" t="e">
            <v>#N/A</v>
          </cell>
          <cell r="DO184" t="e">
            <v>#N/A</v>
          </cell>
          <cell r="DP184" t="e">
            <v>#N/A</v>
          </cell>
          <cell r="DQ184" t="e">
            <v>#N/A</v>
          </cell>
          <cell r="DR184" t="e">
            <v>#N/A</v>
          </cell>
          <cell r="DS184" t="e">
            <v>#N/A</v>
          </cell>
        </row>
        <row r="185">
          <cell r="A185" t="str">
            <v>Copper DELs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28.501387115680075</v>
          </cell>
          <cell r="I185">
            <v>57.002774231360149</v>
          </cell>
          <cell r="J185">
            <v>85.504161347040224</v>
          </cell>
          <cell r="K185">
            <v>114.0055484627203</v>
          </cell>
          <cell r="L185">
            <v>180.6847885254206</v>
          </cell>
          <cell r="M185">
            <v>218.86264147244083</v>
          </cell>
          <cell r="N185">
            <v>257.04049441946103</v>
          </cell>
          <cell r="O185">
            <v>295.21834736648128</v>
          </cell>
          <cell r="P185">
            <v>362.38072350418622</v>
          </cell>
          <cell r="Q185">
            <v>364.38860215469089</v>
          </cell>
          <cell r="R185">
            <v>366.39648080519549</v>
          </cell>
          <cell r="S185">
            <v>368.40435945570016</v>
          </cell>
          <cell r="T185">
            <v>436.23602847690677</v>
          </cell>
          <cell r="U185">
            <v>436.23602847690677</v>
          </cell>
          <cell r="V185">
            <v>436.23602847690677</v>
          </cell>
          <cell r="W185">
            <v>436.23602847690677</v>
          </cell>
          <cell r="X185">
            <v>464.36510197559306</v>
          </cell>
          <cell r="Y185">
            <v>464.36510197559306</v>
          </cell>
          <cell r="Z185">
            <v>464.36510197559306</v>
          </cell>
          <cell r="AA185">
            <v>464.36510197559306</v>
          </cell>
          <cell r="AB185">
            <v>491.15558970727636</v>
          </cell>
          <cell r="AC185">
            <v>491.15558970727636</v>
          </cell>
          <cell r="AD185">
            <v>491.15558970727636</v>
          </cell>
          <cell r="AE185">
            <v>491.15558970727636</v>
          </cell>
          <cell r="AF185">
            <v>492.49417547427947</v>
          </cell>
          <cell r="AG185">
            <v>492.49417547427947</v>
          </cell>
          <cell r="AH185">
            <v>492.49417547427947</v>
          </cell>
          <cell r="AI185">
            <v>492.49417547427947</v>
          </cell>
          <cell r="AJ185">
            <v>492.49417547427947</v>
          </cell>
          <cell r="AK185">
            <v>492.49417547427947</v>
          </cell>
          <cell r="AL185">
            <v>492.49417547427947</v>
          </cell>
          <cell r="AM185">
            <v>492.49417547427947</v>
          </cell>
          <cell r="AN185">
            <v>492.49417547427947</v>
          </cell>
          <cell r="AO185">
            <v>492.49417547427947</v>
          </cell>
          <cell r="AP185">
            <v>492.49417547427947</v>
          </cell>
          <cell r="AQ185">
            <v>492.49417547427947</v>
          </cell>
          <cell r="AR185">
            <v>492.49417547427947</v>
          </cell>
          <cell r="AS185">
            <v>492.49417547427947</v>
          </cell>
          <cell r="AT185">
            <v>492.49417547427947</v>
          </cell>
          <cell r="AU185">
            <v>492.49417547427947</v>
          </cell>
          <cell r="AV185">
            <v>492.49417547427947</v>
          </cell>
          <cell r="AW185">
            <v>492.49417547427947</v>
          </cell>
          <cell r="AX185">
            <v>492.49417547427947</v>
          </cell>
          <cell r="AY185">
            <v>492.49417547427947</v>
          </cell>
          <cell r="AZ185">
            <v>492.49417547427947</v>
          </cell>
          <cell r="BA185" t="e">
            <v>#N/A</v>
          </cell>
          <cell r="BB185" t="e">
            <v>#N/A</v>
          </cell>
          <cell r="BC185" t="e">
            <v>#N/A</v>
          </cell>
          <cell r="BD185" t="e">
            <v>#N/A</v>
          </cell>
          <cell r="BE185" t="e">
            <v>#N/A</v>
          </cell>
          <cell r="BF185" t="e">
            <v>#N/A</v>
          </cell>
          <cell r="BG185" t="e">
            <v>#N/A</v>
          </cell>
          <cell r="BH185" t="e">
            <v>#N/A</v>
          </cell>
          <cell r="BI185" t="e">
            <v>#N/A</v>
          </cell>
          <cell r="BJ185" t="e">
            <v>#N/A</v>
          </cell>
          <cell r="BK185" t="e">
            <v>#N/A</v>
          </cell>
          <cell r="BL185" t="e">
            <v>#N/A</v>
          </cell>
          <cell r="BM185" t="e">
            <v>#N/A</v>
          </cell>
          <cell r="BN185" t="e">
            <v>#N/A</v>
          </cell>
          <cell r="BO185" t="e">
            <v>#N/A</v>
          </cell>
          <cell r="BP185" t="e">
            <v>#N/A</v>
          </cell>
          <cell r="BQ185" t="e">
            <v>#N/A</v>
          </cell>
          <cell r="BR185" t="e">
            <v>#N/A</v>
          </cell>
          <cell r="BS185" t="e">
            <v>#N/A</v>
          </cell>
          <cell r="BT185" t="e">
            <v>#N/A</v>
          </cell>
          <cell r="BU185" t="e">
            <v>#N/A</v>
          </cell>
          <cell r="BV185" t="e">
            <v>#N/A</v>
          </cell>
          <cell r="BW185" t="e">
            <v>#N/A</v>
          </cell>
          <cell r="BX185" t="e">
            <v>#N/A</v>
          </cell>
          <cell r="BY185" t="e">
            <v>#N/A</v>
          </cell>
          <cell r="BZ185" t="e">
            <v>#N/A</v>
          </cell>
          <cell r="CA185" t="e">
            <v>#N/A</v>
          </cell>
          <cell r="CB185" t="e">
            <v>#N/A</v>
          </cell>
          <cell r="CC185" t="e">
            <v>#N/A</v>
          </cell>
          <cell r="CD185" t="e">
            <v>#N/A</v>
          </cell>
          <cell r="CE185" t="e">
            <v>#N/A</v>
          </cell>
          <cell r="CF185" t="e">
            <v>#N/A</v>
          </cell>
          <cell r="CG185" t="e">
            <v>#N/A</v>
          </cell>
          <cell r="CH185" t="e">
            <v>#N/A</v>
          </cell>
          <cell r="CI185" t="e">
            <v>#N/A</v>
          </cell>
          <cell r="CJ185" t="e">
            <v>#N/A</v>
          </cell>
          <cell r="CK185" t="e">
            <v>#N/A</v>
          </cell>
          <cell r="CL185" t="e">
            <v>#N/A</v>
          </cell>
          <cell r="CM185" t="e">
            <v>#N/A</v>
          </cell>
          <cell r="CN185" t="e">
            <v>#N/A</v>
          </cell>
          <cell r="CO185" t="e">
            <v>#N/A</v>
          </cell>
          <cell r="CP185" t="e">
            <v>#N/A</v>
          </cell>
          <cell r="CQ185" t="e">
            <v>#N/A</v>
          </cell>
          <cell r="CR185" t="e">
            <v>#N/A</v>
          </cell>
          <cell r="CS185" t="e">
            <v>#N/A</v>
          </cell>
          <cell r="CT185" t="e">
            <v>#N/A</v>
          </cell>
          <cell r="CU185" t="e">
            <v>#N/A</v>
          </cell>
          <cell r="CV185" t="e">
            <v>#N/A</v>
          </cell>
          <cell r="CW185" t="e">
            <v>#N/A</v>
          </cell>
          <cell r="CX185" t="e">
            <v>#N/A</v>
          </cell>
          <cell r="CY185" t="e">
            <v>#N/A</v>
          </cell>
          <cell r="CZ185" t="e">
            <v>#N/A</v>
          </cell>
          <cell r="DA185" t="e">
            <v>#N/A</v>
          </cell>
          <cell r="DB185" t="e">
            <v>#N/A</v>
          </cell>
          <cell r="DC185" t="e">
            <v>#N/A</v>
          </cell>
          <cell r="DD185" t="e">
            <v>#N/A</v>
          </cell>
          <cell r="DE185" t="e">
            <v>#N/A</v>
          </cell>
          <cell r="DF185" t="e">
            <v>#N/A</v>
          </cell>
          <cell r="DG185" t="e">
            <v>#N/A</v>
          </cell>
          <cell r="DH185" t="e">
            <v>#N/A</v>
          </cell>
          <cell r="DI185" t="e">
            <v>#N/A</v>
          </cell>
          <cell r="DJ185" t="e">
            <v>#N/A</v>
          </cell>
          <cell r="DK185" t="e">
            <v>#N/A</v>
          </cell>
          <cell r="DL185" t="e">
            <v>#N/A</v>
          </cell>
          <cell r="DM185" t="e">
            <v>#N/A</v>
          </cell>
          <cell r="DN185" t="e">
            <v>#N/A</v>
          </cell>
          <cell r="DO185" t="e">
            <v>#N/A</v>
          </cell>
          <cell r="DP185" t="e">
            <v>#N/A</v>
          </cell>
          <cell r="DQ185" t="e">
            <v>#N/A</v>
          </cell>
          <cell r="DR185" t="e">
            <v>#N/A</v>
          </cell>
          <cell r="DS185" t="e">
            <v>#N/A</v>
          </cell>
        </row>
        <row r="186">
          <cell r="A186" t="str">
            <v>Total Variable Cost</v>
          </cell>
          <cell r="D186">
            <v>65.407859802842609</v>
          </cell>
          <cell r="E186">
            <v>89.402420498542355</v>
          </cell>
          <cell r="F186">
            <v>113.3969811942421</v>
          </cell>
          <cell r="G186">
            <v>137.39154188994186</v>
          </cell>
          <cell r="H186">
            <v>204.70666269239311</v>
          </cell>
          <cell r="I186">
            <v>237.67389802235891</v>
          </cell>
          <cell r="J186">
            <v>270.64113335232469</v>
          </cell>
          <cell r="K186">
            <v>303.60836868229046</v>
          </cell>
          <cell r="L186">
            <v>391.92739969551923</v>
          </cell>
          <cell r="M186">
            <v>430.10525264253943</v>
          </cell>
          <cell r="N186">
            <v>468.28310558955968</v>
          </cell>
          <cell r="O186">
            <v>506.46095853657994</v>
          </cell>
          <cell r="P186">
            <v>593.03020151767043</v>
          </cell>
          <cell r="Q186">
            <v>595.03808016817504</v>
          </cell>
          <cell r="R186">
            <v>597.04595881867965</v>
          </cell>
          <cell r="S186">
            <v>599.05383746918437</v>
          </cell>
          <cell r="T186">
            <v>669.1184305975338</v>
          </cell>
          <cell r="U186">
            <v>669.1184305975338</v>
          </cell>
          <cell r="V186">
            <v>669.1184305975338</v>
          </cell>
          <cell r="W186">
            <v>669.1184305975338</v>
          </cell>
          <cell r="X186">
            <v>697.24750409622015</v>
          </cell>
          <cell r="Y186">
            <v>697.24750409622015</v>
          </cell>
          <cell r="Z186">
            <v>697.24750409622015</v>
          </cell>
          <cell r="AA186">
            <v>697.24750409622015</v>
          </cell>
          <cell r="AB186">
            <v>724.0379918279034</v>
          </cell>
          <cell r="AC186">
            <v>724.0379918279034</v>
          </cell>
          <cell r="AD186">
            <v>724.0379918279034</v>
          </cell>
          <cell r="AE186">
            <v>724.0379918279034</v>
          </cell>
          <cell r="AF186">
            <v>725.37657759490651</v>
          </cell>
          <cell r="AG186">
            <v>725.37657759490651</v>
          </cell>
          <cell r="AH186">
            <v>725.37657759490651</v>
          </cell>
          <cell r="AI186">
            <v>725.37657759490651</v>
          </cell>
          <cell r="AJ186">
            <v>725.37657759490651</v>
          </cell>
          <cell r="AK186">
            <v>725.37657759490651</v>
          </cell>
          <cell r="AL186">
            <v>725.37657759490651</v>
          </cell>
          <cell r="AM186">
            <v>725.37657759490651</v>
          </cell>
          <cell r="AN186">
            <v>725.37657759490651</v>
          </cell>
          <cell r="AO186">
            <v>725.37657759490651</v>
          </cell>
          <cell r="AP186">
            <v>725.37657759490651</v>
          </cell>
          <cell r="AQ186">
            <v>725.37657759490651</v>
          </cell>
          <cell r="AR186">
            <v>725.37657759490651</v>
          </cell>
          <cell r="AS186">
            <v>725.37657759490651</v>
          </cell>
          <cell r="AT186">
            <v>725.37657759490651</v>
          </cell>
          <cell r="AU186">
            <v>725.37657759490651</v>
          </cell>
          <cell r="AV186">
            <v>725.37657759490651</v>
          </cell>
          <cell r="AW186">
            <v>725.37657759490651</v>
          </cell>
          <cell r="AX186">
            <v>725.37657759490651</v>
          </cell>
          <cell r="AY186">
            <v>725.37657759490651</v>
          </cell>
          <cell r="AZ186">
            <v>725.37657759490651</v>
          </cell>
          <cell r="BA186" t="e">
            <v>#N/A</v>
          </cell>
          <cell r="BB186" t="e">
            <v>#N/A</v>
          </cell>
          <cell r="BC186" t="e">
            <v>#N/A</v>
          </cell>
          <cell r="BD186" t="e">
            <v>#N/A</v>
          </cell>
          <cell r="BE186" t="e">
            <v>#N/A</v>
          </cell>
          <cell r="BF186" t="e">
            <v>#N/A</v>
          </cell>
          <cell r="BG186" t="e">
            <v>#N/A</v>
          </cell>
          <cell r="BH186" t="e">
            <v>#N/A</v>
          </cell>
          <cell r="BI186" t="e">
            <v>#N/A</v>
          </cell>
          <cell r="BJ186" t="e">
            <v>#N/A</v>
          </cell>
          <cell r="BK186" t="e">
            <v>#N/A</v>
          </cell>
          <cell r="BL186" t="e">
            <v>#N/A</v>
          </cell>
          <cell r="BM186" t="e">
            <v>#N/A</v>
          </cell>
          <cell r="BN186" t="e">
            <v>#N/A</v>
          </cell>
          <cell r="BO186" t="e">
            <v>#N/A</v>
          </cell>
          <cell r="BP186" t="e">
            <v>#N/A</v>
          </cell>
          <cell r="BQ186" t="e">
            <v>#N/A</v>
          </cell>
          <cell r="BR186" t="e">
            <v>#N/A</v>
          </cell>
          <cell r="BS186" t="e">
            <v>#N/A</v>
          </cell>
          <cell r="BT186" t="e">
            <v>#N/A</v>
          </cell>
          <cell r="BU186" t="e">
            <v>#N/A</v>
          </cell>
          <cell r="BV186" t="e">
            <v>#N/A</v>
          </cell>
          <cell r="BW186" t="e">
            <v>#N/A</v>
          </cell>
          <cell r="BX186" t="e">
            <v>#N/A</v>
          </cell>
          <cell r="BY186" t="e">
            <v>#N/A</v>
          </cell>
          <cell r="BZ186" t="e">
            <v>#N/A</v>
          </cell>
          <cell r="CA186" t="e">
            <v>#N/A</v>
          </cell>
          <cell r="CB186" t="e">
            <v>#N/A</v>
          </cell>
          <cell r="CC186" t="e">
            <v>#N/A</v>
          </cell>
          <cell r="CD186" t="e">
            <v>#N/A</v>
          </cell>
          <cell r="CE186" t="e">
            <v>#N/A</v>
          </cell>
          <cell r="CF186" t="e">
            <v>#N/A</v>
          </cell>
          <cell r="CG186" t="e">
            <v>#N/A</v>
          </cell>
          <cell r="CH186" t="e">
            <v>#N/A</v>
          </cell>
          <cell r="CI186" t="e">
            <v>#N/A</v>
          </cell>
          <cell r="CJ186" t="e">
            <v>#N/A</v>
          </cell>
          <cell r="CK186" t="e">
            <v>#N/A</v>
          </cell>
          <cell r="CL186" t="e">
            <v>#N/A</v>
          </cell>
          <cell r="CM186" t="e">
            <v>#N/A</v>
          </cell>
          <cell r="CN186" t="e">
            <v>#N/A</v>
          </cell>
          <cell r="CO186" t="e">
            <v>#N/A</v>
          </cell>
          <cell r="CP186" t="e">
            <v>#N/A</v>
          </cell>
          <cell r="CQ186" t="e">
            <v>#N/A</v>
          </cell>
          <cell r="CR186" t="e">
            <v>#N/A</v>
          </cell>
          <cell r="CS186" t="e">
            <v>#N/A</v>
          </cell>
          <cell r="CT186" t="e">
            <v>#N/A</v>
          </cell>
          <cell r="CU186" t="e">
            <v>#N/A</v>
          </cell>
          <cell r="CV186" t="e">
            <v>#N/A</v>
          </cell>
          <cell r="CW186" t="e">
            <v>#N/A</v>
          </cell>
          <cell r="CX186" t="e">
            <v>#N/A</v>
          </cell>
          <cell r="CY186" t="e">
            <v>#N/A</v>
          </cell>
          <cell r="CZ186" t="e">
            <v>#N/A</v>
          </cell>
          <cell r="DA186" t="e">
            <v>#N/A</v>
          </cell>
          <cell r="DB186" t="e">
            <v>#N/A</v>
          </cell>
          <cell r="DC186" t="e">
            <v>#N/A</v>
          </cell>
          <cell r="DD186" t="e">
            <v>#N/A</v>
          </cell>
          <cell r="DE186" t="e">
            <v>#N/A</v>
          </cell>
          <cell r="DF186" t="e">
            <v>#N/A</v>
          </cell>
          <cell r="DG186" t="e">
            <v>#N/A</v>
          </cell>
          <cell r="DH186" t="e">
            <v>#N/A</v>
          </cell>
          <cell r="DI186" t="e">
            <v>#N/A</v>
          </cell>
          <cell r="DJ186" t="e">
            <v>#N/A</v>
          </cell>
          <cell r="DK186" t="e">
            <v>#N/A</v>
          </cell>
          <cell r="DL186" t="e">
            <v>#N/A</v>
          </cell>
          <cell r="DM186" t="e">
            <v>#N/A</v>
          </cell>
          <cell r="DN186" t="e">
            <v>#N/A</v>
          </cell>
          <cell r="DO186" t="e">
            <v>#N/A</v>
          </cell>
          <cell r="DP186" t="e">
            <v>#N/A</v>
          </cell>
          <cell r="DQ186" t="e">
            <v>#N/A</v>
          </cell>
          <cell r="DR186" t="e">
            <v>#N/A</v>
          </cell>
          <cell r="DS186" t="e">
            <v>#N/A</v>
          </cell>
        </row>
        <row r="188">
          <cell r="A188" t="str">
            <v>Total Cummulative Capex</v>
          </cell>
          <cell r="D188">
            <v>776.69896421178998</v>
          </cell>
          <cell r="E188">
            <v>1062.0987730664369</v>
          </cell>
          <cell r="F188">
            <v>1347.498581921084</v>
          </cell>
          <cell r="G188">
            <v>1632.8983907757315</v>
          </cell>
          <cell r="H188">
            <v>1870.9841016182097</v>
          </cell>
          <cell r="I188">
            <v>2074.7219269882021</v>
          </cell>
          <cell r="J188">
            <v>2278.4433023581946</v>
          </cell>
          <cell r="K188">
            <v>2482.1811277281872</v>
          </cell>
          <cell r="L188">
            <v>2814.0210700021976</v>
          </cell>
          <cell r="M188">
            <v>3095.7198342099982</v>
          </cell>
          <cell r="N188">
            <v>3377.4185984178002</v>
          </cell>
          <cell r="O188">
            <v>3659.1173626256023</v>
          </cell>
          <cell r="P188">
            <v>3771.2237149066923</v>
          </cell>
          <cell r="Q188">
            <v>3798.7687028571972</v>
          </cell>
          <cell r="R188">
            <v>3826.3136908077013</v>
          </cell>
          <cell r="S188">
            <v>3853.8586787582062</v>
          </cell>
          <cell r="T188">
            <v>3923.923271886556</v>
          </cell>
          <cell r="U188">
            <v>3923.923271886556</v>
          </cell>
          <cell r="V188">
            <v>3923.923271886556</v>
          </cell>
          <cell r="W188">
            <v>3923.923271886556</v>
          </cell>
          <cell r="X188">
            <v>3952.052345385242</v>
          </cell>
          <cell r="Y188">
            <v>3952.052345385242</v>
          </cell>
          <cell r="Z188">
            <v>3952.052345385242</v>
          </cell>
          <cell r="AA188">
            <v>3952.052345385242</v>
          </cell>
          <cell r="AB188">
            <v>3978.8428331169252</v>
          </cell>
          <cell r="AC188">
            <v>3978.8428331169252</v>
          </cell>
          <cell r="AD188">
            <v>3978.8428331169252</v>
          </cell>
          <cell r="AE188">
            <v>3978.8428331169252</v>
          </cell>
          <cell r="AF188">
            <v>3980.1814188839285</v>
          </cell>
          <cell r="AG188">
            <v>3980.1814188839285</v>
          </cell>
          <cell r="AH188">
            <v>3980.1814188839285</v>
          </cell>
          <cell r="AI188">
            <v>3980.1814188839285</v>
          </cell>
          <cell r="AJ188">
            <v>3980.1814188839285</v>
          </cell>
          <cell r="AK188">
            <v>3980.1814188839285</v>
          </cell>
          <cell r="AL188">
            <v>3980.1814188839285</v>
          </cell>
          <cell r="AM188">
            <v>3980.1814188839285</v>
          </cell>
          <cell r="AN188">
            <v>3980.1814188839285</v>
          </cell>
          <cell r="AO188">
            <v>3980.1814188839285</v>
          </cell>
          <cell r="AP188">
            <v>3980.1814188839285</v>
          </cell>
          <cell r="AQ188">
            <v>3980.1814188839285</v>
          </cell>
          <cell r="AR188">
            <v>3980.1814188839285</v>
          </cell>
          <cell r="AS188">
            <v>3980.1814188839285</v>
          </cell>
          <cell r="AT188">
            <v>3980.1814188839285</v>
          </cell>
          <cell r="AU188">
            <v>3980.1814188839285</v>
          </cell>
          <cell r="AV188">
            <v>3980.1814188839285</v>
          </cell>
          <cell r="AW188">
            <v>3980.1814188839285</v>
          </cell>
          <cell r="AX188">
            <v>3980.1814188839285</v>
          </cell>
          <cell r="AY188">
            <v>3980.1814188839285</v>
          </cell>
          <cell r="AZ188">
            <v>3980.1814188839285</v>
          </cell>
          <cell r="BA188" t="e">
            <v>#N/A</v>
          </cell>
          <cell r="BB188" t="e">
            <v>#N/A</v>
          </cell>
          <cell r="BC188" t="e">
            <v>#N/A</v>
          </cell>
          <cell r="BD188" t="e">
            <v>#N/A</v>
          </cell>
          <cell r="BE188" t="e">
            <v>#N/A</v>
          </cell>
          <cell r="BF188" t="e">
            <v>#N/A</v>
          </cell>
          <cell r="BG188" t="e">
            <v>#N/A</v>
          </cell>
          <cell r="BH188" t="e">
            <v>#N/A</v>
          </cell>
          <cell r="BI188" t="e">
            <v>#N/A</v>
          </cell>
          <cell r="BJ188" t="e">
            <v>#N/A</v>
          </cell>
          <cell r="BK188" t="e">
            <v>#N/A</v>
          </cell>
          <cell r="BL188" t="e">
            <v>#N/A</v>
          </cell>
          <cell r="BM188" t="e">
            <v>#N/A</v>
          </cell>
          <cell r="BN188" t="e">
            <v>#N/A</v>
          </cell>
          <cell r="BO188" t="e">
            <v>#N/A</v>
          </cell>
          <cell r="BP188" t="e">
            <v>#N/A</v>
          </cell>
          <cell r="BQ188" t="e">
            <v>#N/A</v>
          </cell>
          <cell r="BR188" t="e">
            <v>#N/A</v>
          </cell>
          <cell r="BS188" t="e">
            <v>#N/A</v>
          </cell>
          <cell r="BT188" t="e">
            <v>#N/A</v>
          </cell>
          <cell r="BU188" t="e">
            <v>#N/A</v>
          </cell>
          <cell r="BV188" t="e">
            <v>#N/A</v>
          </cell>
          <cell r="BW188" t="e">
            <v>#N/A</v>
          </cell>
          <cell r="BX188" t="e">
            <v>#N/A</v>
          </cell>
          <cell r="BY188" t="e">
            <v>#N/A</v>
          </cell>
          <cell r="BZ188" t="e">
            <v>#N/A</v>
          </cell>
          <cell r="CA188" t="e">
            <v>#N/A</v>
          </cell>
          <cell r="CB188" t="e">
            <v>#N/A</v>
          </cell>
          <cell r="CC188" t="e">
            <v>#N/A</v>
          </cell>
          <cell r="CD188" t="e">
            <v>#N/A</v>
          </cell>
          <cell r="CE188" t="e">
            <v>#N/A</v>
          </cell>
          <cell r="CF188" t="e">
            <v>#N/A</v>
          </cell>
          <cell r="CG188" t="e">
            <v>#N/A</v>
          </cell>
          <cell r="CH188" t="e">
            <v>#N/A</v>
          </cell>
          <cell r="CI188" t="e">
            <v>#N/A</v>
          </cell>
          <cell r="CJ188" t="e">
            <v>#N/A</v>
          </cell>
          <cell r="CK188" t="e">
            <v>#N/A</v>
          </cell>
          <cell r="CL188" t="e">
            <v>#N/A</v>
          </cell>
          <cell r="CM188" t="e">
            <v>#N/A</v>
          </cell>
          <cell r="CN188" t="e">
            <v>#N/A</v>
          </cell>
          <cell r="CO188" t="e">
            <v>#N/A</v>
          </cell>
          <cell r="CP188" t="e">
            <v>#N/A</v>
          </cell>
          <cell r="CQ188" t="e">
            <v>#N/A</v>
          </cell>
          <cell r="CR188" t="e">
            <v>#N/A</v>
          </cell>
          <cell r="CS188" t="e">
            <v>#N/A</v>
          </cell>
          <cell r="CT188" t="e">
            <v>#N/A</v>
          </cell>
          <cell r="CU188" t="e">
            <v>#N/A</v>
          </cell>
          <cell r="CV188" t="e">
            <v>#N/A</v>
          </cell>
          <cell r="CW188" t="e">
            <v>#N/A</v>
          </cell>
          <cell r="CX188" t="e">
            <v>#N/A</v>
          </cell>
          <cell r="CY188" t="e">
            <v>#N/A</v>
          </cell>
          <cell r="CZ188" t="e">
            <v>#N/A</v>
          </cell>
          <cell r="DA188" t="e">
            <v>#N/A</v>
          </cell>
          <cell r="DB188" t="e">
            <v>#N/A</v>
          </cell>
          <cell r="DC188" t="e">
            <v>#N/A</v>
          </cell>
          <cell r="DD188" t="e">
            <v>#N/A</v>
          </cell>
          <cell r="DE188" t="e">
            <v>#N/A</v>
          </cell>
          <cell r="DF188" t="e">
            <v>#N/A</v>
          </cell>
          <cell r="DG188" t="e">
            <v>#N/A</v>
          </cell>
          <cell r="DH188" t="e">
            <v>#N/A</v>
          </cell>
          <cell r="DI188" t="e">
            <v>#N/A</v>
          </cell>
          <cell r="DJ188" t="e">
            <v>#N/A</v>
          </cell>
          <cell r="DK188" t="e">
            <v>#N/A</v>
          </cell>
          <cell r="DL188" t="e">
            <v>#N/A</v>
          </cell>
          <cell r="DM188" t="e">
            <v>#N/A</v>
          </cell>
          <cell r="DN188" t="e">
            <v>#N/A</v>
          </cell>
          <cell r="DO188" t="e">
            <v>#N/A</v>
          </cell>
          <cell r="DP188" t="e">
            <v>#N/A</v>
          </cell>
          <cell r="DQ188" t="e">
            <v>#N/A</v>
          </cell>
          <cell r="DR188" t="e">
            <v>#N/A</v>
          </cell>
          <cell r="DS188" t="e">
            <v>#N/A</v>
          </cell>
        </row>
        <row r="190">
          <cell r="A190" t="str">
            <v>Capex per DEL</v>
          </cell>
          <cell r="D190">
            <v>17676.874985249819</v>
          </cell>
          <cell r="E190">
            <v>17684.725919216511</v>
          </cell>
          <cell r="F190">
            <v>17689.254371233546</v>
          </cell>
          <cell r="G190">
            <v>17692.201092449901</v>
          </cell>
          <cell r="H190">
            <v>14257.82565278859</v>
          </cell>
          <cell r="I190">
            <v>14105.923007057962</v>
          </cell>
          <cell r="J190">
            <v>13983.484628049353</v>
          </cell>
          <cell r="K190">
            <v>13882.855340994391</v>
          </cell>
          <cell r="L190">
            <v>12595.794611082007</v>
          </cell>
          <cell r="M190">
            <v>12865.006847260694</v>
          </cell>
          <cell r="N190">
            <v>13098.258777190373</v>
          </cell>
          <cell r="O190">
            <v>13302.304463689312</v>
          </cell>
          <cell r="P190">
            <v>11844.044914835687</v>
          </cell>
          <cell r="Q190">
            <v>11896.712925565296</v>
          </cell>
          <cell r="R190">
            <v>11949.082997681015</v>
          </cell>
          <cell r="S190">
            <v>12001.157652173761</v>
          </cell>
          <cell r="T190">
            <v>11108.951099207889</v>
          </cell>
          <cell r="U190">
            <v>11108.951099207889</v>
          </cell>
          <cell r="V190">
            <v>11108.951099207889</v>
          </cell>
          <cell r="W190">
            <v>11108.951099207889</v>
          </cell>
          <cell r="X190">
            <v>10800.602339506266</v>
          </cell>
          <cell r="Y190">
            <v>10800.602339506266</v>
          </cell>
          <cell r="Z190">
            <v>10800.602339506266</v>
          </cell>
          <cell r="AA190">
            <v>10800.602339506266</v>
          </cell>
          <cell r="AB190">
            <v>10526.174214221803</v>
          </cell>
          <cell r="AC190">
            <v>10526.174214221803</v>
          </cell>
          <cell r="AD190">
            <v>10526.174214221803</v>
          </cell>
          <cell r="AE190">
            <v>10526.174214221803</v>
          </cell>
          <cell r="AF190">
            <v>10512.921968303266</v>
          </cell>
          <cell r="AG190">
            <v>10512.921968303266</v>
          </cell>
          <cell r="AH190">
            <v>10512.921968303266</v>
          </cell>
          <cell r="AI190">
            <v>10512.921968303266</v>
          </cell>
          <cell r="AJ190">
            <v>10512.921968303266</v>
          </cell>
          <cell r="AK190">
            <v>10512.921968303266</v>
          </cell>
          <cell r="AL190">
            <v>10512.921968303266</v>
          </cell>
          <cell r="AM190">
            <v>10512.921968303266</v>
          </cell>
          <cell r="AN190">
            <v>10512.921968303266</v>
          </cell>
          <cell r="AO190">
            <v>10512.921968303266</v>
          </cell>
          <cell r="AP190">
            <v>10512.921968303266</v>
          </cell>
          <cell r="AQ190">
            <v>10512.921968303266</v>
          </cell>
          <cell r="AR190">
            <v>10512.921968303266</v>
          </cell>
          <cell r="AS190">
            <v>10512.921968303266</v>
          </cell>
          <cell r="AT190">
            <v>10512.921968303266</v>
          </cell>
          <cell r="AU190">
            <v>10512.921968303266</v>
          </cell>
          <cell r="AV190">
            <v>10512.921968303266</v>
          </cell>
          <cell r="AW190">
            <v>10512.921968303266</v>
          </cell>
          <cell r="AX190">
            <v>10512.921968303266</v>
          </cell>
          <cell r="AY190">
            <v>10512.921968303266</v>
          </cell>
          <cell r="AZ190">
            <v>10512.921968303266</v>
          </cell>
          <cell r="BA190" t="e">
            <v>#N/A</v>
          </cell>
          <cell r="BB190" t="e">
            <v>#N/A</v>
          </cell>
          <cell r="BC190" t="e">
            <v>#N/A</v>
          </cell>
          <cell r="BD190" t="e">
            <v>#N/A</v>
          </cell>
          <cell r="BE190" t="e">
            <v>#N/A</v>
          </cell>
          <cell r="BF190" t="e">
            <v>#N/A</v>
          </cell>
          <cell r="BG190" t="e">
            <v>#N/A</v>
          </cell>
          <cell r="BH190" t="e">
            <v>#N/A</v>
          </cell>
          <cell r="BI190" t="e">
            <v>#N/A</v>
          </cell>
          <cell r="BJ190" t="e">
            <v>#N/A</v>
          </cell>
          <cell r="BK190" t="e">
            <v>#N/A</v>
          </cell>
          <cell r="BL190" t="e">
            <v>#N/A</v>
          </cell>
          <cell r="BM190" t="e">
            <v>#N/A</v>
          </cell>
          <cell r="BN190" t="e">
            <v>#N/A</v>
          </cell>
          <cell r="BO190" t="e">
            <v>#N/A</v>
          </cell>
          <cell r="BP190" t="e">
            <v>#N/A</v>
          </cell>
          <cell r="BQ190" t="e">
            <v>#N/A</v>
          </cell>
          <cell r="BR190" t="e">
            <v>#N/A</v>
          </cell>
          <cell r="BS190" t="e">
            <v>#N/A</v>
          </cell>
          <cell r="BT190" t="e">
            <v>#N/A</v>
          </cell>
          <cell r="BU190" t="e">
            <v>#N/A</v>
          </cell>
          <cell r="BV190" t="e">
            <v>#N/A</v>
          </cell>
          <cell r="BW190" t="e">
            <v>#N/A</v>
          </cell>
          <cell r="BX190" t="e">
            <v>#N/A</v>
          </cell>
          <cell r="BY190" t="e">
            <v>#N/A</v>
          </cell>
          <cell r="BZ190" t="e">
            <v>#N/A</v>
          </cell>
          <cell r="CA190" t="e">
            <v>#N/A</v>
          </cell>
          <cell r="CB190" t="e">
            <v>#N/A</v>
          </cell>
          <cell r="CC190" t="e">
            <v>#N/A</v>
          </cell>
          <cell r="CD190" t="e">
            <v>#N/A</v>
          </cell>
          <cell r="CE190" t="e">
            <v>#N/A</v>
          </cell>
          <cell r="CF190" t="e">
            <v>#N/A</v>
          </cell>
          <cell r="CG190" t="e">
            <v>#N/A</v>
          </cell>
          <cell r="CH190" t="e">
            <v>#N/A</v>
          </cell>
          <cell r="CI190" t="e">
            <v>#N/A</v>
          </cell>
          <cell r="CJ190" t="e">
            <v>#N/A</v>
          </cell>
          <cell r="CK190" t="e">
            <v>#N/A</v>
          </cell>
          <cell r="CL190" t="e">
            <v>#N/A</v>
          </cell>
          <cell r="CM190" t="e">
            <v>#N/A</v>
          </cell>
          <cell r="CN190" t="e">
            <v>#N/A</v>
          </cell>
          <cell r="CO190" t="e">
            <v>#N/A</v>
          </cell>
          <cell r="CP190" t="e">
            <v>#N/A</v>
          </cell>
          <cell r="CQ190" t="e">
            <v>#N/A</v>
          </cell>
          <cell r="CR190" t="e">
            <v>#N/A</v>
          </cell>
          <cell r="CS190" t="e">
            <v>#N/A</v>
          </cell>
          <cell r="CT190" t="e">
            <v>#N/A</v>
          </cell>
          <cell r="CU190" t="e">
            <v>#N/A</v>
          </cell>
          <cell r="CV190" t="e">
            <v>#N/A</v>
          </cell>
          <cell r="CW190" t="e">
            <v>#N/A</v>
          </cell>
          <cell r="CX190" t="e">
            <v>#N/A</v>
          </cell>
          <cell r="CY190" t="e">
            <v>#N/A</v>
          </cell>
          <cell r="CZ190" t="e">
            <v>#N/A</v>
          </cell>
          <cell r="DA190" t="e">
            <v>#N/A</v>
          </cell>
          <cell r="DB190" t="e">
            <v>#N/A</v>
          </cell>
          <cell r="DC190" t="e">
            <v>#N/A</v>
          </cell>
          <cell r="DD190" t="e">
            <v>#N/A</v>
          </cell>
          <cell r="DE190" t="e">
            <v>#N/A</v>
          </cell>
          <cell r="DF190" t="e">
            <v>#N/A</v>
          </cell>
          <cell r="DG190" t="e">
            <v>#N/A</v>
          </cell>
          <cell r="DH190" t="e">
            <v>#N/A</v>
          </cell>
          <cell r="DI190" t="e">
            <v>#N/A</v>
          </cell>
          <cell r="DJ190" t="e">
            <v>#N/A</v>
          </cell>
          <cell r="DK190" t="e">
            <v>#N/A</v>
          </cell>
          <cell r="DL190" t="e">
            <v>#N/A</v>
          </cell>
          <cell r="DM190" t="e">
            <v>#N/A</v>
          </cell>
          <cell r="DN190" t="e">
            <v>#N/A</v>
          </cell>
          <cell r="DO190" t="e">
            <v>#N/A</v>
          </cell>
          <cell r="DP190" t="e">
            <v>#N/A</v>
          </cell>
          <cell r="DQ190" t="e">
            <v>#N/A</v>
          </cell>
          <cell r="DR190" t="e">
            <v>#N/A</v>
          </cell>
          <cell r="DS190" t="e">
            <v>#N/A</v>
          </cell>
        </row>
        <row r="192">
          <cell r="A192" t="str">
            <v>DEL per building</v>
          </cell>
          <cell r="D192">
            <v>6.9472261987018218</v>
          </cell>
          <cell r="E192">
            <v>6.8252640397070063</v>
          </cell>
          <cell r="F192">
            <v>6.7568435819763737</v>
          </cell>
          <cell r="G192">
            <v>6.7130534851680528</v>
          </cell>
          <cell r="H192">
            <v>5.9994528756258925</v>
          </cell>
          <cell r="I192">
            <v>4.903191458386182</v>
          </cell>
          <cell r="J192">
            <v>4.2741917228870161</v>
          </cell>
          <cell r="K192">
            <v>3.8661929537679356</v>
          </cell>
          <cell r="L192">
            <v>2.9935073113628623</v>
          </cell>
          <cell r="M192">
            <v>2.3358363458704581</v>
          </cell>
          <cell r="N192">
            <v>1.9623062614242806</v>
          </cell>
          <cell r="O192">
            <v>1.7214880342027985</v>
          </cell>
          <cell r="P192">
            <v>1.9562338329278866</v>
          </cell>
          <cell r="Q192">
            <v>1.9265648231969466</v>
          </cell>
          <cell r="R192">
            <v>1.8979427135145479</v>
          </cell>
          <cell r="S192">
            <v>1.8703130532138419</v>
          </cell>
          <cell r="T192">
            <v>2.0572596697552559</v>
          </cell>
          <cell r="U192">
            <v>2.0572596697552559</v>
          </cell>
          <cell r="V192">
            <v>2.0572596697552559</v>
          </cell>
          <cell r="W192">
            <v>2.0572596697552559</v>
          </cell>
          <cell r="X192">
            <v>2.1311615524579723</v>
          </cell>
          <cell r="Y192">
            <v>2.1311615524579723</v>
          </cell>
          <cell r="Z192">
            <v>2.1311615524579723</v>
          </cell>
          <cell r="AA192">
            <v>2.1311615524579723</v>
          </cell>
          <cell r="AB192">
            <v>2.2015466464422397</v>
          </cell>
          <cell r="AC192">
            <v>2.2015466464422397</v>
          </cell>
          <cell r="AD192">
            <v>2.2015466464422397</v>
          </cell>
          <cell r="AE192">
            <v>2.2015466464422397</v>
          </cell>
          <cell r="AF192">
            <v>2.2050634351606884</v>
          </cell>
          <cell r="AG192">
            <v>2.2050634351606884</v>
          </cell>
          <cell r="AH192">
            <v>2.2050634351606884</v>
          </cell>
          <cell r="AI192">
            <v>2.2050634351606884</v>
          </cell>
          <cell r="AJ192">
            <v>2.2050634351606884</v>
          </cell>
          <cell r="AK192">
            <v>2.2050634351606884</v>
          </cell>
          <cell r="AL192">
            <v>2.2050634351606884</v>
          </cell>
          <cell r="AM192">
            <v>2.2050634351606884</v>
          </cell>
          <cell r="AN192">
            <v>2.2050634351606884</v>
          </cell>
          <cell r="AO192">
            <v>2.2050634351606884</v>
          </cell>
          <cell r="AP192">
            <v>2.2050634351606884</v>
          </cell>
          <cell r="AQ192">
            <v>2.2050634351606884</v>
          </cell>
          <cell r="AR192">
            <v>2.2050634351606884</v>
          </cell>
          <cell r="AS192">
            <v>2.2050634351606884</v>
          </cell>
          <cell r="AT192">
            <v>2.2050634351606884</v>
          </cell>
          <cell r="AU192">
            <v>2.2050634351606884</v>
          </cell>
          <cell r="AV192">
            <v>2.2050634351606884</v>
          </cell>
          <cell r="AW192">
            <v>2.2050634351606884</v>
          </cell>
          <cell r="AX192">
            <v>2.2050634351606884</v>
          </cell>
          <cell r="AY192">
            <v>2.2050634351606884</v>
          </cell>
          <cell r="AZ192">
            <v>2.2050634351606884</v>
          </cell>
          <cell r="BA192" t="e">
            <v>#N/A</v>
          </cell>
          <cell r="BB192" t="e">
            <v>#N/A</v>
          </cell>
          <cell r="BC192" t="e">
            <v>#N/A</v>
          </cell>
          <cell r="BD192" t="e">
            <v>#N/A</v>
          </cell>
          <cell r="BE192" t="e">
            <v>#N/A</v>
          </cell>
          <cell r="BF192" t="e">
            <v>#N/A</v>
          </cell>
          <cell r="BG192" t="e">
            <v>#N/A</v>
          </cell>
          <cell r="BH192" t="e">
            <v>#N/A</v>
          </cell>
          <cell r="BI192" t="e">
            <v>#N/A</v>
          </cell>
          <cell r="BJ192" t="e">
            <v>#N/A</v>
          </cell>
          <cell r="BK192" t="e">
            <v>#N/A</v>
          </cell>
          <cell r="BL192" t="e">
            <v>#N/A</v>
          </cell>
          <cell r="BM192" t="e">
            <v>#N/A</v>
          </cell>
          <cell r="BN192" t="e">
            <v>#N/A</v>
          </cell>
          <cell r="BO192" t="e">
            <v>#N/A</v>
          </cell>
          <cell r="BP192" t="e">
            <v>#N/A</v>
          </cell>
          <cell r="BQ192" t="e">
            <v>#N/A</v>
          </cell>
          <cell r="BR192" t="e">
            <v>#N/A</v>
          </cell>
          <cell r="BS192" t="e">
            <v>#N/A</v>
          </cell>
          <cell r="BT192" t="e">
            <v>#N/A</v>
          </cell>
          <cell r="BU192" t="e">
            <v>#N/A</v>
          </cell>
          <cell r="BV192" t="e">
            <v>#N/A</v>
          </cell>
          <cell r="BW192" t="e">
            <v>#N/A</v>
          </cell>
          <cell r="BX192" t="e">
            <v>#N/A</v>
          </cell>
          <cell r="BY192" t="e">
            <v>#N/A</v>
          </cell>
          <cell r="BZ192" t="e">
            <v>#N/A</v>
          </cell>
          <cell r="CA192" t="e">
            <v>#N/A</v>
          </cell>
          <cell r="CB192" t="e">
            <v>#N/A</v>
          </cell>
          <cell r="CC192" t="e">
            <v>#N/A</v>
          </cell>
          <cell r="CD192" t="e">
            <v>#N/A</v>
          </cell>
          <cell r="CE192" t="e">
            <v>#N/A</v>
          </cell>
          <cell r="CF192" t="e">
            <v>#N/A</v>
          </cell>
          <cell r="CG192" t="e">
            <v>#N/A</v>
          </cell>
          <cell r="CH192" t="e">
            <v>#N/A</v>
          </cell>
          <cell r="CI192" t="e">
            <v>#N/A</v>
          </cell>
          <cell r="CJ192" t="e">
            <v>#N/A</v>
          </cell>
          <cell r="CK192" t="e">
            <v>#N/A</v>
          </cell>
          <cell r="CL192" t="e">
            <v>#N/A</v>
          </cell>
          <cell r="CM192" t="e">
            <v>#N/A</v>
          </cell>
          <cell r="CN192" t="e">
            <v>#N/A</v>
          </cell>
          <cell r="CO192" t="e">
            <v>#N/A</v>
          </cell>
          <cell r="CP192" t="e">
            <v>#N/A</v>
          </cell>
          <cell r="CQ192" t="e">
            <v>#N/A</v>
          </cell>
          <cell r="CR192" t="e">
            <v>#N/A</v>
          </cell>
          <cell r="CS192" t="e">
            <v>#N/A</v>
          </cell>
          <cell r="CT192" t="e">
            <v>#N/A</v>
          </cell>
          <cell r="CU192" t="e">
            <v>#N/A</v>
          </cell>
          <cell r="CV192" t="e">
            <v>#N/A</v>
          </cell>
          <cell r="CW192" t="e">
            <v>#N/A</v>
          </cell>
          <cell r="CX192" t="e">
            <v>#N/A</v>
          </cell>
          <cell r="CY192" t="e">
            <v>#N/A</v>
          </cell>
          <cell r="CZ192" t="e">
            <v>#N/A</v>
          </cell>
          <cell r="DA192" t="e">
            <v>#N/A</v>
          </cell>
          <cell r="DB192" t="e">
            <v>#N/A</v>
          </cell>
          <cell r="DC192" t="e">
            <v>#N/A</v>
          </cell>
          <cell r="DD192" t="e">
            <v>#N/A</v>
          </cell>
          <cell r="DE192" t="e">
            <v>#N/A</v>
          </cell>
          <cell r="DF192" t="e">
            <v>#N/A</v>
          </cell>
          <cell r="DG192" t="e">
            <v>#N/A</v>
          </cell>
          <cell r="DH192" t="e">
            <v>#N/A</v>
          </cell>
          <cell r="DI192" t="e">
            <v>#N/A</v>
          </cell>
          <cell r="DJ192" t="e">
            <v>#N/A</v>
          </cell>
          <cell r="DK192" t="e">
            <v>#N/A</v>
          </cell>
          <cell r="DL192" t="e">
            <v>#N/A</v>
          </cell>
          <cell r="DM192" t="e">
            <v>#N/A</v>
          </cell>
          <cell r="DN192" t="e">
            <v>#N/A</v>
          </cell>
          <cell r="DO192" t="e">
            <v>#N/A</v>
          </cell>
          <cell r="DP192" t="e">
            <v>#N/A</v>
          </cell>
          <cell r="DQ192" t="e">
            <v>#N/A</v>
          </cell>
          <cell r="DR192" t="e">
            <v>#N/A</v>
          </cell>
          <cell r="DS192" t="e">
            <v>#N/A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ABC (2)"/>
      <sheetName val="Part ABC"/>
      <sheetName val="Sheet1 "/>
      <sheetName val="Part D"/>
      <sheetName val="Internal CAPAD (2)"/>
      <sheetName val="Internal CAPAD"/>
      <sheetName val="Exposure Anx III "/>
      <sheetName val="B S-31-3-2006"/>
      <sheetName val="RBI_Assets"/>
      <sheetName val="capitall_Banks"/>
      <sheetName val="capitalall"/>
      <sheetName val="B S"/>
      <sheetName val="CAPADwithout SubDebt"/>
      <sheetName val="Summary"/>
      <sheetName val="Ratings_Basel"/>
      <sheetName val="Ratings_Internal"/>
      <sheetName val="Bkp-rated"/>
      <sheetName val="August"/>
      <sheetName val="Exp Sep 2005"/>
      <sheetName val="Subdebts"/>
      <sheetName val="August (2)"/>
      <sheetName val="Part E"/>
      <sheetName val="Exposure"/>
      <sheetName val="Yield-COB sum"/>
      <sheetName val="MIS re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graphs"/>
      <sheetName val="opstats2"/>
      <sheetName val="STRUCTURE"/>
      <sheetName val="ROOM REVENUE"/>
      <sheetName val="AVROOMS-OCC"/>
      <sheetName val="OCROOMS-ARR"/>
      <sheetName val="RACK RATES"/>
      <sheetName val="Depreciation"/>
      <sheetName val="Capex &amp; Depreciation "/>
      <sheetName val="FUTURE CAPEX PLANS"/>
      <sheetName val="CAPEX PLANS"/>
      <sheetName val="NAV"/>
      <sheetName val="Debt (2)"/>
      <sheetName val="REPAY"/>
      <sheetName val="Rights Factor"/>
      <sheetName val="Capital History"/>
      <sheetName val="OTHER INCOME"/>
      <sheetName val="F&amp;B"/>
      <sheetName val="Operating Statistics"/>
      <sheetName val="ARRs &amp; OCS"/>
      <sheetName val="results"/>
      <sheetName val="TAX CALC"/>
      <sheetName val="IRR"/>
      <sheetName val="Financials"/>
      <sheetName val="Background information"/>
      <sheetName val="Directors"/>
      <sheetName val="Ownership"/>
      <sheetName val="Report"/>
      <sheetName val="Export"/>
      <sheetName val="FS1"/>
      <sheetName val="FS2"/>
      <sheetName val="One Pager"/>
      <sheetName val="FV-EBITDA"/>
      <sheetName val="First Page"/>
      <sheetName val="Market Info"/>
      <sheetName val="Technical"/>
      <sheetName val="Range Names"/>
      <sheetName val="Annual"/>
      <sheetName val="Earnings Monitor"/>
      <sheetName val="Unit Analysis"/>
      <sheetName val="Debt"/>
      <sheetName val="Cash flow"/>
      <sheetName val="Summary"/>
      <sheetName val="ENJAY1"/>
      <sheetName val="ROOM_REVENUE"/>
      <sheetName val="RACK_RATES"/>
      <sheetName val="Capex_&amp;_Depreciation_"/>
      <sheetName val="FUTURE_CAPEX_PLANS"/>
      <sheetName val="CAPEX_PLANS"/>
      <sheetName val="Debt_(2)"/>
      <sheetName val="Rights_Factor"/>
      <sheetName val="Capital_History"/>
      <sheetName val="OTHER_INCOME"/>
      <sheetName val="Operating_Statistics"/>
      <sheetName val="ARRs_&amp;_OCS"/>
      <sheetName val="TAX_CALC"/>
      <sheetName val="Background_information"/>
      <sheetName val="One_Pager"/>
      <sheetName val="First_Page"/>
      <sheetName val="Market_Info"/>
      <sheetName val="Range_Names"/>
      <sheetName val="Earnings_Monitor"/>
      <sheetName val="Unit_Analysis"/>
      <sheetName val="Cash_flow"/>
      <sheetName val="ROOM_REVENUE1"/>
      <sheetName val="RACK_RATES1"/>
      <sheetName val="Capex_&amp;_Depreciation_1"/>
      <sheetName val="FUTURE_CAPEX_PLANS1"/>
      <sheetName val="CAPEX_PLANS1"/>
      <sheetName val="Debt_(2)1"/>
      <sheetName val="Rights_Factor1"/>
      <sheetName val="Capital_History1"/>
      <sheetName val="OTHER_INCOME1"/>
      <sheetName val="Operating_Statistics1"/>
      <sheetName val="ARRs_&amp;_OCS1"/>
      <sheetName val="TAX_CALC1"/>
      <sheetName val="Background_information1"/>
      <sheetName val="One_Pager1"/>
      <sheetName val="First_Page1"/>
      <sheetName val="Market_Info1"/>
      <sheetName val="Range_Names1"/>
      <sheetName val="Earnings_Monitor1"/>
      <sheetName val="Unit_Analysis1"/>
      <sheetName val="Cash_flow1"/>
      <sheetName val="Setup_Variables"/>
      <sheetName val="Expenses"/>
      <sheetName val="sch"/>
      <sheetName val="land"/>
      <sheetName val="Exp"/>
      <sheetName val="P&amp;M"/>
      <sheetName val="PP"/>
      <sheetName val="BS"/>
      <sheetName val="DSCR"/>
      <sheetName val="Main workings"/>
      <sheetName val="assumptions"/>
      <sheetName val="DLC lookups"/>
      <sheetName val="Factors"/>
      <sheetName val="CFLOW"/>
      <sheetName val="Indirect expenses"/>
      <sheetName val="BS Schedules"/>
      <sheetName val="P_L Ac"/>
      <sheetName val="Calcns FDB"/>
      <sheetName val="Assns F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5">
          <cell r="J15">
            <v>0</v>
          </cell>
          <cell r="K15">
            <v>0</v>
          </cell>
          <cell r="L15">
            <v>-204.36</v>
          </cell>
          <cell r="M15">
            <v>-201.48000000000002</v>
          </cell>
          <cell r="N15">
            <v>-196.60624999999999</v>
          </cell>
          <cell r="O15">
            <v>-167.8075</v>
          </cell>
          <cell r="P15">
            <v>-133.0275</v>
          </cell>
          <cell r="Q15">
            <v>-99.6875</v>
          </cell>
          <cell r="R15">
            <v>-67.787500000000009</v>
          </cell>
        </row>
        <row r="16">
          <cell r="J16">
            <v>0</v>
          </cell>
          <cell r="K16">
            <v>0</v>
          </cell>
          <cell r="L16">
            <v>5.4843913688025392</v>
          </cell>
          <cell r="M16">
            <v>10.031529523769025</v>
          </cell>
          <cell r="N16">
            <v>31.659369497706599</v>
          </cell>
          <cell r="O16">
            <v>76.035712429128154</v>
          </cell>
          <cell r="P16">
            <v>148.70069860477841</v>
          </cell>
          <cell r="Q16">
            <v>241.95335962111304</v>
          </cell>
          <cell r="R16">
            <v>353.1911150110779</v>
          </cell>
        </row>
        <row r="111">
          <cell r="J111">
            <v>0</v>
          </cell>
          <cell r="K111">
            <v>0</v>
          </cell>
          <cell r="L111">
            <v>73.394951408777359</v>
          </cell>
          <cell r="M111">
            <v>90.978281978005114</v>
          </cell>
          <cell r="N111">
            <v>83.78635938490298</v>
          </cell>
          <cell r="O111">
            <v>202.94221737289942</v>
          </cell>
          <cell r="P111">
            <v>291.08846171225281</v>
          </cell>
          <cell r="Q111">
            <v>353.62342508066746</v>
          </cell>
          <cell r="R111">
            <v>428.31304388613756</v>
          </cell>
        </row>
        <row r="114">
          <cell r="J114">
            <v>2320</v>
          </cell>
          <cell r="K114">
            <v>2320</v>
          </cell>
          <cell r="L114">
            <v>2399.6673976685784</v>
          </cell>
          <cell r="M114">
            <v>2572.8244324644984</v>
          </cell>
          <cell r="N114">
            <v>2911.8339034092155</v>
          </cell>
          <cell r="O114">
            <v>3377.2478170059048</v>
          </cell>
          <cell r="P114">
            <v>3908.5887989156063</v>
          </cell>
          <cell r="Q114">
            <v>4661.4345187190929</v>
          </cell>
          <cell r="R114">
            <v>5597.4727320558513</v>
          </cell>
        </row>
        <row r="145">
          <cell r="J145">
            <v>990</v>
          </cell>
          <cell r="K145">
            <v>990</v>
          </cell>
          <cell r="L145">
            <v>966</v>
          </cell>
          <cell r="M145">
            <v>942</v>
          </cell>
          <cell r="N145">
            <v>930.5</v>
          </cell>
          <cell r="O145">
            <v>931.5</v>
          </cell>
          <cell r="P145">
            <v>815.83333333333326</v>
          </cell>
          <cell r="Q145">
            <v>724.16666666666663</v>
          </cell>
          <cell r="R145">
            <v>632.5</v>
          </cell>
          <cell r="S145">
            <v>540.83333333333326</v>
          </cell>
          <cell r="T145">
            <v>495</v>
          </cell>
          <cell r="U145">
            <v>495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ash"/>
      <sheetName val="ReportsParameters"/>
      <sheetName val="BRTABLE"/>
      <sheetName val="Cost_Of_Capital_Valuation"/>
      <sheetName val="Business_Risk_Valuation"/>
      <sheetName val="dlgCapitalizedExp"/>
      <sheetName val="dlgWACC"/>
      <sheetName val="dlgPVLeases"/>
      <sheetName val="dlgEVAAnalysis"/>
      <sheetName val="dlgBubbles"/>
      <sheetName val="dlgEVAMVAGraphs"/>
      <sheetName val="modEVAMVAGraphs"/>
      <sheetName val="Value_To_Book_Ratio_Valuation"/>
      <sheetName val="Book_Bond_Rating_Valuation"/>
      <sheetName val="Market_Bond_Rating_Valuation"/>
      <sheetName val="modReports"/>
      <sheetName val="Data"/>
      <sheetName val="Nopat_by_Years_Valuation"/>
      <sheetName val="Capital_by_Years_Valuation"/>
      <sheetName val="Bubbles_Valuation"/>
      <sheetName val="Bubbles_Graphs"/>
      <sheetName val="Graphs"/>
      <sheetName val="Free_Cash_Flow_Valuation"/>
      <sheetName val="EVA_Valuation"/>
      <sheetName val="Component_Valuation"/>
      <sheetName val="Income_Statement"/>
      <sheetName val="Balance_Sheet"/>
      <sheetName val="OriginalISBS"/>
      <sheetName val="TB9899"/>
      <sheetName val="Bubbles_§raphs"/>
      <sheetName val="Free_Cmrg_Fl__Valuation"/>
      <sheetName val="Comronent_Valuation"/>
      <sheetName val="Mncome_S~ntemeb"/>
      <sheetName val="Baëance_Sh_x0005_et"/>
      <sheetName val="AriginalISBS"/>
      <sheetName val="Grouped TB-2004-05"/>
      <sheetName val="Main workings"/>
      <sheetName val="assumptions"/>
      <sheetName val="Reports"/>
      <sheetName val="List_ratios"/>
      <sheetName val="CF"/>
      <sheetName val="Input-Function"/>
      <sheetName val="DLC lookups"/>
      <sheetName val="Baëance_Shet"/>
      <sheetName val="Main_workings"/>
      <sheetName val="Grouped_TB-2004-05"/>
      <sheetName val="DLC_lookups"/>
      <sheetName val="Forecast-Input"/>
      <sheetName val="Valuation"/>
      <sheetName val="wwww"/>
      <sheetName val="Assume"/>
      <sheetName val="Capital"/>
      <sheetName val="Print_Menu"/>
      <sheetName val="MSA"/>
      <sheetName val="Vol_SRA"/>
      <sheetName val="Business_Ris_x0000__x0000_Valuation"/>
      <sheetName val="Sept Summary"/>
      <sheetName val="Branch-wise-City-wise"/>
      <sheetName val="INFO"/>
      <sheetName val="NOTES "/>
      <sheetName val="3CD ANX-I"/>
      <sheetName val="Computation"/>
      <sheetName val="Interest Working - banks"/>
      <sheetName val="OTB"/>
      <sheetName val="Balance Sheet"/>
      <sheetName val="Profit &amp; Loss"/>
      <sheetName val="Notes Balance Sheet"/>
      <sheetName val="Notes profit &amp; Loss Account"/>
      <sheetName val="B S Grouping 1"/>
      <sheetName val="B S Grouping 2"/>
      <sheetName val="TB 2013-14"/>
      <sheetName val="Deferred tax"/>
      <sheetName val="Aging"/>
      <sheetName val="P &amp; L Grouping"/>
      <sheetName val="losses detail"/>
      <sheetName val="Dep.-COMP ACT-FY 2011-12"/>
      <sheetName val="Dep. Comp Act FY 2013-14"/>
      <sheetName val="FC"/>
      <sheetName val="Reinstatement"/>
      <sheetName val="Additions-deletions (FA)"/>
      <sheetName val="Dep IT"/>
      <sheetName val="AS 18"/>
      <sheetName val="vinod-computation"/>
      <sheetName val="FORM29B"/>
      <sheetName val="computa"/>
      <sheetName val="trial 12-13"/>
      <sheetName val="intt."/>
      <sheetName val="BR (2)"/>
      <sheetName val="investment"/>
      <sheetName val="trial 11-12"/>
      <sheetName val="balance abstract"/>
      <sheetName val="1.4.13-31.3.14"/>
      <sheetName val="1.4.12-31.3.13"/>
      <sheetName val="Setting"/>
      <sheetName val="P&amp;L"/>
      <sheetName val="Dept-P&amp;L-Summary"/>
      <sheetName val="Revenue"/>
      <sheetName val="Manpower details"/>
      <sheetName val="Financials"/>
      <sheetName val="MTO REV.0"/>
      <sheetName val="Baëance_Sh_x005f_x0005_et"/>
      <sheetName val="Trial Balance"/>
      <sheetName val="Baëance_Sh_x005f_x005f_x005f_x0005_et"/>
      <sheetName val="PMT_DETAILS"/>
      <sheetName val="Grouped_TB-2004-051"/>
      <sheetName val="Main_workings1"/>
      <sheetName val="DLC_lookups1"/>
      <sheetName val="MTO_REV_0"/>
      <sheetName val="3CD_ANX-I"/>
      <sheetName val="Interest_Working_-_banks"/>
      <sheetName val="Balance_Sheet1"/>
      <sheetName val="Profit_&amp;_Loss"/>
      <sheetName val="Notes_Balance_Sheet"/>
      <sheetName val="Notes_profit_&amp;_Loss_Account"/>
      <sheetName val="B_S_Grouping_1"/>
      <sheetName val="B_S_Grouping_2"/>
      <sheetName val="TB_2013-14"/>
      <sheetName val="Deferred_tax"/>
      <sheetName val="P_&amp;_L_Grouping"/>
      <sheetName val="losses_detail"/>
      <sheetName val="Dep_-COMP_ACT-FY_2011-12"/>
      <sheetName val="Dep__Comp_Act_FY_2013-14"/>
      <sheetName val="Additions-deletions_(FA)"/>
      <sheetName val="Dep_IT"/>
      <sheetName val="AS_18"/>
      <sheetName val="trial_12-13"/>
      <sheetName val="intt_"/>
      <sheetName val="BR_(2)"/>
      <sheetName val="trial_11-12"/>
      <sheetName val="balance_abstract"/>
      <sheetName val="1_4_13-31_3_14"/>
      <sheetName val="1_4_12-31_3_13"/>
      <sheetName val="Trial_Balance"/>
      <sheetName val="Business_RisValuation"/>
      <sheetName val="Sept_Summary"/>
      <sheetName val="NOTES_"/>
      <sheetName val="Expenses"/>
      <sheetName val="sch"/>
      <sheetName val="land"/>
      <sheetName val="Ledger"/>
      <sheetName val="Report Setup Sheet"/>
      <sheetName val="Control"/>
      <sheetName val="PERFORMANCE"/>
      <sheetName val="SUB SCHEDULE"/>
      <sheetName val="fasst"/>
      <sheetName val="additions to fixed assets"/>
      <sheetName val="EVA Calculations"/>
      <sheetName val="Heat Cons"/>
      <sheetName val="CABLE"/>
      <sheetName val="number"/>
      <sheetName val="Print Menu"/>
      <sheetName val="Validation"/>
    </sheetNames>
    <sheetDataSet>
      <sheetData sheetId="0" refreshError="1"/>
      <sheetData sheetId="1" refreshError="1">
        <row r="1">
          <cell r="A1" t="str">
            <v>M_PrintSetUpDone</v>
          </cell>
        </row>
        <row r="11">
          <cell r="B11">
            <v>1992</v>
          </cell>
        </row>
        <row r="12">
          <cell r="B12">
            <v>2000</v>
          </cell>
        </row>
        <row r="19">
          <cell r="C19">
            <v>19</v>
          </cell>
        </row>
        <row r="20">
          <cell r="C20" t="e">
            <v>#REF!</v>
          </cell>
        </row>
        <row r="21">
          <cell r="C21">
            <v>16</v>
          </cell>
        </row>
        <row r="26">
          <cell r="B26">
            <v>1</v>
          </cell>
        </row>
        <row r="29">
          <cell r="B29" t="str">
            <v>PSA Consolidated Group</v>
          </cell>
        </row>
        <row r="32">
          <cell r="B32">
            <v>-4146</v>
          </cell>
        </row>
        <row r="33">
          <cell r="B33" t="str">
            <v>Finanseer</v>
          </cell>
        </row>
        <row r="38">
          <cell r="B38" t="e">
            <v>#REF!</v>
          </cell>
        </row>
        <row r="42">
          <cell r="B42">
            <v>0</v>
          </cell>
        </row>
        <row r="50">
          <cell r="A50" t="str">
            <v>$_(#,##0_);$(#,##0);_($0_)</v>
          </cell>
          <cell r="B50" t="str">
            <v>_(#,##0_)%;(#,##0)%;_(0%_)</v>
          </cell>
          <cell r="C50" t="str">
            <v>_(#,##0_);(#,##0);_(0_)</v>
          </cell>
          <cell r="D50" t="str">
            <v>_(#,##0_) x;(#,##0) x;_(0_) x</v>
          </cell>
          <cell r="E50" t="str">
            <v>_(#,##0"%"_);(#,##0"%");_(0"%"_)</v>
          </cell>
        </row>
        <row r="51">
          <cell r="A51" t="str">
            <v>$_(#,##0.0_);$(#,##0.0);_($0.0_)</v>
          </cell>
          <cell r="B51" t="str">
            <v>_(#,##0.0_)%;(#,##0.0)%;_(0.0%_)</v>
          </cell>
          <cell r="C51" t="str">
            <v>_(#,##0.0_);(#,##0.0);_(0.0_)</v>
          </cell>
          <cell r="D51" t="str">
            <v>_(#,##0.0_) x;(#,##0.0) x;_(0.0_) x</v>
          </cell>
          <cell r="E51" t="str">
            <v>_(#,##0.0"%"_);(#,##0.0)"%";_(0.0_)"%"</v>
          </cell>
        </row>
        <row r="52">
          <cell r="A52" t="str">
            <v>$_(#,##0.00_);$(#,##0.00);_($0.00_)</v>
          </cell>
          <cell r="B52" t="str">
            <v>_(#,##0.00%_);(#,##0.00%);_(0.00%_)</v>
          </cell>
          <cell r="C52" t="str">
            <v>_(#,##0.00_);(#,##0.00);_(0.00_)</v>
          </cell>
          <cell r="D52" t="str">
            <v>_(#,##0.00_) x;(#,##0.00) x;0.00 x</v>
          </cell>
          <cell r="E52" t="str">
            <v>_(#,##0.00"%"_);(#,##0.00"%");_(0.00"%"_)</v>
          </cell>
        </row>
        <row r="53">
          <cell r="A53" t="str">
            <v>$_(#,##0.000_);$(#,##0.000);_($0.000_)</v>
          </cell>
          <cell r="B53" t="str">
            <v>_(#,##0.000%_);(#,##0.000%);_(0.000%_)</v>
          </cell>
          <cell r="C53" t="str">
            <v>_(#,##0.000_);(#,##0.000);_(0.000_)</v>
          </cell>
          <cell r="D53" t="str">
            <v>_(#,##0.000_) x;(#,##0.000) x;0.000 x</v>
          </cell>
          <cell r="E53" t="str">
            <v>_(#,##0.000"%"_);(#,##0.000"%");_(0.000"%"_)</v>
          </cell>
        </row>
        <row r="54">
          <cell r="A54" t="str">
            <v>$_(#,##0.0000_);$(#,##0.0000);_($0.0000_)</v>
          </cell>
          <cell r="B54" t="str">
            <v>_(#,##0.0000%_);(#,##0.0000%);_(0.0000%_)</v>
          </cell>
          <cell r="C54" t="str">
            <v>_(#,##0.0000_);(#,##0.0000);_(0.0000_)</v>
          </cell>
          <cell r="D54" t="str">
            <v>_(#,##0.0000_) x;(#,##0.0000) x;0.0000 x</v>
          </cell>
          <cell r="E54" t="str">
            <v>_(#,##0.0000"%"_);(#,##0.0000"%");_(0.0000"%"_)</v>
          </cell>
        </row>
        <row r="55">
          <cell r="A55" t="str">
            <v>$_(#,##0.00000_);$(#,##0.00000);_($0.00000_)</v>
          </cell>
          <cell r="B55" t="str">
            <v>_(#,##0.00000%_);(#,##0.00000%);_(0.00000%_)</v>
          </cell>
          <cell r="C55" t="str">
            <v>_(#,##0.00000_);(#,##0.00000);_(0.00000_)</v>
          </cell>
          <cell r="D55" t="str">
            <v>_(#,##0.00000_) x;(#,##0.00000) x;0.00000 x</v>
          </cell>
          <cell r="E55" t="str">
            <v>_(#,##0.00000"%"_);(#,##0.00000"%");_(0.00000"%"_)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M_PrintSetUpDone</v>
          </cell>
          <cell r="B1" t="b">
            <v>0</v>
          </cell>
          <cell r="Q1" t="str">
            <v>Forecast</v>
          </cell>
          <cell r="R1" t="str">
            <v>Forecast</v>
          </cell>
          <cell r="X1" t="str">
            <v>Forecast</v>
          </cell>
          <cell r="Y1" t="str">
            <v>Forecast</v>
          </cell>
          <cell r="Z1" t="str">
            <v>Forecast</v>
          </cell>
        </row>
        <row r="2">
          <cell r="E2" t="str">
            <v>Acct</v>
          </cell>
          <cell r="F2" t="str">
            <v>Validation Problem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2003</v>
          </cell>
          <cell r="T2">
            <v>2004</v>
          </cell>
          <cell r="U2">
            <v>2005</v>
          </cell>
          <cell r="V2">
            <v>2006</v>
          </cell>
          <cell r="W2">
            <v>2007</v>
          </cell>
          <cell r="X2">
            <v>2008</v>
          </cell>
          <cell r="Y2">
            <v>2009</v>
          </cell>
          <cell r="Z2">
            <v>2010</v>
          </cell>
        </row>
      </sheetData>
      <sheetData sheetId="17" refreshError="1">
        <row r="8">
          <cell r="B8">
            <v>6</v>
          </cell>
        </row>
      </sheetData>
      <sheetData sheetId="18" refreshError="1">
        <row r="1">
          <cell r="A1" t="str">
            <v>M_PrintSetUpDone</v>
          </cell>
        </row>
        <row r="8">
          <cell r="B8">
            <v>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tb21oct"/>
      <sheetName val="p&amp;lsep00"/>
      <sheetName val="Sheet3"/>
      <sheetName val="p&amp;l groupings"/>
      <sheetName val="bsheetsep00"/>
      <sheetName val="comp99-00bs"/>
      <sheetName val="bsheetgroup"/>
      <sheetName val="subschd.bsheet"/>
      <sheetName val="goupg.workg."/>
      <sheetName val="P &amp; L SCH"/>
      <sheetName val="Region"/>
      <sheetName val="SOLUT006"/>
      <sheetName val="#REF"/>
      <sheetName val="KPI Defn"/>
      <sheetName val="NOPAT MAR'01"/>
      <sheetName val="GrossMgn 98"/>
    </sheetNames>
    <sheetDataSet>
      <sheetData sheetId="0" refreshError="1">
        <row r="10">
          <cell r="G10" t="str">
            <v>START UP EXPENSES BEFORE OPERATION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G11" t="str">
            <v>ADVANCE PAID ON INTANGIBLE ASSETS(INSYST)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G12" t="str">
            <v>LAND AT COST</v>
          </cell>
          <cell r="H12" t="str">
            <v>Freehold Land</v>
          </cell>
          <cell r="I12">
            <v>27316035</v>
          </cell>
          <cell r="J12">
            <v>0</v>
          </cell>
          <cell r="K12">
            <v>0</v>
          </cell>
          <cell r="L12">
            <v>27316035</v>
          </cell>
          <cell r="N12">
            <v>27316035</v>
          </cell>
          <cell r="O12" t="str">
            <v>z</v>
          </cell>
          <cell r="P12">
            <v>72217225.950000003</v>
          </cell>
          <cell r="U12">
            <v>72217225.950000003</v>
          </cell>
          <cell r="V12" t="str">
            <v>*</v>
          </cell>
        </row>
        <row r="13">
          <cell r="G13" t="str">
            <v>PRODUCTION BUILDING-AT COST</v>
          </cell>
          <cell r="H13" t="str">
            <v>Factory Building</v>
          </cell>
          <cell r="I13">
            <v>20347649.25</v>
          </cell>
          <cell r="J13">
            <v>0</v>
          </cell>
          <cell r="K13">
            <v>0</v>
          </cell>
          <cell r="L13">
            <v>20347649.25</v>
          </cell>
          <cell r="N13">
            <v>20347649.25</v>
          </cell>
          <cell r="O13" t="str">
            <v>z</v>
          </cell>
          <cell r="V13" t="str">
            <v>*</v>
          </cell>
        </row>
        <row r="14">
          <cell r="G14" t="str">
            <v>PRODUCTION BUILDING-ACCUMULATED DEPRECIATION</v>
          </cell>
          <cell r="H14" t="str">
            <v>Factory Building-dpr</v>
          </cell>
          <cell r="I14">
            <v>-267586</v>
          </cell>
          <cell r="J14">
            <v>0</v>
          </cell>
          <cell r="K14">
            <v>406953</v>
          </cell>
          <cell r="L14">
            <v>-674539</v>
          </cell>
          <cell r="N14">
            <v>-674539</v>
          </cell>
          <cell r="O14" t="str">
            <v>z</v>
          </cell>
          <cell r="V14" t="str">
            <v>*</v>
          </cell>
        </row>
        <row r="15">
          <cell r="G15" t="str">
            <v>LEASEHOLD BUILDING - AT COST</v>
          </cell>
          <cell r="H15" t="str">
            <v>Leashold Building</v>
          </cell>
          <cell r="I15">
            <v>100368.74</v>
          </cell>
          <cell r="J15">
            <v>0</v>
          </cell>
          <cell r="K15">
            <v>0</v>
          </cell>
          <cell r="L15">
            <v>100368.74</v>
          </cell>
          <cell r="N15">
            <v>100368.74</v>
          </cell>
          <cell r="O15" t="str">
            <v>z</v>
          </cell>
          <cell r="V15" t="str">
            <v>*</v>
          </cell>
        </row>
        <row r="16">
          <cell r="G16" t="str">
            <v>LEASEHOLD BUILDING  - ACCUMULATED DEPRECIATION</v>
          </cell>
          <cell r="H16" t="str">
            <v>Leashold Building-dpr</v>
          </cell>
          <cell r="I16">
            <v>-12934.25</v>
          </cell>
          <cell r="J16">
            <v>0</v>
          </cell>
          <cell r="K16">
            <v>1348</v>
          </cell>
          <cell r="L16">
            <v>-14282.25</v>
          </cell>
          <cell r="N16">
            <v>-14282.25</v>
          </cell>
          <cell r="O16" t="str">
            <v>z</v>
          </cell>
          <cell r="V16" t="str">
            <v>*</v>
          </cell>
        </row>
        <row r="17">
          <cell r="G17" t="str">
            <v>WAREHOUSE BUILDING - AT COST</v>
          </cell>
          <cell r="H17" t="str">
            <v>Freehold Building</v>
          </cell>
          <cell r="I17">
            <v>357977</v>
          </cell>
          <cell r="J17">
            <v>0</v>
          </cell>
          <cell r="K17">
            <v>0</v>
          </cell>
          <cell r="L17">
            <v>357977</v>
          </cell>
          <cell r="N17">
            <v>357977</v>
          </cell>
          <cell r="O17" t="str">
            <v>z</v>
          </cell>
          <cell r="V17" t="str">
            <v>*</v>
          </cell>
        </row>
        <row r="18">
          <cell r="G18" t="str">
            <v>WAREHOUSE BUILDING  - ACCUMULATED DEPRECIATION</v>
          </cell>
          <cell r="H18" t="str">
            <v>Freehold Building-dpr</v>
          </cell>
          <cell r="I18">
            <v>-76278.600000000006</v>
          </cell>
          <cell r="J18">
            <v>0</v>
          </cell>
          <cell r="K18">
            <v>5157</v>
          </cell>
          <cell r="L18">
            <v>-81435.600000000006</v>
          </cell>
          <cell r="N18">
            <v>-81435.600000000006</v>
          </cell>
          <cell r="O18" t="str">
            <v>z</v>
          </cell>
          <cell r="V18" t="str">
            <v>*</v>
          </cell>
        </row>
        <row r="19">
          <cell r="G19" t="str">
            <v>EQUIP. MACH. FOR  PROCESSING &amp; CONVERSION OF MATERIAL -COST</v>
          </cell>
          <cell r="H19" t="str">
            <v>Factory Equipment</v>
          </cell>
          <cell r="I19">
            <v>4756014.3899999997</v>
          </cell>
          <cell r="J19">
            <v>0</v>
          </cell>
          <cell r="K19">
            <v>0</v>
          </cell>
          <cell r="L19">
            <v>4756014.3899999997</v>
          </cell>
          <cell r="N19">
            <v>13055875.85</v>
          </cell>
          <cell r="O19">
            <v>1</v>
          </cell>
          <cell r="P19">
            <v>13055875.85</v>
          </cell>
          <cell r="Q19">
            <v>0</v>
          </cell>
          <cell r="R19">
            <v>0</v>
          </cell>
          <cell r="S19">
            <v>13055875.85</v>
          </cell>
          <cell r="V19" t="str">
            <v>*</v>
          </cell>
        </row>
        <row r="20">
          <cell r="G20" t="str">
            <v>EQUT. MACH. FOR  PROCESSING - ACCUMULATED DEPRECIATION.</v>
          </cell>
          <cell r="H20" t="str">
            <v>Factory Equipment-dpr</v>
          </cell>
          <cell r="I20">
            <v>-672668.93</v>
          </cell>
          <cell r="J20">
            <v>30000</v>
          </cell>
          <cell r="K20">
            <v>230329</v>
          </cell>
          <cell r="L20">
            <v>-872997.93</v>
          </cell>
          <cell r="N20">
            <v>-1584642.9300000002</v>
          </cell>
          <cell r="O20">
            <v>2</v>
          </cell>
          <cell r="P20">
            <v>-942380.93</v>
          </cell>
          <cell r="Q20">
            <v>30000</v>
          </cell>
          <cell r="R20">
            <v>672262</v>
          </cell>
          <cell r="S20">
            <v>-1584642.9300000002</v>
          </cell>
          <cell r="V20" t="str">
            <v>*</v>
          </cell>
        </row>
        <row r="21">
          <cell r="G21" t="str">
            <v>EQUIPMENT FOR OCCUPATIONAL SAFETY &amp; ENVIRON. PROT - ACC DEPR</v>
          </cell>
          <cell r="I21">
            <v>1369726.82</v>
          </cell>
          <cell r="J21">
            <v>0</v>
          </cell>
          <cell r="K21">
            <v>0</v>
          </cell>
          <cell r="L21">
            <v>1369726.82</v>
          </cell>
          <cell r="O21">
            <v>1</v>
          </cell>
          <cell r="V21" t="str">
            <v>*</v>
          </cell>
        </row>
        <row r="22">
          <cell r="G22" t="str">
            <v>EQUIPMENT FOR OCCUPATIONAL SAFETY &amp; ENVIRON. PROT. - ACC DEP</v>
          </cell>
          <cell r="I22">
            <v>-45032</v>
          </cell>
          <cell r="J22">
            <v>0</v>
          </cell>
          <cell r="K22">
            <v>68486</v>
          </cell>
          <cell r="L22">
            <v>-113518</v>
          </cell>
          <cell r="O22">
            <v>2</v>
          </cell>
          <cell r="V22" t="str">
            <v>*</v>
          </cell>
        </row>
        <row r="23">
          <cell r="G23" t="str">
            <v>OTHER EQUIPMENT AND MACHINERY - AT COST</v>
          </cell>
          <cell r="I23">
            <v>6104782.2000000002</v>
          </cell>
          <cell r="J23">
            <v>0</v>
          </cell>
          <cell r="K23">
            <v>0</v>
          </cell>
          <cell r="L23">
            <v>6104782.2000000002</v>
          </cell>
          <cell r="O23">
            <v>1</v>
          </cell>
          <cell r="V23" t="str">
            <v>*</v>
          </cell>
        </row>
        <row r="24">
          <cell r="G24" t="str">
            <v>OTHER EQUIPMENT AND MACHINERY - ACCUMULATED DEPRECIATION</v>
          </cell>
          <cell r="I24">
            <v>-201253</v>
          </cell>
          <cell r="J24">
            <v>0</v>
          </cell>
          <cell r="K24">
            <v>306071</v>
          </cell>
          <cell r="L24">
            <v>-507324</v>
          </cell>
          <cell r="O24">
            <v>2</v>
          </cell>
          <cell r="V24" t="str">
            <v>*</v>
          </cell>
        </row>
        <row r="25">
          <cell r="G25" t="str">
            <v>OTHER EQUIPMENT -AT COST</v>
          </cell>
          <cell r="I25">
            <v>801925.65</v>
          </cell>
          <cell r="J25">
            <v>0</v>
          </cell>
          <cell r="K25">
            <v>0</v>
          </cell>
          <cell r="L25">
            <v>801925.65</v>
          </cell>
          <cell r="O25">
            <v>1</v>
          </cell>
          <cell r="V25" t="str">
            <v>*</v>
          </cell>
        </row>
        <row r="26">
          <cell r="G26" t="str">
            <v>OTHER EQUIPMENT -ACCUMULATED DEPRECIATION</v>
          </cell>
          <cell r="I26">
            <v>0</v>
          </cell>
          <cell r="J26">
            <v>0</v>
          </cell>
          <cell r="K26">
            <v>67376</v>
          </cell>
          <cell r="L26">
            <v>-67376</v>
          </cell>
          <cell r="O26">
            <v>2</v>
          </cell>
          <cell r="V26" t="str">
            <v>*</v>
          </cell>
        </row>
        <row r="27">
          <cell r="G27" t="str">
            <v>WORKSHOP EQUIPMENT - AT COST</v>
          </cell>
          <cell r="I27">
            <v>17686</v>
          </cell>
          <cell r="J27">
            <v>0</v>
          </cell>
          <cell r="K27">
            <v>0</v>
          </cell>
          <cell r="L27">
            <v>17686</v>
          </cell>
          <cell r="O27">
            <v>1</v>
          </cell>
          <cell r="V27" t="str">
            <v>*</v>
          </cell>
        </row>
        <row r="28">
          <cell r="G28" t="str">
            <v>WORKSHOP EQUIPMENT - ACCUMULATED DEPRECIAION</v>
          </cell>
          <cell r="I28">
            <v>-17686</v>
          </cell>
          <cell r="J28">
            <v>0</v>
          </cell>
          <cell r="K28">
            <v>0</v>
          </cell>
          <cell r="L28">
            <v>-17686</v>
          </cell>
          <cell r="O28">
            <v>2</v>
          </cell>
          <cell r="V28" t="str">
            <v>*</v>
          </cell>
        </row>
        <row r="29">
          <cell r="G29" t="str">
            <v>TOOLS,DEVICES &amp; TESTING INSTRUMENTS - AT COST</v>
          </cell>
          <cell r="I29">
            <v>5740.79</v>
          </cell>
          <cell r="J29">
            <v>0</v>
          </cell>
          <cell r="K29">
            <v>0</v>
          </cell>
          <cell r="L29">
            <v>5740.79</v>
          </cell>
          <cell r="O29">
            <v>1</v>
          </cell>
          <cell r="V29" t="str">
            <v>*</v>
          </cell>
        </row>
        <row r="30">
          <cell r="G30" t="str">
            <v>TOOLS,DEVICES &amp; TESTING INSTRUMENTS - ACCUMULATED DEPRECIATI</v>
          </cell>
          <cell r="I30">
            <v>-5741</v>
          </cell>
          <cell r="J30">
            <v>0</v>
          </cell>
          <cell r="K30">
            <v>0</v>
          </cell>
          <cell r="L30">
            <v>-5741</v>
          </cell>
          <cell r="O30">
            <v>2</v>
          </cell>
          <cell r="V30" t="str">
            <v>*</v>
          </cell>
        </row>
        <row r="31">
          <cell r="G31" t="str">
            <v>MOTOR VEHICLE -AT COST</v>
          </cell>
          <cell r="H31" t="str">
            <v>Vehicles</v>
          </cell>
          <cell r="I31">
            <v>695101.17</v>
          </cell>
          <cell r="J31">
            <v>0</v>
          </cell>
          <cell r="K31">
            <v>0</v>
          </cell>
          <cell r="L31">
            <v>695101.17</v>
          </cell>
          <cell r="N31">
            <v>695101.17</v>
          </cell>
          <cell r="O31" t="str">
            <v>z</v>
          </cell>
          <cell r="V31" t="str">
            <v>*</v>
          </cell>
        </row>
        <row r="32">
          <cell r="G32" t="str">
            <v>MOTOR VEHICLE -ACCUMULATED DEPRECIATION</v>
          </cell>
          <cell r="H32" t="str">
            <v>Vehicles-dpr</v>
          </cell>
          <cell r="I32">
            <v>-160892.81</v>
          </cell>
          <cell r="J32">
            <v>20000</v>
          </cell>
          <cell r="K32">
            <v>97678</v>
          </cell>
          <cell r="L32">
            <v>-238570.81</v>
          </cell>
          <cell r="N32">
            <v>-238570.81</v>
          </cell>
          <cell r="O32" t="str">
            <v>z</v>
          </cell>
          <cell r="V32" t="str">
            <v>*</v>
          </cell>
        </row>
        <row r="33">
          <cell r="G33" t="str">
            <v>COMPUTER HARDWARE - AT COST</v>
          </cell>
          <cell r="H33" t="str">
            <v>Computers</v>
          </cell>
          <cell r="I33">
            <v>4720995</v>
          </cell>
          <cell r="J33">
            <v>0</v>
          </cell>
          <cell r="K33">
            <v>0</v>
          </cell>
          <cell r="L33">
            <v>4720995</v>
          </cell>
          <cell r="N33">
            <v>7848095</v>
          </cell>
          <cell r="O33">
            <v>3</v>
          </cell>
          <cell r="P33">
            <v>7848095</v>
          </cell>
          <cell r="Q33">
            <v>0</v>
          </cell>
          <cell r="R33">
            <v>0</v>
          </cell>
          <cell r="S33">
            <v>7848095</v>
          </cell>
          <cell r="V33" t="str">
            <v>*</v>
          </cell>
        </row>
        <row r="34">
          <cell r="G34" t="str">
            <v>COMPUTER HARDWARE -ACCUMULATED DEPRECIATION</v>
          </cell>
          <cell r="H34" t="str">
            <v>Computers-dpr</v>
          </cell>
          <cell r="I34">
            <v>-1714301.75</v>
          </cell>
          <cell r="J34">
            <v>300000</v>
          </cell>
          <cell r="K34">
            <v>434239</v>
          </cell>
          <cell r="L34">
            <v>-1848540.75</v>
          </cell>
          <cell r="N34">
            <v>-2532929.75</v>
          </cell>
          <cell r="O34">
            <v>4</v>
          </cell>
          <cell r="P34">
            <v>-2197577.75</v>
          </cell>
          <cell r="Q34">
            <v>450000</v>
          </cell>
          <cell r="R34">
            <v>785352</v>
          </cell>
          <cell r="S34">
            <v>-2532929.75</v>
          </cell>
          <cell r="V34" t="str">
            <v>*</v>
          </cell>
        </row>
        <row r="35">
          <cell r="G35" t="str">
            <v>COMPUTER HARDWARE - NEW SYSTEM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O35">
            <v>0</v>
          </cell>
          <cell r="V35" t="str">
            <v>*</v>
          </cell>
        </row>
        <row r="36">
          <cell r="G36" t="str">
            <v>COMPUTER SOFTWARE - AT COST</v>
          </cell>
          <cell r="I36">
            <v>3127100</v>
          </cell>
          <cell r="J36">
            <v>0</v>
          </cell>
          <cell r="K36">
            <v>0</v>
          </cell>
          <cell r="L36">
            <v>3127100</v>
          </cell>
          <cell r="O36">
            <v>3</v>
          </cell>
          <cell r="V36" t="str">
            <v>*</v>
          </cell>
        </row>
        <row r="37">
          <cell r="G37" t="str">
            <v>COMPUTER SOFTWARE - ACCUMULATED DEPRECIATION</v>
          </cell>
          <cell r="I37">
            <v>-483276</v>
          </cell>
          <cell r="J37">
            <v>150000</v>
          </cell>
          <cell r="K37">
            <v>351113</v>
          </cell>
          <cell r="L37">
            <v>-684389</v>
          </cell>
          <cell r="O37">
            <v>4</v>
          </cell>
          <cell r="V37" t="str">
            <v>*</v>
          </cell>
        </row>
        <row r="38">
          <cell r="G38" t="str">
            <v>COMMUNICATION EQUIPMENT -AT COST</v>
          </cell>
          <cell r="H38" t="str">
            <v>Office Equipment</v>
          </cell>
          <cell r="I38">
            <v>315583.71999999997</v>
          </cell>
          <cell r="J38">
            <v>0</v>
          </cell>
          <cell r="K38">
            <v>0</v>
          </cell>
          <cell r="L38">
            <v>315583.71999999997</v>
          </cell>
          <cell r="N38">
            <v>5393968.9799999995</v>
          </cell>
          <cell r="O38">
            <v>5</v>
          </cell>
          <cell r="P38">
            <v>5645753.9799999995</v>
          </cell>
          <cell r="Q38">
            <v>78215</v>
          </cell>
          <cell r="R38">
            <v>330000</v>
          </cell>
          <cell r="S38">
            <v>5393968.9799999995</v>
          </cell>
          <cell r="V38" t="str">
            <v>*</v>
          </cell>
        </row>
        <row r="39">
          <cell r="G39" t="str">
            <v>COMMUNICATION EQUIPMENT -ACCUMULATED DEPRECIATION</v>
          </cell>
          <cell r="H39" t="str">
            <v>Office Equipment-dpr</v>
          </cell>
          <cell r="I39">
            <v>-23124</v>
          </cell>
          <cell r="J39">
            <v>0</v>
          </cell>
          <cell r="K39">
            <v>18579</v>
          </cell>
          <cell r="L39">
            <v>-41703</v>
          </cell>
          <cell r="N39">
            <v>-859414.26</v>
          </cell>
          <cell r="O39">
            <v>6</v>
          </cell>
          <cell r="P39">
            <v>-474531.26</v>
          </cell>
          <cell r="Q39">
            <v>11000</v>
          </cell>
          <cell r="R39">
            <v>395883</v>
          </cell>
          <cell r="S39">
            <v>-859414.26</v>
          </cell>
          <cell r="V39" t="str">
            <v>*</v>
          </cell>
        </row>
        <row r="40">
          <cell r="G40" t="str">
            <v>OFFICE FURNITURE &amp; FITTINGS -AT COST</v>
          </cell>
          <cell r="H40" t="str">
            <v>Furniture and Fixtures</v>
          </cell>
          <cell r="I40">
            <v>3920251.36</v>
          </cell>
          <cell r="J40">
            <v>37000</v>
          </cell>
          <cell r="K40">
            <v>0</v>
          </cell>
          <cell r="L40">
            <v>3957251.36</v>
          </cell>
          <cell r="N40">
            <v>3957251.36</v>
          </cell>
          <cell r="O40">
            <v>7</v>
          </cell>
          <cell r="P40">
            <v>3920251.36</v>
          </cell>
          <cell r="Q40">
            <v>37000</v>
          </cell>
          <cell r="R40">
            <v>0</v>
          </cell>
          <cell r="S40">
            <v>3957251.36</v>
          </cell>
          <cell r="V40" t="str">
            <v>*</v>
          </cell>
        </row>
        <row r="41">
          <cell r="G41" t="str">
            <v>OFFICE FURNITURE &amp; FITTINGS -ACCUMULATED DEPRECIATION</v>
          </cell>
          <cell r="H41" t="str">
            <v>Furniture and Fixtures-dpr</v>
          </cell>
          <cell r="I41">
            <v>-697047.8</v>
          </cell>
          <cell r="J41">
            <v>24000</v>
          </cell>
          <cell r="K41">
            <v>196234</v>
          </cell>
          <cell r="L41">
            <v>-869281.8</v>
          </cell>
          <cell r="N41">
            <v>-869281.8</v>
          </cell>
          <cell r="O41">
            <v>8</v>
          </cell>
          <cell r="P41">
            <v>-697047.8</v>
          </cell>
          <cell r="Q41">
            <v>24000</v>
          </cell>
          <cell r="R41">
            <v>196234</v>
          </cell>
          <cell r="S41">
            <v>-869281.8</v>
          </cell>
          <cell r="V41" t="str">
            <v>*</v>
          </cell>
        </row>
        <row r="42">
          <cell r="G42" t="str">
            <v>OFFICE EQUIPMENT -AT COST</v>
          </cell>
          <cell r="I42">
            <v>793671.75</v>
          </cell>
          <cell r="J42">
            <v>78215</v>
          </cell>
          <cell r="K42">
            <v>0</v>
          </cell>
          <cell r="L42">
            <v>871886.75</v>
          </cell>
          <cell r="O42">
            <v>5</v>
          </cell>
          <cell r="V42" t="str">
            <v>*</v>
          </cell>
        </row>
        <row r="43">
          <cell r="G43" t="str">
            <v>OFFICE AIRCONDITIONERS</v>
          </cell>
          <cell r="I43">
            <v>4536498.51</v>
          </cell>
          <cell r="J43">
            <v>0</v>
          </cell>
          <cell r="K43">
            <v>330000</v>
          </cell>
          <cell r="L43">
            <v>4206498.51</v>
          </cell>
          <cell r="O43">
            <v>7</v>
          </cell>
          <cell r="V43" t="str">
            <v>*</v>
          </cell>
        </row>
        <row r="44">
          <cell r="G44" t="str">
            <v>OFFICE AIRCONDITIONERS- ACCUMULATED DEPRECIATION</v>
          </cell>
          <cell r="I44">
            <v>-192692</v>
          </cell>
          <cell r="J44">
            <v>0</v>
          </cell>
          <cell r="K44">
            <v>263054</v>
          </cell>
          <cell r="L44">
            <v>-455746</v>
          </cell>
          <cell r="O44">
            <v>8</v>
          </cell>
          <cell r="V44" t="str">
            <v>*</v>
          </cell>
        </row>
        <row r="45">
          <cell r="G45" t="str">
            <v>OFFICE EQUIPMENT -ACCUMULATED DEPRECIATION</v>
          </cell>
          <cell r="I45">
            <v>-258715.26</v>
          </cell>
          <cell r="J45">
            <v>11000</v>
          </cell>
          <cell r="K45">
            <v>114250</v>
          </cell>
          <cell r="L45">
            <v>-361965.26</v>
          </cell>
          <cell r="O45">
            <v>6</v>
          </cell>
          <cell r="V45" t="str">
            <v>*</v>
          </cell>
        </row>
        <row r="46">
          <cell r="G46" t="str">
            <v>PROJECT EXP.EXPENSES</v>
          </cell>
          <cell r="H46" t="str">
            <v xml:space="preserve">                Capital Work-In-Progress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1218506</v>
          </cell>
          <cell r="O46">
            <v>9</v>
          </cell>
          <cell r="P46">
            <v>1218506</v>
          </cell>
          <cell r="U46">
            <v>1218506</v>
          </cell>
          <cell r="V46" t="str">
            <v>*</v>
          </cell>
        </row>
        <row r="47">
          <cell r="G47" t="str">
            <v>PROJECT EXP. - 1</v>
          </cell>
          <cell r="I47">
            <v>1167686</v>
          </cell>
          <cell r="J47">
            <v>0</v>
          </cell>
          <cell r="K47">
            <v>0</v>
          </cell>
          <cell r="L47">
            <v>1167686</v>
          </cell>
          <cell r="O47">
            <v>9</v>
          </cell>
          <cell r="V47" t="str">
            <v>*</v>
          </cell>
        </row>
        <row r="48">
          <cell r="G48" t="str">
            <v>PROJECT EXP. - 2</v>
          </cell>
          <cell r="I48">
            <v>48904</v>
          </cell>
          <cell r="J48">
            <v>1916</v>
          </cell>
          <cell r="K48">
            <v>0</v>
          </cell>
          <cell r="L48">
            <v>50820</v>
          </cell>
          <cell r="O48">
            <v>9</v>
          </cell>
          <cell r="V48" t="str">
            <v>*</v>
          </cell>
        </row>
        <row r="49">
          <cell r="G49" t="str">
            <v>TOOLS,DEVICES &amp; TESTING INSTRUMENTS - AT COST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9</v>
          </cell>
          <cell r="V49" t="str">
            <v>*</v>
          </cell>
        </row>
        <row r="50">
          <cell r="G50" t="str">
            <v>PRODUCTION BUILDING</v>
          </cell>
          <cell r="I50">
            <v>181560</v>
          </cell>
          <cell r="J50">
            <v>0</v>
          </cell>
          <cell r="K50">
            <v>181560</v>
          </cell>
          <cell r="L50">
            <v>0</v>
          </cell>
          <cell r="O50">
            <v>9</v>
          </cell>
          <cell r="V50" t="str">
            <v>*</v>
          </cell>
        </row>
        <row r="51">
          <cell r="G51" t="str">
            <v>FIRE EQUIPMENTS -PROJECT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9</v>
          </cell>
          <cell r="V51" t="str">
            <v>*</v>
          </cell>
        </row>
        <row r="52">
          <cell r="G52" t="str">
            <v>ELECTRICAL EQUIPMENTS - PROJECT</v>
          </cell>
          <cell r="I52">
            <v>45000</v>
          </cell>
          <cell r="J52">
            <v>0</v>
          </cell>
          <cell r="K52">
            <v>45000</v>
          </cell>
          <cell r="L52">
            <v>0</v>
          </cell>
          <cell r="O52">
            <v>9</v>
          </cell>
          <cell r="V52" t="str">
            <v>*</v>
          </cell>
        </row>
        <row r="53">
          <cell r="G53" t="str">
            <v>AIRCONDITIONING - PROJECT</v>
          </cell>
          <cell r="I53">
            <v>-330000</v>
          </cell>
          <cell r="J53">
            <v>330000</v>
          </cell>
          <cell r="K53">
            <v>0</v>
          </cell>
          <cell r="L53">
            <v>0</v>
          </cell>
          <cell r="O53">
            <v>9</v>
          </cell>
          <cell r="V53" t="str">
            <v>*</v>
          </cell>
        </row>
        <row r="54">
          <cell r="G54" t="str">
            <v>FACTORY EQIP.-PROJECT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9</v>
          </cell>
          <cell r="V54" t="str">
            <v>*</v>
          </cell>
        </row>
        <row r="55">
          <cell r="G55" t="str">
            <v>FURNITURE &amp; FIXTURES- (PROJECT)</v>
          </cell>
          <cell r="I55">
            <v>22000</v>
          </cell>
          <cell r="J55">
            <v>0</v>
          </cell>
          <cell r="K55">
            <v>22000</v>
          </cell>
          <cell r="L55">
            <v>0</v>
          </cell>
          <cell r="O55">
            <v>9</v>
          </cell>
          <cell r="V55" t="str">
            <v>*</v>
          </cell>
        </row>
        <row r="56">
          <cell r="G56" t="str">
            <v>COMMUNICATION EQUIPMENT -AT COST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9</v>
          </cell>
          <cell r="V56" t="str">
            <v>*</v>
          </cell>
        </row>
        <row r="57">
          <cell r="G57" t="str">
            <v>SHARES IN GOA URBAN CO- OP SOCIETY LTD.</v>
          </cell>
          <cell r="H57" t="str">
            <v>Non trade, Unquoted</v>
          </cell>
          <cell r="I57">
            <v>5900</v>
          </cell>
          <cell r="J57">
            <v>0</v>
          </cell>
          <cell r="K57">
            <v>0</v>
          </cell>
          <cell r="L57">
            <v>5900</v>
          </cell>
          <cell r="N57">
            <v>5900</v>
          </cell>
          <cell r="O57" t="str">
            <v>z</v>
          </cell>
          <cell r="P57">
            <v>5900</v>
          </cell>
          <cell r="U57">
            <v>5900</v>
          </cell>
          <cell r="V57" t="str">
            <v>*</v>
          </cell>
        </row>
        <row r="58">
          <cell r="G58" t="str">
            <v>PRATIBHA  SHIRSALE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 t="str">
            <v>z</v>
          </cell>
          <cell r="P58">
            <v>5000</v>
          </cell>
          <cell r="U58">
            <v>5000</v>
          </cell>
          <cell r="V58" t="str">
            <v>*</v>
          </cell>
        </row>
        <row r="59">
          <cell r="G59" t="str">
            <v>LALIT P.  JADE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 t="str">
            <v>z</v>
          </cell>
          <cell r="V59" t="str">
            <v>*</v>
          </cell>
        </row>
        <row r="60">
          <cell r="G60" t="str">
            <v>MANISH DESHMUKH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 t="str">
            <v>z</v>
          </cell>
          <cell r="V60" t="str">
            <v>*</v>
          </cell>
        </row>
        <row r="61">
          <cell r="G61" t="str">
            <v>JENIFER JOHN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 t="str">
            <v>z</v>
          </cell>
          <cell r="V61" t="str">
            <v>*</v>
          </cell>
        </row>
        <row r="62">
          <cell r="G62" t="str">
            <v>JACOB PAYRA</v>
          </cell>
          <cell r="I62">
            <v>5000</v>
          </cell>
          <cell r="J62">
            <v>0</v>
          </cell>
          <cell r="K62">
            <v>0</v>
          </cell>
          <cell r="L62">
            <v>5000</v>
          </cell>
          <cell r="N62">
            <v>5000</v>
          </cell>
          <cell r="O62" t="str">
            <v>z</v>
          </cell>
          <cell r="V62" t="str">
            <v>*</v>
          </cell>
        </row>
        <row r="63">
          <cell r="G63" t="str">
            <v>VISHAL KATKAR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 t="str">
            <v>z</v>
          </cell>
          <cell r="V63" t="str">
            <v>*</v>
          </cell>
        </row>
        <row r="64">
          <cell r="G64" t="str">
            <v>N. HARITHEERTHAM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 t="str">
            <v>z</v>
          </cell>
          <cell r="V64" t="str">
            <v>*</v>
          </cell>
        </row>
        <row r="65">
          <cell r="G65" t="str">
            <v>HEMANT MOHITE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 t="str">
            <v>z</v>
          </cell>
          <cell r="V65" t="str">
            <v>*</v>
          </cell>
        </row>
        <row r="66">
          <cell r="G66" t="str">
            <v>DEODATTA MONTEIRO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 t="str">
            <v>z</v>
          </cell>
          <cell r="V66" t="str">
            <v>*</v>
          </cell>
        </row>
        <row r="67">
          <cell r="G67" t="str">
            <v>RAW MATERIALS - MEDICAL CLASSIC</v>
          </cell>
          <cell r="H67" t="str">
            <v xml:space="preserve">           Opening Stock </v>
          </cell>
          <cell r="I67">
            <v>5311498</v>
          </cell>
          <cell r="J67">
            <v>1052103</v>
          </cell>
          <cell r="K67">
            <v>1937001</v>
          </cell>
          <cell r="L67">
            <v>4961530</v>
          </cell>
          <cell r="M67">
            <v>14606370.756999999</v>
          </cell>
          <cell r="O67">
            <v>10</v>
          </cell>
          <cell r="P67">
            <v>69345027.528999999</v>
          </cell>
          <cell r="U67">
            <v>69345027.528999999</v>
          </cell>
          <cell r="V67" t="str">
            <v>*</v>
          </cell>
        </row>
        <row r="68">
          <cell r="G68" t="str">
            <v>GOODS IN TRANSIT - RAW MATERIAL - CIF VALUE</v>
          </cell>
          <cell r="H68" t="str">
            <v xml:space="preserve">Raw Materials ( Inculding in transit - </v>
          </cell>
          <cell r="I68">
            <v>862251.05700000003</v>
          </cell>
          <cell r="J68">
            <v>1243092.1259999999</v>
          </cell>
          <cell r="K68">
            <v>862251.05</v>
          </cell>
          <cell r="L68">
            <v>1243092.1329999999</v>
          </cell>
          <cell r="N68">
            <v>6470270.9129999997</v>
          </cell>
          <cell r="O68">
            <v>10</v>
          </cell>
          <cell r="P68">
            <v>6470270.9129999997</v>
          </cell>
          <cell r="V68" t="str">
            <v>*</v>
          </cell>
        </row>
        <row r="69">
          <cell r="G69" t="str">
            <v>GOODS IN TRANSIT - RAW MATERIAL - CUSTOM DUTY</v>
          </cell>
          <cell r="H69" t="str">
            <v xml:space="preserve">           Less : Closing  Stock </v>
          </cell>
          <cell r="I69">
            <v>8658191.6999999993</v>
          </cell>
          <cell r="J69">
            <v>265648.78000000003</v>
          </cell>
          <cell r="K69">
            <v>8658191.6999999993</v>
          </cell>
          <cell r="L69">
            <v>265648.78000000003</v>
          </cell>
          <cell r="M69">
            <v>6470270.9129999997</v>
          </cell>
          <cell r="O69">
            <v>10</v>
          </cell>
          <cell r="V69" t="str">
            <v>*</v>
          </cell>
        </row>
        <row r="70">
          <cell r="G70" t="str">
            <v>GOODS IN TRANSIT - RAW MATERIAL - CLEARING CHARGES</v>
          </cell>
          <cell r="H70" t="str">
            <v>Work-In-Progress</v>
          </cell>
          <cell r="I70">
            <v>-225570</v>
          </cell>
          <cell r="J70">
            <v>0</v>
          </cell>
          <cell r="K70">
            <v>20790</v>
          </cell>
          <cell r="L70">
            <v>0</v>
          </cell>
          <cell r="N70">
            <v>395718</v>
          </cell>
          <cell r="O70">
            <v>100</v>
          </cell>
        </row>
        <row r="71">
          <cell r="G71" t="str">
            <v>WORK IN PROGRESS -MEDICAL CLASSIC</v>
          </cell>
          <cell r="H71" t="str">
            <v xml:space="preserve">             Work In Progress</v>
          </cell>
          <cell r="I71">
            <v>585263</v>
          </cell>
          <cell r="J71">
            <v>0</v>
          </cell>
          <cell r="K71">
            <v>189545</v>
          </cell>
          <cell r="L71">
            <v>395718</v>
          </cell>
          <cell r="O71" t="str">
            <v>z</v>
          </cell>
          <cell r="V71" t="str">
            <v>*</v>
          </cell>
        </row>
        <row r="72">
          <cell r="G72" t="str">
            <v>FINISHED GOODS - MEDICAL CLASSIC</v>
          </cell>
          <cell r="H72" t="str">
            <v xml:space="preserve">             Finished Goods</v>
          </cell>
          <cell r="I72">
            <v>1269272</v>
          </cell>
          <cell r="J72">
            <v>0</v>
          </cell>
          <cell r="K72">
            <v>390802</v>
          </cell>
          <cell r="L72">
            <v>862675</v>
          </cell>
          <cell r="O72" t="str">
            <v>z</v>
          </cell>
          <cell r="V72" t="str">
            <v>*</v>
          </cell>
        </row>
        <row r="73">
          <cell r="G73" t="str">
            <v>TRADING GOODS - MEDICAL CLASSIC</v>
          </cell>
          <cell r="H73" t="str">
            <v xml:space="preserve">          Opening Stock-tr</v>
          </cell>
          <cell r="I73">
            <v>25971602.309999999</v>
          </cell>
          <cell r="J73">
            <v>17607384.670000002</v>
          </cell>
          <cell r="K73">
            <v>24823824.440000001</v>
          </cell>
          <cell r="L73">
            <v>18277752.390000001</v>
          </cell>
          <cell r="M73">
            <v>89717727.453000009</v>
          </cell>
          <cell r="O73">
            <v>11</v>
          </cell>
          <cell r="V73" t="str">
            <v>*</v>
          </cell>
        </row>
        <row r="74">
          <cell r="G74" t="str">
            <v>TRADING GOODS - MEDICAL CARDIOLOGY</v>
          </cell>
          <cell r="H74" t="str">
            <v>Finished Goods</v>
          </cell>
          <cell r="I74">
            <v>6243.17</v>
          </cell>
          <cell r="J74">
            <v>0</v>
          </cell>
          <cell r="K74">
            <v>0</v>
          </cell>
          <cell r="L74">
            <v>6243.17</v>
          </cell>
          <cell r="N74">
            <v>862675</v>
          </cell>
          <cell r="O74">
            <v>11</v>
          </cell>
          <cell r="V74" t="str">
            <v>*</v>
          </cell>
        </row>
        <row r="75">
          <cell r="G75" t="str">
            <v>TRADING GOODS - PHARMA</v>
          </cell>
          <cell r="H75" t="str">
            <v xml:space="preserve">          Less: Closing Stock-tr</v>
          </cell>
          <cell r="I75">
            <v>12909063.83</v>
          </cell>
          <cell r="J75">
            <v>1721230.38</v>
          </cell>
          <cell r="K75">
            <v>3325672.86</v>
          </cell>
          <cell r="L75">
            <v>11978558.35</v>
          </cell>
          <cell r="M75">
            <v>61616363.616000004</v>
          </cell>
          <cell r="O75">
            <v>11</v>
          </cell>
          <cell r="V75" t="str">
            <v>*</v>
          </cell>
        </row>
        <row r="76">
          <cell r="G76" t="str">
            <v>TRADING GOODS - EBT</v>
          </cell>
          <cell r="H76" t="str">
            <v>Traded Goods (Inculding in transit -</v>
          </cell>
          <cell r="I76">
            <v>17623955.760000002</v>
          </cell>
          <cell r="J76">
            <v>4997892.29</v>
          </cell>
          <cell r="K76">
            <v>6327015.8300000001</v>
          </cell>
          <cell r="L76">
            <v>15654022.220000001</v>
          </cell>
          <cell r="N76">
            <v>61616363.616000004</v>
          </cell>
          <cell r="O76">
            <v>11</v>
          </cell>
          <cell r="V76" t="str">
            <v>*</v>
          </cell>
        </row>
        <row r="77">
          <cell r="G77" t="str">
            <v>TRADING GOODS - WOUNDCARE</v>
          </cell>
          <cell r="I77">
            <v>197455.78</v>
          </cell>
          <cell r="J77">
            <v>0</v>
          </cell>
          <cell r="K77">
            <v>0</v>
          </cell>
          <cell r="L77">
            <v>153740.78</v>
          </cell>
          <cell r="O77">
            <v>11</v>
          </cell>
          <cell r="V77" t="str">
            <v>*</v>
          </cell>
        </row>
        <row r="78">
          <cell r="G78" t="str">
            <v>TRADING GOODS - AAG SURGICALS</v>
          </cell>
          <cell r="I78">
            <v>6888481.0899999999</v>
          </cell>
          <cell r="J78">
            <v>1739391.47</v>
          </cell>
          <cell r="K78">
            <v>1056727.47</v>
          </cell>
          <cell r="L78">
            <v>7509099.9199999999</v>
          </cell>
          <cell r="O78">
            <v>11</v>
          </cell>
          <cell r="V78" t="str">
            <v>*</v>
          </cell>
        </row>
        <row r="79">
          <cell r="G79" t="str">
            <v>TRADING GOODS - OPM</v>
          </cell>
          <cell r="I79">
            <v>220382.42</v>
          </cell>
          <cell r="J79">
            <v>2862.11</v>
          </cell>
          <cell r="K79">
            <v>0</v>
          </cell>
          <cell r="L79">
            <v>223244.53</v>
          </cell>
          <cell r="O79">
            <v>11</v>
          </cell>
          <cell r="V79" t="str">
            <v>*</v>
          </cell>
        </row>
        <row r="80">
          <cell r="G80" t="str">
            <v>GOODS IN TRANSIT - TRADING GOODS - CIF VALUE</v>
          </cell>
          <cell r="I80">
            <v>20585196.572999999</v>
          </cell>
          <cell r="J80">
            <v>7429609.8530000001</v>
          </cell>
          <cell r="K80">
            <v>21695813.100000001</v>
          </cell>
          <cell r="L80">
            <v>6481661.5959999999</v>
          </cell>
          <cell r="O80">
            <v>11</v>
          </cell>
          <cell r="V80" t="str">
            <v>*</v>
          </cell>
        </row>
        <row r="81">
          <cell r="G81" t="str">
            <v>GOODS IN TRANSIT - TRADING GOODS - CUSTOMS DUTY</v>
          </cell>
          <cell r="I81">
            <v>7480501.8899999997</v>
          </cell>
          <cell r="J81">
            <v>1319037.33</v>
          </cell>
          <cell r="K81">
            <v>0</v>
          </cell>
          <cell r="L81">
            <v>1332040.6599999999</v>
          </cell>
          <cell r="O81">
            <v>11</v>
          </cell>
          <cell r="V81" t="str">
            <v>*</v>
          </cell>
        </row>
        <row r="82">
          <cell r="G82" t="str">
            <v>GOODS IN TRANSIT - TRADING GOODS - CLEARING CHARGES</v>
          </cell>
          <cell r="I82">
            <v>-2165155.37</v>
          </cell>
          <cell r="J82">
            <v>657565</v>
          </cell>
          <cell r="K82">
            <v>585970.47</v>
          </cell>
          <cell r="L82">
            <v>0</v>
          </cell>
          <cell r="O82">
            <v>100</v>
          </cell>
        </row>
        <row r="83">
          <cell r="G83" t="str">
            <v>B.BRAUN INTERNATIONAL PTE. LTD.</v>
          </cell>
          <cell r="I83">
            <v>86342.399999999994</v>
          </cell>
          <cell r="J83">
            <v>0</v>
          </cell>
          <cell r="K83">
            <v>0</v>
          </cell>
          <cell r="L83">
            <v>87001.4</v>
          </cell>
          <cell r="O83">
            <v>12</v>
          </cell>
          <cell r="P83">
            <v>62588600.800000004</v>
          </cell>
          <cell r="U83">
            <v>62588600.800000004</v>
          </cell>
          <cell r="V83" t="str">
            <v>*</v>
          </cell>
        </row>
        <row r="84">
          <cell r="G84" t="str">
            <v>SUSPENSE DEBTORS</v>
          </cell>
          <cell r="H84" t="str">
            <v>Debtors Suspense</v>
          </cell>
          <cell r="I84">
            <v>-54953</v>
          </cell>
          <cell r="J84">
            <v>0</v>
          </cell>
          <cell r="K84">
            <v>0</v>
          </cell>
          <cell r="L84">
            <v>-54953</v>
          </cell>
          <cell r="N84">
            <v>-54953</v>
          </cell>
          <cell r="O84" t="str">
            <v>z</v>
          </cell>
          <cell r="V84" t="str">
            <v>*</v>
          </cell>
        </row>
        <row r="85">
          <cell r="G85" t="str">
            <v>SUNDAR DRUG HOUSE, CUTTACK</v>
          </cell>
          <cell r="H85" t="str">
            <v xml:space="preserve">        Considered Good</v>
          </cell>
          <cell r="I85">
            <v>147680</v>
          </cell>
          <cell r="J85">
            <v>0</v>
          </cell>
          <cell r="K85">
            <v>147680</v>
          </cell>
          <cell r="L85">
            <v>0</v>
          </cell>
          <cell r="N85">
            <v>61170065.750000007</v>
          </cell>
          <cell r="O85">
            <v>12</v>
          </cell>
          <cell r="V85" t="str">
            <v>*</v>
          </cell>
        </row>
        <row r="86">
          <cell r="G86" t="str">
            <v>ARIHANT SURGICAL</v>
          </cell>
          <cell r="H86" t="str">
            <v xml:space="preserve">Advance from customers </v>
          </cell>
          <cell r="I86">
            <v>2955.44</v>
          </cell>
          <cell r="J86">
            <v>0</v>
          </cell>
          <cell r="K86">
            <v>0</v>
          </cell>
          <cell r="L86">
            <v>2955.44</v>
          </cell>
          <cell r="O86">
            <v>12</v>
          </cell>
          <cell r="P86">
            <v>-1745404.0999999996</v>
          </cell>
          <cell r="V86" t="str">
            <v>*</v>
          </cell>
        </row>
        <row r="87">
          <cell r="G87" t="str">
            <v>HEALTH POINT</v>
          </cell>
          <cell r="I87">
            <v>31560</v>
          </cell>
          <cell r="J87">
            <v>0</v>
          </cell>
          <cell r="K87">
            <v>0</v>
          </cell>
          <cell r="L87">
            <v>31560</v>
          </cell>
          <cell r="N87">
            <v>0</v>
          </cell>
          <cell r="O87">
            <v>12</v>
          </cell>
          <cell r="V87" t="str">
            <v>*</v>
          </cell>
        </row>
        <row r="88">
          <cell r="G88" t="str">
            <v>USHA BUSINESS DEVELOPMENT PVT. LTD.</v>
          </cell>
          <cell r="I88">
            <v>-2286.2399999999998</v>
          </cell>
          <cell r="J88">
            <v>0</v>
          </cell>
          <cell r="K88">
            <v>0</v>
          </cell>
          <cell r="L88">
            <v>-2286.2399999999998</v>
          </cell>
          <cell r="N88">
            <v>-2286.2399999999998</v>
          </cell>
          <cell r="O88">
            <v>12</v>
          </cell>
          <cell r="V88" t="str">
            <v>*</v>
          </cell>
        </row>
        <row r="89">
          <cell r="G89" t="str">
            <v>INDIRA GANDHI  INS. OF MED.SCIENCE</v>
          </cell>
          <cell r="I89">
            <v>8500.01</v>
          </cell>
          <cell r="J89">
            <v>0</v>
          </cell>
          <cell r="K89">
            <v>0</v>
          </cell>
          <cell r="L89">
            <v>8500.01</v>
          </cell>
          <cell r="N89">
            <v>0</v>
          </cell>
          <cell r="O89">
            <v>12</v>
          </cell>
          <cell r="V89" t="str">
            <v>*</v>
          </cell>
        </row>
        <row r="90">
          <cell r="G90" t="str">
            <v>KONSUMEX SERVICES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12</v>
          </cell>
          <cell r="V90" t="str">
            <v>*</v>
          </cell>
        </row>
        <row r="91">
          <cell r="G91" t="str">
            <v>LIFE LINE NURSING HOME</v>
          </cell>
          <cell r="I91">
            <v>-4860</v>
          </cell>
          <cell r="J91">
            <v>200000</v>
          </cell>
          <cell r="K91">
            <v>200000</v>
          </cell>
          <cell r="L91">
            <v>-4860</v>
          </cell>
          <cell r="N91">
            <v>-4860</v>
          </cell>
          <cell r="O91">
            <v>12</v>
          </cell>
          <cell r="V91" t="str">
            <v>*</v>
          </cell>
        </row>
        <row r="92">
          <cell r="G92" t="str">
            <v>NAVJEEVAN NURSING HOME PVT. LTD</v>
          </cell>
          <cell r="I92">
            <v>429993.16</v>
          </cell>
          <cell r="J92">
            <v>0</v>
          </cell>
          <cell r="K92">
            <v>200000</v>
          </cell>
          <cell r="L92">
            <v>229993.16</v>
          </cell>
          <cell r="N92">
            <v>0</v>
          </cell>
          <cell r="O92">
            <v>12</v>
          </cell>
          <cell r="V92" t="str">
            <v>*</v>
          </cell>
        </row>
        <row r="93">
          <cell r="G93" t="str">
            <v>WOODLANDS HOSPITAL AND MED. RESEARCH CENTRE LTD.,</v>
          </cell>
          <cell r="I93">
            <v>1656</v>
          </cell>
          <cell r="J93">
            <v>0</v>
          </cell>
          <cell r="K93">
            <v>0</v>
          </cell>
          <cell r="L93">
            <v>1656</v>
          </cell>
          <cell r="N93">
            <v>0</v>
          </cell>
          <cell r="O93">
            <v>12</v>
          </cell>
          <cell r="V93" t="str">
            <v>*</v>
          </cell>
        </row>
        <row r="94">
          <cell r="G94" t="str">
            <v>WOCKHARDT LTD.</v>
          </cell>
          <cell r="I94">
            <v>487200</v>
          </cell>
          <cell r="J94">
            <v>0</v>
          </cell>
          <cell r="K94">
            <v>0</v>
          </cell>
          <cell r="L94">
            <v>487200</v>
          </cell>
          <cell r="N94">
            <v>0</v>
          </cell>
          <cell r="O94">
            <v>12</v>
          </cell>
          <cell r="V94" t="str">
            <v>*</v>
          </cell>
        </row>
        <row r="95">
          <cell r="G95" t="str">
            <v>SHRI JAIN HOSPITAL &amp; RESEARCH CENTRE</v>
          </cell>
          <cell r="I95">
            <v>0</v>
          </cell>
          <cell r="J95">
            <v>0</v>
          </cell>
          <cell r="K95">
            <v>7700</v>
          </cell>
          <cell r="L95">
            <v>-7700</v>
          </cell>
          <cell r="N95">
            <v>-7700</v>
          </cell>
          <cell r="O95">
            <v>12</v>
          </cell>
          <cell r="V95" t="str">
            <v>*</v>
          </cell>
        </row>
        <row r="96">
          <cell r="G96" t="str">
            <v>ADITYA HEALTH RESERCH CENTRE</v>
          </cell>
          <cell r="I96">
            <v>19788</v>
          </cell>
          <cell r="J96">
            <v>0</v>
          </cell>
          <cell r="K96">
            <v>0</v>
          </cell>
          <cell r="L96">
            <v>19788</v>
          </cell>
          <cell r="N96">
            <v>0</v>
          </cell>
          <cell r="O96">
            <v>12</v>
          </cell>
          <cell r="V96" t="str">
            <v>*</v>
          </cell>
        </row>
        <row r="97">
          <cell r="G97" t="str">
            <v>WOODLANDS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12</v>
          </cell>
          <cell r="V97" t="str">
            <v>*</v>
          </cell>
        </row>
        <row r="98">
          <cell r="G98" t="str">
            <v>ADVANCED MEDICARE AND RESEARCH CENTRE</v>
          </cell>
          <cell r="I98">
            <v>2730.53</v>
          </cell>
          <cell r="J98">
            <v>0</v>
          </cell>
          <cell r="K98">
            <v>0</v>
          </cell>
          <cell r="L98">
            <v>2730.53</v>
          </cell>
          <cell r="N98">
            <v>0</v>
          </cell>
          <cell r="O98">
            <v>12</v>
          </cell>
          <cell r="V98" t="str">
            <v>*</v>
          </cell>
        </row>
        <row r="99">
          <cell r="G99" t="str">
            <v>GLOBAL MEDICAL SYSTEM</v>
          </cell>
          <cell r="I99">
            <v>-28.78</v>
          </cell>
          <cell r="J99">
            <v>224961.14</v>
          </cell>
          <cell r="K99">
            <v>224930</v>
          </cell>
          <cell r="L99">
            <v>2.36</v>
          </cell>
          <cell r="N99">
            <v>0</v>
          </cell>
          <cell r="O99">
            <v>12</v>
          </cell>
          <cell r="V99" t="str">
            <v>*</v>
          </cell>
        </row>
        <row r="100">
          <cell r="G100" t="str">
            <v>PEERLESS HOSPITAL AND BK ROY RESEARCH CENTRE</v>
          </cell>
          <cell r="I100">
            <v>176880.2</v>
          </cell>
          <cell r="J100">
            <v>0</v>
          </cell>
          <cell r="K100">
            <v>0</v>
          </cell>
          <cell r="L100">
            <v>176880.2</v>
          </cell>
          <cell r="N100">
            <v>0</v>
          </cell>
          <cell r="O100">
            <v>12</v>
          </cell>
          <cell r="V100" t="str">
            <v>*</v>
          </cell>
        </row>
        <row r="101">
          <cell r="G101" t="str">
            <v>HINDHUSTHAN SURGICALS</v>
          </cell>
          <cell r="I101">
            <v>-5356.76</v>
          </cell>
          <cell r="J101">
            <v>149760</v>
          </cell>
          <cell r="K101">
            <v>150000</v>
          </cell>
          <cell r="L101">
            <v>-5596.76</v>
          </cell>
          <cell r="N101">
            <v>-5596.76</v>
          </cell>
          <cell r="O101">
            <v>12</v>
          </cell>
          <cell r="V101" t="str">
            <v>*</v>
          </cell>
        </row>
        <row r="102">
          <cell r="G102" t="str">
            <v>HEALTH CARE ASSOCIATES</v>
          </cell>
          <cell r="I102">
            <v>-4890</v>
          </cell>
          <cell r="J102">
            <v>259480</v>
          </cell>
          <cell r="K102">
            <v>259480</v>
          </cell>
          <cell r="L102">
            <v>-4890</v>
          </cell>
          <cell r="N102">
            <v>-4890</v>
          </cell>
          <cell r="O102">
            <v>12</v>
          </cell>
          <cell r="V102" t="str">
            <v>*</v>
          </cell>
        </row>
        <row r="103">
          <cell r="G103" t="str">
            <v>ASSEMBLY OF GOD HOSPITAL &amp; RESEARCH CENTRE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12</v>
          </cell>
          <cell r="V103" t="str">
            <v>*</v>
          </cell>
        </row>
        <row r="104">
          <cell r="G104" t="str">
            <v>K.R.LYNCH &amp; CO.</v>
          </cell>
          <cell r="I104">
            <v>2239.8000000000002</v>
          </cell>
          <cell r="J104">
            <v>99118.88</v>
          </cell>
          <cell r="K104">
            <v>101360</v>
          </cell>
          <cell r="L104">
            <v>-1.32</v>
          </cell>
          <cell r="N104">
            <v>-1.32</v>
          </cell>
          <cell r="O104">
            <v>12</v>
          </cell>
          <cell r="V104" t="str">
            <v>*</v>
          </cell>
        </row>
        <row r="105">
          <cell r="G105" t="str">
            <v>LISTER SURGICAL INDUSTRY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12</v>
          </cell>
          <cell r="V105" t="str">
            <v>*</v>
          </cell>
        </row>
        <row r="106">
          <cell r="G106" t="str">
            <v>RABINDRANATH TAGORE INTERNATIONAL</v>
          </cell>
          <cell r="I106">
            <v>-0.01</v>
          </cell>
          <cell r="J106">
            <v>0</v>
          </cell>
          <cell r="K106">
            <v>0</v>
          </cell>
          <cell r="L106">
            <v>-0.01</v>
          </cell>
          <cell r="N106">
            <v>-0.01</v>
          </cell>
          <cell r="O106">
            <v>12</v>
          </cell>
          <cell r="V106" t="str">
            <v>*</v>
          </cell>
        </row>
        <row r="107">
          <cell r="G107" t="str">
            <v>THE SUPERINTENDENT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12</v>
          </cell>
          <cell r="V107" t="str">
            <v>*</v>
          </cell>
        </row>
        <row r="108">
          <cell r="G108" t="str">
            <v>SHREE GANESH SURGICALS</v>
          </cell>
          <cell r="I108">
            <v>3544889.39</v>
          </cell>
          <cell r="J108">
            <v>0</v>
          </cell>
          <cell r="K108">
            <v>660400</v>
          </cell>
          <cell r="L108">
            <v>2884489.39</v>
          </cell>
          <cell r="N108">
            <v>0</v>
          </cell>
          <cell r="O108">
            <v>12</v>
          </cell>
          <cell r="V108" t="str">
            <v>*</v>
          </cell>
        </row>
        <row r="109">
          <cell r="G109" t="str">
            <v>HINDUSTAN SURGICALS</v>
          </cell>
          <cell r="I109">
            <v>0</v>
          </cell>
          <cell r="J109">
            <v>149760</v>
          </cell>
          <cell r="K109">
            <v>149760</v>
          </cell>
          <cell r="L109">
            <v>0</v>
          </cell>
          <cell r="N109">
            <v>0</v>
          </cell>
          <cell r="O109">
            <v>12</v>
          </cell>
          <cell r="V109" t="str">
            <v>*</v>
          </cell>
        </row>
        <row r="110">
          <cell r="G110" t="str">
            <v>JYOTI TRADERS</v>
          </cell>
          <cell r="I110">
            <v>-2236</v>
          </cell>
          <cell r="J110">
            <v>58240</v>
          </cell>
          <cell r="K110">
            <v>58240</v>
          </cell>
          <cell r="L110">
            <v>-2236</v>
          </cell>
          <cell r="N110">
            <v>-2236</v>
          </cell>
          <cell r="O110">
            <v>12</v>
          </cell>
          <cell r="V110" t="str">
            <v>*</v>
          </cell>
        </row>
        <row r="111">
          <cell r="G111" t="str">
            <v>KANJI SHAVJI PAREKH (CALCUTTA) PVT. LTD.</v>
          </cell>
          <cell r="I111">
            <v>1230800</v>
          </cell>
          <cell r="J111">
            <v>0</v>
          </cell>
          <cell r="K111">
            <v>0</v>
          </cell>
          <cell r="L111">
            <v>1230800</v>
          </cell>
          <cell r="N111">
            <v>0</v>
          </cell>
          <cell r="O111">
            <v>12</v>
          </cell>
          <cell r="V111" t="str">
            <v>*</v>
          </cell>
        </row>
        <row r="112">
          <cell r="G112" t="str">
            <v>TATA FINANCE LTD.</v>
          </cell>
          <cell r="I112">
            <v>783999.8</v>
          </cell>
          <cell r="J112">
            <v>0</v>
          </cell>
          <cell r="K112">
            <v>0</v>
          </cell>
          <cell r="L112">
            <v>783999.8</v>
          </cell>
          <cell r="N112">
            <v>0</v>
          </cell>
          <cell r="O112">
            <v>12</v>
          </cell>
          <cell r="V112" t="str">
            <v>*</v>
          </cell>
        </row>
        <row r="113">
          <cell r="G113" t="str">
            <v>DUTTA TRADING ENTERPRISE</v>
          </cell>
          <cell r="I113">
            <v>-2049.6</v>
          </cell>
          <cell r="J113">
            <v>340953.59999999998</v>
          </cell>
          <cell r="K113">
            <v>341600</v>
          </cell>
          <cell r="L113">
            <v>-2696</v>
          </cell>
          <cell r="N113">
            <v>-2696</v>
          </cell>
          <cell r="O113">
            <v>12</v>
          </cell>
          <cell r="V113" t="str">
            <v>*</v>
          </cell>
        </row>
        <row r="114">
          <cell r="G114" t="str">
            <v>MEDILINE SURGICALS</v>
          </cell>
          <cell r="I114">
            <v>-6500.08</v>
          </cell>
          <cell r="J114">
            <v>6500</v>
          </cell>
          <cell r="K114">
            <v>0</v>
          </cell>
          <cell r="L114">
            <v>-0.08</v>
          </cell>
          <cell r="N114">
            <v>-0.08</v>
          </cell>
          <cell r="O114">
            <v>12</v>
          </cell>
          <cell r="V114" t="str">
            <v>*</v>
          </cell>
        </row>
        <row r="115">
          <cell r="G115" t="str">
            <v>K.R. LYNCH &amp; CO. PVT. LTD.</v>
          </cell>
          <cell r="I115">
            <v>-5200</v>
          </cell>
          <cell r="J115">
            <v>1950335.97</v>
          </cell>
          <cell r="K115">
            <v>1990220</v>
          </cell>
          <cell r="L115">
            <v>-45084.03</v>
          </cell>
          <cell r="N115">
            <v>-45084.03</v>
          </cell>
          <cell r="O115">
            <v>12</v>
          </cell>
          <cell r="V115" t="str">
            <v>*</v>
          </cell>
        </row>
        <row r="116">
          <cell r="G116" t="str">
            <v>JAIN SURGICALS</v>
          </cell>
          <cell r="I116">
            <v>-33680</v>
          </cell>
          <cell r="J116">
            <v>0</v>
          </cell>
          <cell r="K116">
            <v>0</v>
          </cell>
          <cell r="L116">
            <v>-33680</v>
          </cell>
          <cell r="N116">
            <v>-33680</v>
          </cell>
          <cell r="O116">
            <v>12</v>
          </cell>
          <cell r="V116" t="str">
            <v>*</v>
          </cell>
        </row>
        <row r="117">
          <cell r="G117" t="str">
            <v>UTILITY INDUSTRIES &amp; CHEMICAL WORKS</v>
          </cell>
          <cell r="I117">
            <v>0</v>
          </cell>
          <cell r="J117">
            <v>99840</v>
          </cell>
          <cell r="K117">
            <v>99840</v>
          </cell>
          <cell r="L117">
            <v>0</v>
          </cell>
          <cell r="N117">
            <v>0</v>
          </cell>
          <cell r="O117">
            <v>12</v>
          </cell>
          <cell r="V117" t="str">
            <v>*</v>
          </cell>
        </row>
        <row r="118">
          <cell r="G118" t="str">
            <v>METALLIC ENGINEERING PROJECT</v>
          </cell>
          <cell r="I118">
            <v>0</v>
          </cell>
          <cell r="J118">
            <v>0</v>
          </cell>
          <cell r="K118">
            <v>50000</v>
          </cell>
          <cell r="L118">
            <v>-50000</v>
          </cell>
          <cell r="N118">
            <v>-50000</v>
          </cell>
          <cell r="O118">
            <v>12</v>
          </cell>
          <cell r="V118" t="str">
            <v>*</v>
          </cell>
        </row>
        <row r="119">
          <cell r="G119" t="str">
            <v>ALPHA MEDICAL SERVICES PVT. LTD.</v>
          </cell>
          <cell r="I119">
            <v>-5000</v>
          </cell>
          <cell r="J119">
            <v>0</v>
          </cell>
          <cell r="K119">
            <v>0</v>
          </cell>
          <cell r="L119">
            <v>-5000</v>
          </cell>
          <cell r="N119">
            <v>-5000</v>
          </cell>
          <cell r="O119">
            <v>12</v>
          </cell>
          <cell r="V119" t="str">
            <v>*</v>
          </cell>
        </row>
        <row r="120">
          <cell r="G120" t="str">
            <v>ROY ENTERPRISE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12</v>
          </cell>
          <cell r="V120" t="str">
            <v>*</v>
          </cell>
        </row>
        <row r="121">
          <cell r="G121" t="str">
            <v>PEOPLES MEDI-TREAT PVT. LTD.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12</v>
          </cell>
          <cell r="V121" t="str">
            <v>*</v>
          </cell>
        </row>
        <row r="122">
          <cell r="G122" t="str">
            <v>MEDICINE HOUSE</v>
          </cell>
          <cell r="I122">
            <v>22659.05</v>
          </cell>
          <cell r="J122">
            <v>0</v>
          </cell>
          <cell r="K122">
            <v>0</v>
          </cell>
          <cell r="L122">
            <v>22659.05</v>
          </cell>
          <cell r="N122">
            <v>0</v>
          </cell>
          <cell r="O122">
            <v>12</v>
          </cell>
          <cell r="V122" t="str">
            <v>*</v>
          </cell>
        </row>
        <row r="123">
          <cell r="G123" t="str">
            <v>INDIRA GANDHI INSTITUTE OF CARDIOLOGY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12</v>
          </cell>
          <cell r="V123" t="str">
            <v>*</v>
          </cell>
        </row>
        <row r="124">
          <cell r="G124" t="str">
            <v>BASUDEO HEALTH FOUNDATION PVT. LTD.</v>
          </cell>
          <cell r="I124">
            <v>1400000.02</v>
          </cell>
          <cell r="J124">
            <v>0</v>
          </cell>
          <cell r="K124">
            <v>1400000</v>
          </cell>
          <cell r="L124">
            <v>0.02</v>
          </cell>
          <cell r="N124">
            <v>0</v>
          </cell>
          <cell r="O124">
            <v>12</v>
          </cell>
          <cell r="V124" t="str">
            <v>*</v>
          </cell>
        </row>
        <row r="125">
          <cell r="G125" t="str">
            <v>RENHART HEALTH PRODUCTS PVT. LTD</v>
          </cell>
          <cell r="I125">
            <v>-249132.69</v>
          </cell>
          <cell r="J125">
            <v>1304297.3999999999</v>
          </cell>
          <cell r="K125">
            <v>193950</v>
          </cell>
          <cell r="L125">
            <v>861214.71</v>
          </cell>
          <cell r="N125">
            <v>0</v>
          </cell>
          <cell r="O125">
            <v>12</v>
          </cell>
          <cell r="V125" t="str">
            <v>*</v>
          </cell>
        </row>
        <row r="126">
          <cell r="G126" t="str">
            <v>J. J. DISTRIBUTORS</v>
          </cell>
          <cell r="I126">
            <v>34888.93</v>
          </cell>
          <cell r="J126">
            <v>0</v>
          </cell>
          <cell r="K126">
            <v>0</v>
          </cell>
          <cell r="L126">
            <v>34888.93</v>
          </cell>
          <cell r="N126">
            <v>0</v>
          </cell>
          <cell r="O126">
            <v>12</v>
          </cell>
          <cell r="V126" t="str">
            <v>*</v>
          </cell>
        </row>
        <row r="127">
          <cell r="G127" t="str">
            <v>MAHABIR ENTERPRISES</v>
          </cell>
          <cell r="I127">
            <v>0</v>
          </cell>
          <cell r="J127">
            <v>48000</v>
          </cell>
          <cell r="K127">
            <v>0</v>
          </cell>
          <cell r="L127">
            <v>48000</v>
          </cell>
          <cell r="N127">
            <v>0</v>
          </cell>
          <cell r="O127">
            <v>12</v>
          </cell>
          <cell r="V127" t="str">
            <v>*</v>
          </cell>
        </row>
        <row r="128">
          <cell r="G128" t="str">
            <v>PRAGATI HOSPITAL &amp; RESEARCH CENTRE</v>
          </cell>
          <cell r="I128">
            <v>-0.19</v>
          </cell>
          <cell r="J128">
            <v>0</v>
          </cell>
          <cell r="K128">
            <v>0</v>
          </cell>
          <cell r="L128">
            <v>-0.19</v>
          </cell>
          <cell r="N128">
            <v>-0.19</v>
          </cell>
          <cell r="O128">
            <v>12</v>
          </cell>
          <cell r="V128" t="str">
            <v>*</v>
          </cell>
        </row>
        <row r="129">
          <cell r="G129" t="str">
            <v>ADITYA DIAGNOSTICS &amp; HOSPITALS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12</v>
          </cell>
          <cell r="V129" t="str">
            <v>*</v>
          </cell>
        </row>
        <row r="130">
          <cell r="G130" t="str">
            <v>B M PHARMACEUTICALS</v>
          </cell>
          <cell r="I130">
            <v>332396.69</v>
          </cell>
          <cell r="J130">
            <v>837160</v>
          </cell>
          <cell r="K130">
            <v>1079471</v>
          </cell>
          <cell r="L130">
            <v>90085.69</v>
          </cell>
          <cell r="N130">
            <v>0</v>
          </cell>
          <cell r="O130">
            <v>12</v>
          </cell>
          <cell r="V130" t="str">
            <v>*</v>
          </cell>
        </row>
        <row r="131">
          <cell r="G131" t="str">
            <v>DOWNTOWN HOSPITAL LTD.</v>
          </cell>
          <cell r="I131">
            <v>94050</v>
          </cell>
          <cell r="J131">
            <v>0</v>
          </cell>
          <cell r="K131">
            <v>0</v>
          </cell>
          <cell r="L131">
            <v>94050</v>
          </cell>
          <cell r="N131">
            <v>0</v>
          </cell>
          <cell r="O131">
            <v>12</v>
          </cell>
          <cell r="V131" t="str">
            <v>*</v>
          </cell>
        </row>
        <row r="132">
          <cell r="G132" t="str">
            <v>LAMPHEL PHARMACY.</v>
          </cell>
          <cell r="I132">
            <v>-13057.58</v>
          </cell>
          <cell r="J132">
            <v>99840</v>
          </cell>
          <cell r="K132">
            <v>99840</v>
          </cell>
          <cell r="L132">
            <v>-13057.58</v>
          </cell>
          <cell r="N132">
            <v>-13057.58</v>
          </cell>
          <cell r="O132">
            <v>12</v>
          </cell>
          <cell r="V132" t="str">
            <v>*</v>
          </cell>
        </row>
        <row r="133">
          <cell r="G133" t="str">
            <v>P.V.AGENCIES</v>
          </cell>
          <cell r="I133">
            <v>-900</v>
          </cell>
          <cell r="J133">
            <v>0</v>
          </cell>
          <cell r="K133">
            <v>0</v>
          </cell>
          <cell r="L133">
            <v>-900</v>
          </cell>
          <cell r="N133">
            <v>-900</v>
          </cell>
          <cell r="O133">
            <v>12</v>
          </cell>
          <cell r="V133" t="str">
            <v>*</v>
          </cell>
        </row>
        <row r="134">
          <cell r="G134" t="str">
            <v>SAR ENTERPRISES</v>
          </cell>
          <cell r="I134">
            <v>-2310.1999999999998</v>
          </cell>
          <cell r="J134">
            <v>10712</v>
          </cell>
          <cell r="K134">
            <v>15844</v>
          </cell>
          <cell r="L134">
            <v>-7442.2</v>
          </cell>
          <cell r="N134">
            <v>-7442.2</v>
          </cell>
          <cell r="O134">
            <v>12</v>
          </cell>
          <cell r="V134" t="str">
            <v>*</v>
          </cell>
        </row>
        <row r="135">
          <cell r="G135" t="str">
            <v>BABY MEMORIAL HOSPITAL</v>
          </cell>
          <cell r="I135">
            <v>0</v>
          </cell>
          <cell r="J135">
            <v>105769.4</v>
          </cell>
          <cell r="K135">
            <v>25000</v>
          </cell>
          <cell r="L135">
            <v>80769.399999999994</v>
          </cell>
          <cell r="N135">
            <v>0</v>
          </cell>
          <cell r="O135">
            <v>12</v>
          </cell>
          <cell r="V135" t="str">
            <v>*</v>
          </cell>
        </row>
        <row r="136">
          <cell r="G136" t="str">
            <v>COCHIN PHARMA</v>
          </cell>
          <cell r="I136">
            <v>971.36</v>
          </cell>
          <cell r="J136">
            <v>0</v>
          </cell>
          <cell r="K136">
            <v>0</v>
          </cell>
          <cell r="L136">
            <v>971.36</v>
          </cell>
          <cell r="N136">
            <v>0</v>
          </cell>
          <cell r="O136">
            <v>12</v>
          </cell>
          <cell r="V136" t="str">
            <v>*</v>
          </cell>
        </row>
        <row r="137">
          <cell r="G137" t="str">
            <v>SURGI CRAFT</v>
          </cell>
          <cell r="I137">
            <v>3276</v>
          </cell>
          <cell r="J137">
            <v>9828</v>
          </cell>
          <cell r="K137">
            <v>9828</v>
          </cell>
          <cell r="L137">
            <v>3276</v>
          </cell>
          <cell r="N137">
            <v>0</v>
          </cell>
          <cell r="O137">
            <v>12</v>
          </cell>
          <cell r="V137" t="str">
            <v>*</v>
          </cell>
        </row>
        <row r="138">
          <cell r="G138" t="str">
            <v>ST. MARTIN-DE-PORRES HOSPITAL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12</v>
          </cell>
          <cell r="V138" t="str">
            <v>*</v>
          </cell>
        </row>
        <row r="139">
          <cell r="G139" t="str">
            <v>MEDICAL TRUST HOSPITAL</v>
          </cell>
          <cell r="I139">
            <v>535</v>
          </cell>
          <cell r="J139">
            <v>0</v>
          </cell>
          <cell r="K139">
            <v>0</v>
          </cell>
          <cell r="L139">
            <v>535</v>
          </cell>
          <cell r="N139">
            <v>0</v>
          </cell>
          <cell r="O139">
            <v>12</v>
          </cell>
          <cell r="V139" t="str">
            <v>*</v>
          </cell>
        </row>
        <row r="140">
          <cell r="G140" t="str">
            <v>AMRITA INST. OF MEDICAL SCI.&amp;RES.</v>
          </cell>
          <cell r="I140">
            <v>-328.15</v>
          </cell>
          <cell r="J140">
            <v>0</v>
          </cell>
          <cell r="K140">
            <v>0</v>
          </cell>
          <cell r="L140">
            <v>-328.15</v>
          </cell>
          <cell r="N140">
            <v>-328.15</v>
          </cell>
          <cell r="O140">
            <v>12</v>
          </cell>
          <cell r="V140" t="str">
            <v>*</v>
          </cell>
        </row>
        <row r="141">
          <cell r="G141" t="str">
            <v>LISIE HOSPITAL</v>
          </cell>
          <cell r="I141">
            <v>5000</v>
          </cell>
          <cell r="J141">
            <v>0</v>
          </cell>
          <cell r="K141">
            <v>0</v>
          </cell>
          <cell r="L141">
            <v>5000</v>
          </cell>
          <cell r="N141">
            <v>0</v>
          </cell>
          <cell r="O141">
            <v>12</v>
          </cell>
          <cell r="V141" t="str">
            <v>*</v>
          </cell>
        </row>
        <row r="142">
          <cell r="G142" t="str">
            <v>PROMPT ENTERPRISES.</v>
          </cell>
          <cell r="I142">
            <v>-2960.72</v>
          </cell>
          <cell r="J142">
            <v>0</v>
          </cell>
          <cell r="K142">
            <v>0</v>
          </cell>
          <cell r="L142">
            <v>-2960.72</v>
          </cell>
          <cell r="N142">
            <v>-2960.72</v>
          </cell>
          <cell r="O142">
            <v>12</v>
          </cell>
          <cell r="V142" t="str">
            <v>*</v>
          </cell>
        </row>
        <row r="143">
          <cell r="G143" t="str">
            <v>KODAKKAT PHARMA DISTRIBUTORS</v>
          </cell>
          <cell r="I143">
            <v>-1</v>
          </cell>
          <cell r="J143">
            <v>82160</v>
          </cell>
          <cell r="K143">
            <v>82160</v>
          </cell>
          <cell r="L143">
            <v>-1</v>
          </cell>
          <cell r="N143">
            <v>-1</v>
          </cell>
          <cell r="O143">
            <v>12</v>
          </cell>
          <cell r="V143" t="str">
            <v>*</v>
          </cell>
        </row>
        <row r="144">
          <cell r="G144" t="str">
            <v>TOPCARE AGENCIES</v>
          </cell>
          <cell r="I144">
            <v>-545</v>
          </cell>
          <cell r="J144">
            <v>0</v>
          </cell>
          <cell r="K144">
            <v>0</v>
          </cell>
          <cell r="L144">
            <v>-545</v>
          </cell>
          <cell r="N144">
            <v>-545</v>
          </cell>
          <cell r="O144">
            <v>12</v>
          </cell>
          <cell r="V144" t="str">
            <v>*</v>
          </cell>
        </row>
        <row r="145">
          <cell r="G145" t="str">
            <v>MERIDIAN ENTERPRISES</v>
          </cell>
          <cell r="I145">
            <v>144.47999999999999</v>
          </cell>
          <cell r="J145">
            <v>0</v>
          </cell>
          <cell r="K145">
            <v>0</v>
          </cell>
          <cell r="L145">
            <v>144.47999999999999</v>
          </cell>
          <cell r="N145">
            <v>0</v>
          </cell>
          <cell r="O145">
            <v>12</v>
          </cell>
          <cell r="V145" t="str">
            <v>*</v>
          </cell>
        </row>
        <row r="146">
          <cell r="G146" t="str">
            <v>M.O.S.C. MEDICAL MISSION HOSPITAL</v>
          </cell>
          <cell r="I146">
            <v>-0.01</v>
          </cell>
          <cell r="J146">
            <v>0</v>
          </cell>
          <cell r="K146">
            <v>0</v>
          </cell>
          <cell r="L146">
            <v>-0.01</v>
          </cell>
          <cell r="N146">
            <v>-0.01</v>
          </cell>
          <cell r="O146">
            <v>12</v>
          </cell>
          <cell r="V146" t="str">
            <v>*</v>
          </cell>
        </row>
        <row r="147">
          <cell r="G147" t="str">
            <v>PULLIKKAL SURGICAL DISTRIBUTORS</v>
          </cell>
          <cell r="I147">
            <v>0.2</v>
          </cell>
          <cell r="J147">
            <v>60816.6</v>
          </cell>
          <cell r="K147">
            <v>70697</v>
          </cell>
          <cell r="L147">
            <v>-9880.2000000000007</v>
          </cell>
          <cell r="N147">
            <v>-9880.2000000000007</v>
          </cell>
          <cell r="O147">
            <v>12</v>
          </cell>
          <cell r="V147" t="str">
            <v>*</v>
          </cell>
        </row>
        <row r="148">
          <cell r="G148" t="str">
            <v>PULLIKAL PHARMA DISTRIBUTORS</v>
          </cell>
          <cell r="I148">
            <v>-0.12</v>
          </cell>
          <cell r="J148">
            <v>0</v>
          </cell>
          <cell r="K148">
            <v>0</v>
          </cell>
          <cell r="L148">
            <v>-0.12</v>
          </cell>
          <cell r="N148">
            <v>-0.12</v>
          </cell>
          <cell r="O148">
            <v>12</v>
          </cell>
          <cell r="V148" t="str">
            <v>*</v>
          </cell>
        </row>
        <row r="149">
          <cell r="G149" t="str">
            <v>CENTRAL TRAVANCORE SPECIALISTS HOSPITAL LTD.</v>
          </cell>
          <cell r="I149">
            <v>845022</v>
          </cell>
          <cell r="J149">
            <v>0</v>
          </cell>
          <cell r="K149">
            <v>0</v>
          </cell>
          <cell r="L149">
            <v>845022</v>
          </cell>
          <cell r="N149">
            <v>0</v>
          </cell>
          <cell r="O149">
            <v>12</v>
          </cell>
          <cell r="V149" t="str">
            <v>*</v>
          </cell>
        </row>
        <row r="150">
          <cell r="G150" t="str">
            <v>BUSINESS COMMUNICATION LINKS</v>
          </cell>
          <cell r="I150">
            <v>-875</v>
          </cell>
          <cell r="J150">
            <v>0</v>
          </cell>
          <cell r="K150">
            <v>0</v>
          </cell>
          <cell r="L150">
            <v>-875</v>
          </cell>
          <cell r="N150">
            <v>-875</v>
          </cell>
          <cell r="O150">
            <v>12</v>
          </cell>
          <cell r="V150" t="str">
            <v>*</v>
          </cell>
        </row>
        <row r="151">
          <cell r="G151" t="str">
            <v>UNIQUE SURGICALS</v>
          </cell>
          <cell r="I151">
            <v>1807448.64</v>
          </cell>
          <cell r="J151">
            <v>361010</v>
          </cell>
          <cell r="K151">
            <v>2136856</v>
          </cell>
          <cell r="L151">
            <v>31602.639999999999</v>
          </cell>
          <cell r="N151">
            <v>0</v>
          </cell>
          <cell r="O151">
            <v>12</v>
          </cell>
          <cell r="V151" t="str">
            <v>*</v>
          </cell>
        </row>
        <row r="152">
          <cell r="G152" t="str">
            <v>VISHWABHARTHI MEDICALS</v>
          </cell>
          <cell r="I152">
            <v>-1552.4</v>
          </cell>
          <cell r="J152">
            <v>0</v>
          </cell>
          <cell r="K152">
            <v>0</v>
          </cell>
          <cell r="L152">
            <v>-1552.4</v>
          </cell>
          <cell r="N152">
            <v>-1552.4</v>
          </cell>
          <cell r="O152">
            <v>12</v>
          </cell>
          <cell r="V152" t="str">
            <v>*</v>
          </cell>
        </row>
        <row r="153">
          <cell r="G153" t="str">
            <v>GEEYES ASSOCIATES</v>
          </cell>
          <cell r="I153">
            <v>-1976</v>
          </cell>
          <cell r="J153">
            <v>0</v>
          </cell>
          <cell r="K153">
            <v>0</v>
          </cell>
          <cell r="L153">
            <v>-1976</v>
          </cell>
          <cell r="N153">
            <v>-1976</v>
          </cell>
          <cell r="O153">
            <v>12</v>
          </cell>
          <cell r="V153" t="str">
            <v>*</v>
          </cell>
        </row>
        <row r="154">
          <cell r="G154" t="str">
            <v>PARKINS ENTERPRISES</v>
          </cell>
          <cell r="I154">
            <v>-598</v>
          </cell>
          <cell r="J154">
            <v>0</v>
          </cell>
          <cell r="K154">
            <v>0</v>
          </cell>
          <cell r="L154">
            <v>-598</v>
          </cell>
          <cell r="N154">
            <v>-598</v>
          </cell>
          <cell r="O154">
            <v>12</v>
          </cell>
          <cell r="V154" t="str">
            <v>*</v>
          </cell>
        </row>
        <row r="155">
          <cell r="G155" t="str">
            <v>SIGMA COMBINES</v>
          </cell>
          <cell r="I155">
            <v>35610</v>
          </cell>
          <cell r="J155">
            <v>0</v>
          </cell>
          <cell r="K155">
            <v>0</v>
          </cell>
          <cell r="L155">
            <v>35610</v>
          </cell>
          <cell r="N155">
            <v>0</v>
          </cell>
          <cell r="O155">
            <v>12</v>
          </cell>
          <cell r="V155" t="str">
            <v>*</v>
          </cell>
        </row>
        <row r="156">
          <cell r="G156" t="str">
            <v>CHEMIPLAST</v>
          </cell>
          <cell r="I156">
            <v>-8288.6</v>
          </cell>
          <cell r="J156">
            <v>16380</v>
          </cell>
          <cell r="K156">
            <v>16380</v>
          </cell>
          <cell r="L156">
            <v>-8288.6</v>
          </cell>
          <cell r="N156">
            <v>-8288.6</v>
          </cell>
          <cell r="O156">
            <v>12</v>
          </cell>
          <cell r="V156" t="str">
            <v>*</v>
          </cell>
        </row>
        <row r="157">
          <cell r="G157" t="str">
            <v>U.S. PHARAMA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12</v>
          </cell>
          <cell r="V157" t="str">
            <v>*</v>
          </cell>
        </row>
        <row r="158">
          <cell r="G158" t="str">
            <v>MEDICAL HOUSE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N158">
            <v>0</v>
          </cell>
          <cell r="O158">
            <v>12</v>
          </cell>
          <cell r="V158" t="str">
            <v>*</v>
          </cell>
        </row>
        <row r="159">
          <cell r="G159" t="str">
            <v>MOTHER HOSPITAL (P) LTD.</v>
          </cell>
          <cell r="I159">
            <v>-0.01</v>
          </cell>
          <cell r="J159">
            <v>0</v>
          </cell>
          <cell r="K159">
            <v>0</v>
          </cell>
          <cell r="L159">
            <v>-0.01</v>
          </cell>
          <cell r="N159">
            <v>-0.01</v>
          </cell>
          <cell r="O159">
            <v>12</v>
          </cell>
          <cell r="V159" t="str">
            <v>*</v>
          </cell>
        </row>
        <row r="160">
          <cell r="G160" t="str">
            <v>THE MEDICAL DIR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12</v>
          </cell>
          <cell r="V160" t="str">
            <v>*</v>
          </cell>
        </row>
        <row r="161">
          <cell r="G161" t="str">
            <v>JOSGIRI HOSPITAL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12</v>
          </cell>
          <cell r="V161" t="str">
            <v>*</v>
          </cell>
        </row>
        <row r="162">
          <cell r="G162" t="str">
            <v>GOVERNMENT GENERAL HOSPITAL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12</v>
          </cell>
          <cell r="V162" t="str">
            <v>*</v>
          </cell>
        </row>
        <row r="163">
          <cell r="G163" t="str">
            <v>HAMILTON AND BAILEY</v>
          </cell>
          <cell r="I163">
            <v>16003.28</v>
          </cell>
          <cell r="J163">
            <v>0</v>
          </cell>
          <cell r="K163">
            <v>0</v>
          </cell>
          <cell r="L163">
            <v>16003.28</v>
          </cell>
          <cell r="N163">
            <v>0</v>
          </cell>
          <cell r="O163">
            <v>12</v>
          </cell>
          <cell r="V163" t="str">
            <v>*</v>
          </cell>
        </row>
        <row r="164">
          <cell r="G164" t="str">
            <v>DR. SAROJ NAIR</v>
          </cell>
          <cell r="I164">
            <v>0</v>
          </cell>
          <cell r="J164">
            <v>9000.01</v>
          </cell>
          <cell r="K164">
            <v>9000</v>
          </cell>
          <cell r="L164">
            <v>0.01</v>
          </cell>
          <cell r="N164">
            <v>0</v>
          </cell>
          <cell r="O164">
            <v>12</v>
          </cell>
          <cell r="V164" t="str">
            <v>*</v>
          </cell>
        </row>
        <row r="165">
          <cell r="G165" t="str">
            <v>INDIA HOSPITAL</v>
          </cell>
          <cell r="I165">
            <v>0</v>
          </cell>
          <cell r="J165">
            <v>9000</v>
          </cell>
          <cell r="K165">
            <v>9000</v>
          </cell>
          <cell r="L165">
            <v>0</v>
          </cell>
          <cell r="N165">
            <v>0</v>
          </cell>
          <cell r="O165">
            <v>12</v>
          </cell>
          <cell r="V165" t="str">
            <v>*</v>
          </cell>
        </row>
        <row r="166">
          <cell r="G166" t="str">
            <v>S.S.MEDILINES</v>
          </cell>
          <cell r="I166">
            <v>-570</v>
          </cell>
          <cell r="J166">
            <v>78360</v>
          </cell>
          <cell r="K166">
            <v>61000</v>
          </cell>
          <cell r="L166">
            <v>16790</v>
          </cell>
          <cell r="N166">
            <v>0</v>
          </cell>
          <cell r="O166">
            <v>12</v>
          </cell>
          <cell r="V166" t="str">
            <v>*</v>
          </cell>
        </row>
        <row r="167">
          <cell r="G167" t="str">
            <v>PROMPT ENTERPRISES</v>
          </cell>
          <cell r="I167">
            <v>-9334.69</v>
          </cell>
          <cell r="J167">
            <v>0</v>
          </cell>
          <cell r="K167">
            <v>0</v>
          </cell>
          <cell r="L167">
            <v>-9334.69</v>
          </cell>
          <cell r="N167">
            <v>-9334.69</v>
          </cell>
          <cell r="O167">
            <v>12</v>
          </cell>
          <cell r="V167" t="str">
            <v>*</v>
          </cell>
        </row>
        <row r="168">
          <cell r="G168" t="str">
            <v>SHREE CHITRA TIRUNAL INSTITUTE FOR MEDICAL SCIENCE AND TECH.</v>
          </cell>
          <cell r="I168">
            <v>182163</v>
          </cell>
          <cell r="J168">
            <v>0</v>
          </cell>
          <cell r="K168">
            <v>0</v>
          </cell>
          <cell r="L168">
            <v>182163</v>
          </cell>
          <cell r="N168">
            <v>0</v>
          </cell>
          <cell r="O168">
            <v>12</v>
          </cell>
          <cell r="V168" t="str">
            <v>*</v>
          </cell>
        </row>
        <row r="169">
          <cell r="G169" t="str">
            <v>JYOTI SURGICALS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</v>
          </cell>
          <cell r="O169">
            <v>12</v>
          </cell>
          <cell r="V169" t="str">
            <v>*</v>
          </cell>
        </row>
        <row r="170">
          <cell r="G170" t="str">
            <v>PRITI MEDICAL RESEARCH CENTRE</v>
          </cell>
          <cell r="I170">
            <v>1440800</v>
          </cell>
          <cell r="J170">
            <v>0</v>
          </cell>
          <cell r="K170">
            <v>0</v>
          </cell>
          <cell r="L170">
            <v>1440800</v>
          </cell>
          <cell r="N170">
            <v>0</v>
          </cell>
          <cell r="O170">
            <v>12</v>
          </cell>
          <cell r="V170" t="str">
            <v>*</v>
          </cell>
        </row>
        <row r="171">
          <cell r="G171" t="str">
            <v>HANSRAJ NAYYAR MEDICAL ,  AMRITSAR</v>
          </cell>
          <cell r="I171">
            <v>17525.599999999999</v>
          </cell>
          <cell r="J171">
            <v>0</v>
          </cell>
          <cell r="K171">
            <v>0</v>
          </cell>
          <cell r="L171">
            <v>17525.599999999999</v>
          </cell>
          <cell r="N171">
            <v>0</v>
          </cell>
          <cell r="O171">
            <v>12</v>
          </cell>
          <cell r="V171" t="str">
            <v>*</v>
          </cell>
        </row>
        <row r="172">
          <cell r="G172" t="str">
            <v>RAVI BROTHERS</v>
          </cell>
          <cell r="I172">
            <v>-801.5</v>
          </cell>
          <cell r="J172">
            <v>0</v>
          </cell>
          <cell r="K172">
            <v>0</v>
          </cell>
          <cell r="L172">
            <v>-801.5</v>
          </cell>
          <cell r="N172">
            <v>-801.5</v>
          </cell>
          <cell r="O172">
            <v>12</v>
          </cell>
          <cell r="V172" t="str">
            <v>*</v>
          </cell>
        </row>
        <row r="173">
          <cell r="G173" t="str">
            <v>RASHMI CHEMICALS</v>
          </cell>
          <cell r="I173">
            <v>21200</v>
          </cell>
          <cell r="J173">
            <v>0</v>
          </cell>
          <cell r="K173">
            <v>0</v>
          </cell>
          <cell r="L173">
            <v>21200</v>
          </cell>
          <cell r="N173">
            <v>0</v>
          </cell>
          <cell r="O173">
            <v>12</v>
          </cell>
          <cell r="V173" t="str">
            <v>*</v>
          </cell>
        </row>
        <row r="174">
          <cell r="G174" t="str">
            <v>AHUJA AGENCIES</v>
          </cell>
          <cell r="I174">
            <v>7710.4</v>
          </cell>
          <cell r="J174">
            <v>0</v>
          </cell>
          <cell r="K174">
            <v>0</v>
          </cell>
          <cell r="L174">
            <v>7710.4</v>
          </cell>
          <cell r="N174">
            <v>0</v>
          </cell>
          <cell r="O174">
            <v>12</v>
          </cell>
          <cell r="V174" t="str">
            <v>*</v>
          </cell>
        </row>
        <row r="175">
          <cell r="G175" t="str">
            <v>AHUJA ENTERPRISES</v>
          </cell>
          <cell r="I175">
            <v>520</v>
          </cell>
          <cell r="J175">
            <v>0</v>
          </cell>
          <cell r="K175">
            <v>0</v>
          </cell>
          <cell r="L175">
            <v>520</v>
          </cell>
          <cell r="N175">
            <v>0</v>
          </cell>
          <cell r="O175">
            <v>12</v>
          </cell>
          <cell r="V175" t="str">
            <v>*</v>
          </cell>
        </row>
        <row r="176">
          <cell r="G176" t="str">
            <v>JAGDAMBA MEDICAL STORE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N176">
            <v>0</v>
          </cell>
          <cell r="O176">
            <v>12</v>
          </cell>
          <cell r="V176" t="str">
            <v>*</v>
          </cell>
        </row>
        <row r="177">
          <cell r="G177" t="str">
            <v>SURGICO</v>
          </cell>
          <cell r="I177">
            <v>-1055.99</v>
          </cell>
          <cell r="J177">
            <v>0</v>
          </cell>
          <cell r="K177">
            <v>0</v>
          </cell>
          <cell r="L177">
            <v>-1055.99</v>
          </cell>
          <cell r="N177">
            <v>-1055.99</v>
          </cell>
          <cell r="O177">
            <v>12</v>
          </cell>
          <cell r="V177" t="str">
            <v>*</v>
          </cell>
        </row>
        <row r="178">
          <cell r="G178" t="str">
            <v>KUMAR BROTHERS</v>
          </cell>
          <cell r="I178">
            <v>-17114.400000000001</v>
          </cell>
          <cell r="J178">
            <v>17056</v>
          </cell>
          <cell r="K178">
            <v>0</v>
          </cell>
          <cell r="L178">
            <v>-58.4</v>
          </cell>
          <cell r="N178">
            <v>-58.4</v>
          </cell>
          <cell r="O178">
            <v>12</v>
          </cell>
          <cell r="V178" t="str">
            <v>*</v>
          </cell>
        </row>
        <row r="179">
          <cell r="G179" t="str">
            <v>UNISTAR PHARMACEUTICALS DIST.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N179">
            <v>0</v>
          </cell>
          <cell r="O179">
            <v>12</v>
          </cell>
          <cell r="V179" t="str">
            <v>*</v>
          </cell>
        </row>
        <row r="180">
          <cell r="G180" t="str">
            <v>GURUDEV DRUGS</v>
          </cell>
          <cell r="I180">
            <v>0</v>
          </cell>
          <cell r="J180">
            <v>30442.5</v>
          </cell>
          <cell r="K180">
            <v>30500</v>
          </cell>
          <cell r="L180">
            <v>-57.5</v>
          </cell>
          <cell r="N180">
            <v>-57.5</v>
          </cell>
          <cell r="O180">
            <v>12</v>
          </cell>
          <cell r="V180" t="str">
            <v>*</v>
          </cell>
        </row>
        <row r="181">
          <cell r="G181" t="str">
            <v>ROYAL SURGICALS</v>
          </cell>
          <cell r="I181">
            <v>10060.4</v>
          </cell>
          <cell r="J181">
            <v>0</v>
          </cell>
          <cell r="K181">
            <v>0</v>
          </cell>
          <cell r="L181">
            <v>10060.4</v>
          </cell>
          <cell r="N181">
            <v>0</v>
          </cell>
          <cell r="O181">
            <v>12</v>
          </cell>
          <cell r="V181" t="str">
            <v>*</v>
          </cell>
        </row>
        <row r="182">
          <cell r="G182" t="str">
            <v>ENDOOS ENTERPRISES</v>
          </cell>
          <cell r="I182">
            <v>-10001.64</v>
          </cell>
          <cell r="J182">
            <v>0</v>
          </cell>
          <cell r="K182">
            <v>0</v>
          </cell>
          <cell r="L182">
            <v>-10001.64</v>
          </cell>
          <cell r="N182">
            <v>-10001.64</v>
          </cell>
          <cell r="O182">
            <v>12</v>
          </cell>
          <cell r="V182" t="str">
            <v>*</v>
          </cell>
        </row>
        <row r="183">
          <cell r="G183" t="str">
            <v>KARAN PHARMACUETICAL &amp; SURGICALS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12</v>
          </cell>
          <cell r="V183" t="str">
            <v>*</v>
          </cell>
        </row>
        <row r="184">
          <cell r="G184" t="str">
            <v>ALL INDIA INSTITUTE OF MEDICAL SCIENCS</v>
          </cell>
          <cell r="I184">
            <v>465700.51</v>
          </cell>
          <cell r="J184">
            <v>0</v>
          </cell>
          <cell r="K184">
            <v>0</v>
          </cell>
          <cell r="L184">
            <v>465700.51</v>
          </cell>
          <cell r="N184">
            <v>0</v>
          </cell>
          <cell r="O184">
            <v>12</v>
          </cell>
          <cell r="V184" t="str">
            <v>*</v>
          </cell>
        </row>
        <row r="185">
          <cell r="G185" t="str">
            <v>JAISON TRADERS</v>
          </cell>
          <cell r="I185">
            <v>-228061.37</v>
          </cell>
          <cell r="J185">
            <v>512367.8</v>
          </cell>
          <cell r="K185">
            <v>284460</v>
          </cell>
          <cell r="L185">
            <v>-153.57</v>
          </cell>
          <cell r="N185">
            <v>-153.57</v>
          </cell>
          <cell r="O185">
            <v>12</v>
          </cell>
          <cell r="V185" t="str">
            <v>*</v>
          </cell>
        </row>
        <row r="186">
          <cell r="G186" t="str">
            <v>RAM MANOHAR LOHIYA HOSPITAL</v>
          </cell>
          <cell r="I186">
            <v>72450.509999999995</v>
          </cell>
          <cell r="J186">
            <v>0</v>
          </cell>
          <cell r="K186">
            <v>0</v>
          </cell>
          <cell r="L186">
            <v>107205.51</v>
          </cell>
          <cell r="N186">
            <v>0</v>
          </cell>
          <cell r="O186">
            <v>12</v>
          </cell>
          <cell r="V186" t="str">
            <v>*</v>
          </cell>
        </row>
        <row r="187">
          <cell r="G187" t="str">
            <v>DHAWAN SURGICAL</v>
          </cell>
          <cell r="I187">
            <v>45736.98</v>
          </cell>
          <cell r="J187">
            <v>0</v>
          </cell>
          <cell r="K187">
            <v>16425</v>
          </cell>
          <cell r="L187">
            <v>29311.98</v>
          </cell>
          <cell r="N187">
            <v>0</v>
          </cell>
          <cell r="O187">
            <v>12</v>
          </cell>
          <cell r="V187" t="str">
            <v>*</v>
          </cell>
        </row>
        <row r="188">
          <cell r="G188" t="str">
            <v>DIRECTORATE GENERAL MEDICAL SERVICES</v>
          </cell>
          <cell r="I188">
            <v>98388.800000000003</v>
          </cell>
          <cell r="J188">
            <v>0</v>
          </cell>
          <cell r="K188">
            <v>0</v>
          </cell>
          <cell r="L188">
            <v>98388.800000000003</v>
          </cell>
          <cell r="N188">
            <v>0</v>
          </cell>
          <cell r="O188">
            <v>12</v>
          </cell>
          <cell r="V188" t="str">
            <v>*</v>
          </cell>
        </row>
        <row r="189">
          <cell r="G189" t="str">
            <v>GAUTAM HEALTH CARE</v>
          </cell>
          <cell r="I189">
            <v>299027.86</v>
          </cell>
          <cell r="J189">
            <v>0</v>
          </cell>
          <cell r="K189">
            <v>0</v>
          </cell>
          <cell r="L189">
            <v>299027.86</v>
          </cell>
          <cell r="N189">
            <v>0</v>
          </cell>
          <cell r="O189">
            <v>12</v>
          </cell>
          <cell r="V189" t="str">
            <v>*</v>
          </cell>
        </row>
        <row r="190">
          <cell r="G190" t="str">
            <v>HEALTH AIDS (INDIA)</v>
          </cell>
          <cell r="I190">
            <v>-3778.56</v>
          </cell>
          <cell r="J190">
            <v>129859.2</v>
          </cell>
          <cell r="K190">
            <v>129859.2</v>
          </cell>
          <cell r="L190">
            <v>-3778.56</v>
          </cell>
          <cell r="N190">
            <v>-3778.56</v>
          </cell>
          <cell r="O190">
            <v>12</v>
          </cell>
          <cell r="V190" t="str">
            <v>*</v>
          </cell>
        </row>
        <row r="191">
          <cell r="G191" t="str">
            <v>JAIPUR GOLDEN HOSPITAL</v>
          </cell>
          <cell r="I191">
            <v>7515.22</v>
          </cell>
          <cell r="J191">
            <v>0</v>
          </cell>
          <cell r="K191">
            <v>0</v>
          </cell>
          <cell r="L191">
            <v>7515.22</v>
          </cell>
          <cell r="N191">
            <v>0</v>
          </cell>
          <cell r="O191">
            <v>12</v>
          </cell>
          <cell r="V191" t="str">
            <v>*</v>
          </cell>
        </row>
        <row r="192">
          <cell r="G192" t="str">
            <v>MANOCHA ENTERPRISE</v>
          </cell>
          <cell r="I192">
            <v>-895.5</v>
          </cell>
          <cell r="J192">
            <v>0</v>
          </cell>
          <cell r="K192">
            <v>0</v>
          </cell>
          <cell r="L192">
            <v>-895.5</v>
          </cell>
          <cell r="N192">
            <v>-895.5</v>
          </cell>
          <cell r="O192">
            <v>12</v>
          </cell>
          <cell r="V192" t="str">
            <v>*</v>
          </cell>
        </row>
        <row r="193">
          <cell r="G193" t="str">
            <v>LADY HARDINGE MED COLLEGE</v>
          </cell>
          <cell r="I193">
            <v>661864</v>
          </cell>
          <cell r="J193">
            <v>0</v>
          </cell>
          <cell r="K193">
            <v>0</v>
          </cell>
          <cell r="L193">
            <v>661864</v>
          </cell>
          <cell r="N193">
            <v>0</v>
          </cell>
          <cell r="O193">
            <v>12</v>
          </cell>
          <cell r="V193" t="str">
            <v>*</v>
          </cell>
        </row>
        <row r="194">
          <cell r="G194" t="str">
            <v>TIRATHRAM SHAH HOSPITAL</v>
          </cell>
          <cell r="I194">
            <v>341.01</v>
          </cell>
          <cell r="J194">
            <v>0</v>
          </cell>
          <cell r="K194">
            <v>0</v>
          </cell>
          <cell r="L194">
            <v>341.01</v>
          </cell>
          <cell r="N194">
            <v>0</v>
          </cell>
          <cell r="O194">
            <v>12</v>
          </cell>
          <cell r="V194" t="str">
            <v>*</v>
          </cell>
        </row>
        <row r="195">
          <cell r="G195" t="str">
            <v>LIFE CARE SURGIMED</v>
          </cell>
          <cell r="I195">
            <v>-11329.95</v>
          </cell>
          <cell r="J195">
            <v>1017158.4</v>
          </cell>
          <cell r="K195">
            <v>1006000</v>
          </cell>
          <cell r="L195">
            <v>-171.55</v>
          </cell>
          <cell r="N195">
            <v>-171.55</v>
          </cell>
          <cell r="O195">
            <v>12</v>
          </cell>
          <cell r="V195" t="str">
            <v>*</v>
          </cell>
        </row>
        <row r="196">
          <cell r="G196" t="str">
            <v>LOKNAYAK HOSPITAL</v>
          </cell>
          <cell r="I196">
            <v>105640.75</v>
          </cell>
          <cell r="J196">
            <v>0</v>
          </cell>
          <cell r="K196">
            <v>0</v>
          </cell>
          <cell r="L196">
            <v>70885.75</v>
          </cell>
          <cell r="N196">
            <v>0</v>
          </cell>
          <cell r="O196">
            <v>12</v>
          </cell>
          <cell r="V196" t="str">
            <v>*</v>
          </cell>
        </row>
        <row r="197">
          <cell r="G197" t="str">
            <v>MATA CHANAN DEVI HOSPITAL</v>
          </cell>
          <cell r="I197">
            <v>436677.91</v>
          </cell>
          <cell r="J197">
            <v>0</v>
          </cell>
          <cell r="K197">
            <v>51340</v>
          </cell>
          <cell r="L197">
            <v>385337.91</v>
          </cell>
          <cell r="N197">
            <v>0</v>
          </cell>
          <cell r="O197">
            <v>12</v>
          </cell>
          <cell r="V197" t="str">
            <v>*</v>
          </cell>
        </row>
        <row r="198">
          <cell r="G198" t="str">
            <v>MAHARAJA AGRASAIN HOSPITAL</v>
          </cell>
          <cell r="I198">
            <v>48221.88</v>
          </cell>
          <cell r="J198">
            <v>8662.5</v>
          </cell>
          <cell r="K198">
            <v>0</v>
          </cell>
          <cell r="L198">
            <v>56884.38</v>
          </cell>
          <cell r="N198">
            <v>0</v>
          </cell>
          <cell r="O198">
            <v>12</v>
          </cell>
          <cell r="V198" t="str">
            <v>*</v>
          </cell>
        </row>
        <row r="199">
          <cell r="G199" t="str">
            <v>BASE HOSPITAL</v>
          </cell>
          <cell r="I199">
            <v>-0.04</v>
          </cell>
          <cell r="J199">
            <v>0</v>
          </cell>
          <cell r="K199">
            <v>0</v>
          </cell>
          <cell r="L199">
            <v>-0.04</v>
          </cell>
          <cell r="N199">
            <v>-0.04</v>
          </cell>
          <cell r="O199">
            <v>12</v>
          </cell>
          <cell r="V199" t="str">
            <v>*</v>
          </cell>
        </row>
        <row r="200">
          <cell r="G200" t="str">
            <v>R.K. ENTERPRISES</v>
          </cell>
          <cell r="I200">
            <v>-6017.11</v>
          </cell>
          <cell r="J200">
            <v>0</v>
          </cell>
          <cell r="K200">
            <v>0</v>
          </cell>
          <cell r="L200">
            <v>-6017.11</v>
          </cell>
          <cell r="N200">
            <v>-6017.11</v>
          </cell>
          <cell r="O200">
            <v>12</v>
          </cell>
          <cell r="V200" t="str">
            <v>*</v>
          </cell>
        </row>
        <row r="201">
          <cell r="G201" t="str">
            <v>MYOVATEC SURGI. SYST.</v>
          </cell>
          <cell r="I201">
            <v>1950489</v>
          </cell>
          <cell r="J201">
            <v>0</v>
          </cell>
          <cell r="K201">
            <v>0</v>
          </cell>
          <cell r="L201">
            <v>1950489</v>
          </cell>
          <cell r="N201">
            <v>0</v>
          </cell>
          <cell r="O201">
            <v>12</v>
          </cell>
          <cell r="V201" t="str">
            <v>*</v>
          </cell>
        </row>
        <row r="202">
          <cell r="G202" t="str">
            <v>OVERSEAS ASSOCIATES</v>
          </cell>
          <cell r="I202">
            <v>-15522.23</v>
          </cell>
          <cell r="J202">
            <v>155172.79</v>
          </cell>
          <cell r="K202">
            <v>155172.79</v>
          </cell>
          <cell r="L202">
            <v>-15522.23</v>
          </cell>
          <cell r="N202">
            <v>-15522.23</v>
          </cell>
          <cell r="O202">
            <v>12</v>
          </cell>
          <cell r="V202" t="str">
            <v>*</v>
          </cell>
        </row>
        <row r="203">
          <cell r="G203" t="str">
            <v>RAJIV GANDHI CANCER INST.&amp; RESH. CEN.</v>
          </cell>
          <cell r="I203">
            <v>-222.15</v>
          </cell>
          <cell r="J203">
            <v>0</v>
          </cell>
          <cell r="K203">
            <v>0</v>
          </cell>
          <cell r="L203">
            <v>-222.15</v>
          </cell>
          <cell r="N203">
            <v>-222.15</v>
          </cell>
          <cell r="O203">
            <v>12</v>
          </cell>
          <cell r="V203" t="str">
            <v>*</v>
          </cell>
        </row>
        <row r="204">
          <cell r="G204" t="str">
            <v>RAJENDRA MEDICOS</v>
          </cell>
          <cell r="I204">
            <v>10759.39</v>
          </cell>
          <cell r="J204">
            <v>0</v>
          </cell>
          <cell r="K204">
            <v>0</v>
          </cell>
          <cell r="L204">
            <v>10759.39</v>
          </cell>
          <cell r="N204">
            <v>0</v>
          </cell>
          <cell r="O204">
            <v>12</v>
          </cell>
          <cell r="V204" t="str">
            <v>*</v>
          </cell>
        </row>
        <row r="205">
          <cell r="G205" t="str">
            <v>S.V. &amp; CO</v>
          </cell>
          <cell r="I205">
            <v>-2010</v>
          </cell>
          <cell r="J205">
            <v>0</v>
          </cell>
          <cell r="K205">
            <v>0</v>
          </cell>
          <cell r="L205">
            <v>-2010</v>
          </cell>
          <cell r="N205">
            <v>-2010</v>
          </cell>
          <cell r="O205">
            <v>12</v>
          </cell>
          <cell r="V205" t="str">
            <v>*</v>
          </cell>
        </row>
        <row r="206">
          <cell r="G206" t="str">
            <v>R.S. HOSPITAL SERVICES</v>
          </cell>
          <cell r="I206">
            <v>-409.5</v>
          </cell>
          <cell r="J206">
            <v>0</v>
          </cell>
          <cell r="K206">
            <v>0</v>
          </cell>
          <cell r="L206">
            <v>-409.5</v>
          </cell>
          <cell r="N206">
            <v>-409.5</v>
          </cell>
          <cell r="O206">
            <v>12</v>
          </cell>
          <cell r="V206" t="str">
            <v>*</v>
          </cell>
        </row>
        <row r="207">
          <cell r="G207" t="str">
            <v>SHIKHA MEDICOS</v>
          </cell>
          <cell r="I207">
            <v>70375.72</v>
          </cell>
          <cell r="J207">
            <v>0</v>
          </cell>
          <cell r="K207">
            <v>0</v>
          </cell>
          <cell r="L207">
            <v>70375.72</v>
          </cell>
          <cell r="N207">
            <v>0</v>
          </cell>
          <cell r="O207">
            <v>12</v>
          </cell>
          <cell r="V207" t="str">
            <v>*</v>
          </cell>
        </row>
        <row r="208">
          <cell r="G208" t="str">
            <v>SHIEKHA PHARMA PVT LTD.</v>
          </cell>
          <cell r="I208">
            <v>91380.11</v>
          </cell>
          <cell r="J208">
            <v>0</v>
          </cell>
          <cell r="K208">
            <v>0</v>
          </cell>
          <cell r="L208">
            <v>91380.11</v>
          </cell>
          <cell r="N208">
            <v>0</v>
          </cell>
          <cell r="O208">
            <v>12</v>
          </cell>
          <cell r="V208" t="str">
            <v>*</v>
          </cell>
        </row>
        <row r="209">
          <cell r="G209" t="str">
            <v>WIPRO BIOMED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O209">
            <v>12</v>
          </cell>
          <cell r="V209" t="str">
            <v>*</v>
          </cell>
        </row>
        <row r="210">
          <cell r="G210" t="str">
            <v>AHUJA MEIDIWAYS</v>
          </cell>
          <cell r="I210">
            <v>-706</v>
          </cell>
          <cell r="J210">
            <v>0</v>
          </cell>
          <cell r="K210">
            <v>0</v>
          </cell>
          <cell r="L210">
            <v>-706</v>
          </cell>
          <cell r="N210">
            <v>-706</v>
          </cell>
          <cell r="O210">
            <v>12</v>
          </cell>
          <cell r="V210" t="str">
            <v>*</v>
          </cell>
        </row>
        <row r="211">
          <cell r="G211" t="str">
            <v>AMERICAN HOSPITAL SERVICES</v>
          </cell>
          <cell r="I211">
            <v>6105.55</v>
          </cell>
          <cell r="J211">
            <v>0</v>
          </cell>
          <cell r="K211">
            <v>0</v>
          </cell>
          <cell r="L211">
            <v>6105.55</v>
          </cell>
          <cell r="N211">
            <v>0</v>
          </cell>
          <cell r="O211">
            <v>12</v>
          </cell>
          <cell r="V211" t="str">
            <v>*</v>
          </cell>
        </row>
        <row r="212">
          <cell r="G212" t="str">
            <v>A.S.ENTERPRISES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O212">
            <v>12</v>
          </cell>
          <cell r="V212" t="str">
            <v>*</v>
          </cell>
        </row>
        <row r="213">
          <cell r="G213" t="str">
            <v>MATSON SURGICAL</v>
          </cell>
          <cell r="I213">
            <v>92185.279999999999</v>
          </cell>
          <cell r="J213">
            <v>197802</v>
          </cell>
          <cell r="K213">
            <v>197802</v>
          </cell>
          <cell r="L213">
            <v>92185.279999999999</v>
          </cell>
          <cell r="N213">
            <v>0</v>
          </cell>
          <cell r="O213">
            <v>12</v>
          </cell>
          <cell r="V213" t="str">
            <v>*</v>
          </cell>
        </row>
        <row r="214">
          <cell r="G214" t="str">
            <v>RUSTAGI SURGICAL PRIVATE LIMITED</v>
          </cell>
          <cell r="I214">
            <v>2974.5</v>
          </cell>
          <cell r="J214">
            <v>0</v>
          </cell>
          <cell r="K214">
            <v>0</v>
          </cell>
          <cell r="L214">
            <v>2974.5</v>
          </cell>
          <cell r="N214">
            <v>0</v>
          </cell>
          <cell r="O214">
            <v>12</v>
          </cell>
          <cell r="V214" t="str">
            <v>*</v>
          </cell>
        </row>
        <row r="215">
          <cell r="G215" t="str">
            <v>UNIQUE MARKETING SERVICE</v>
          </cell>
          <cell r="I215">
            <v>49990</v>
          </cell>
          <cell r="J215">
            <v>0</v>
          </cell>
          <cell r="K215">
            <v>0</v>
          </cell>
          <cell r="L215">
            <v>49990</v>
          </cell>
          <cell r="N215">
            <v>0</v>
          </cell>
          <cell r="O215">
            <v>12</v>
          </cell>
          <cell r="V215" t="str">
            <v>*</v>
          </cell>
        </row>
        <row r="216">
          <cell r="G216" t="str">
            <v>KRISHNA SURGICAL</v>
          </cell>
          <cell r="I216">
            <v>-397668.43</v>
          </cell>
          <cell r="J216">
            <v>2096710.6</v>
          </cell>
          <cell r="K216">
            <v>1651783</v>
          </cell>
          <cell r="L216">
            <v>47259.17</v>
          </cell>
          <cell r="N216">
            <v>0</v>
          </cell>
          <cell r="O216">
            <v>12</v>
          </cell>
          <cell r="V216" t="str">
            <v>*</v>
          </cell>
        </row>
        <row r="217">
          <cell r="G217" t="str">
            <v>ASHOK SURGICAL CO.</v>
          </cell>
          <cell r="I217">
            <v>182084.39</v>
          </cell>
          <cell r="J217">
            <v>0</v>
          </cell>
          <cell r="K217">
            <v>0</v>
          </cell>
          <cell r="L217">
            <v>182084.39</v>
          </cell>
          <cell r="N217">
            <v>0</v>
          </cell>
          <cell r="O217">
            <v>12</v>
          </cell>
          <cell r="V217" t="str">
            <v>*</v>
          </cell>
        </row>
        <row r="218">
          <cell r="G218" t="str">
            <v>ASTHA ENTERPRISES</v>
          </cell>
          <cell r="I218">
            <v>4800</v>
          </cell>
          <cell r="J218">
            <v>0</v>
          </cell>
          <cell r="K218">
            <v>0</v>
          </cell>
          <cell r="L218">
            <v>4800</v>
          </cell>
          <cell r="N218">
            <v>0</v>
          </cell>
          <cell r="O218">
            <v>12</v>
          </cell>
          <cell r="V218" t="str">
            <v>*</v>
          </cell>
        </row>
        <row r="219">
          <cell r="G219" t="str">
            <v>BEE DEE BLADES PRIVATE LIMITED</v>
          </cell>
          <cell r="I219">
            <v>144337.5</v>
          </cell>
          <cell r="J219">
            <v>0</v>
          </cell>
          <cell r="K219">
            <v>0</v>
          </cell>
          <cell r="L219">
            <v>144337.5</v>
          </cell>
          <cell r="N219">
            <v>0</v>
          </cell>
          <cell r="O219">
            <v>12</v>
          </cell>
          <cell r="V219" t="str">
            <v>*</v>
          </cell>
        </row>
        <row r="220">
          <cell r="G220" t="str">
            <v>AROMA SURGICAL HOUSE</v>
          </cell>
          <cell r="I220">
            <v>-1125.4000000000001</v>
          </cell>
          <cell r="J220">
            <v>0</v>
          </cell>
          <cell r="K220">
            <v>0</v>
          </cell>
          <cell r="L220">
            <v>-1125.4000000000001</v>
          </cell>
          <cell r="N220">
            <v>-1125.4000000000001</v>
          </cell>
          <cell r="O220">
            <v>12</v>
          </cell>
          <cell r="V220" t="str">
            <v>*</v>
          </cell>
        </row>
        <row r="221">
          <cell r="G221" t="str">
            <v>CENTRAL SURGICAL COMPANY</v>
          </cell>
          <cell r="I221">
            <v>-0.78</v>
          </cell>
          <cell r="J221">
            <v>0</v>
          </cell>
          <cell r="K221">
            <v>0</v>
          </cell>
          <cell r="L221">
            <v>-0.78</v>
          </cell>
          <cell r="N221">
            <v>-0.78</v>
          </cell>
          <cell r="O221">
            <v>12</v>
          </cell>
          <cell r="V221" t="str">
            <v>*</v>
          </cell>
        </row>
        <row r="222">
          <cell r="G222" t="str">
            <v>ANIL SURGICAL</v>
          </cell>
          <cell r="I222">
            <v>6224</v>
          </cell>
          <cell r="J222">
            <v>0</v>
          </cell>
          <cell r="K222">
            <v>0</v>
          </cell>
          <cell r="L222">
            <v>6224</v>
          </cell>
          <cell r="N222">
            <v>0</v>
          </cell>
          <cell r="O222">
            <v>12</v>
          </cell>
          <cell r="V222" t="str">
            <v>*</v>
          </cell>
        </row>
        <row r="223">
          <cell r="G223" t="str">
            <v>THE MEDICAL DIRECTOR (KHOSLA HOSPITAL)</v>
          </cell>
          <cell r="I223">
            <v>-19448</v>
          </cell>
          <cell r="J223">
            <v>0</v>
          </cell>
          <cell r="K223">
            <v>0</v>
          </cell>
          <cell r="L223">
            <v>-19448</v>
          </cell>
          <cell r="N223">
            <v>-19448</v>
          </cell>
          <cell r="O223">
            <v>12</v>
          </cell>
          <cell r="V223" t="str">
            <v>*</v>
          </cell>
        </row>
        <row r="224">
          <cell r="G224" t="str">
            <v>INDRAPRASTHA MEDICAL CORPORATION LTD.</v>
          </cell>
          <cell r="I224">
            <v>0.5</v>
          </cell>
          <cell r="J224">
            <v>0</v>
          </cell>
          <cell r="K224">
            <v>0</v>
          </cell>
          <cell r="L224">
            <v>0.5</v>
          </cell>
          <cell r="N224">
            <v>0</v>
          </cell>
          <cell r="O224">
            <v>12</v>
          </cell>
          <cell r="V224" t="str">
            <v>*</v>
          </cell>
        </row>
        <row r="225">
          <cell r="G225" t="str">
            <v>BHAVNA ENTERPRISES</v>
          </cell>
          <cell r="I225">
            <v>17827.599999999999</v>
          </cell>
          <cell r="J225">
            <v>0</v>
          </cell>
          <cell r="K225">
            <v>0</v>
          </cell>
          <cell r="L225">
            <v>17827.599999999999</v>
          </cell>
          <cell r="N225">
            <v>0</v>
          </cell>
          <cell r="O225">
            <v>12</v>
          </cell>
          <cell r="V225" t="str">
            <v>*</v>
          </cell>
        </row>
        <row r="226">
          <cell r="G226" t="str">
            <v>CURIOUS PHARMA</v>
          </cell>
          <cell r="I226">
            <v>83138.05</v>
          </cell>
          <cell r="J226">
            <v>0</v>
          </cell>
          <cell r="K226">
            <v>0</v>
          </cell>
          <cell r="L226">
            <v>83138.05</v>
          </cell>
          <cell r="N226">
            <v>0</v>
          </cell>
          <cell r="O226">
            <v>12</v>
          </cell>
          <cell r="V226" t="str">
            <v>*</v>
          </cell>
        </row>
        <row r="227">
          <cell r="G227" t="str">
            <v>G B PANT HOSPITAL</v>
          </cell>
          <cell r="I227">
            <v>165241.45000000001</v>
          </cell>
          <cell r="J227">
            <v>0</v>
          </cell>
          <cell r="K227">
            <v>0</v>
          </cell>
          <cell r="L227">
            <v>165241.45000000001</v>
          </cell>
          <cell r="N227">
            <v>0</v>
          </cell>
          <cell r="O227">
            <v>12</v>
          </cell>
          <cell r="V227" t="str">
            <v>*</v>
          </cell>
        </row>
        <row r="228">
          <cell r="G228" t="str">
            <v>MEDICAL SUPERINTENDENT SAFDARJUNG HP</v>
          </cell>
          <cell r="I228">
            <v>918.51</v>
          </cell>
          <cell r="J228">
            <v>0</v>
          </cell>
          <cell r="K228">
            <v>0</v>
          </cell>
          <cell r="L228">
            <v>918.51</v>
          </cell>
          <cell r="N228">
            <v>0</v>
          </cell>
          <cell r="O228">
            <v>12</v>
          </cell>
          <cell r="V228" t="str">
            <v>*</v>
          </cell>
        </row>
        <row r="229">
          <cell r="G229" t="str">
            <v>HOSPETEC</v>
          </cell>
          <cell r="I229">
            <v>159257.5</v>
          </cell>
          <cell r="J229">
            <v>0</v>
          </cell>
          <cell r="K229">
            <v>0</v>
          </cell>
          <cell r="L229">
            <v>159257.5</v>
          </cell>
          <cell r="N229">
            <v>0</v>
          </cell>
          <cell r="O229">
            <v>12</v>
          </cell>
          <cell r="V229" t="str">
            <v>*</v>
          </cell>
        </row>
        <row r="230">
          <cell r="G230" t="str">
            <v>INTRA MEDICA EXIM P LTD</v>
          </cell>
          <cell r="I230">
            <v>-456</v>
          </cell>
          <cell r="J230">
            <v>105840</v>
          </cell>
          <cell r="K230">
            <v>105840</v>
          </cell>
          <cell r="L230">
            <v>-456</v>
          </cell>
          <cell r="N230">
            <v>-456</v>
          </cell>
          <cell r="O230">
            <v>12</v>
          </cell>
          <cell r="V230" t="str">
            <v>*</v>
          </cell>
        </row>
        <row r="231">
          <cell r="G231" t="str">
            <v>DEEN DAYAL UPADHYAYE HOSPITAL</v>
          </cell>
          <cell r="I231">
            <v>193620.11</v>
          </cell>
          <cell r="J231">
            <v>0</v>
          </cell>
          <cell r="K231">
            <v>0</v>
          </cell>
          <cell r="L231">
            <v>193620.11</v>
          </cell>
          <cell r="N231">
            <v>0</v>
          </cell>
          <cell r="O231">
            <v>12</v>
          </cell>
          <cell r="V231" t="str">
            <v>*</v>
          </cell>
        </row>
        <row r="232">
          <cell r="G232" t="str">
            <v>MANVI IMPEX</v>
          </cell>
          <cell r="I232">
            <v>-11873.62</v>
          </cell>
          <cell r="J232">
            <v>0</v>
          </cell>
          <cell r="K232">
            <v>0</v>
          </cell>
          <cell r="L232">
            <v>-11873.62</v>
          </cell>
          <cell r="N232">
            <v>-11873.62</v>
          </cell>
          <cell r="O232">
            <v>12</v>
          </cell>
          <cell r="V232" t="str">
            <v>*</v>
          </cell>
        </row>
        <row r="233">
          <cell r="G233" t="str">
            <v>MEDIHOME</v>
          </cell>
          <cell r="I233">
            <v>1790179.83</v>
          </cell>
          <cell r="J233">
            <v>0</v>
          </cell>
          <cell r="K233">
            <v>0</v>
          </cell>
          <cell r="L233">
            <v>1790179.83</v>
          </cell>
          <cell r="N233">
            <v>0</v>
          </cell>
          <cell r="O233">
            <v>12</v>
          </cell>
          <cell r="V233" t="str">
            <v>*</v>
          </cell>
        </row>
        <row r="234">
          <cell r="G234" t="str">
            <v>MEDILINE SYSTEMS</v>
          </cell>
          <cell r="I234">
            <v>116709.65</v>
          </cell>
          <cell r="J234">
            <v>0</v>
          </cell>
          <cell r="K234">
            <v>0</v>
          </cell>
          <cell r="L234">
            <v>116709.65</v>
          </cell>
          <cell r="N234">
            <v>0</v>
          </cell>
          <cell r="O234">
            <v>12</v>
          </cell>
          <cell r="V234" t="str">
            <v>*</v>
          </cell>
        </row>
        <row r="235">
          <cell r="G235" t="str">
            <v>PROGRESSIVE PHARMA</v>
          </cell>
          <cell r="I235">
            <v>46960.08</v>
          </cell>
          <cell r="J235">
            <v>0</v>
          </cell>
          <cell r="K235">
            <v>0</v>
          </cell>
          <cell r="L235">
            <v>46960.08</v>
          </cell>
          <cell r="N235">
            <v>0</v>
          </cell>
          <cell r="O235">
            <v>12</v>
          </cell>
          <cell r="V235" t="str">
            <v>*</v>
          </cell>
        </row>
        <row r="236">
          <cell r="G236" t="str">
            <v>REGISAR SONS</v>
          </cell>
          <cell r="I236">
            <v>-15.32</v>
          </cell>
          <cell r="J236">
            <v>0</v>
          </cell>
          <cell r="K236">
            <v>0</v>
          </cell>
          <cell r="L236">
            <v>-15.32</v>
          </cell>
          <cell r="N236">
            <v>-15.32</v>
          </cell>
          <cell r="O236">
            <v>12</v>
          </cell>
          <cell r="V236" t="str">
            <v>*</v>
          </cell>
        </row>
        <row r="237">
          <cell r="G237" t="str">
            <v>CURE AIDS (INDIA)</v>
          </cell>
          <cell r="I237">
            <v>-3799</v>
          </cell>
          <cell r="J237">
            <v>0</v>
          </cell>
          <cell r="K237">
            <v>0</v>
          </cell>
          <cell r="L237">
            <v>-3799</v>
          </cell>
          <cell r="N237">
            <v>-3799</v>
          </cell>
          <cell r="O237">
            <v>12</v>
          </cell>
          <cell r="V237" t="str">
            <v>*</v>
          </cell>
        </row>
        <row r="238">
          <cell r="G238" t="str">
            <v>TRITON MEDICAL SERVICES PVT LTD</v>
          </cell>
          <cell r="I238">
            <v>-1817.6</v>
          </cell>
          <cell r="J238">
            <v>0</v>
          </cell>
          <cell r="K238">
            <v>0</v>
          </cell>
          <cell r="L238">
            <v>-1817.6</v>
          </cell>
          <cell r="N238">
            <v>-1817.6</v>
          </cell>
          <cell r="O238">
            <v>12</v>
          </cell>
          <cell r="V238" t="str">
            <v>*</v>
          </cell>
        </row>
        <row r="239">
          <cell r="G239" t="str">
            <v>UNITED PHARMACEUTICALS   NEW DELHI</v>
          </cell>
          <cell r="I239">
            <v>-19471.400000000001</v>
          </cell>
          <cell r="J239">
            <v>19000</v>
          </cell>
          <cell r="K239">
            <v>0</v>
          </cell>
          <cell r="L239">
            <v>-471.4</v>
          </cell>
          <cell r="N239">
            <v>-471.4</v>
          </cell>
          <cell r="O239">
            <v>12</v>
          </cell>
          <cell r="V239" t="str">
            <v>*</v>
          </cell>
        </row>
        <row r="240">
          <cell r="G240" t="str">
            <v>ETHICAL SURGICALS</v>
          </cell>
          <cell r="I240">
            <v>166650</v>
          </cell>
          <cell r="J240">
            <v>0</v>
          </cell>
          <cell r="K240">
            <v>0</v>
          </cell>
          <cell r="L240">
            <v>166650</v>
          </cell>
          <cell r="N240">
            <v>0</v>
          </cell>
          <cell r="O240">
            <v>12</v>
          </cell>
          <cell r="V240" t="str">
            <v>*</v>
          </cell>
        </row>
        <row r="241">
          <cell r="G241" t="str">
            <v>PINE PHARMA PRIVATE LIMITED</v>
          </cell>
          <cell r="I241">
            <v>-797.26</v>
          </cell>
          <cell r="J241">
            <v>0</v>
          </cell>
          <cell r="K241">
            <v>0</v>
          </cell>
          <cell r="L241">
            <v>-797.26</v>
          </cell>
          <cell r="N241">
            <v>-797.26</v>
          </cell>
          <cell r="O241">
            <v>12</v>
          </cell>
          <cell r="V241" t="str">
            <v>*</v>
          </cell>
        </row>
        <row r="242">
          <cell r="G242" t="str">
            <v>SHUBH SURGICALS AND PHARMACEUTICALS</v>
          </cell>
          <cell r="I242">
            <v>40113.21</v>
          </cell>
          <cell r="J242">
            <v>0</v>
          </cell>
          <cell r="K242">
            <v>0</v>
          </cell>
          <cell r="L242">
            <v>40113.21</v>
          </cell>
          <cell r="N242">
            <v>0</v>
          </cell>
          <cell r="O242">
            <v>12</v>
          </cell>
          <cell r="V242" t="str">
            <v>*</v>
          </cell>
        </row>
        <row r="243">
          <cell r="G243" t="str">
            <v>SONIC SURGICALS</v>
          </cell>
          <cell r="I243">
            <v>100870</v>
          </cell>
          <cell r="J243">
            <v>0</v>
          </cell>
          <cell r="K243">
            <v>0</v>
          </cell>
          <cell r="L243">
            <v>100870</v>
          </cell>
          <cell r="N243">
            <v>0</v>
          </cell>
          <cell r="O243">
            <v>12</v>
          </cell>
          <cell r="V243" t="str">
            <v>*</v>
          </cell>
        </row>
        <row r="244">
          <cell r="G244" t="str">
            <v>SIR GANGARAM HOSPITAL</v>
          </cell>
          <cell r="I244">
            <v>266632.38</v>
          </cell>
          <cell r="J244">
            <v>0</v>
          </cell>
          <cell r="K244">
            <v>0</v>
          </cell>
          <cell r="L244">
            <v>266632.38</v>
          </cell>
          <cell r="N244">
            <v>0</v>
          </cell>
          <cell r="O244">
            <v>12</v>
          </cell>
          <cell r="V244" t="str">
            <v>*</v>
          </cell>
        </row>
        <row r="245">
          <cell r="G245" t="str">
            <v>KRISHNA ENTERPRISES</v>
          </cell>
          <cell r="I245">
            <v>0</v>
          </cell>
          <cell r="J245">
            <v>90000</v>
          </cell>
          <cell r="K245">
            <v>90000</v>
          </cell>
          <cell r="L245">
            <v>0</v>
          </cell>
          <cell r="N245">
            <v>0</v>
          </cell>
          <cell r="O245">
            <v>12</v>
          </cell>
          <cell r="V245" t="str">
            <v>*</v>
          </cell>
        </row>
        <row r="246">
          <cell r="G246" t="str">
            <v>PROXIMA MEDICARE</v>
          </cell>
          <cell r="I246">
            <v>-58.76</v>
          </cell>
          <cell r="J246">
            <v>538369.19999999995</v>
          </cell>
          <cell r="K246">
            <v>538527</v>
          </cell>
          <cell r="L246">
            <v>-216.56</v>
          </cell>
          <cell r="N246">
            <v>-216.56</v>
          </cell>
          <cell r="O246">
            <v>12</v>
          </cell>
          <cell r="V246" t="str">
            <v>*</v>
          </cell>
        </row>
        <row r="247">
          <cell r="G247" t="str">
            <v>LIFE LINE SURGICAL CORPORATION</v>
          </cell>
          <cell r="I247">
            <v>2200</v>
          </cell>
          <cell r="J247">
            <v>51562</v>
          </cell>
          <cell r="K247">
            <v>51562</v>
          </cell>
          <cell r="L247">
            <v>2200</v>
          </cell>
          <cell r="N247">
            <v>0</v>
          </cell>
          <cell r="O247">
            <v>12</v>
          </cell>
          <cell r="V247" t="str">
            <v>*</v>
          </cell>
        </row>
        <row r="248">
          <cell r="G248" t="str">
            <v>RUBY TRADER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N248">
            <v>0</v>
          </cell>
          <cell r="O248">
            <v>12</v>
          </cell>
          <cell r="V248" t="str">
            <v>*</v>
          </cell>
        </row>
        <row r="249">
          <cell r="G249" t="str">
            <v>DIRECTOR GENERAL OF SIGNALS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O249">
            <v>12</v>
          </cell>
          <cell r="V249" t="str">
            <v>*</v>
          </cell>
        </row>
        <row r="250">
          <cell r="G250" t="str">
            <v>B.L. MARKETING SERVICES LIMITED</v>
          </cell>
          <cell r="I250">
            <v>0</v>
          </cell>
          <cell r="J250">
            <v>46250</v>
          </cell>
          <cell r="K250">
            <v>46250</v>
          </cell>
          <cell r="L250">
            <v>0</v>
          </cell>
          <cell r="N250">
            <v>0</v>
          </cell>
          <cell r="O250">
            <v>12</v>
          </cell>
          <cell r="V250" t="str">
            <v>*</v>
          </cell>
        </row>
        <row r="251">
          <cell r="G251" t="str">
            <v>INDIAN SURGICALS EQUIPMENT CO. PVT. LTD.</v>
          </cell>
          <cell r="I251">
            <v>-3.4</v>
          </cell>
          <cell r="J251">
            <v>0</v>
          </cell>
          <cell r="K251">
            <v>0</v>
          </cell>
          <cell r="L251">
            <v>-3.4</v>
          </cell>
          <cell r="N251">
            <v>-3.4</v>
          </cell>
          <cell r="O251">
            <v>12</v>
          </cell>
          <cell r="V251" t="str">
            <v>*</v>
          </cell>
        </row>
        <row r="252">
          <cell r="G252" t="str">
            <v>NITTIN PHARMA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N252">
            <v>0</v>
          </cell>
          <cell r="O252">
            <v>12</v>
          </cell>
          <cell r="V252" t="str">
            <v>*</v>
          </cell>
        </row>
        <row r="253">
          <cell r="G253" t="str">
            <v>AHUJA SURICALS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N253">
            <v>0</v>
          </cell>
          <cell r="O253">
            <v>12</v>
          </cell>
          <cell r="V253" t="str">
            <v>*</v>
          </cell>
        </row>
        <row r="254">
          <cell r="G254" t="str">
            <v>MR. SAWARANJEET SINGH</v>
          </cell>
          <cell r="I254">
            <v>-15.99</v>
          </cell>
          <cell r="J254">
            <v>0</v>
          </cell>
          <cell r="K254">
            <v>0</v>
          </cell>
          <cell r="L254">
            <v>-15.99</v>
          </cell>
          <cell r="N254">
            <v>-15.99</v>
          </cell>
          <cell r="O254">
            <v>12</v>
          </cell>
          <cell r="V254" t="str">
            <v>*</v>
          </cell>
        </row>
        <row r="255">
          <cell r="G255" t="str">
            <v>HI TECH PHARMA</v>
          </cell>
          <cell r="I255">
            <v>512499.44</v>
          </cell>
          <cell r="J255">
            <v>0</v>
          </cell>
          <cell r="K255">
            <v>0</v>
          </cell>
          <cell r="L255">
            <v>512499.44</v>
          </cell>
          <cell r="N255">
            <v>0</v>
          </cell>
          <cell r="O255">
            <v>12</v>
          </cell>
          <cell r="V255" t="str">
            <v>*</v>
          </cell>
        </row>
        <row r="256">
          <cell r="G256" t="str">
            <v>THE DIRECTOR GENERAL (DGAFMS)</v>
          </cell>
          <cell r="I256">
            <v>720395.4</v>
          </cell>
          <cell r="J256">
            <v>2756000</v>
          </cell>
          <cell r="K256">
            <v>720400</v>
          </cell>
          <cell r="L256">
            <v>2755995.4</v>
          </cell>
          <cell r="N256">
            <v>0</v>
          </cell>
          <cell r="O256">
            <v>12</v>
          </cell>
          <cell r="V256" t="str">
            <v>*</v>
          </cell>
        </row>
        <row r="257">
          <cell r="G257" t="str">
            <v>A.J.INTERNATION</v>
          </cell>
          <cell r="I257">
            <v>53370</v>
          </cell>
          <cell r="J257">
            <v>579700</v>
          </cell>
          <cell r="K257">
            <v>579850</v>
          </cell>
          <cell r="L257">
            <v>53220</v>
          </cell>
          <cell r="N257">
            <v>0</v>
          </cell>
          <cell r="O257">
            <v>12</v>
          </cell>
          <cell r="V257" t="str">
            <v>*</v>
          </cell>
        </row>
        <row r="258">
          <cell r="G258" t="str">
            <v>MEDISPHERE MARKETING LTD.</v>
          </cell>
          <cell r="I258">
            <v>2875100</v>
          </cell>
          <cell r="J258">
            <v>1375000</v>
          </cell>
          <cell r="K258">
            <v>0</v>
          </cell>
          <cell r="L258">
            <v>4250100</v>
          </cell>
          <cell r="N258">
            <v>0</v>
          </cell>
          <cell r="O258">
            <v>12</v>
          </cell>
          <cell r="V258" t="str">
            <v>*</v>
          </cell>
        </row>
        <row r="259">
          <cell r="G259" t="str">
            <v>N.C.S. NETWORK</v>
          </cell>
          <cell r="I259">
            <v>13500</v>
          </cell>
          <cell r="J259">
            <v>0</v>
          </cell>
          <cell r="K259">
            <v>0</v>
          </cell>
          <cell r="L259">
            <v>13500</v>
          </cell>
          <cell r="N259">
            <v>0</v>
          </cell>
          <cell r="O259">
            <v>12</v>
          </cell>
          <cell r="V259" t="str">
            <v>*</v>
          </cell>
        </row>
        <row r="260">
          <cell r="G260" t="str">
            <v>ORIENTAL SURGICALS WORKS</v>
          </cell>
          <cell r="I260">
            <v>-243000</v>
          </cell>
          <cell r="J260">
            <v>0</v>
          </cell>
          <cell r="K260">
            <v>0</v>
          </cell>
          <cell r="L260">
            <v>-243000</v>
          </cell>
          <cell r="N260">
            <v>-243000</v>
          </cell>
          <cell r="O260">
            <v>12</v>
          </cell>
          <cell r="V260" t="str">
            <v>*</v>
          </cell>
        </row>
        <row r="261">
          <cell r="G261" t="str">
            <v>ST. STEPHEN'S HOSPITAL</v>
          </cell>
          <cell r="I261">
            <v>712500</v>
          </cell>
          <cell r="J261">
            <v>0</v>
          </cell>
          <cell r="K261">
            <v>0</v>
          </cell>
          <cell r="L261">
            <v>712500</v>
          </cell>
          <cell r="N261">
            <v>0</v>
          </cell>
          <cell r="O261">
            <v>12</v>
          </cell>
          <cell r="V261" t="str">
            <v>*</v>
          </cell>
        </row>
        <row r="262">
          <cell r="G262" t="str">
            <v>TOPMAN MEDICAL PRODUCTS PVT. LTD</v>
          </cell>
          <cell r="I262">
            <v>382516</v>
          </cell>
          <cell r="J262">
            <v>111996</v>
          </cell>
          <cell r="K262">
            <v>111996</v>
          </cell>
          <cell r="L262">
            <v>382516</v>
          </cell>
          <cell r="N262">
            <v>0</v>
          </cell>
          <cell r="O262">
            <v>12</v>
          </cell>
          <cell r="V262" t="str">
            <v>*</v>
          </cell>
        </row>
        <row r="263">
          <cell r="G263" t="str">
            <v>SURGI NEEDS</v>
          </cell>
          <cell r="I263">
            <v>-1441</v>
          </cell>
          <cell r="J263">
            <v>57625</v>
          </cell>
          <cell r="K263">
            <v>57625</v>
          </cell>
          <cell r="L263">
            <v>-1441</v>
          </cell>
          <cell r="N263">
            <v>-1441</v>
          </cell>
          <cell r="O263">
            <v>12</v>
          </cell>
          <cell r="V263" t="str">
            <v>*</v>
          </cell>
        </row>
        <row r="264">
          <cell r="G264" t="str">
            <v>ADARSH DISTRIBUTORS</v>
          </cell>
          <cell r="I264">
            <v>-1103.5</v>
          </cell>
          <cell r="J264">
            <v>19008</v>
          </cell>
          <cell r="K264">
            <v>19000</v>
          </cell>
          <cell r="L264">
            <v>-1095.5</v>
          </cell>
          <cell r="N264">
            <v>-1095.5</v>
          </cell>
          <cell r="O264">
            <v>12</v>
          </cell>
          <cell r="V264" t="str">
            <v>*</v>
          </cell>
        </row>
        <row r="265">
          <cell r="G265" t="str">
            <v>ANIL TRADERS</v>
          </cell>
          <cell r="I265">
            <v>251316</v>
          </cell>
          <cell r="J265">
            <v>0</v>
          </cell>
          <cell r="K265">
            <v>0</v>
          </cell>
          <cell r="L265">
            <v>251316</v>
          </cell>
          <cell r="N265">
            <v>0</v>
          </cell>
          <cell r="O265">
            <v>12</v>
          </cell>
          <cell r="V265" t="str">
            <v>*</v>
          </cell>
        </row>
        <row r="266">
          <cell r="G266" t="str">
            <v>CITY DRUGS PVT.LTD</v>
          </cell>
          <cell r="I266">
            <v>-1400</v>
          </cell>
          <cell r="J266">
            <v>0</v>
          </cell>
          <cell r="K266">
            <v>0</v>
          </cell>
          <cell r="L266">
            <v>-1400</v>
          </cell>
          <cell r="N266">
            <v>-1400</v>
          </cell>
          <cell r="O266">
            <v>12</v>
          </cell>
          <cell r="V266" t="str">
            <v>*</v>
          </cell>
        </row>
        <row r="267">
          <cell r="G267" t="str">
            <v>ALFA MEDIAIDS</v>
          </cell>
          <cell r="I267">
            <v>-66</v>
          </cell>
          <cell r="J267">
            <v>0</v>
          </cell>
          <cell r="K267">
            <v>0</v>
          </cell>
          <cell r="L267">
            <v>-66</v>
          </cell>
          <cell r="N267">
            <v>-66</v>
          </cell>
          <cell r="O267">
            <v>12</v>
          </cell>
          <cell r="V267" t="str">
            <v>*</v>
          </cell>
        </row>
        <row r="268">
          <cell r="G268" t="str">
            <v>SUNRISE ENTERPRISES</v>
          </cell>
          <cell r="I268">
            <v>9500</v>
          </cell>
          <cell r="J268">
            <v>0</v>
          </cell>
          <cell r="K268">
            <v>0</v>
          </cell>
          <cell r="L268">
            <v>9500</v>
          </cell>
          <cell r="N268">
            <v>0</v>
          </cell>
          <cell r="O268">
            <v>12</v>
          </cell>
          <cell r="V268" t="str">
            <v>*</v>
          </cell>
        </row>
        <row r="269">
          <cell r="G269" t="str">
            <v>JYOTHI SURGICALS</v>
          </cell>
          <cell r="I269">
            <v>-250</v>
          </cell>
          <cell r="J269">
            <v>0</v>
          </cell>
          <cell r="K269">
            <v>0</v>
          </cell>
          <cell r="L269">
            <v>-250</v>
          </cell>
          <cell r="N269">
            <v>-250</v>
          </cell>
          <cell r="O269">
            <v>12</v>
          </cell>
          <cell r="V269" t="str">
            <v>*</v>
          </cell>
        </row>
        <row r="270">
          <cell r="G270" t="str">
            <v>ARORA MEDICAL AGENCIES</v>
          </cell>
          <cell r="I270">
            <v>62000</v>
          </cell>
          <cell r="J270">
            <v>0</v>
          </cell>
          <cell r="K270">
            <v>0</v>
          </cell>
          <cell r="L270">
            <v>62000</v>
          </cell>
          <cell r="N270">
            <v>0</v>
          </cell>
          <cell r="O270">
            <v>12</v>
          </cell>
          <cell r="V270" t="str">
            <v>*</v>
          </cell>
        </row>
        <row r="271">
          <cell r="G271" t="str">
            <v>PEARS SURGICAL WORKS</v>
          </cell>
          <cell r="I271">
            <v>-65805</v>
          </cell>
          <cell r="J271">
            <v>320235</v>
          </cell>
          <cell r="K271">
            <v>307500</v>
          </cell>
          <cell r="L271">
            <v>-53070</v>
          </cell>
          <cell r="N271">
            <v>-53070</v>
          </cell>
          <cell r="O271">
            <v>12</v>
          </cell>
          <cell r="V271" t="str">
            <v>*</v>
          </cell>
        </row>
        <row r="272">
          <cell r="G272" t="str">
            <v>ROYAL ASSOCIATES,</v>
          </cell>
          <cell r="I272">
            <v>-26503.4</v>
          </cell>
          <cell r="J272">
            <v>0</v>
          </cell>
          <cell r="K272">
            <v>0</v>
          </cell>
          <cell r="L272">
            <v>-26503.4</v>
          </cell>
          <cell r="N272">
            <v>-26503.4</v>
          </cell>
          <cell r="O272">
            <v>12</v>
          </cell>
          <cell r="V272" t="str">
            <v>*</v>
          </cell>
        </row>
        <row r="273">
          <cell r="G273" t="str">
            <v>JINDAL SURGICALS &amp; MEDICO</v>
          </cell>
          <cell r="I273">
            <v>-94500</v>
          </cell>
          <cell r="J273">
            <v>94500</v>
          </cell>
          <cell r="K273">
            <v>0</v>
          </cell>
          <cell r="L273">
            <v>0</v>
          </cell>
          <cell r="N273">
            <v>0</v>
          </cell>
          <cell r="O273">
            <v>12</v>
          </cell>
          <cell r="V273" t="str">
            <v>*</v>
          </cell>
        </row>
        <row r="274">
          <cell r="G274" t="str">
            <v>MANGALAM SALES POINT</v>
          </cell>
          <cell r="I274">
            <v>0</v>
          </cell>
          <cell r="J274">
            <v>168480</v>
          </cell>
          <cell r="K274">
            <v>56160</v>
          </cell>
          <cell r="L274">
            <v>112320</v>
          </cell>
          <cell r="N274">
            <v>0</v>
          </cell>
          <cell r="O274">
            <v>12</v>
          </cell>
          <cell r="V274" t="str">
            <v>*</v>
          </cell>
        </row>
        <row r="275">
          <cell r="G275" t="str">
            <v>MEDICO SURGICALS</v>
          </cell>
          <cell r="I275">
            <v>72</v>
          </cell>
          <cell r="J275">
            <v>0</v>
          </cell>
          <cell r="K275">
            <v>0</v>
          </cell>
          <cell r="L275">
            <v>72</v>
          </cell>
          <cell r="N275">
            <v>0</v>
          </cell>
          <cell r="O275">
            <v>12</v>
          </cell>
          <cell r="V275" t="str">
            <v>*</v>
          </cell>
        </row>
        <row r="276">
          <cell r="G276" t="str">
            <v>ISHA TRADING COMPANY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O276">
            <v>12</v>
          </cell>
          <cell r="V276" t="str">
            <v>*</v>
          </cell>
        </row>
        <row r="277">
          <cell r="G277" t="str">
            <v>COULSON &amp; CO</v>
          </cell>
          <cell r="I277">
            <v>17774.900000000001</v>
          </cell>
          <cell r="J277">
            <v>0</v>
          </cell>
          <cell r="K277">
            <v>0</v>
          </cell>
          <cell r="L277">
            <v>17774.900000000001</v>
          </cell>
          <cell r="N277">
            <v>0</v>
          </cell>
          <cell r="O277">
            <v>12</v>
          </cell>
          <cell r="V277" t="str">
            <v>*</v>
          </cell>
        </row>
        <row r="278">
          <cell r="G278" t="str">
            <v>MEDIVET</v>
          </cell>
          <cell r="I278">
            <v>-1321.6</v>
          </cell>
          <cell r="J278">
            <v>0</v>
          </cell>
          <cell r="K278">
            <v>0</v>
          </cell>
          <cell r="L278">
            <v>-1321.6</v>
          </cell>
          <cell r="N278">
            <v>-1321.6</v>
          </cell>
          <cell r="O278">
            <v>12</v>
          </cell>
          <cell r="V278" t="str">
            <v>*</v>
          </cell>
        </row>
        <row r="279">
          <cell r="G279" t="str">
            <v>M J R J MEDICHEM SURGICAL</v>
          </cell>
          <cell r="I279">
            <v>0</v>
          </cell>
          <cell r="J279">
            <v>156250</v>
          </cell>
          <cell r="K279">
            <v>156250</v>
          </cell>
          <cell r="L279">
            <v>0</v>
          </cell>
          <cell r="N279">
            <v>0</v>
          </cell>
          <cell r="O279">
            <v>12</v>
          </cell>
          <cell r="V279" t="str">
            <v>*</v>
          </cell>
        </row>
        <row r="280">
          <cell r="G280" t="str">
            <v>AVIDEEP PHARMA AND DIAGNOSTIC DISTRIBUTORS</v>
          </cell>
          <cell r="I280">
            <v>-61993.8</v>
          </cell>
          <cell r="J280">
            <v>74488</v>
          </cell>
          <cell r="K280">
            <v>14000</v>
          </cell>
          <cell r="L280">
            <v>-1505.8</v>
          </cell>
          <cell r="N280">
            <v>-1505.8</v>
          </cell>
          <cell r="O280">
            <v>12</v>
          </cell>
          <cell r="V280" t="str">
            <v>*</v>
          </cell>
        </row>
        <row r="281">
          <cell r="G281" t="str">
            <v>EXCEL PHARMACEUTICALS</v>
          </cell>
          <cell r="I281">
            <v>0</v>
          </cell>
          <cell r="J281">
            <v>31250</v>
          </cell>
          <cell r="K281">
            <v>50750</v>
          </cell>
          <cell r="L281">
            <v>-19500</v>
          </cell>
          <cell r="N281">
            <v>-19500</v>
          </cell>
          <cell r="O281">
            <v>12</v>
          </cell>
          <cell r="V281" t="str">
            <v>*</v>
          </cell>
        </row>
        <row r="282">
          <cell r="G282" t="str">
            <v>CHAITANYA PHARMA</v>
          </cell>
          <cell r="I282">
            <v>1403.81</v>
          </cell>
          <cell r="J282">
            <v>352875</v>
          </cell>
          <cell r="K282">
            <v>130700</v>
          </cell>
          <cell r="L282">
            <v>223578.81</v>
          </cell>
          <cell r="N282">
            <v>0</v>
          </cell>
          <cell r="O282">
            <v>12</v>
          </cell>
          <cell r="V282" t="str">
            <v>*</v>
          </cell>
        </row>
        <row r="283">
          <cell r="G283" t="str">
            <v>DEEPAK AGENCIES</v>
          </cell>
          <cell r="I283">
            <v>-0.96</v>
          </cell>
          <cell r="J283">
            <v>0</v>
          </cell>
          <cell r="K283">
            <v>0</v>
          </cell>
          <cell r="L283">
            <v>-0.96</v>
          </cell>
          <cell r="N283">
            <v>-0.96</v>
          </cell>
          <cell r="O283">
            <v>12</v>
          </cell>
          <cell r="V283" t="str">
            <v>*</v>
          </cell>
        </row>
        <row r="284">
          <cell r="G284" t="str">
            <v>SHIVAM DRUGS PVT.LTD.</v>
          </cell>
          <cell r="I284">
            <v>0</v>
          </cell>
          <cell r="J284">
            <v>371294.64</v>
          </cell>
          <cell r="K284">
            <v>307500</v>
          </cell>
          <cell r="L284">
            <v>63794.64</v>
          </cell>
          <cell r="N284">
            <v>0</v>
          </cell>
          <cell r="O284">
            <v>12</v>
          </cell>
          <cell r="V284" t="str">
            <v>*</v>
          </cell>
        </row>
        <row r="285">
          <cell r="G285" t="str">
            <v>REGENCY HOSPITAL LTD.,</v>
          </cell>
          <cell r="I285">
            <v>-10560</v>
          </cell>
          <cell r="J285">
            <v>0</v>
          </cell>
          <cell r="K285">
            <v>0</v>
          </cell>
          <cell r="L285">
            <v>-10560</v>
          </cell>
          <cell r="N285">
            <v>-10560</v>
          </cell>
          <cell r="O285">
            <v>12</v>
          </cell>
          <cell r="V285" t="str">
            <v>*</v>
          </cell>
        </row>
        <row r="286">
          <cell r="G286" t="str">
            <v>KANPUR MEDICAL CENTRE PVT. LTD.,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N286">
            <v>0</v>
          </cell>
          <cell r="O286">
            <v>12</v>
          </cell>
          <cell r="V286" t="str">
            <v>*</v>
          </cell>
        </row>
        <row r="287">
          <cell r="G287" t="str">
            <v>DR. ARCHANA BHADAURIA</v>
          </cell>
          <cell r="I287">
            <v>-59999.99</v>
          </cell>
          <cell r="J287">
            <v>0</v>
          </cell>
          <cell r="K287">
            <v>0</v>
          </cell>
          <cell r="L287">
            <v>-59999.99</v>
          </cell>
          <cell r="N287">
            <v>-59999.99</v>
          </cell>
          <cell r="O287">
            <v>12</v>
          </cell>
          <cell r="V287" t="str">
            <v>*</v>
          </cell>
        </row>
        <row r="288">
          <cell r="G288" t="str">
            <v>A.G. ENTERPRISES</v>
          </cell>
          <cell r="I288">
            <v>-59273.760000000002</v>
          </cell>
          <cell r="J288">
            <v>0</v>
          </cell>
          <cell r="K288">
            <v>0</v>
          </cell>
          <cell r="L288">
            <v>-59273.760000000002</v>
          </cell>
          <cell r="N288">
            <v>-59273.760000000002</v>
          </cell>
          <cell r="O288">
            <v>12</v>
          </cell>
          <cell r="V288" t="str">
            <v>*</v>
          </cell>
        </row>
        <row r="289">
          <cell r="G289" t="str">
            <v>LATA ENTERPRISES</v>
          </cell>
          <cell r="I289">
            <v>205954.55</v>
          </cell>
          <cell r="J289">
            <v>129205.6</v>
          </cell>
          <cell r="K289">
            <v>335000</v>
          </cell>
          <cell r="L289">
            <v>160.15</v>
          </cell>
          <cell r="N289">
            <v>0</v>
          </cell>
          <cell r="O289">
            <v>12</v>
          </cell>
          <cell r="V289" t="str">
            <v>*</v>
          </cell>
        </row>
        <row r="290">
          <cell r="G290" t="str">
            <v>MAYUR DISTRIBUTORS</v>
          </cell>
          <cell r="I290">
            <v>-484.2</v>
          </cell>
          <cell r="J290">
            <v>0</v>
          </cell>
          <cell r="K290">
            <v>0</v>
          </cell>
          <cell r="L290">
            <v>-484.2</v>
          </cell>
          <cell r="N290">
            <v>-484.2</v>
          </cell>
          <cell r="O290">
            <v>12</v>
          </cell>
          <cell r="V290" t="str">
            <v>*</v>
          </cell>
        </row>
        <row r="291">
          <cell r="G291" t="str">
            <v>SHIV BIOMEDICALS</v>
          </cell>
          <cell r="I291">
            <v>-380</v>
          </cell>
          <cell r="J291">
            <v>0</v>
          </cell>
          <cell r="K291">
            <v>0</v>
          </cell>
          <cell r="L291">
            <v>-380</v>
          </cell>
          <cell r="N291">
            <v>-380</v>
          </cell>
          <cell r="O291">
            <v>12</v>
          </cell>
          <cell r="V291" t="str">
            <v>*</v>
          </cell>
        </row>
        <row r="292">
          <cell r="G292" t="str">
            <v>INSTACORP INTERNATIONAL</v>
          </cell>
          <cell r="I292">
            <v>682.96</v>
          </cell>
          <cell r="J292">
            <v>117975</v>
          </cell>
          <cell r="K292">
            <v>119150</v>
          </cell>
          <cell r="L292">
            <v>-492.04</v>
          </cell>
          <cell r="N292">
            <v>-492.04</v>
          </cell>
          <cell r="O292">
            <v>12</v>
          </cell>
          <cell r="V292" t="str">
            <v>*</v>
          </cell>
        </row>
        <row r="293">
          <cell r="G293" t="str">
            <v>COMMAND HOSPITAL</v>
          </cell>
          <cell r="I293">
            <v>-44435</v>
          </cell>
          <cell r="J293">
            <v>0</v>
          </cell>
          <cell r="K293">
            <v>20000</v>
          </cell>
          <cell r="L293">
            <v>-64435</v>
          </cell>
          <cell r="N293">
            <v>-64435</v>
          </cell>
          <cell r="O293">
            <v>12</v>
          </cell>
          <cell r="V293" t="str">
            <v>*</v>
          </cell>
        </row>
        <row r="294">
          <cell r="G294" t="str">
            <v>NEW AJAI MEDICAL &amp; SURGICAL PALACE</v>
          </cell>
          <cell r="I294">
            <v>32396</v>
          </cell>
          <cell r="J294">
            <v>0</v>
          </cell>
          <cell r="K294">
            <v>0</v>
          </cell>
          <cell r="L294">
            <v>32396</v>
          </cell>
          <cell r="N294">
            <v>0</v>
          </cell>
          <cell r="O294">
            <v>12</v>
          </cell>
          <cell r="V294" t="str">
            <v>*</v>
          </cell>
        </row>
        <row r="295">
          <cell r="G295" t="str">
            <v>KAPSONS PHARMACEUTICALS &amp; ALLIED DIST.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O295">
            <v>12</v>
          </cell>
          <cell r="V295" t="str">
            <v>*</v>
          </cell>
        </row>
        <row r="296">
          <cell r="G296" t="str">
            <v>KHALSA DISTRIBUTORS</v>
          </cell>
          <cell r="I296">
            <v>437468.75</v>
          </cell>
          <cell r="J296">
            <v>0</v>
          </cell>
          <cell r="K296">
            <v>0</v>
          </cell>
          <cell r="L296">
            <v>437468.75</v>
          </cell>
          <cell r="N296">
            <v>0</v>
          </cell>
          <cell r="O296">
            <v>12</v>
          </cell>
          <cell r="V296" t="str">
            <v>*</v>
          </cell>
        </row>
        <row r="297">
          <cell r="G297" t="str">
            <v>UNION MEDICARE</v>
          </cell>
          <cell r="I297">
            <v>-60000</v>
          </cell>
          <cell r="J297">
            <v>56160</v>
          </cell>
          <cell r="K297">
            <v>0</v>
          </cell>
          <cell r="L297">
            <v>-3840</v>
          </cell>
          <cell r="N297">
            <v>-3840</v>
          </cell>
          <cell r="O297">
            <v>12</v>
          </cell>
          <cell r="V297" t="str">
            <v>*</v>
          </cell>
        </row>
        <row r="298">
          <cell r="G298" t="str">
            <v>GOPAL SURGICALS</v>
          </cell>
          <cell r="I298">
            <v>-33610.400000000001</v>
          </cell>
          <cell r="J298">
            <v>54887</v>
          </cell>
          <cell r="K298">
            <v>30250</v>
          </cell>
          <cell r="L298">
            <v>-8973.4</v>
          </cell>
          <cell r="N298">
            <v>-8973.4</v>
          </cell>
          <cell r="O298">
            <v>12</v>
          </cell>
          <cell r="V298" t="str">
            <v>*</v>
          </cell>
        </row>
        <row r="299">
          <cell r="G299" t="str">
            <v>KHALSA PHARMACEUTICALS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O299">
            <v>12</v>
          </cell>
          <cell r="V299" t="str">
            <v>*</v>
          </cell>
        </row>
        <row r="300">
          <cell r="G300" t="str">
            <v>SHIVAM ENTERPRISES</v>
          </cell>
          <cell r="I300">
            <v>0</v>
          </cell>
          <cell r="J300">
            <v>61640</v>
          </cell>
          <cell r="K300">
            <v>61672</v>
          </cell>
          <cell r="L300">
            <v>-32</v>
          </cell>
          <cell r="N300">
            <v>-32</v>
          </cell>
          <cell r="O300">
            <v>12</v>
          </cell>
          <cell r="V300" t="str">
            <v>*</v>
          </cell>
        </row>
        <row r="301">
          <cell r="G301" t="str">
            <v>SANJAY GANDHI POST GRADUATE INSTITUTE</v>
          </cell>
          <cell r="I301">
            <v>1232797.49</v>
          </cell>
          <cell r="J301">
            <v>0</v>
          </cell>
          <cell r="K301">
            <v>0</v>
          </cell>
          <cell r="L301">
            <v>1232797.49</v>
          </cell>
          <cell r="N301">
            <v>0</v>
          </cell>
          <cell r="O301">
            <v>12</v>
          </cell>
          <cell r="V301" t="str">
            <v>*</v>
          </cell>
        </row>
        <row r="302">
          <cell r="G302" t="str">
            <v>D.V.T.ENTERPRISES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O302">
            <v>12</v>
          </cell>
          <cell r="V302" t="str">
            <v>*</v>
          </cell>
        </row>
        <row r="303">
          <cell r="G303" t="str">
            <v>SEWA HOSPITAL</v>
          </cell>
          <cell r="I303">
            <v>-27988.58</v>
          </cell>
          <cell r="J303">
            <v>0</v>
          </cell>
          <cell r="K303">
            <v>0</v>
          </cell>
          <cell r="L303">
            <v>-27988.58</v>
          </cell>
          <cell r="N303">
            <v>-27988.58</v>
          </cell>
          <cell r="O303">
            <v>12</v>
          </cell>
          <cell r="V303" t="str">
            <v>*</v>
          </cell>
        </row>
        <row r="304">
          <cell r="G304" t="str">
            <v>DAYANAND MEDICAL COLLEGE &amp; HOSPITAL</v>
          </cell>
          <cell r="I304">
            <v>22834</v>
          </cell>
          <cell r="J304">
            <v>0</v>
          </cell>
          <cell r="K304">
            <v>0</v>
          </cell>
          <cell r="L304">
            <v>22834</v>
          </cell>
          <cell r="N304">
            <v>0</v>
          </cell>
          <cell r="O304">
            <v>12</v>
          </cell>
          <cell r="V304" t="str">
            <v>*</v>
          </cell>
        </row>
        <row r="305">
          <cell r="G305" t="str">
            <v>SUMIT SURGICALS</v>
          </cell>
          <cell r="I305">
            <v>-104.13</v>
          </cell>
          <cell r="J305">
            <v>0</v>
          </cell>
          <cell r="K305">
            <v>0</v>
          </cell>
          <cell r="L305">
            <v>-104.13</v>
          </cell>
          <cell r="N305">
            <v>-104.13</v>
          </cell>
          <cell r="O305">
            <v>12</v>
          </cell>
          <cell r="V305" t="str">
            <v>*</v>
          </cell>
        </row>
        <row r="306">
          <cell r="G306" t="str">
            <v>AMAN ENTERPRISES</v>
          </cell>
          <cell r="I306">
            <v>-196</v>
          </cell>
          <cell r="J306">
            <v>0</v>
          </cell>
          <cell r="K306">
            <v>0</v>
          </cell>
          <cell r="L306">
            <v>-196</v>
          </cell>
          <cell r="N306">
            <v>-196</v>
          </cell>
          <cell r="O306">
            <v>12</v>
          </cell>
          <cell r="V306" t="str">
            <v>*</v>
          </cell>
        </row>
        <row r="307">
          <cell r="G307" t="str">
            <v>DEEPAK HOSPITALS</v>
          </cell>
          <cell r="I307">
            <v>1900260</v>
          </cell>
          <cell r="J307">
            <v>0</v>
          </cell>
          <cell r="K307">
            <v>0</v>
          </cell>
          <cell r="L307">
            <v>1900260</v>
          </cell>
          <cell r="N307">
            <v>0</v>
          </cell>
          <cell r="O307">
            <v>12</v>
          </cell>
          <cell r="V307" t="str">
            <v>*</v>
          </cell>
        </row>
        <row r="308">
          <cell r="G308" t="str">
            <v>LIFE CARE SYSTEMS</v>
          </cell>
          <cell r="I308">
            <v>55110.59</v>
          </cell>
          <cell r="J308">
            <v>0</v>
          </cell>
          <cell r="K308">
            <v>0</v>
          </cell>
          <cell r="L308">
            <v>55110.59</v>
          </cell>
          <cell r="N308">
            <v>0</v>
          </cell>
          <cell r="O308">
            <v>12</v>
          </cell>
          <cell r="V308" t="str">
            <v>*</v>
          </cell>
        </row>
        <row r="309">
          <cell r="G309" t="str">
            <v>NEERAJ MEDICAL AGENCIES</v>
          </cell>
          <cell r="I309">
            <v>200386.99</v>
          </cell>
          <cell r="J309">
            <v>0</v>
          </cell>
          <cell r="K309">
            <v>250000</v>
          </cell>
          <cell r="L309">
            <v>-49613.01</v>
          </cell>
          <cell r="N309">
            <v>-49613.01</v>
          </cell>
          <cell r="O309">
            <v>12</v>
          </cell>
          <cell r="V309" t="str">
            <v>*</v>
          </cell>
        </row>
        <row r="310">
          <cell r="G310" t="str">
            <v>CHRISTIAN MEDICAL COLLEGE</v>
          </cell>
          <cell r="I310">
            <v>765000.04</v>
          </cell>
          <cell r="J310">
            <v>0</v>
          </cell>
          <cell r="K310">
            <v>0</v>
          </cell>
          <cell r="L310">
            <v>765000.04</v>
          </cell>
          <cell r="N310">
            <v>0</v>
          </cell>
          <cell r="O310">
            <v>12</v>
          </cell>
          <cell r="V310" t="str">
            <v>*</v>
          </cell>
        </row>
        <row r="311">
          <cell r="G311" t="str">
            <v>G.T.B AGENCIES</v>
          </cell>
          <cell r="I311">
            <v>-1641</v>
          </cell>
          <cell r="J311">
            <v>0</v>
          </cell>
          <cell r="K311">
            <v>0</v>
          </cell>
          <cell r="L311">
            <v>-1641</v>
          </cell>
          <cell r="N311">
            <v>-1641</v>
          </cell>
          <cell r="O311">
            <v>12</v>
          </cell>
          <cell r="V311" t="str">
            <v>*</v>
          </cell>
        </row>
        <row r="312">
          <cell r="G312" t="str">
            <v>DR.PREM HOSPITAL(PVT.)LTD.</v>
          </cell>
          <cell r="I312">
            <v>20000.009999999998</v>
          </cell>
          <cell r="J312">
            <v>0</v>
          </cell>
          <cell r="K312">
            <v>0</v>
          </cell>
          <cell r="L312">
            <v>20000.009999999998</v>
          </cell>
          <cell r="N312">
            <v>0</v>
          </cell>
          <cell r="O312">
            <v>12</v>
          </cell>
          <cell r="V312" t="str">
            <v>*</v>
          </cell>
        </row>
        <row r="313">
          <cell r="G313" t="str">
            <v>KOHLI ENTERPRISES</v>
          </cell>
          <cell r="I313">
            <v>-5416.88</v>
          </cell>
          <cell r="J313">
            <v>0</v>
          </cell>
          <cell r="K313">
            <v>0</v>
          </cell>
          <cell r="L313">
            <v>-5416.88</v>
          </cell>
          <cell r="N313">
            <v>-5416.88</v>
          </cell>
          <cell r="O313">
            <v>12</v>
          </cell>
          <cell r="V313" t="str">
            <v>*</v>
          </cell>
        </row>
        <row r="314">
          <cell r="G314" t="str">
            <v>AROMA SURGICAL HOUSE.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N314">
            <v>0</v>
          </cell>
          <cell r="O314">
            <v>12</v>
          </cell>
          <cell r="V314" t="str">
            <v>*</v>
          </cell>
        </row>
        <row r="315">
          <cell r="G315" t="str">
            <v>KARAN MARKETING CO.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12</v>
          </cell>
          <cell r="V315" t="str">
            <v>*</v>
          </cell>
        </row>
        <row r="316">
          <cell r="G316" t="str">
            <v>MANGALAM MEDICOS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N316">
            <v>0</v>
          </cell>
          <cell r="O316">
            <v>12</v>
          </cell>
          <cell r="V316" t="str">
            <v>*</v>
          </cell>
        </row>
        <row r="317">
          <cell r="G317" t="str">
            <v>S.K.ENTERPRISES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>
            <v>0</v>
          </cell>
          <cell r="O317">
            <v>12</v>
          </cell>
          <cell r="V317" t="str">
            <v>*</v>
          </cell>
        </row>
        <row r="318">
          <cell r="G318" t="str">
            <v>BHARAT TRADES AGENCY</v>
          </cell>
          <cell r="I318">
            <v>-3053.89</v>
          </cell>
          <cell r="J318">
            <v>3053.89</v>
          </cell>
          <cell r="K318">
            <v>0</v>
          </cell>
          <cell r="L318">
            <v>0</v>
          </cell>
          <cell r="N318">
            <v>0</v>
          </cell>
          <cell r="O318">
            <v>12</v>
          </cell>
          <cell r="V318" t="str">
            <v>*</v>
          </cell>
        </row>
        <row r="319">
          <cell r="G319" t="str">
            <v>MEDIN SURGE HOUSE</v>
          </cell>
          <cell r="I319">
            <v>-1197</v>
          </cell>
          <cell r="J319">
            <v>0</v>
          </cell>
          <cell r="K319">
            <v>0</v>
          </cell>
          <cell r="L319">
            <v>-1197</v>
          </cell>
          <cell r="N319">
            <v>-1197</v>
          </cell>
          <cell r="O319">
            <v>12</v>
          </cell>
          <cell r="V319" t="str">
            <v>*</v>
          </cell>
        </row>
        <row r="320">
          <cell r="G320" t="str">
            <v>INDIAN DRUG &amp; PHARMACEUTICAL AGENCIES</v>
          </cell>
          <cell r="I320">
            <v>-6312.95</v>
          </cell>
          <cell r="J320">
            <v>0</v>
          </cell>
          <cell r="K320">
            <v>0</v>
          </cell>
          <cell r="L320">
            <v>-6312.95</v>
          </cell>
          <cell r="N320">
            <v>-6312.95</v>
          </cell>
          <cell r="O320">
            <v>12</v>
          </cell>
          <cell r="V320" t="str">
            <v>*</v>
          </cell>
        </row>
        <row r="321">
          <cell r="G321" t="str">
            <v>BHARAT MEDICAL INSTRUMENTS (P) LTD.</v>
          </cell>
          <cell r="I321">
            <v>-0.12</v>
          </cell>
          <cell r="J321">
            <v>220043.85</v>
          </cell>
          <cell r="K321">
            <v>233959.89</v>
          </cell>
          <cell r="L321">
            <v>-13916.16</v>
          </cell>
          <cell r="N321">
            <v>-13916.16</v>
          </cell>
          <cell r="O321">
            <v>12</v>
          </cell>
          <cell r="V321" t="str">
            <v>*</v>
          </cell>
        </row>
        <row r="322">
          <cell r="G322" t="str">
            <v>BANGALORE SURGICALS</v>
          </cell>
          <cell r="I322">
            <v>3433069.88</v>
          </cell>
          <cell r="J322">
            <v>2075640</v>
          </cell>
          <cell r="K322">
            <v>66560</v>
          </cell>
          <cell r="L322">
            <v>5442149.8799999999</v>
          </cell>
          <cell r="N322">
            <v>0</v>
          </cell>
          <cell r="O322">
            <v>12</v>
          </cell>
          <cell r="V322" t="str">
            <v>*</v>
          </cell>
        </row>
        <row r="323">
          <cell r="G323" t="str">
            <v>ASHWINI BIOTECH</v>
          </cell>
          <cell r="I323">
            <v>-13160.75</v>
          </cell>
          <cell r="J323">
            <v>0</v>
          </cell>
          <cell r="K323">
            <v>0</v>
          </cell>
          <cell r="L323">
            <v>-13160.75</v>
          </cell>
          <cell r="N323">
            <v>-13160.75</v>
          </cell>
          <cell r="O323">
            <v>12</v>
          </cell>
          <cell r="V323" t="str">
            <v>*</v>
          </cell>
        </row>
        <row r="324">
          <cell r="G324" t="str">
            <v>ASHWINI RENAL CARE PVT. LTD.</v>
          </cell>
          <cell r="I324">
            <v>268745.24</v>
          </cell>
          <cell r="J324">
            <v>225608.47</v>
          </cell>
          <cell r="K324">
            <v>0</v>
          </cell>
          <cell r="L324">
            <v>494353.71</v>
          </cell>
          <cell r="N324">
            <v>0</v>
          </cell>
          <cell r="O324">
            <v>12</v>
          </cell>
          <cell r="V324" t="str">
            <v>*</v>
          </cell>
        </row>
        <row r="325">
          <cell r="G325" t="str">
            <v>MANGAL AGENCIES</v>
          </cell>
          <cell r="I325">
            <v>184857.02</v>
          </cell>
          <cell r="J325">
            <v>0</v>
          </cell>
          <cell r="K325">
            <v>0</v>
          </cell>
          <cell r="L325">
            <v>184857.02</v>
          </cell>
          <cell r="N325">
            <v>0</v>
          </cell>
          <cell r="O325">
            <v>12</v>
          </cell>
          <cell r="V325" t="str">
            <v>*</v>
          </cell>
        </row>
        <row r="326">
          <cell r="G326" t="str">
            <v>PHARMAX  DISTRIBUTORS</v>
          </cell>
          <cell r="I326">
            <v>57062.23</v>
          </cell>
          <cell r="J326">
            <v>0</v>
          </cell>
          <cell r="K326">
            <v>0</v>
          </cell>
          <cell r="L326">
            <v>57062.23</v>
          </cell>
          <cell r="N326">
            <v>0</v>
          </cell>
          <cell r="O326">
            <v>12</v>
          </cell>
          <cell r="V326" t="str">
            <v>*</v>
          </cell>
        </row>
        <row r="327">
          <cell r="G327" t="str">
            <v>MERLINHAWK ASSOCIATES PVT.LTD.</v>
          </cell>
          <cell r="I327">
            <v>5865158.4400000004</v>
          </cell>
          <cell r="J327">
            <v>2496737.56</v>
          </cell>
          <cell r="K327">
            <v>1423292.42</v>
          </cell>
          <cell r="L327">
            <v>6938603.5800000001</v>
          </cell>
          <cell r="N327">
            <v>0</v>
          </cell>
          <cell r="O327">
            <v>12</v>
          </cell>
          <cell r="V327" t="str">
            <v>*</v>
          </cell>
        </row>
        <row r="328">
          <cell r="G328" t="str">
            <v>BALAJI ENTERPRISES</v>
          </cell>
          <cell r="I328">
            <v>605.75</v>
          </cell>
          <cell r="J328">
            <v>0</v>
          </cell>
          <cell r="K328">
            <v>0</v>
          </cell>
          <cell r="L328">
            <v>605.75</v>
          </cell>
          <cell r="N328">
            <v>0</v>
          </cell>
          <cell r="O328">
            <v>12</v>
          </cell>
          <cell r="V328" t="str">
            <v>*</v>
          </cell>
        </row>
        <row r="329">
          <cell r="G329" t="str">
            <v>PRERANA SALES</v>
          </cell>
          <cell r="I329">
            <v>37806</v>
          </cell>
          <cell r="J329">
            <v>182580</v>
          </cell>
          <cell r="K329">
            <v>182240</v>
          </cell>
          <cell r="L329">
            <v>38146</v>
          </cell>
          <cell r="N329">
            <v>0</v>
          </cell>
          <cell r="O329">
            <v>12</v>
          </cell>
          <cell r="V329" t="str">
            <v>*</v>
          </cell>
        </row>
        <row r="330">
          <cell r="G330" t="str">
            <v>HOSTO MEDICARE PVT LTD.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>
            <v>0</v>
          </cell>
          <cell r="O330">
            <v>12</v>
          </cell>
          <cell r="V330" t="str">
            <v>*</v>
          </cell>
        </row>
        <row r="331">
          <cell r="G331" t="str">
            <v>SHREE PARSHAVA DRUG HOUSE</v>
          </cell>
          <cell r="I331">
            <v>-629.66</v>
          </cell>
          <cell r="J331">
            <v>0</v>
          </cell>
          <cell r="K331">
            <v>0</v>
          </cell>
          <cell r="L331">
            <v>-629.66</v>
          </cell>
          <cell r="N331">
            <v>-629.66</v>
          </cell>
          <cell r="O331">
            <v>12</v>
          </cell>
          <cell r="V331" t="str">
            <v>*</v>
          </cell>
        </row>
        <row r="332">
          <cell r="G332" t="str">
            <v>ESQUIRE SURGICALS</v>
          </cell>
          <cell r="I332">
            <v>29294</v>
          </cell>
          <cell r="J332">
            <v>0</v>
          </cell>
          <cell r="K332">
            <v>0</v>
          </cell>
          <cell r="L332">
            <v>29294</v>
          </cell>
          <cell r="N332">
            <v>0</v>
          </cell>
          <cell r="O332">
            <v>12</v>
          </cell>
          <cell r="V332" t="str">
            <v>*</v>
          </cell>
        </row>
        <row r="333">
          <cell r="G333" t="str">
            <v>SIGMA PHARMA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O333">
            <v>12</v>
          </cell>
          <cell r="V333" t="str">
            <v>*</v>
          </cell>
        </row>
        <row r="334">
          <cell r="G334" t="str">
            <v>SATYAM TRADING CORPORATION</v>
          </cell>
          <cell r="I334">
            <v>24355.200000000001</v>
          </cell>
          <cell r="J334">
            <v>0</v>
          </cell>
          <cell r="K334">
            <v>0</v>
          </cell>
          <cell r="L334">
            <v>24355.200000000001</v>
          </cell>
          <cell r="N334">
            <v>0</v>
          </cell>
          <cell r="O334">
            <v>12</v>
          </cell>
          <cell r="V334" t="str">
            <v>*</v>
          </cell>
        </row>
        <row r="335">
          <cell r="G335" t="str">
            <v>HEALTH CARE AGENCIES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N335">
            <v>0</v>
          </cell>
          <cell r="O335">
            <v>12</v>
          </cell>
          <cell r="V335" t="str">
            <v>*</v>
          </cell>
        </row>
        <row r="336">
          <cell r="G336" t="str">
            <v>THIRU BALAJI ASSOCIATES</v>
          </cell>
          <cell r="I336">
            <v>-193.16</v>
          </cell>
          <cell r="J336">
            <v>0</v>
          </cell>
          <cell r="K336">
            <v>0</v>
          </cell>
          <cell r="L336">
            <v>-193.16</v>
          </cell>
          <cell r="N336">
            <v>-193.16</v>
          </cell>
          <cell r="O336">
            <v>12</v>
          </cell>
          <cell r="V336" t="str">
            <v>*</v>
          </cell>
        </row>
        <row r="337">
          <cell r="G337" t="str">
            <v>HOSPITAL SURGICALS</v>
          </cell>
          <cell r="I337">
            <v>-35344.69</v>
          </cell>
          <cell r="J337">
            <v>180556</v>
          </cell>
          <cell r="K337">
            <v>185596</v>
          </cell>
          <cell r="L337">
            <v>-40384.69</v>
          </cell>
          <cell r="N337">
            <v>-40384.69</v>
          </cell>
          <cell r="O337">
            <v>12</v>
          </cell>
          <cell r="V337" t="str">
            <v>*</v>
          </cell>
        </row>
        <row r="338">
          <cell r="G338" t="str">
            <v>VIBASH COIMBATORE SURGICALS LTD.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O338">
            <v>12</v>
          </cell>
          <cell r="V338" t="str">
            <v>*</v>
          </cell>
        </row>
        <row r="339">
          <cell r="G339" t="str">
            <v>SRI VENKATESWARA PHARMACEUTICALS</v>
          </cell>
          <cell r="I339">
            <v>-873.6</v>
          </cell>
          <cell r="J339">
            <v>0</v>
          </cell>
          <cell r="K339">
            <v>0</v>
          </cell>
          <cell r="L339">
            <v>-873.6</v>
          </cell>
          <cell r="N339">
            <v>-873.6</v>
          </cell>
          <cell r="O339">
            <v>12</v>
          </cell>
          <cell r="V339" t="str">
            <v>*</v>
          </cell>
        </row>
        <row r="340">
          <cell r="G340" t="str">
            <v>SABERWAL SURGICALS CO. PVT. LTD.</v>
          </cell>
          <cell r="I340">
            <v>-12896</v>
          </cell>
          <cell r="J340">
            <v>23712</v>
          </cell>
          <cell r="K340">
            <v>33072</v>
          </cell>
          <cell r="L340">
            <v>-22256</v>
          </cell>
          <cell r="N340">
            <v>-22256</v>
          </cell>
          <cell r="O340">
            <v>12</v>
          </cell>
          <cell r="V340" t="str">
            <v>*</v>
          </cell>
        </row>
        <row r="341">
          <cell r="G341" t="str">
            <v>SABERWAL SURGICALS</v>
          </cell>
          <cell r="I341">
            <v>116377.66</v>
          </cell>
          <cell r="J341">
            <v>23712</v>
          </cell>
          <cell r="K341">
            <v>23712</v>
          </cell>
          <cell r="L341">
            <v>116377.66</v>
          </cell>
          <cell r="N341">
            <v>0</v>
          </cell>
          <cell r="O341">
            <v>12</v>
          </cell>
          <cell r="V341" t="str">
            <v>*</v>
          </cell>
        </row>
        <row r="342">
          <cell r="G342" t="str">
            <v>ESTOMA SERVICE CENTRE</v>
          </cell>
          <cell r="I342">
            <v>27000</v>
          </cell>
          <cell r="J342">
            <v>0</v>
          </cell>
          <cell r="K342">
            <v>0</v>
          </cell>
          <cell r="L342">
            <v>27000</v>
          </cell>
          <cell r="N342">
            <v>0</v>
          </cell>
          <cell r="O342">
            <v>12</v>
          </cell>
          <cell r="V342" t="str">
            <v>*</v>
          </cell>
        </row>
        <row r="343">
          <cell r="G343" t="str">
            <v>GOVT KILPAUK MEDICAL COLLEGE HOSPITAL</v>
          </cell>
          <cell r="I343">
            <v>16028</v>
          </cell>
          <cell r="J343">
            <v>0</v>
          </cell>
          <cell r="K343">
            <v>0</v>
          </cell>
          <cell r="L343">
            <v>16028</v>
          </cell>
          <cell r="N343">
            <v>0</v>
          </cell>
          <cell r="O343">
            <v>12</v>
          </cell>
          <cell r="V343" t="str">
            <v>*</v>
          </cell>
        </row>
        <row r="344">
          <cell r="G344" t="str">
            <v>GOVT GENERAL  HOSPITAL</v>
          </cell>
          <cell r="I344">
            <v>37440</v>
          </cell>
          <cell r="J344">
            <v>0</v>
          </cell>
          <cell r="K344">
            <v>0</v>
          </cell>
          <cell r="L344">
            <v>37440</v>
          </cell>
          <cell r="N344">
            <v>0</v>
          </cell>
          <cell r="O344">
            <v>12</v>
          </cell>
          <cell r="V344" t="str">
            <v>*</v>
          </cell>
        </row>
        <row r="345">
          <cell r="G345" t="str">
            <v>HIMAT MEDICAL STORES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O345">
            <v>12</v>
          </cell>
          <cell r="V345" t="str">
            <v>*</v>
          </cell>
        </row>
        <row r="346">
          <cell r="G346" t="str">
            <v>MBBS   ENTERPRISES</v>
          </cell>
          <cell r="I346">
            <v>9568</v>
          </cell>
          <cell r="J346">
            <v>0</v>
          </cell>
          <cell r="K346">
            <v>0</v>
          </cell>
          <cell r="L346">
            <v>9568</v>
          </cell>
          <cell r="N346">
            <v>0</v>
          </cell>
          <cell r="O346">
            <v>12</v>
          </cell>
          <cell r="V346" t="str">
            <v>*</v>
          </cell>
        </row>
        <row r="347">
          <cell r="G347" t="str">
            <v>MEDIHAUXE ASSOCIATES  MADRAS</v>
          </cell>
          <cell r="I347">
            <v>27235.31</v>
          </cell>
          <cell r="J347">
            <v>0</v>
          </cell>
          <cell r="K347">
            <v>0</v>
          </cell>
          <cell r="L347">
            <v>27235.31</v>
          </cell>
          <cell r="N347">
            <v>0</v>
          </cell>
          <cell r="O347">
            <v>12</v>
          </cell>
          <cell r="V347" t="str">
            <v>*</v>
          </cell>
        </row>
        <row r="348">
          <cell r="G348" t="str">
            <v>MILLION  PHARAM</v>
          </cell>
          <cell r="I348">
            <v>14451.8</v>
          </cell>
          <cell r="J348">
            <v>0</v>
          </cell>
          <cell r="K348">
            <v>0</v>
          </cell>
          <cell r="L348">
            <v>14451.8</v>
          </cell>
          <cell r="N348">
            <v>0</v>
          </cell>
          <cell r="O348">
            <v>12</v>
          </cell>
          <cell r="V348" t="str">
            <v>*</v>
          </cell>
        </row>
        <row r="349">
          <cell r="G349" t="str">
            <v>O K MEDICAL AGENCIES</v>
          </cell>
          <cell r="I349">
            <v>176457.97</v>
          </cell>
          <cell r="J349">
            <v>0</v>
          </cell>
          <cell r="K349">
            <v>0</v>
          </cell>
          <cell r="L349">
            <v>176457.97</v>
          </cell>
          <cell r="N349">
            <v>0</v>
          </cell>
          <cell r="O349">
            <v>12</v>
          </cell>
          <cell r="V349" t="str">
            <v>*</v>
          </cell>
        </row>
        <row r="350">
          <cell r="G350" t="str">
            <v>ROENTGEN CHEMICALS &amp; ALLIED PRODUCTS</v>
          </cell>
          <cell r="I350">
            <v>276229</v>
          </cell>
          <cell r="J350">
            <v>269480</v>
          </cell>
          <cell r="K350">
            <v>707072.8</v>
          </cell>
          <cell r="L350">
            <v>-161363.79999999999</v>
          </cell>
          <cell r="N350">
            <v>-161363.79999999999</v>
          </cell>
          <cell r="O350">
            <v>12</v>
          </cell>
          <cell r="V350" t="str">
            <v>*</v>
          </cell>
        </row>
        <row r="351">
          <cell r="G351" t="str">
            <v>OM AGENCIES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O351">
            <v>12</v>
          </cell>
          <cell r="V351" t="str">
            <v>*</v>
          </cell>
        </row>
        <row r="352">
          <cell r="G352" t="str">
            <v>ADVANCE SURGICALS PVT. LTD</v>
          </cell>
          <cell r="I352">
            <v>-3.64</v>
          </cell>
          <cell r="J352">
            <v>0</v>
          </cell>
          <cell r="K352">
            <v>0</v>
          </cell>
          <cell r="L352">
            <v>-3.64</v>
          </cell>
          <cell r="N352">
            <v>-3.64</v>
          </cell>
          <cell r="O352">
            <v>12</v>
          </cell>
          <cell r="V352" t="str">
            <v>*</v>
          </cell>
        </row>
        <row r="353">
          <cell r="G353" t="str">
            <v>PIKAYS MEDICO SURGICAL</v>
          </cell>
          <cell r="I353">
            <v>62516.46</v>
          </cell>
          <cell r="J353">
            <v>0</v>
          </cell>
          <cell r="K353">
            <v>0</v>
          </cell>
          <cell r="L353">
            <v>62516.46</v>
          </cell>
          <cell r="N353">
            <v>0</v>
          </cell>
          <cell r="O353">
            <v>12</v>
          </cell>
          <cell r="V353" t="str">
            <v>*</v>
          </cell>
        </row>
        <row r="354">
          <cell r="G354" t="str">
            <v>THE SOUTH INDIA SURGICAL CO. LTD.</v>
          </cell>
          <cell r="I354">
            <v>3520.38</v>
          </cell>
          <cell r="J354">
            <v>0</v>
          </cell>
          <cell r="K354">
            <v>0</v>
          </cell>
          <cell r="L354">
            <v>3520.38</v>
          </cell>
          <cell r="N354">
            <v>0</v>
          </cell>
          <cell r="O354">
            <v>12</v>
          </cell>
          <cell r="V354" t="str">
            <v>*</v>
          </cell>
        </row>
        <row r="355">
          <cell r="G355" t="str">
            <v>APOLLO HOSPITALS LIMITED.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>
            <v>0</v>
          </cell>
          <cell r="O355">
            <v>12</v>
          </cell>
          <cell r="V355" t="str">
            <v>*</v>
          </cell>
        </row>
        <row r="356">
          <cell r="G356" t="str">
            <v>SHRI RAMCHANDRA HOSPITAL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N356">
            <v>0</v>
          </cell>
          <cell r="O356">
            <v>12</v>
          </cell>
          <cell r="V356" t="str">
            <v>*</v>
          </cell>
        </row>
        <row r="357">
          <cell r="G357" t="str">
            <v>HEALTH CARE INDIA LIMITED</v>
          </cell>
          <cell r="I357">
            <v>64483.21</v>
          </cell>
          <cell r="J357">
            <v>0</v>
          </cell>
          <cell r="K357">
            <v>0</v>
          </cell>
          <cell r="L357">
            <v>64483.21</v>
          </cell>
          <cell r="N357">
            <v>0</v>
          </cell>
          <cell r="O357">
            <v>12</v>
          </cell>
          <cell r="V357" t="str">
            <v>*</v>
          </cell>
        </row>
        <row r="358">
          <cell r="G358" t="str">
            <v>MEDICAL SERVICES CORPORATION</v>
          </cell>
          <cell r="I358">
            <v>516835.89</v>
          </cell>
          <cell r="J358">
            <v>0</v>
          </cell>
          <cell r="K358">
            <v>0</v>
          </cell>
          <cell r="L358">
            <v>516835.89</v>
          </cell>
          <cell r="N358">
            <v>0</v>
          </cell>
          <cell r="O358">
            <v>12</v>
          </cell>
          <cell r="V358" t="str">
            <v>*</v>
          </cell>
        </row>
        <row r="359">
          <cell r="G359" t="str">
            <v>SETH IMPEX</v>
          </cell>
          <cell r="I359">
            <v>0</v>
          </cell>
          <cell r="J359">
            <v>379925</v>
          </cell>
          <cell r="K359">
            <v>50000</v>
          </cell>
          <cell r="L359">
            <v>329925</v>
          </cell>
          <cell r="N359">
            <v>0</v>
          </cell>
          <cell r="O359">
            <v>12</v>
          </cell>
          <cell r="V359" t="str">
            <v>*</v>
          </cell>
        </row>
        <row r="360">
          <cell r="G360" t="str">
            <v>MULTICARE MEDICAL EQIPMENT LTD.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O360">
            <v>12</v>
          </cell>
          <cell r="V360" t="str">
            <v>*</v>
          </cell>
        </row>
        <row r="361">
          <cell r="G361" t="str">
            <v>GOLDEN HARVEST INDUSTRIES</v>
          </cell>
          <cell r="I361">
            <v>-4872.32</v>
          </cell>
          <cell r="J361">
            <v>154756</v>
          </cell>
          <cell r="K361">
            <v>199627</v>
          </cell>
          <cell r="L361">
            <v>-49743.32</v>
          </cell>
          <cell r="N361">
            <v>-49743.32</v>
          </cell>
          <cell r="O361">
            <v>12</v>
          </cell>
          <cell r="V361" t="str">
            <v>*</v>
          </cell>
        </row>
        <row r="362">
          <cell r="G362" t="str">
            <v>S.S. CHEMICALS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O362">
            <v>12</v>
          </cell>
          <cell r="V362" t="str">
            <v>*</v>
          </cell>
        </row>
        <row r="363">
          <cell r="G363" t="str">
            <v>ESSAR MEDITECH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>
            <v>0</v>
          </cell>
          <cell r="O363">
            <v>12</v>
          </cell>
          <cell r="V363" t="str">
            <v>*</v>
          </cell>
        </row>
        <row r="364">
          <cell r="G364" t="str">
            <v>INST. OF CHILD HEALTH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>
            <v>0</v>
          </cell>
          <cell r="O364">
            <v>12</v>
          </cell>
          <cell r="V364" t="str">
            <v>*</v>
          </cell>
        </row>
        <row r="365">
          <cell r="G365" t="str">
            <v>IMMUNE BIO-MEDICAL SYSTEMS</v>
          </cell>
          <cell r="I365">
            <v>-569.72</v>
          </cell>
          <cell r="J365">
            <v>0</v>
          </cell>
          <cell r="K365">
            <v>0</v>
          </cell>
          <cell r="L365">
            <v>-569.72</v>
          </cell>
          <cell r="N365">
            <v>-569.72</v>
          </cell>
          <cell r="O365">
            <v>12</v>
          </cell>
          <cell r="V365" t="str">
            <v>*</v>
          </cell>
        </row>
        <row r="366">
          <cell r="G366" t="str">
            <v>GAP ENTERPRISE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>
            <v>0</v>
          </cell>
          <cell r="O366">
            <v>12</v>
          </cell>
          <cell r="V366" t="str">
            <v>*</v>
          </cell>
        </row>
        <row r="367">
          <cell r="G367" t="str">
            <v>BIO VISION MEDICAL SYSTEMS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>
            <v>0</v>
          </cell>
          <cell r="O367">
            <v>12</v>
          </cell>
          <cell r="V367" t="str">
            <v>*</v>
          </cell>
        </row>
        <row r="368">
          <cell r="G368" t="str">
            <v>TAMIL NADU MEDICAL SERVICES CORPORATION(PREM PHARMA)</v>
          </cell>
          <cell r="I368">
            <v>1285825</v>
          </cell>
          <cell r="J368">
            <v>0</v>
          </cell>
          <cell r="K368">
            <v>0</v>
          </cell>
          <cell r="L368">
            <v>1285825</v>
          </cell>
          <cell r="N368">
            <v>0</v>
          </cell>
          <cell r="O368">
            <v>12</v>
          </cell>
          <cell r="V368" t="str">
            <v>*</v>
          </cell>
        </row>
        <row r="369">
          <cell r="G369" t="str">
            <v>MAJESTIC MEDICAL SYSTEM</v>
          </cell>
          <cell r="I369">
            <v>-3416.32</v>
          </cell>
          <cell r="J369">
            <v>0</v>
          </cell>
          <cell r="K369">
            <v>0</v>
          </cell>
          <cell r="L369">
            <v>-3416.32</v>
          </cell>
          <cell r="N369">
            <v>-3416.32</v>
          </cell>
          <cell r="O369">
            <v>12</v>
          </cell>
          <cell r="V369" t="str">
            <v>*</v>
          </cell>
        </row>
        <row r="370">
          <cell r="G370" t="str">
            <v>ANGIO CARE PVT. LTD.</v>
          </cell>
          <cell r="I370">
            <v>-555</v>
          </cell>
          <cell r="J370">
            <v>0</v>
          </cell>
          <cell r="K370">
            <v>0</v>
          </cell>
          <cell r="L370">
            <v>-555</v>
          </cell>
          <cell r="N370">
            <v>-555</v>
          </cell>
          <cell r="O370">
            <v>12</v>
          </cell>
          <cell r="V370" t="str">
            <v>*</v>
          </cell>
        </row>
        <row r="371">
          <cell r="G371" t="str">
            <v>DISTRIBUTION POINT</v>
          </cell>
          <cell r="I371">
            <v>-2330</v>
          </cell>
          <cell r="J371">
            <v>0</v>
          </cell>
          <cell r="K371">
            <v>0</v>
          </cell>
          <cell r="L371">
            <v>-2330</v>
          </cell>
          <cell r="N371">
            <v>-2330</v>
          </cell>
          <cell r="O371">
            <v>12</v>
          </cell>
          <cell r="V371" t="str">
            <v>*</v>
          </cell>
        </row>
        <row r="372">
          <cell r="G372" t="str">
            <v>GLOBAL MEDICARE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>
            <v>0</v>
          </cell>
          <cell r="O372">
            <v>12</v>
          </cell>
          <cell r="V372" t="str">
            <v>*</v>
          </cell>
        </row>
        <row r="373">
          <cell r="G373" t="str">
            <v>S.S. NIMS MEDICAL HALL</v>
          </cell>
          <cell r="I373">
            <v>-3694</v>
          </cell>
          <cell r="J373">
            <v>0</v>
          </cell>
          <cell r="K373">
            <v>0</v>
          </cell>
          <cell r="L373">
            <v>-3694</v>
          </cell>
          <cell r="N373">
            <v>-3694</v>
          </cell>
          <cell r="O373">
            <v>12</v>
          </cell>
          <cell r="V373" t="str">
            <v>*</v>
          </cell>
        </row>
        <row r="374">
          <cell r="G374" t="str">
            <v>VINAYAK ENTERPRISES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>
            <v>0</v>
          </cell>
          <cell r="O374">
            <v>12</v>
          </cell>
          <cell r="V374" t="str">
            <v>*</v>
          </cell>
        </row>
        <row r="375">
          <cell r="G375" t="str">
            <v>MEDIHAUXE INTERNATIONAL - PATTAPARTHI</v>
          </cell>
          <cell r="I375">
            <v>5477.16</v>
          </cell>
          <cell r="J375">
            <v>0</v>
          </cell>
          <cell r="K375">
            <v>0</v>
          </cell>
          <cell r="L375">
            <v>5477.16</v>
          </cell>
          <cell r="N375">
            <v>0</v>
          </cell>
          <cell r="O375">
            <v>12</v>
          </cell>
          <cell r="V375" t="str">
            <v>*</v>
          </cell>
        </row>
        <row r="376">
          <cell r="G376" t="str">
            <v>HEALTH CARE NEEDS</v>
          </cell>
          <cell r="I376">
            <v>32500</v>
          </cell>
          <cell r="J376">
            <v>0</v>
          </cell>
          <cell r="K376">
            <v>32500</v>
          </cell>
          <cell r="L376">
            <v>0</v>
          </cell>
          <cell r="N376">
            <v>0</v>
          </cell>
          <cell r="O376">
            <v>12</v>
          </cell>
          <cell r="V376" t="str">
            <v>*</v>
          </cell>
        </row>
        <row r="377">
          <cell r="G377" t="str">
            <v>HEALTH CARE (INDIA)  LIMITED    HYDERABAD</v>
          </cell>
          <cell r="I377">
            <v>21983.19</v>
          </cell>
          <cell r="J377">
            <v>0</v>
          </cell>
          <cell r="K377">
            <v>0</v>
          </cell>
          <cell r="L377">
            <v>21983.19</v>
          </cell>
          <cell r="N377">
            <v>0</v>
          </cell>
          <cell r="O377">
            <v>12</v>
          </cell>
          <cell r="V377" t="str">
            <v>*</v>
          </cell>
        </row>
        <row r="378">
          <cell r="G378" t="str">
            <v>VISHAL PHARMA</v>
          </cell>
          <cell r="I378">
            <v>-887</v>
          </cell>
          <cell r="J378">
            <v>0</v>
          </cell>
          <cell r="K378">
            <v>0</v>
          </cell>
          <cell r="L378">
            <v>-887</v>
          </cell>
          <cell r="N378">
            <v>-887</v>
          </cell>
          <cell r="O378">
            <v>12</v>
          </cell>
          <cell r="V378" t="str">
            <v>*</v>
          </cell>
        </row>
        <row r="379">
          <cell r="G379" t="str">
            <v>PIONEER MARKETING AGENCIES</v>
          </cell>
          <cell r="I379">
            <v>14680.64</v>
          </cell>
          <cell r="J379">
            <v>0</v>
          </cell>
          <cell r="K379">
            <v>0</v>
          </cell>
          <cell r="L379">
            <v>14680.64</v>
          </cell>
          <cell r="N379">
            <v>0</v>
          </cell>
          <cell r="O379">
            <v>12</v>
          </cell>
          <cell r="V379" t="str">
            <v>*</v>
          </cell>
        </row>
        <row r="380">
          <cell r="G380" t="str">
            <v>HEALTH CARE SUPPLIES</v>
          </cell>
          <cell r="I380">
            <v>1846000</v>
          </cell>
          <cell r="J380">
            <v>11349800</v>
          </cell>
          <cell r="K380">
            <v>9807800</v>
          </cell>
          <cell r="L380">
            <v>3388000</v>
          </cell>
          <cell r="N380">
            <v>0</v>
          </cell>
          <cell r="O380">
            <v>12</v>
          </cell>
          <cell r="V380" t="str">
            <v>*</v>
          </cell>
        </row>
        <row r="381">
          <cell r="G381" t="str">
            <v>SHETH IMPEX</v>
          </cell>
          <cell r="I381">
            <v>-356.88</v>
          </cell>
          <cell r="J381">
            <v>180000</v>
          </cell>
          <cell r="K381">
            <v>0</v>
          </cell>
          <cell r="L381">
            <v>179643.12</v>
          </cell>
          <cell r="N381">
            <v>0</v>
          </cell>
          <cell r="O381">
            <v>12</v>
          </cell>
          <cell r="V381" t="str">
            <v>*</v>
          </cell>
        </row>
        <row r="382">
          <cell r="G382" t="str">
            <v>UNITED PHARMA</v>
          </cell>
          <cell r="I382">
            <v>-7100.2</v>
          </cell>
          <cell r="J382">
            <v>0</v>
          </cell>
          <cell r="K382">
            <v>0</v>
          </cell>
          <cell r="L382">
            <v>-7100.2</v>
          </cell>
          <cell r="N382">
            <v>-7100.2</v>
          </cell>
          <cell r="O382">
            <v>12</v>
          </cell>
          <cell r="V382" t="str">
            <v>*</v>
          </cell>
        </row>
        <row r="383">
          <cell r="G383" t="str">
            <v>BANGALORE SURGICALS</v>
          </cell>
          <cell r="I383">
            <v>12322041.58</v>
          </cell>
          <cell r="J383">
            <v>5590200</v>
          </cell>
          <cell r="K383">
            <v>14590200</v>
          </cell>
          <cell r="L383">
            <v>3244800</v>
          </cell>
          <cell r="N383">
            <v>0</v>
          </cell>
          <cell r="O383">
            <v>12</v>
          </cell>
          <cell r="V383" t="str">
            <v>*</v>
          </cell>
        </row>
        <row r="384">
          <cell r="G384" t="str">
            <v>SABERWAL SURGICALS PONDICHERRY</v>
          </cell>
          <cell r="I384">
            <v>69425</v>
          </cell>
          <cell r="J384">
            <v>0</v>
          </cell>
          <cell r="K384">
            <v>0</v>
          </cell>
          <cell r="L384">
            <v>69425</v>
          </cell>
          <cell r="N384">
            <v>0</v>
          </cell>
          <cell r="O384">
            <v>12</v>
          </cell>
          <cell r="V384" t="str">
            <v>*</v>
          </cell>
        </row>
        <row r="385">
          <cell r="G385" t="str">
            <v>OM AGENCIES.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N385">
            <v>0</v>
          </cell>
          <cell r="O385">
            <v>12</v>
          </cell>
          <cell r="V385" t="str">
            <v>*</v>
          </cell>
        </row>
        <row r="386">
          <cell r="G386" t="str">
            <v>ROENTGEN CHEMICALS AND ALLIED PRODUCTS.</v>
          </cell>
          <cell r="I386">
            <v>-15.6</v>
          </cell>
          <cell r="J386">
            <v>0</v>
          </cell>
          <cell r="K386">
            <v>0</v>
          </cell>
          <cell r="L386">
            <v>-15.6</v>
          </cell>
          <cell r="N386">
            <v>-15.6</v>
          </cell>
          <cell r="O386">
            <v>12</v>
          </cell>
          <cell r="V386" t="str">
            <v>*</v>
          </cell>
        </row>
        <row r="387">
          <cell r="G387" t="str">
            <v>SIDDHI PHARMA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O387">
            <v>12</v>
          </cell>
          <cell r="V387" t="str">
            <v>*</v>
          </cell>
        </row>
        <row r="388">
          <cell r="G388" t="str">
            <v>MONARCH ENTERPRISES</v>
          </cell>
          <cell r="I388">
            <v>19886.5</v>
          </cell>
          <cell r="J388">
            <v>719379.6</v>
          </cell>
          <cell r="K388">
            <v>755155.8</v>
          </cell>
          <cell r="L388">
            <v>-15889.7</v>
          </cell>
          <cell r="N388">
            <v>-15889.7</v>
          </cell>
          <cell r="O388">
            <v>12</v>
          </cell>
          <cell r="V388" t="str">
            <v>*</v>
          </cell>
        </row>
        <row r="389">
          <cell r="G389" t="str">
            <v>GOMATHI PHOTO STORES</v>
          </cell>
          <cell r="I389">
            <v>-434</v>
          </cell>
          <cell r="J389">
            <v>65352</v>
          </cell>
          <cell r="K389">
            <v>65352</v>
          </cell>
          <cell r="L389">
            <v>-434</v>
          </cell>
          <cell r="N389">
            <v>-434</v>
          </cell>
          <cell r="O389">
            <v>12</v>
          </cell>
          <cell r="V389" t="str">
            <v>*</v>
          </cell>
        </row>
        <row r="390">
          <cell r="G390" t="str">
            <v>CHRISTIAN MEDICAL COLLEGE &amp; HOSPITAL</v>
          </cell>
          <cell r="I390">
            <v>108992</v>
          </cell>
          <cell r="J390">
            <v>0</v>
          </cell>
          <cell r="K390">
            <v>0</v>
          </cell>
          <cell r="L390">
            <v>108992</v>
          </cell>
          <cell r="N390">
            <v>0</v>
          </cell>
          <cell r="O390">
            <v>12</v>
          </cell>
          <cell r="V390" t="str">
            <v>*</v>
          </cell>
        </row>
        <row r="391">
          <cell r="G391" t="str">
            <v>AMAR ENTERPRISES</v>
          </cell>
          <cell r="I391">
            <v>-386</v>
          </cell>
          <cell r="J391">
            <v>0</v>
          </cell>
          <cell r="K391">
            <v>0</v>
          </cell>
          <cell r="L391">
            <v>-386</v>
          </cell>
          <cell r="N391">
            <v>-386</v>
          </cell>
          <cell r="O391">
            <v>12</v>
          </cell>
          <cell r="V391" t="str">
            <v>*</v>
          </cell>
        </row>
        <row r="392">
          <cell r="G392" t="str">
            <v>APRA NURSING HOME, ANAND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N392">
            <v>0</v>
          </cell>
          <cell r="O392">
            <v>12</v>
          </cell>
          <cell r="V392" t="str">
            <v>*</v>
          </cell>
        </row>
        <row r="393">
          <cell r="G393" t="str">
            <v>KESHAV ENTERPRISES</v>
          </cell>
          <cell r="I393">
            <v>-26942.59</v>
          </cell>
          <cell r="J393">
            <v>253314.4</v>
          </cell>
          <cell r="K393">
            <v>131872</v>
          </cell>
          <cell r="L393">
            <v>94499.81</v>
          </cell>
          <cell r="N393">
            <v>0</v>
          </cell>
          <cell r="O393">
            <v>12</v>
          </cell>
          <cell r="V393" t="str">
            <v>*</v>
          </cell>
        </row>
        <row r="394">
          <cell r="G394" t="str">
            <v>U.N. MEHTA INSTITUTE OF CARDIO &amp; REC</v>
          </cell>
          <cell r="I394">
            <v>-36312</v>
          </cell>
          <cell r="J394">
            <v>0</v>
          </cell>
          <cell r="K394">
            <v>0</v>
          </cell>
          <cell r="L394">
            <v>-36312</v>
          </cell>
          <cell r="N394">
            <v>-36312</v>
          </cell>
          <cell r="O394">
            <v>12</v>
          </cell>
          <cell r="V394" t="str">
            <v>*</v>
          </cell>
        </row>
        <row r="395">
          <cell r="G395" t="str">
            <v>DR. MUKUR PETROLWALA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>
            <v>0</v>
          </cell>
          <cell r="O395">
            <v>12</v>
          </cell>
          <cell r="V395" t="str">
            <v>*</v>
          </cell>
        </row>
        <row r="396">
          <cell r="G396" t="str">
            <v>DESAI AGENCIES</v>
          </cell>
          <cell r="I396">
            <v>-1348.96</v>
          </cell>
          <cell r="J396">
            <v>65000</v>
          </cell>
          <cell r="K396">
            <v>67184</v>
          </cell>
          <cell r="L396">
            <v>-3532.96</v>
          </cell>
          <cell r="N396">
            <v>-3532.96</v>
          </cell>
          <cell r="O396">
            <v>12</v>
          </cell>
          <cell r="V396" t="str">
            <v>*</v>
          </cell>
        </row>
        <row r="397">
          <cell r="G397" t="str">
            <v>RAJASTHAN HOSPITALS</v>
          </cell>
          <cell r="I397">
            <v>708.96</v>
          </cell>
          <cell r="J397">
            <v>0</v>
          </cell>
          <cell r="K397">
            <v>0</v>
          </cell>
          <cell r="L397">
            <v>708.96</v>
          </cell>
          <cell r="N397">
            <v>0</v>
          </cell>
          <cell r="O397">
            <v>12</v>
          </cell>
          <cell r="V397" t="str">
            <v>*</v>
          </cell>
        </row>
        <row r="398">
          <cell r="G398" t="str">
            <v>AVANTI SURGICO SALES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N398">
            <v>0</v>
          </cell>
          <cell r="O398">
            <v>12</v>
          </cell>
          <cell r="V398" t="str">
            <v>*</v>
          </cell>
        </row>
        <row r="399">
          <cell r="G399" t="str">
            <v>KRISHNA HEART INSTITUTE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N399">
            <v>0</v>
          </cell>
          <cell r="O399">
            <v>12</v>
          </cell>
          <cell r="V399" t="str">
            <v>*</v>
          </cell>
        </row>
        <row r="400">
          <cell r="G400" t="str">
            <v>NEEL CORPORATION</v>
          </cell>
          <cell r="I400">
            <v>2520</v>
          </cell>
          <cell r="J400">
            <v>0</v>
          </cell>
          <cell r="K400">
            <v>0</v>
          </cell>
          <cell r="L400">
            <v>2520</v>
          </cell>
          <cell r="N400">
            <v>0</v>
          </cell>
          <cell r="O400">
            <v>12</v>
          </cell>
          <cell r="V400" t="str">
            <v>*</v>
          </cell>
        </row>
        <row r="401">
          <cell r="G401" t="str">
            <v>DYNAMIC MARKETING HOUSE</v>
          </cell>
          <cell r="I401">
            <v>-970.01</v>
          </cell>
          <cell r="J401">
            <v>0</v>
          </cell>
          <cell r="K401">
            <v>0</v>
          </cell>
          <cell r="L401">
            <v>-970.01</v>
          </cell>
          <cell r="N401">
            <v>-970.01</v>
          </cell>
          <cell r="O401">
            <v>12</v>
          </cell>
          <cell r="V401" t="str">
            <v>*</v>
          </cell>
        </row>
        <row r="402">
          <cell r="G402" t="str">
            <v>YOGESHWAR HEALTHCARE LTD.</v>
          </cell>
          <cell r="I402">
            <v>12</v>
          </cell>
          <cell r="J402">
            <v>0</v>
          </cell>
          <cell r="K402">
            <v>0</v>
          </cell>
          <cell r="L402">
            <v>12</v>
          </cell>
          <cell r="N402">
            <v>0</v>
          </cell>
          <cell r="O402">
            <v>12</v>
          </cell>
          <cell r="V402" t="str">
            <v>*</v>
          </cell>
        </row>
        <row r="403">
          <cell r="G403" t="str">
            <v>MILLENIUM ENTERPRISE</v>
          </cell>
          <cell r="I403">
            <v>-7045.24</v>
          </cell>
          <cell r="J403">
            <v>0</v>
          </cell>
          <cell r="K403">
            <v>0</v>
          </cell>
          <cell r="L403">
            <v>-7045.24</v>
          </cell>
          <cell r="N403">
            <v>-7045.24</v>
          </cell>
          <cell r="O403">
            <v>12</v>
          </cell>
          <cell r="V403" t="str">
            <v>*</v>
          </cell>
        </row>
        <row r="404">
          <cell r="G404" t="str">
            <v>UMA SURGICAL</v>
          </cell>
          <cell r="I404">
            <v>-62664</v>
          </cell>
          <cell r="J404">
            <v>82160</v>
          </cell>
          <cell r="K404">
            <v>82400</v>
          </cell>
          <cell r="L404">
            <v>-62904</v>
          </cell>
          <cell r="N404">
            <v>-62904</v>
          </cell>
          <cell r="O404">
            <v>12</v>
          </cell>
          <cell r="V404" t="str">
            <v>*</v>
          </cell>
        </row>
        <row r="405">
          <cell r="G405" t="str">
            <v>CURE HOSPICARE INC.</v>
          </cell>
          <cell r="I405">
            <v>0</v>
          </cell>
          <cell r="J405">
            <v>547250</v>
          </cell>
          <cell r="K405">
            <v>547250</v>
          </cell>
          <cell r="L405">
            <v>0</v>
          </cell>
          <cell r="N405">
            <v>0</v>
          </cell>
          <cell r="O405">
            <v>12</v>
          </cell>
          <cell r="V405" t="str">
            <v>*</v>
          </cell>
        </row>
        <row r="406">
          <cell r="G406" t="str">
            <v>KRISHNA ENTERPRISE.</v>
          </cell>
          <cell r="I406">
            <v>-29856</v>
          </cell>
          <cell r="J406">
            <v>209026.12</v>
          </cell>
          <cell r="K406">
            <v>178000</v>
          </cell>
          <cell r="L406">
            <v>1170.1199999999999</v>
          </cell>
          <cell r="N406">
            <v>0</v>
          </cell>
          <cell r="O406">
            <v>12</v>
          </cell>
          <cell r="V406" t="str">
            <v>*</v>
          </cell>
        </row>
        <row r="407">
          <cell r="G407" t="str">
            <v>ROTOVISION INCORPORATED</v>
          </cell>
          <cell r="I407">
            <v>0</v>
          </cell>
          <cell r="J407">
            <v>297688</v>
          </cell>
          <cell r="K407">
            <v>75000</v>
          </cell>
          <cell r="L407">
            <v>222688</v>
          </cell>
          <cell r="N407">
            <v>0</v>
          </cell>
          <cell r="O407">
            <v>12</v>
          </cell>
          <cell r="V407" t="str">
            <v>*</v>
          </cell>
        </row>
        <row r="408">
          <cell r="G408" t="str">
            <v>MAHESH  PHARMACY</v>
          </cell>
          <cell r="I408">
            <v>18032.14</v>
          </cell>
          <cell r="J408">
            <v>0</v>
          </cell>
          <cell r="K408">
            <v>0</v>
          </cell>
          <cell r="L408">
            <v>18032.14</v>
          </cell>
          <cell r="N408">
            <v>0</v>
          </cell>
          <cell r="O408">
            <v>12</v>
          </cell>
          <cell r="V408" t="str">
            <v>*</v>
          </cell>
        </row>
        <row r="409">
          <cell r="G409" t="str">
            <v>V.S.ENTERPRISES</v>
          </cell>
          <cell r="I409">
            <v>-1350</v>
          </cell>
          <cell r="J409">
            <v>0</v>
          </cell>
          <cell r="K409">
            <v>0</v>
          </cell>
          <cell r="L409">
            <v>-1350</v>
          </cell>
          <cell r="N409">
            <v>-1350</v>
          </cell>
          <cell r="O409">
            <v>12</v>
          </cell>
          <cell r="V409" t="str">
            <v>*</v>
          </cell>
        </row>
        <row r="410">
          <cell r="G410" t="str">
            <v>HONEST SURGICAL COMPANY</v>
          </cell>
          <cell r="I410">
            <v>-624</v>
          </cell>
          <cell r="J410">
            <v>0</v>
          </cell>
          <cell r="K410">
            <v>0</v>
          </cell>
          <cell r="L410">
            <v>-624</v>
          </cell>
          <cell r="N410">
            <v>-624</v>
          </cell>
          <cell r="O410">
            <v>12</v>
          </cell>
          <cell r="V410" t="str">
            <v>*</v>
          </cell>
        </row>
        <row r="411">
          <cell r="G411" t="str">
            <v>PRACHI ENTERPRISES</v>
          </cell>
          <cell r="I411">
            <v>-2196</v>
          </cell>
          <cell r="J411">
            <v>185047.12</v>
          </cell>
          <cell r="K411">
            <v>199200</v>
          </cell>
          <cell r="L411">
            <v>-16348.88</v>
          </cell>
          <cell r="N411">
            <v>-16348.88</v>
          </cell>
          <cell r="O411">
            <v>12</v>
          </cell>
          <cell r="V411" t="str">
            <v>*</v>
          </cell>
        </row>
        <row r="412">
          <cell r="G412" t="str">
            <v>CENTRAL MEDICAL STORES BHILAI</v>
          </cell>
          <cell r="I412">
            <v>3150</v>
          </cell>
          <cell r="J412">
            <v>0</v>
          </cell>
          <cell r="K412">
            <v>0</v>
          </cell>
          <cell r="L412">
            <v>3150</v>
          </cell>
          <cell r="N412">
            <v>0</v>
          </cell>
          <cell r="O412">
            <v>12</v>
          </cell>
          <cell r="V412" t="str">
            <v>*</v>
          </cell>
        </row>
        <row r="413">
          <cell r="G413" t="str">
            <v>CASH SURGICALS</v>
          </cell>
          <cell r="I413">
            <v>2.56</v>
          </cell>
          <cell r="J413">
            <v>0</v>
          </cell>
          <cell r="K413">
            <v>0</v>
          </cell>
          <cell r="L413">
            <v>2.56</v>
          </cell>
          <cell r="N413">
            <v>0</v>
          </cell>
          <cell r="O413">
            <v>12</v>
          </cell>
          <cell r="V413" t="str">
            <v>*</v>
          </cell>
        </row>
        <row r="414">
          <cell r="G414" t="str">
            <v>OM CRITICAL CARE CENTRE PVT. LTD.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N414">
            <v>0</v>
          </cell>
          <cell r="O414">
            <v>12</v>
          </cell>
          <cell r="V414" t="str">
            <v>*</v>
          </cell>
        </row>
        <row r="415">
          <cell r="G415" t="str">
            <v>SAI ASSOCIATES</v>
          </cell>
          <cell r="I415">
            <v>29492.92</v>
          </cell>
          <cell r="J415">
            <v>58476</v>
          </cell>
          <cell r="K415">
            <v>185750</v>
          </cell>
          <cell r="L415">
            <v>-97781.08</v>
          </cell>
          <cell r="N415">
            <v>-97781.08</v>
          </cell>
          <cell r="O415">
            <v>12</v>
          </cell>
          <cell r="V415" t="str">
            <v>*</v>
          </cell>
        </row>
        <row r="416">
          <cell r="G416" t="str">
            <v>VIMAL SURGICALS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N416">
            <v>0</v>
          </cell>
          <cell r="O416">
            <v>12</v>
          </cell>
          <cell r="V416" t="str">
            <v>*</v>
          </cell>
        </row>
        <row r="417">
          <cell r="G417" t="str">
            <v>CHARAK HOSPITAL</v>
          </cell>
          <cell r="I417">
            <v>9543.5400000000009</v>
          </cell>
          <cell r="J417">
            <v>0</v>
          </cell>
          <cell r="K417">
            <v>0</v>
          </cell>
          <cell r="L417">
            <v>9543.5400000000009</v>
          </cell>
          <cell r="N417">
            <v>0</v>
          </cell>
          <cell r="O417">
            <v>12</v>
          </cell>
          <cell r="V417" t="str">
            <v>*</v>
          </cell>
        </row>
        <row r="418">
          <cell r="G418" t="str">
            <v>CHOITTHRAM HOSPITAL</v>
          </cell>
          <cell r="I418">
            <v>35195.4</v>
          </cell>
          <cell r="J418">
            <v>0</v>
          </cell>
          <cell r="K418">
            <v>0</v>
          </cell>
          <cell r="L418">
            <v>35195.4</v>
          </cell>
          <cell r="N418">
            <v>0</v>
          </cell>
          <cell r="O418">
            <v>12</v>
          </cell>
          <cell r="V418" t="str">
            <v>*</v>
          </cell>
        </row>
        <row r="419">
          <cell r="G419" t="str">
            <v>SHANTHI  MEDICOSE</v>
          </cell>
          <cell r="I419">
            <v>23419.52</v>
          </cell>
          <cell r="J419">
            <v>0</v>
          </cell>
          <cell r="K419">
            <v>0</v>
          </cell>
          <cell r="L419">
            <v>23419.52</v>
          </cell>
          <cell r="N419">
            <v>0</v>
          </cell>
          <cell r="O419">
            <v>12</v>
          </cell>
          <cell r="V419" t="str">
            <v>*</v>
          </cell>
        </row>
        <row r="420">
          <cell r="G420" t="str">
            <v>RAJNI ENTERPRISES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O420">
            <v>12</v>
          </cell>
          <cell r="V420" t="str">
            <v>*</v>
          </cell>
        </row>
        <row r="421">
          <cell r="G421" t="str">
            <v>SUPER MEDICAL DISTRIBUTORS</v>
          </cell>
          <cell r="I421">
            <v>-80</v>
          </cell>
          <cell r="J421">
            <v>0</v>
          </cell>
          <cell r="K421">
            <v>0</v>
          </cell>
          <cell r="L421">
            <v>-80</v>
          </cell>
          <cell r="N421">
            <v>-80</v>
          </cell>
          <cell r="O421">
            <v>12</v>
          </cell>
          <cell r="V421" t="str">
            <v>*</v>
          </cell>
        </row>
        <row r="422">
          <cell r="G422" t="str">
            <v>THE DIRECTOR, WANLESS HOSPITAL</v>
          </cell>
          <cell r="I422">
            <v>15489.61</v>
          </cell>
          <cell r="J422">
            <v>0</v>
          </cell>
          <cell r="K422">
            <v>0</v>
          </cell>
          <cell r="L422">
            <v>15489.61</v>
          </cell>
          <cell r="N422">
            <v>0</v>
          </cell>
          <cell r="O422">
            <v>12</v>
          </cell>
          <cell r="V422" t="str">
            <v>*</v>
          </cell>
        </row>
        <row r="423">
          <cell r="G423" t="str">
            <v>MAHALAKSHMI  HOSPITAL</v>
          </cell>
          <cell r="I423">
            <v>12751.28</v>
          </cell>
          <cell r="J423">
            <v>0</v>
          </cell>
          <cell r="K423">
            <v>0</v>
          </cell>
          <cell r="L423">
            <v>12751.28</v>
          </cell>
          <cell r="N423">
            <v>0</v>
          </cell>
          <cell r="O423">
            <v>12</v>
          </cell>
          <cell r="V423" t="str">
            <v>*</v>
          </cell>
        </row>
        <row r="424">
          <cell r="G424" t="str">
            <v>DATTA MEDICAL STORES</v>
          </cell>
          <cell r="I424">
            <v>8981.2000000000007</v>
          </cell>
          <cell r="J424">
            <v>0</v>
          </cell>
          <cell r="K424">
            <v>0</v>
          </cell>
          <cell r="L424">
            <v>8981.2000000000007</v>
          </cell>
          <cell r="N424">
            <v>0</v>
          </cell>
          <cell r="O424">
            <v>12</v>
          </cell>
          <cell r="V424" t="str">
            <v>*</v>
          </cell>
        </row>
        <row r="425">
          <cell r="G425" t="str">
            <v>ROYAL PHARMA</v>
          </cell>
          <cell r="I425">
            <v>34320</v>
          </cell>
          <cell r="J425">
            <v>0</v>
          </cell>
          <cell r="K425">
            <v>0</v>
          </cell>
          <cell r="L425">
            <v>34320</v>
          </cell>
          <cell r="N425">
            <v>0</v>
          </cell>
          <cell r="O425">
            <v>12</v>
          </cell>
          <cell r="V425" t="str">
            <v>*</v>
          </cell>
        </row>
        <row r="426">
          <cell r="G426" t="str">
            <v>P D HINDUJA HOSPITAL BOMBAY</v>
          </cell>
          <cell r="I426">
            <v>190492.94</v>
          </cell>
          <cell r="J426">
            <v>0</v>
          </cell>
          <cell r="K426">
            <v>9466.8799999999992</v>
          </cell>
          <cell r="L426">
            <v>181026.06</v>
          </cell>
          <cell r="N426">
            <v>0</v>
          </cell>
          <cell r="O426">
            <v>12</v>
          </cell>
          <cell r="V426" t="str">
            <v>*</v>
          </cell>
        </row>
        <row r="427">
          <cell r="G427" t="str">
            <v>MEDICAL RESEARCH CENTRE</v>
          </cell>
          <cell r="I427">
            <v>57638.62</v>
          </cell>
          <cell r="J427">
            <v>0</v>
          </cell>
          <cell r="K427">
            <v>0</v>
          </cell>
          <cell r="L427">
            <v>57638.62</v>
          </cell>
          <cell r="N427">
            <v>0</v>
          </cell>
          <cell r="O427">
            <v>12</v>
          </cell>
          <cell r="V427" t="str">
            <v>*</v>
          </cell>
        </row>
        <row r="428">
          <cell r="G428" t="str">
            <v>BOMBAY HOSPITAL TRUST</v>
          </cell>
          <cell r="I428">
            <v>9445</v>
          </cell>
          <cell r="J428">
            <v>0</v>
          </cell>
          <cell r="K428">
            <v>0</v>
          </cell>
          <cell r="L428">
            <v>9445</v>
          </cell>
          <cell r="N428">
            <v>0</v>
          </cell>
          <cell r="O428">
            <v>12</v>
          </cell>
          <cell r="V428" t="str">
            <v>*</v>
          </cell>
        </row>
        <row r="429">
          <cell r="G429" t="str">
            <v>PANKIT &amp; CO.</v>
          </cell>
          <cell r="I429">
            <v>-0.4</v>
          </cell>
          <cell r="J429">
            <v>0</v>
          </cell>
          <cell r="K429">
            <v>0</v>
          </cell>
          <cell r="L429">
            <v>-0.4</v>
          </cell>
          <cell r="N429">
            <v>-0.4</v>
          </cell>
          <cell r="O429">
            <v>12</v>
          </cell>
          <cell r="V429" t="str">
            <v>*</v>
          </cell>
        </row>
        <row r="430">
          <cell r="G430" t="str">
            <v>GAURAV   ENTERPRISES</v>
          </cell>
          <cell r="I430">
            <v>92851.199999999997</v>
          </cell>
          <cell r="J430">
            <v>0</v>
          </cell>
          <cell r="K430">
            <v>0</v>
          </cell>
          <cell r="L430">
            <v>92851.199999999997</v>
          </cell>
          <cell r="N430">
            <v>0</v>
          </cell>
          <cell r="O430">
            <v>12</v>
          </cell>
          <cell r="V430" t="str">
            <v>*</v>
          </cell>
        </row>
        <row r="431">
          <cell r="G431" t="str">
            <v>RAJNI ENTERPRISE</v>
          </cell>
          <cell r="I431">
            <v>-0.15</v>
          </cell>
          <cell r="J431">
            <v>218400</v>
          </cell>
          <cell r="K431">
            <v>218400</v>
          </cell>
          <cell r="L431">
            <v>-0.15</v>
          </cell>
          <cell r="N431">
            <v>-0.15</v>
          </cell>
          <cell r="O431">
            <v>12</v>
          </cell>
          <cell r="V431" t="str">
            <v>*</v>
          </cell>
        </row>
        <row r="432">
          <cell r="G432" t="str">
            <v>MEHTA TRADING CORPORATION</v>
          </cell>
          <cell r="I432">
            <v>-0.06</v>
          </cell>
          <cell r="J432">
            <v>0</v>
          </cell>
          <cell r="K432">
            <v>0</v>
          </cell>
          <cell r="L432">
            <v>-0.06</v>
          </cell>
          <cell r="N432">
            <v>-0.06</v>
          </cell>
          <cell r="O432">
            <v>12</v>
          </cell>
          <cell r="V432" t="str">
            <v>*</v>
          </cell>
        </row>
        <row r="433">
          <cell r="G433" t="str">
            <v>JASLOK HOSPITAL &amp; RESEARCH CENTRE</v>
          </cell>
          <cell r="I433">
            <v>65672.02</v>
          </cell>
          <cell r="J433">
            <v>9672.61</v>
          </cell>
          <cell r="K433">
            <v>0</v>
          </cell>
          <cell r="L433">
            <v>75344.63</v>
          </cell>
          <cell r="N433">
            <v>0</v>
          </cell>
          <cell r="O433">
            <v>12</v>
          </cell>
          <cell r="V433" t="str">
            <v>*</v>
          </cell>
        </row>
        <row r="434">
          <cell r="G434" t="str">
            <v>LTMG HOSP COLLEGE</v>
          </cell>
          <cell r="I434">
            <v>11175.95</v>
          </cell>
          <cell r="J434">
            <v>0</v>
          </cell>
          <cell r="K434">
            <v>0</v>
          </cell>
          <cell r="L434">
            <v>11175.95</v>
          </cell>
          <cell r="N434">
            <v>0</v>
          </cell>
          <cell r="O434">
            <v>12</v>
          </cell>
          <cell r="V434" t="str">
            <v>*</v>
          </cell>
        </row>
        <row r="435">
          <cell r="G435" t="str">
            <v>GOVT OF INDIA MINISTRY OF DEFE INHS ASVN</v>
          </cell>
          <cell r="I435">
            <v>164694.39999999999</v>
          </cell>
          <cell r="J435">
            <v>0</v>
          </cell>
          <cell r="K435">
            <v>0</v>
          </cell>
          <cell r="L435">
            <v>164694.39999999999</v>
          </cell>
          <cell r="N435">
            <v>0</v>
          </cell>
          <cell r="O435">
            <v>12</v>
          </cell>
          <cell r="V435" t="str">
            <v>*</v>
          </cell>
        </row>
        <row r="436">
          <cell r="G436" t="str">
            <v>UNITED SURGICALS - MUMBAI</v>
          </cell>
          <cell r="I436">
            <v>28552.97</v>
          </cell>
          <cell r="J436">
            <v>38448</v>
          </cell>
          <cell r="K436">
            <v>0</v>
          </cell>
          <cell r="L436">
            <v>67000.97</v>
          </cell>
          <cell r="N436">
            <v>0</v>
          </cell>
          <cell r="O436">
            <v>12</v>
          </cell>
          <cell r="V436" t="str">
            <v>*</v>
          </cell>
        </row>
        <row r="437">
          <cell r="G437" t="str">
            <v>S  K  ENTERPRISES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O437">
            <v>12</v>
          </cell>
          <cell r="V437" t="str">
            <v>*</v>
          </cell>
        </row>
        <row r="438">
          <cell r="G438" t="str">
            <v>SIR HURKISONDAS  NURROTUMDAS HOSPITAL</v>
          </cell>
          <cell r="I438">
            <v>4100.0200000000004</v>
          </cell>
          <cell r="J438">
            <v>0</v>
          </cell>
          <cell r="K438">
            <v>0</v>
          </cell>
          <cell r="L438">
            <v>4100.0200000000004</v>
          </cell>
          <cell r="N438">
            <v>0</v>
          </cell>
          <cell r="O438">
            <v>12</v>
          </cell>
          <cell r="V438" t="str">
            <v>*</v>
          </cell>
        </row>
        <row r="439">
          <cell r="G439" t="str">
            <v>TATA MEMORIAL HOSPITAL</v>
          </cell>
          <cell r="I439">
            <v>239951.5</v>
          </cell>
          <cell r="J439">
            <v>0</v>
          </cell>
          <cell r="K439">
            <v>0</v>
          </cell>
          <cell r="L439">
            <v>239951.5</v>
          </cell>
          <cell r="N439">
            <v>0</v>
          </cell>
          <cell r="O439">
            <v>12</v>
          </cell>
          <cell r="V439" t="str">
            <v>*</v>
          </cell>
        </row>
        <row r="440">
          <cell r="G440" t="str">
            <v>HOECHST MARRION RUSSOLE LIMITED</v>
          </cell>
          <cell r="I440">
            <v>340124.69</v>
          </cell>
          <cell r="J440">
            <v>0</v>
          </cell>
          <cell r="K440">
            <v>0</v>
          </cell>
          <cell r="L440">
            <v>340124.69</v>
          </cell>
          <cell r="N440">
            <v>0</v>
          </cell>
          <cell r="O440">
            <v>12</v>
          </cell>
          <cell r="V440" t="str">
            <v>*</v>
          </cell>
        </row>
        <row r="441">
          <cell r="G441" t="str">
            <v>SURGI PHARMA (S.P.ENTERPRISE)</v>
          </cell>
          <cell r="I441">
            <v>-2195.92</v>
          </cell>
          <cell r="J441">
            <v>0</v>
          </cell>
          <cell r="K441">
            <v>0</v>
          </cell>
          <cell r="L441">
            <v>-2195.92</v>
          </cell>
          <cell r="N441">
            <v>-2195.92</v>
          </cell>
          <cell r="O441">
            <v>12</v>
          </cell>
          <cell r="V441" t="str">
            <v>*</v>
          </cell>
        </row>
        <row r="442">
          <cell r="G442" t="str">
            <v>JAGDISH CHEDDHA</v>
          </cell>
          <cell r="I442">
            <v>48150.11</v>
          </cell>
          <cell r="J442">
            <v>0</v>
          </cell>
          <cell r="K442">
            <v>0</v>
          </cell>
          <cell r="L442">
            <v>48150.11</v>
          </cell>
          <cell r="N442">
            <v>0</v>
          </cell>
          <cell r="O442">
            <v>12</v>
          </cell>
          <cell r="V442" t="str">
            <v>*</v>
          </cell>
        </row>
        <row r="443">
          <cell r="G443" t="str">
            <v>RAJNI ENTERPRISE (BANK GUARANTEE)</v>
          </cell>
          <cell r="I443">
            <v>3274993.62</v>
          </cell>
          <cell r="J443">
            <v>2437261.5</v>
          </cell>
          <cell r="K443">
            <v>2157629</v>
          </cell>
          <cell r="L443">
            <v>3554626.12</v>
          </cell>
          <cell r="N443">
            <v>0</v>
          </cell>
          <cell r="O443">
            <v>12</v>
          </cell>
          <cell r="V443" t="str">
            <v>*</v>
          </cell>
        </row>
        <row r="444">
          <cell r="G444" t="str">
            <v>SAMARTH HOSPITAL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O444">
            <v>12</v>
          </cell>
          <cell r="V444" t="str">
            <v>*</v>
          </cell>
        </row>
        <row r="445">
          <cell r="G445" t="str">
            <v>MAHATMA GANDHI MISSION (NEW BOMBAY HOSP.)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O445">
            <v>12</v>
          </cell>
          <cell r="V445" t="str">
            <v>*</v>
          </cell>
        </row>
        <row r="446">
          <cell r="G446" t="str">
            <v>RANE HOSPITAL</v>
          </cell>
          <cell r="I446">
            <v>-2000</v>
          </cell>
          <cell r="J446">
            <v>0</v>
          </cell>
          <cell r="K446">
            <v>0</v>
          </cell>
          <cell r="L446">
            <v>-2000</v>
          </cell>
          <cell r="N446">
            <v>-2000</v>
          </cell>
          <cell r="O446">
            <v>12</v>
          </cell>
          <cell r="V446" t="str">
            <v>*</v>
          </cell>
        </row>
        <row r="447">
          <cell r="G447" t="str">
            <v>S.K.SHARMA &amp; COMPANY</v>
          </cell>
          <cell r="I447">
            <v>0</v>
          </cell>
          <cell r="J447">
            <v>96316.64</v>
          </cell>
          <cell r="K447">
            <v>96316.64</v>
          </cell>
          <cell r="L447">
            <v>0</v>
          </cell>
          <cell r="N447">
            <v>0</v>
          </cell>
          <cell r="O447">
            <v>12</v>
          </cell>
          <cell r="V447" t="str">
            <v>*</v>
          </cell>
        </row>
        <row r="448">
          <cell r="G448" t="str">
            <v>H R J SURGICALS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O448">
            <v>12</v>
          </cell>
          <cell r="V448" t="str">
            <v>*</v>
          </cell>
        </row>
        <row r="449">
          <cell r="G449" t="str">
            <v>EDIFICE CORPORATION</v>
          </cell>
          <cell r="I449">
            <v>-189.28</v>
          </cell>
          <cell r="J449">
            <v>313395.65999999997</v>
          </cell>
          <cell r="K449">
            <v>151395.66</v>
          </cell>
          <cell r="L449">
            <v>161810.72</v>
          </cell>
          <cell r="N449">
            <v>0</v>
          </cell>
          <cell r="O449">
            <v>12</v>
          </cell>
          <cell r="V449" t="str">
            <v>*</v>
          </cell>
        </row>
        <row r="450">
          <cell r="G450" t="str">
            <v>SUPERINTENDENT (CAMA) &amp; ALBLES HOSPITAL</v>
          </cell>
          <cell r="I450">
            <v>-5200</v>
          </cell>
          <cell r="J450">
            <v>19000</v>
          </cell>
          <cell r="K450">
            <v>0</v>
          </cell>
          <cell r="L450">
            <v>13800</v>
          </cell>
          <cell r="N450">
            <v>0</v>
          </cell>
          <cell r="O450">
            <v>12</v>
          </cell>
          <cell r="V450" t="str">
            <v>*</v>
          </cell>
        </row>
        <row r="451">
          <cell r="G451" t="str">
            <v>B.A.R.C. HOSPITAL</v>
          </cell>
          <cell r="I451">
            <v>33519.199999999997</v>
          </cell>
          <cell r="J451">
            <v>0</v>
          </cell>
          <cell r="K451">
            <v>0</v>
          </cell>
          <cell r="L451">
            <v>33519.199999999997</v>
          </cell>
          <cell r="N451">
            <v>0</v>
          </cell>
          <cell r="O451">
            <v>12</v>
          </cell>
          <cell r="V451" t="str">
            <v>*</v>
          </cell>
        </row>
        <row r="452">
          <cell r="G452" t="str">
            <v>BREACH CANDY HOSPITAL</v>
          </cell>
          <cell r="I452">
            <v>180400</v>
          </cell>
          <cell r="J452">
            <v>0</v>
          </cell>
          <cell r="K452">
            <v>0</v>
          </cell>
          <cell r="L452">
            <v>180400</v>
          </cell>
          <cell r="N452">
            <v>0</v>
          </cell>
          <cell r="O452">
            <v>12</v>
          </cell>
          <cell r="V452" t="str">
            <v>*</v>
          </cell>
        </row>
        <row r="453">
          <cell r="G453" t="str">
            <v>RAMAKRISHNA MISSION HOSPITAL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N453">
            <v>0</v>
          </cell>
          <cell r="O453">
            <v>12</v>
          </cell>
          <cell r="V453" t="str">
            <v>*</v>
          </cell>
        </row>
        <row r="454">
          <cell r="G454" t="str">
            <v>HOLY FAMILY HOSPITALS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N454">
            <v>0</v>
          </cell>
          <cell r="O454">
            <v>12</v>
          </cell>
          <cell r="V454" t="str">
            <v>*</v>
          </cell>
        </row>
        <row r="455">
          <cell r="G455" t="str">
            <v>SHUSHRUSHA CITIZEN CO-OP HOSPITAL LTD.</v>
          </cell>
          <cell r="I455">
            <v>26700</v>
          </cell>
          <cell r="J455">
            <v>0</v>
          </cell>
          <cell r="K455">
            <v>0</v>
          </cell>
          <cell r="L455">
            <v>26700</v>
          </cell>
          <cell r="N455">
            <v>0</v>
          </cell>
          <cell r="O455">
            <v>12</v>
          </cell>
          <cell r="V455" t="str">
            <v>*</v>
          </cell>
        </row>
        <row r="456">
          <cell r="G456" t="str">
            <v>PHADKE HOSPITAL</v>
          </cell>
          <cell r="I456">
            <v>-8843.9</v>
          </cell>
          <cell r="J456">
            <v>0</v>
          </cell>
          <cell r="K456">
            <v>0</v>
          </cell>
          <cell r="L456">
            <v>-8843.9</v>
          </cell>
          <cell r="N456">
            <v>-8843.9</v>
          </cell>
          <cell r="O456">
            <v>12</v>
          </cell>
          <cell r="V456" t="str">
            <v>*</v>
          </cell>
        </row>
        <row r="457">
          <cell r="G457" t="str">
            <v>RAJ ORTHOPAEDIC HOSPITAL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N457">
            <v>0</v>
          </cell>
          <cell r="O457">
            <v>12</v>
          </cell>
          <cell r="V457" t="str">
            <v>*</v>
          </cell>
        </row>
        <row r="458">
          <cell r="G458" t="str">
            <v>SIR J J GROUP OF HOSPITALS</v>
          </cell>
          <cell r="I458">
            <v>18242.8</v>
          </cell>
          <cell r="J458">
            <v>0</v>
          </cell>
          <cell r="K458">
            <v>0</v>
          </cell>
          <cell r="L458">
            <v>18242.8</v>
          </cell>
          <cell r="N458">
            <v>0</v>
          </cell>
          <cell r="O458">
            <v>12</v>
          </cell>
          <cell r="V458" t="str">
            <v>*</v>
          </cell>
        </row>
        <row r="459">
          <cell r="G459" t="str">
            <v>SUPREME SUPPLIERS</v>
          </cell>
          <cell r="I459">
            <v>0</v>
          </cell>
          <cell r="J459">
            <v>62400</v>
          </cell>
          <cell r="K459">
            <v>62400</v>
          </cell>
          <cell r="L459">
            <v>0</v>
          </cell>
          <cell r="N459">
            <v>0</v>
          </cell>
          <cell r="O459">
            <v>12</v>
          </cell>
          <cell r="V459" t="str">
            <v>*</v>
          </cell>
        </row>
        <row r="460">
          <cell r="G460" t="str">
            <v>EMPIRE CHEMISTS</v>
          </cell>
          <cell r="I460">
            <v>-123.27</v>
          </cell>
          <cell r="J460">
            <v>0</v>
          </cell>
          <cell r="K460">
            <v>0</v>
          </cell>
          <cell r="L460">
            <v>-123.27</v>
          </cell>
          <cell r="N460">
            <v>-123.27</v>
          </cell>
          <cell r="O460">
            <v>12</v>
          </cell>
          <cell r="V460" t="str">
            <v>*</v>
          </cell>
        </row>
        <row r="461">
          <cell r="G461" t="str">
            <v>NAYAN TRADE CORPORATION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N461">
            <v>0</v>
          </cell>
          <cell r="O461">
            <v>12</v>
          </cell>
          <cell r="V461" t="str">
            <v>*</v>
          </cell>
        </row>
        <row r="462">
          <cell r="G462" t="str">
            <v>DR. SANDEEP DIWAN</v>
          </cell>
          <cell r="I462">
            <v>0.01</v>
          </cell>
          <cell r="J462">
            <v>0</v>
          </cell>
          <cell r="K462">
            <v>0</v>
          </cell>
          <cell r="L462">
            <v>0.01</v>
          </cell>
          <cell r="N462">
            <v>0</v>
          </cell>
          <cell r="O462">
            <v>12</v>
          </cell>
          <cell r="V462" t="str">
            <v>*</v>
          </cell>
        </row>
        <row r="463">
          <cell r="G463" t="str">
            <v>HIRA PHARMA DISTRIBUTORS PVT.LTD</v>
          </cell>
          <cell r="I463">
            <v>93.6</v>
          </cell>
          <cell r="J463">
            <v>0</v>
          </cell>
          <cell r="K463">
            <v>0</v>
          </cell>
          <cell r="L463">
            <v>93.6</v>
          </cell>
          <cell r="N463">
            <v>0</v>
          </cell>
          <cell r="O463">
            <v>12</v>
          </cell>
          <cell r="V463" t="str">
            <v>*</v>
          </cell>
        </row>
        <row r="464">
          <cell r="G464" t="str">
            <v>UNIVAL SURGICAL TRADERS</v>
          </cell>
          <cell r="I464">
            <v>-10311.17</v>
          </cell>
          <cell r="J464">
            <v>20088</v>
          </cell>
          <cell r="K464">
            <v>20088</v>
          </cell>
          <cell r="L464">
            <v>-10311.17</v>
          </cell>
          <cell r="N464">
            <v>-10311.17</v>
          </cell>
          <cell r="O464">
            <v>12</v>
          </cell>
          <cell r="V464" t="str">
            <v>*</v>
          </cell>
        </row>
        <row r="465">
          <cell r="G465" t="str">
            <v>CHETANA FOUNDATION</v>
          </cell>
          <cell r="I465">
            <v>-0.66</v>
          </cell>
          <cell r="J465">
            <v>0</v>
          </cell>
          <cell r="K465">
            <v>0</v>
          </cell>
          <cell r="L465">
            <v>-0.66</v>
          </cell>
          <cell r="N465">
            <v>-0.66</v>
          </cell>
          <cell r="O465">
            <v>12</v>
          </cell>
          <cell r="V465" t="str">
            <v>*</v>
          </cell>
        </row>
        <row r="466">
          <cell r="G466" t="str">
            <v>PRINCE ALI KHAN HOSPITAL</v>
          </cell>
          <cell r="I466">
            <v>14706.03</v>
          </cell>
          <cell r="J466">
            <v>0</v>
          </cell>
          <cell r="K466">
            <v>0</v>
          </cell>
          <cell r="L466">
            <v>14706.03</v>
          </cell>
          <cell r="N466">
            <v>0</v>
          </cell>
          <cell r="O466">
            <v>12</v>
          </cell>
          <cell r="V466" t="str">
            <v>*</v>
          </cell>
        </row>
        <row r="467">
          <cell r="G467" t="str">
            <v>HEELING TOUCH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N467">
            <v>0</v>
          </cell>
          <cell r="O467">
            <v>12</v>
          </cell>
          <cell r="V467" t="str">
            <v>*</v>
          </cell>
        </row>
        <row r="468">
          <cell r="G468" t="str">
            <v>V.RAJKOTIA &amp; CO.</v>
          </cell>
          <cell r="I468">
            <v>-10.4</v>
          </cell>
          <cell r="J468">
            <v>0</v>
          </cell>
          <cell r="K468">
            <v>0</v>
          </cell>
          <cell r="L468">
            <v>-10.4</v>
          </cell>
          <cell r="N468">
            <v>-10.4</v>
          </cell>
          <cell r="O468">
            <v>12</v>
          </cell>
          <cell r="V468" t="str">
            <v>*</v>
          </cell>
        </row>
        <row r="469">
          <cell r="G469" t="str">
            <v>HOLY SPIRIT HOSPITAL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N469">
            <v>0</v>
          </cell>
          <cell r="O469">
            <v>12</v>
          </cell>
          <cell r="V469" t="str">
            <v>*</v>
          </cell>
        </row>
        <row r="470">
          <cell r="G470" t="str">
            <v>SHRIMATI SUNITADEVI SINGHANIA MED. RES. CENTRE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N470">
            <v>0</v>
          </cell>
          <cell r="O470">
            <v>12</v>
          </cell>
          <cell r="V470" t="str">
            <v>*</v>
          </cell>
        </row>
        <row r="471">
          <cell r="G471" t="str">
            <v>PRABHA SURGICALS</v>
          </cell>
          <cell r="I471">
            <v>0</v>
          </cell>
          <cell r="J471">
            <v>241388</v>
          </cell>
          <cell r="K471">
            <v>345158</v>
          </cell>
          <cell r="L471">
            <v>-103770</v>
          </cell>
          <cell r="N471">
            <v>-103770</v>
          </cell>
          <cell r="O471">
            <v>12</v>
          </cell>
          <cell r="V471" t="str">
            <v>*</v>
          </cell>
        </row>
        <row r="472">
          <cell r="G472" t="str">
            <v>KRISHNA CARDIAC CARE CENTRE</v>
          </cell>
          <cell r="I472">
            <v>88000</v>
          </cell>
          <cell r="J472">
            <v>0</v>
          </cell>
          <cell r="K472">
            <v>88000</v>
          </cell>
          <cell r="L472">
            <v>0</v>
          </cell>
          <cell r="N472">
            <v>0</v>
          </cell>
          <cell r="O472">
            <v>12</v>
          </cell>
          <cell r="V472" t="str">
            <v>*</v>
          </cell>
        </row>
        <row r="473">
          <cell r="G473" t="str">
            <v>METCO SCIENTIFIC INDUSTRIES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N473">
            <v>0</v>
          </cell>
          <cell r="O473">
            <v>12</v>
          </cell>
          <cell r="V473" t="str">
            <v>*</v>
          </cell>
        </row>
        <row r="474">
          <cell r="G474" t="str">
            <v>MEHTA SURGICAL EMPORIUM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N474">
            <v>0</v>
          </cell>
          <cell r="O474">
            <v>12</v>
          </cell>
          <cell r="V474" t="str">
            <v>*</v>
          </cell>
        </row>
        <row r="475">
          <cell r="G475" t="str">
            <v>SAKHI GROUP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N475">
            <v>0</v>
          </cell>
          <cell r="O475">
            <v>12</v>
          </cell>
          <cell r="V475" t="str">
            <v>*</v>
          </cell>
        </row>
        <row r="476">
          <cell r="G476" t="str">
            <v>THE MUSLIM AMBULANCE SOCIETY MATERNITY AND NURSING HOME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N476">
            <v>0</v>
          </cell>
          <cell r="O476">
            <v>12</v>
          </cell>
          <cell r="V476" t="str">
            <v>*</v>
          </cell>
        </row>
        <row r="477">
          <cell r="G477" t="str">
            <v>VAIBHAV SURGICALS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N477">
            <v>0</v>
          </cell>
          <cell r="O477">
            <v>12</v>
          </cell>
          <cell r="V477" t="str">
            <v>*</v>
          </cell>
        </row>
        <row r="478">
          <cell r="G478" t="str">
            <v>MEDICARE ENTERPRISES</v>
          </cell>
          <cell r="I478">
            <v>52800</v>
          </cell>
          <cell r="J478">
            <v>0</v>
          </cell>
          <cell r="K478">
            <v>52800</v>
          </cell>
          <cell r="L478">
            <v>0</v>
          </cell>
          <cell r="N478">
            <v>0</v>
          </cell>
          <cell r="O478">
            <v>12</v>
          </cell>
          <cell r="V478" t="str">
            <v>*</v>
          </cell>
        </row>
        <row r="479">
          <cell r="G479" t="str">
            <v>M/S JOHL ENTERPRISES</v>
          </cell>
          <cell r="I479">
            <v>0</v>
          </cell>
          <cell r="J479">
            <v>609591.1</v>
          </cell>
          <cell r="K479">
            <v>300000</v>
          </cell>
          <cell r="L479">
            <v>309591.09999999998</v>
          </cell>
          <cell r="N479">
            <v>0</v>
          </cell>
          <cell r="O479">
            <v>12</v>
          </cell>
          <cell r="V479" t="str">
            <v>*</v>
          </cell>
        </row>
        <row r="480">
          <cell r="G480" t="str">
            <v>D.Z. PATEL (RAMOL/LONDON) CARDIO. CENTRE</v>
          </cell>
          <cell r="I480">
            <v>-0.01</v>
          </cell>
          <cell r="J480">
            <v>0</v>
          </cell>
          <cell r="K480">
            <v>0</v>
          </cell>
          <cell r="L480">
            <v>-0.01</v>
          </cell>
          <cell r="N480">
            <v>-0.01</v>
          </cell>
          <cell r="O480">
            <v>12</v>
          </cell>
          <cell r="V480" t="str">
            <v>*</v>
          </cell>
        </row>
        <row r="481">
          <cell r="G481" t="str">
            <v>AMTREX DISTRIBUTORS</v>
          </cell>
          <cell r="I481">
            <v>-1034.9000000000001</v>
          </cell>
          <cell r="J481">
            <v>155950</v>
          </cell>
          <cell r="K481">
            <v>251200</v>
          </cell>
          <cell r="L481">
            <v>-96284.9</v>
          </cell>
          <cell r="N481">
            <v>-96284.9</v>
          </cell>
          <cell r="O481">
            <v>12</v>
          </cell>
          <cell r="V481" t="str">
            <v>*</v>
          </cell>
        </row>
        <row r="482">
          <cell r="G482" t="str">
            <v>RAHUL ENTERPRISES,</v>
          </cell>
          <cell r="I482">
            <v>-15.12</v>
          </cell>
          <cell r="J482">
            <v>0</v>
          </cell>
          <cell r="K482">
            <v>0</v>
          </cell>
          <cell r="L482">
            <v>-15.12</v>
          </cell>
          <cell r="N482">
            <v>-15.12</v>
          </cell>
          <cell r="O482">
            <v>12</v>
          </cell>
          <cell r="V482" t="str">
            <v>*</v>
          </cell>
        </row>
        <row r="483">
          <cell r="G483" t="str">
            <v>RAJEBAHADUR HEART FOUNDATION PVT. LTD.</v>
          </cell>
          <cell r="I483">
            <v>0.18</v>
          </cell>
          <cell r="J483">
            <v>0</v>
          </cell>
          <cell r="K483">
            <v>0</v>
          </cell>
          <cell r="L483">
            <v>0.18</v>
          </cell>
          <cell r="N483">
            <v>0</v>
          </cell>
          <cell r="O483">
            <v>12</v>
          </cell>
          <cell r="V483" t="str">
            <v>*</v>
          </cell>
        </row>
        <row r="484">
          <cell r="G484" t="str">
            <v>SHREE SAMARTH RISHIKESH HOSPITAL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N484">
            <v>0</v>
          </cell>
          <cell r="O484">
            <v>12</v>
          </cell>
          <cell r="V484" t="str">
            <v>*</v>
          </cell>
        </row>
        <row r="485">
          <cell r="G485" t="str">
            <v>HEALING TOUCH ANGIOGRAPHY &amp; CARD. SURG. CENTRE PVT. LTD.</v>
          </cell>
          <cell r="I485">
            <v>518999.96</v>
          </cell>
          <cell r="J485">
            <v>229000</v>
          </cell>
          <cell r="K485">
            <v>747999.96</v>
          </cell>
          <cell r="L485">
            <v>0</v>
          </cell>
          <cell r="N485">
            <v>0</v>
          </cell>
          <cell r="O485">
            <v>12</v>
          </cell>
          <cell r="V485" t="str">
            <v>*</v>
          </cell>
        </row>
        <row r="486">
          <cell r="G486" t="str">
            <v>CHAITAINYA ENTERPRISES</v>
          </cell>
          <cell r="I486">
            <v>5245.44</v>
          </cell>
          <cell r="J486">
            <v>26000</v>
          </cell>
          <cell r="K486">
            <v>31348</v>
          </cell>
          <cell r="L486">
            <v>-102.56</v>
          </cell>
          <cell r="N486">
            <v>-102.56</v>
          </cell>
          <cell r="O486">
            <v>12</v>
          </cell>
          <cell r="V486" t="str">
            <v>*</v>
          </cell>
        </row>
        <row r="487">
          <cell r="G487" t="str">
            <v>PIONEER DIST. PANJI</v>
          </cell>
          <cell r="I487">
            <v>15851.4</v>
          </cell>
          <cell r="J487">
            <v>0</v>
          </cell>
          <cell r="K487">
            <v>0</v>
          </cell>
          <cell r="L487">
            <v>15851.4</v>
          </cell>
          <cell r="N487">
            <v>0</v>
          </cell>
          <cell r="O487">
            <v>12</v>
          </cell>
          <cell r="V487" t="str">
            <v>*</v>
          </cell>
        </row>
        <row r="488">
          <cell r="G488" t="str">
            <v>THE DEAN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N488">
            <v>0</v>
          </cell>
          <cell r="O488">
            <v>12</v>
          </cell>
          <cell r="V488" t="str">
            <v>*</v>
          </cell>
        </row>
        <row r="489">
          <cell r="G489" t="str">
            <v>BHAGWATI MEDICAL AGENCY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N489">
            <v>0</v>
          </cell>
          <cell r="O489">
            <v>12</v>
          </cell>
          <cell r="V489" t="str">
            <v>*</v>
          </cell>
        </row>
        <row r="490">
          <cell r="G490" t="str">
            <v>MEDICAL SUPERINTENDENT JEHANGIR HOSPITAL</v>
          </cell>
          <cell r="I490">
            <v>24708.98</v>
          </cell>
          <cell r="J490">
            <v>0</v>
          </cell>
          <cell r="K490">
            <v>0</v>
          </cell>
          <cell r="L490">
            <v>24708.98</v>
          </cell>
          <cell r="N490">
            <v>0</v>
          </cell>
          <cell r="O490">
            <v>12</v>
          </cell>
          <cell r="V490" t="str">
            <v>*</v>
          </cell>
        </row>
        <row r="491">
          <cell r="G491" t="str">
            <v>KANCHAN DRUGS PVT LTD</v>
          </cell>
          <cell r="I491">
            <v>157578.14000000001</v>
          </cell>
          <cell r="J491">
            <v>0</v>
          </cell>
          <cell r="K491">
            <v>0</v>
          </cell>
          <cell r="L491">
            <v>157578.14000000001</v>
          </cell>
          <cell r="N491">
            <v>0</v>
          </cell>
          <cell r="O491">
            <v>12</v>
          </cell>
          <cell r="V491" t="str">
            <v>*</v>
          </cell>
        </row>
        <row r="492">
          <cell r="G492" t="str">
            <v>KANCHAN DRUGS PVT LTD  (URALI)</v>
          </cell>
          <cell r="I492">
            <v>59999.8</v>
          </cell>
          <cell r="J492">
            <v>0</v>
          </cell>
          <cell r="K492">
            <v>0</v>
          </cell>
          <cell r="L492">
            <v>59999.8</v>
          </cell>
          <cell r="N492">
            <v>0</v>
          </cell>
          <cell r="O492">
            <v>12</v>
          </cell>
          <cell r="V492" t="str">
            <v>*</v>
          </cell>
        </row>
        <row r="493">
          <cell r="G493" t="str">
            <v>MAHARASHTRA MEDICAL RESEARCH SOCIETY</v>
          </cell>
          <cell r="I493">
            <v>25411.74</v>
          </cell>
          <cell r="J493">
            <v>0</v>
          </cell>
          <cell r="K493">
            <v>0</v>
          </cell>
          <cell r="L493">
            <v>25411.74</v>
          </cell>
          <cell r="N493">
            <v>0</v>
          </cell>
          <cell r="O493">
            <v>12</v>
          </cell>
          <cell r="V493" t="str">
            <v>*</v>
          </cell>
        </row>
        <row r="494">
          <cell r="G494" t="str">
            <v>ARMED FORCES MEDICAL COLLEGE</v>
          </cell>
          <cell r="I494">
            <v>145600</v>
          </cell>
          <cell r="J494">
            <v>0</v>
          </cell>
          <cell r="K494">
            <v>0</v>
          </cell>
          <cell r="L494">
            <v>145600</v>
          </cell>
          <cell r="N494">
            <v>0</v>
          </cell>
          <cell r="O494">
            <v>12</v>
          </cell>
          <cell r="V494" t="str">
            <v>*</v>
          </cell>
        </row>
        <row r="495">
          <cell r="G495" t="str">
            <v>POONA MEDICAL FOUDATION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N495">
            <v>0</v>
          </cell>
          <cell r="O495">
            <v>12</v>
          </cell>
          <cell r="V495" t="str">
            <v>*</v>
          </cell>
        </row>
        <row r="496">
          <cell r="G496" t="str">
            <v>SHREE MEDICAL FOUNDATION (PRAYAG HP)</v>
          </cell>
          <cell r="I496">
            <v>-0.03</v>
          </cell>
          <cell r="J496">
            <v>0</v>
          </cell>
          <cell r="K496">
            <v>0</v>
          </cell>
          <cell r="L496">
            <v>-0.03</v>
          </cell>
          <cell r="N496">
            <v>-0.03</v>
          </cell>
          <cell r="O496">
            <v>12</v>
          </cell>
          <cell r="V496" t="str">
            <v>*</v>
          </cell>
        </row>
        <row r="497">
          <cell r="G497" t="str">
            <v>INSTITUTE OF TOXICOLOGICAL STUDIES</v>
          </cell>
          <cell r="I497">
            <v>-200</v>
          </cell>
          <cell r="J497">
            <v>0</v>
          </cell>
          <cell r="K497">
            <v>0</v>
          </cell>
          <cell r="L497">
            <v>-200</v>
          </cell>
          <cell r="N497">
            <v>-200</v>
          </cell>
          <cell r="O497">
            <v>12</v>
          </cell>
          <cell r="V497" t="str">
            <v>*</v>
          </cell>
        </row>
        <row r="498">
          <cell r="G498" t="str">
            <v>THE MEDICAL SUPERINTENDENT K.E.M. HOSPITAL</v>
          </cell>
          <cell r="I498">
            <v>16674.080000000002</v>
          </cell>
          <cell r="J498">
            <v>0</v>
          </cell>
          <cell r="K498">
            <v>0</v>
          </cell>
          <cell r="L498">
            <v>16674.080000000002</v>
          </cell>
          <cell r="N498">
            <v>0</v>
          </cell>
          <cell r="O498">
            <v>12</v>
          </cell>
          <cell r="V498" t="str">
            <v>*</v>
          </cell>
        </row>
        <row r="499">
          <cell r="G499" t="str">
            <v>THE MEDICAL SUPERINTENDENT RATNA HOSPITAL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N499">
            <v>0</v>
          </cell>
          <cell r="O499">
            <v>12</v>
          </cell>
          <cell r="V499" t="str">
            <v>*</v>
          </cell>
        </row>
        <row r="500">
          <cell r="G500" t="str">
            <v>RATNA MEMORIAL HOSPITAL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N500">
            <v>0</v>
          </cell>
          <cell r="O500">
            <v>12</v>
          </cell>
          <cell r="V500" t="str">
            <v>*</v>
          </cell>
        </row>
        <row r="501">
          <cell r="G501" t="str">
            <v>DR. A.W. KALANTRE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N501">
            <v>0</v>
          </cell>
          <cell r="O501">
            <v>12</v>
          </cell>
          <cell r="V501" t="str">
            <v>*</v>
          </cell>
        </row>
        <row r="502">
          <cell r="G502" t="str">
            <v>N.M.WADIA HOSPITAL</v>
          </cell>
          <cell r="I502">
            <v>0.01</v>
          </cell>
          <cell r="J502">
            <v>0</v>
          </cell>
          <cell r="K502">
            <v>0</v>
          </cell>
          <cell r="L502">
            <v>0.01</v>
          </cell>
          <cell r="N502">
            <v>0</v>
          </cell>
          <cell r="O502">
            <v>12</v>
          </cell>
          <cell r="V502" t="str">
            <v>*</v>
          </cell>
        </row>
        <row r="503">
          <cell r="G503" t="str">
            <v>DR. SHAISHNAV CLINIC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N503">
            <v>0</v>
          </cell>
          <cell r="O503">
            <v>12</v>
          </cell>
          <cell r="V503" t="str">
            <v>*</v>
          </cell>
        </row>
        <row r="504">
          <cell r="G504" t="str">
            <v>DR. D.Y. PATIL HOSPITAL &amp; RESEARCH CENTRE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N504">
            <v>0</v>
          </cell>
          <cell r="O504">
            <v>12</v>
          </cell>
          <cell r="V504" t="str">
            <v>*</v>
          </cell>
        </row>
        <row r="505">
          <cell r="G505" t="str">
            <v>ELMED</v>
          </cell>
          <cell r="I505">
            <v>0</v>
          </cell>
          <cell r="J505">
            <v>92240</v>
          </cell>
          <cell r="K505">
            <v>92240</v>
          </cell>
          <cell r="L505">
            <v>0</v>
          </cell>
          <cell r="N505">
            <v>0</v>
          </cell>
          <cell r="O505">
            <v>12</v>
          </cell>
          <cell r="V505" t="str">
            <v>*</v>
          </cell>
        </row>
        <row r="506">
          <cell r="G506" t="str">
            <v>JAGTAP HOSPITAL</v>
          </cell>
          <cell r="I506">
            <v>0</v>
          </cell>
          <cell r="J506">
            <v>99000</v>
          </cell>
          <cell r="K506">
            <v>99000</v>
          </cell>
          <cell r="L506">
            <v>0</v>
          </cell>
          <cell r="N506">
            <v>0</v>
          </cell>
          <cell r="O506">
            <v>12</v>
          </cell>
          <cell r="V506" t="str">
            <v>*</v>
          </cell>
        </row>
        <row r="507">
          <cell r="G507" t="str">
            <v>FAIRDEAL  AGENCIES</v>
          </cell>
          <cell r="I507">
            <v>14052.5</v>
          </cell>
          <cell r="J507">
            <v>0</v>
          </cell>
          <cell r="K507">
            <v>0</v>
          </cell>
          <cell r="L507">
            <v>14052.5</v>
          </cell>
          <cell r="N507">
            <v>0</v>
          </cell>
          <cell r="O507">
            <v>12</v>
          </cell>
          <cell r="V507" t="str">
            <v>*</v>
          </cell>
        </row>
        <row r="508">
          <cell r="G508" t="str">
            <v>BECHTEL INTERNATIONAL INC.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N508">
            <v>0</v>
          </cell>
          <cell r="O508">
            <v>12</v>
          </cell>
          <cell r="V508" t="str">
            <v>*</v>
          </cell>
        </row>
        <row r="509">
          <cell r="G509" t="str">
            <v>BAGREE ENTERPRISE RAIPUR,</v>
          </cell>
          <cell r="I509">
            <v>-18862.580000000002</v>
          </cell>
          <cell r="J509">
            <v>149911.82</v>
          </cell>
          <cell r="K509">
            <v>131911.82</v>
          </cell>
          <cell r="L509">
            <v>-862.58</v>
          </cell>
          <cell r="N509">
            <v>-862.58</v>
          </cell>
          <cell r="O509">
            <v>12</v>
          </cell>
          <cell r="V509" t="str">
            <v>*</v>
          </cell>
        </row>
        <row r="510">
          <cell r="G510" t="str">
            <v>ASHWINI SAHAKARI RUGNALAYA &amp; REC. CEN. NORTH</v>
          </cell>
          <cell r="I510">
            <v>-1000</v>
          </cell>
          <cell r="J510">
            <v>0</v>
          </cell>
          <cell r="K510">
            <v>0</v>
          </cell>
          <cell r="L510">
            <v>-1000</v>
          </cell>
          <cell r="N510">
            <v>-1000</v>
          </cell>
          <cell r="O510">
            <v>12</v>
          </cell>
          <cell r="V510" t="str">
            <v>*</v>
          </cell>
        </row>
        <row r="511">
          <cell r="G511" t="str">
            <v>SHREE MAHAVIR HEALTH &amp; MED. RELIEF SOC.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N511">
            <v>0</v>
          </cell>
          <cell r="O511">
            <v>12</v>
          </cell>
          <cell r="V511" t="str">
            <v>*</v>
          </cell>
        </row>
        <row r="512">
          <cell r="G512" t="str">
            <v>HEALING HANDS HOSPITAL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N512">
            <v>0</v>
          </cell>
          <cell r="O512">
            <v>12</v>
          </cell>
          <cell r="V512" t="str">
            <v>*</v>
          </cell>
        </row>
        <row r="513">
          <cell r="G513" t="str">
            <v>PARMITA TRADING CO. LTD</v>
          </cell>
          <cell r="I513">
            <v>-1166.4000000000001</v>
          </cell>
          <cell r="J513">
            <v>0</v>
          </cell>
          <cell r="K513">
            <v>0</v>
          </cell>
          <cell r="L513">
            <v>-1166.4000000000001</v>
          </cell>
          <cell r="N513">
            <v>-1166.4000000000001</v>
          </cell>
          <cell r="O513">
            <v>12</v>
          </cell>
          <cell r="V513" t="str">
            <v>*</v>
          </cell>
        </row>
        <row r="514">
          <cell r="G514" t="str">
            <v>IMPEX SPEEDWAYS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N514">
            <v>0</v>
          </cell>
          <cell r="O514">
            <v>12</v>
          </cell>
          <cell r="V514" t="str">
            <v>*</v>
          </cell>
        </row>
        <row r="515">
          <cell r="G515" t="str">
            <v>PROVISION FOR DOUBTFUL DEBTS - 3RD PARTY</v>
          </cell>
          <cell r="H515" t="str">
            <v>Less: Provision for Doubtful Debts</v>
          </cell>
          <cell r="I515">
            <v>-8093766</v>
          </cell>
          <cell r="J515">
            <v>0</v>
          </cell>
          <cell r="K515">
            <v>0</v>
          </cell>
          <cell r="L515">
            <v>-8093766</v>
          </cell>
          <cell r="N515">
            <v>-8093766</v>
          </cell>
          <cell r="O515" t="str">
            <v>Z</v>
          </cell>
          <cell r="V515" t="str">
            <v>*</v>
          </cell>
        </row>
        <row r="516">
          <cell r="G516" t="str">
            <v>B.BRAUN MEDICAL IND. SDN. BHD.</v>
          </cell>
          <cell r="H516" t="str">
            <v>Due from Group Cos.</v>
          </cell>
          <cell r="I516">
            <v>325004.5</v>
          </cell>
          <cell r="J516">
            <v>0</v>
          </cell>
          <cell r="K516">
            <v>0</v>
          </cell>
          <cell r="L516">
            <v>338173.5</v>
          </cell>
          <cell r="N516">
            <v>11312658.149999999</v>
          </cell>
          <cell r="O516">
            <v>13</v>
          </cell>
          <cell r="V516" t="str">
            <v>*</v>
          </cell>
        </row>
        <row r="517">
          <cell r="G517" t="str">
            <v>B.BRAUN MEDICAL SUPPLIES SDN.BHD</v>
          </cell>
          <cell r="I517">
            <v>141853.76000000001</v>
          </cell>
          <cell r="J517">
            <v>0</v>
          </cell>
          <cell r="K517">
            <v>0</v>
          </cell>
          <cell r="L517">
            <v>166257.76</v>
          </cell>
          <cell r="O517">
            <v>13</v>
          </cell>
          <cell r="V517" t="str">
            <v>*</v>
          </cell>
        </row>
        <row r="518">
          <cell r="G518" t="str">
            <v>B.BRAUN SURGICAL SDN. BHD.</v>
          </cell>
          <cell r="I518">
            <v>57281</v>
          </cell>
          <cell r="J518">
            <v>160410</v>
          </cell>
          <cell r="K518">
            <v>57281</v>
          </cell>
          <cell r="L518">
            <v>160670</v>
          </cell>
          <cell r="O518">
            <v>13</v>
          </cell>
          <cell r="V518" t="str">
            <v>*</v>
          </cell>
        </row>
        <row r="519">
          <cell r="G519" t="str">
            <v>B.BRAUN NEEDLES INDUSTRIES</v>
          </cell>
          <cell r="I519">
            <v>1082003.56</v>
          </cell>
          <cell r="J519">
            <v>270555</v>
          </cell>
          <cell r="K519">
            <v>0</v>
          </cell>
          <cell r="L519">
            <v>1395415.56</v>
          </cell>
          <cell r="O519">
            <v>13</v>
          </cell>
          <cell r="V519" t="str">
            <v>*</v>
          </cell>
        </row>
        <row r="520">
          <cell r="G520" t="str">
            <v>B.BRAUN PRECISION ENG. SDN.BHD</v>
          </cell>
          <cell r="I520">
            <v>1077255</v>
          </cell>
          <cell r="J520">
            <v>0</v>
          </cell>
          <cell r="K520">
            <v>0</v>
          </cell>
          <cell r="L520">
            <v>1130864</v>
          </cell>
          <cell r="O520">
            <v>13</v>
          </cell>
          <cell r="V520" t="str">
            <v>*</v>
          </cell>
        </row>
        <row r="521">
          <cell r="G521" t="str">
            <v>B.BRAUN INTERNATIONAL PTE. LTD.</v>
          </cell>
          <cell r="I521">
            <v>47578</v>
          </cell>
          <cell r="J521">
            <v>0</v>
          </cell>
          <cell r="K521">
            <v>7209</v>
          </cell>
          <cell r="L521">
            <v>41506</v>
          </cell>
          <cell r="O521">
            <v>13</v>
          </cell>
          <cell r="V521" t="str">
            <v>*</v>
          </cell>
        </row>
        <row r="522">
          <cell r="G522" t="str">
            <v>B.BRAUN INTERNATIONAL PTE. LTD.</v>
          </cell>
          <cell r="I522">
            <v>118162.5</v>
          </cell>
          <cell r="J522">
            <v>0</v>
          </cell>
          <cell r="K522">
            <v>0</v>
          </cell>
          <cell r="L522">
            <v>115000.5</v>
          </cell>
          <cell r="O522">
            <v>13</v>
          </cell>
          <cell r="V522" t="str">
            <v>*</v>
          </cell>
        </row>
        <row r="523">
          <cell r="G523" t="str">
            <v>B.BRAUN MELSUNGEN AG.</v>
          </cell>
          <cell r="I523">
            <v>2091557.73</v>
          </cell>
          <cell r="J523">
            <v>199822</v>
          </cell>
          <cell r="K523">
            <v>79945.960000000006</v>
          </cell>
          <cell r="L523">
            <v>2273808.77</v>
          </cell>
          <cell r="O523">
            <v>13</v>
          </cell>
          <cell r="V523" t="str">
            <v>*</v>
          </cell>
        </row>
        <row r="524">
          <cell r="G524" t="str">
            <v>AESCULAP AG &amp; CO.KG - TUTTLINGEN</v>
          </cell>
          <cell r="I524">
            <v>4615592.68</v>
          </cell>
          <cell r="J524">
            <v>4621174.4800000004</v>
          </cell>
          <cell r="K524">
            <v>5062006.22</v>
          </cell>
          <cell r="L524">
            <v>4192089.94</v>
          </cell>
          <cell r="O524">
            <v>13</v>
          </cell>
          <cell r="V524" t="str">
            <v>*</v>
          </cell>
        </row>
        <row r="525">
          <cell r="G525" t="str">
            <v>AESCULAP AG &amp; CO. KG - MELSUNGEN</v>
          </cell>
          <cell r="I525">
            <v>45661.22</v>
          </cell>
          <cell r="J525">
            <v>43683</v>
          </cell>
          <cell r="K525">
            <v>89421.48</v>
          </cell>
          <cell r="L525">
            <v>-86.78</v>
          </cell>
          <cell r="O525">
            <v>13</v>
          </cell>
          <cell r="V525" t="str">
            <v>*</v>
          </cell>
        </row>
        <row r="526">
          <cell r="G526" t="str">
            <v>B.BRAUN MEDICAL S.A.FRANCE</v>
          </cell>
          <cell r="I526">
            <v>22128.75</v>
          </cell>
          <cell r="J526">
            <v>0</v>
          </cell>
          <cell r="K526">
            <v>0</v>
          </cell>
          <cell r="L526">
            <v>19234.75</v>
          </cell>
          <cell r="O526">
            <v>13</v>
          </cell>
          <cell r="V526" t="str">
            <v>*</v>
          </cell>
        </row>
        <row r="527">
          <cell r="G527" t="str">
            <v>B.BRAUN SURGICAL S.A. SPAIN</v>
          </cell>
          <cell r="I527">
            <v>200922</v>
          </cell>
          <cell r="J527">
            <v>769609</v>
          </cell>
          <cell r="K527">
            <v>0</v>
          </cell>
          <cell r="L527">
            <v>981336</v>
          </cell>
          <cell r="O527">
            <v>13</v>
          </cell>
          <cell r="V527" t="str">
            <v>*</v>
          </cell>
        </row>
        <row r="528">
          <cell r="G528" t="str">
            <v>B.BRAUN MEDICAL LIMITED,U.K.</v>
          </cell>
          <cell r="I528">
            <v>262700.79999999999</v>
          </cell>
          <cell r="J528">
            <v>376344</v>
          </cell>
          <cell r="K528">
            <v>635104.52</v>
          </cell>
          <cell r="L528">
            <v>3940.28</v>
          </cell>
          <cell r="O528">
            <v>13</v>
          </cell>
          <cell r="V528" t="str">
            <v>*</v>
          </cell>
        </row>
        <row r="529">
          <cell r="G529" t="str">
            <v>B.BRAUN MEDICAL INC.</v>
          </cell>
          <cell r="I529">
            <v>76262.87</v>
          </cell>
          <cell r="J529">
            <v>7209</v>
          </cell>
          <cell r="K529">
            <v>0</v>
          </cell>
          <cell r="L529">
            <v>87980.87</v>
          </cell>
          <cell r="O529">
            <v>13</v>
          </cell>
          <cell r="V529" t="str">
            <v>*</v>
          </cell>
        </row>
        <row r="530">
          <cell r="G530" t="str">
            <v>ATRIUM MEDICAL CORP.</v>
          </cell>
          <cell r="I530">
            <v>93997</v>
          </cell>
          <cell r="J530">
            <v>0</v>
          </cell>
          <cell r="K530">
            <v>0</v>
          </cell>
          <cell r="L530">
            <v>97115</v>
          </cell>
          <cell r="O530">
            <v>13</v>
          </cell>
          <cell r="V530" t="str">
            <v>*</v>
          </cell>
        </row>
        <row r="531">
          <cell r="G531" t="str">
            <v>B.BRAUN MEDICAL IND. SDN. BHD.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O531">
            <v>13</v>
          </cell>
          <cell r="V531" t="str">
            <v>*</v>
          </cell>
        </row>
        <row r="532">
          <cell r="G532" t="str">
            <v>B.BRAUN PHARMACEUTICAL IND. S/B</v>
          </cell>
          <cell r="I532">
            <v>555000</v>
          </cell>
          <cell r="J532">
            <v>0</v>
          </cell>
          <cell r="K532">
            <v>500000</v>
          </cell>
          <cell r="L532">
            <v>55000</v>
          </cell>
          <cell r="O532">
            <v>13</v>
          </cell>
          <cell r="V532" t="str">
            <v>*</v>
          </cell>
        </row>
        <row r="533">
          <cell r="G533" t="str">
            <v>B.BRAUN HANOI PHARMACEUTICALS CO.</v>
          </cell>
          <cell r="I533">
            <v>180912</v>
          </cell>
          <cell r="J533">
            <v>0</v>
          </cell>
          <cell r="K533">
            <v>0</v>
          </cell>
          <cell r="L533">
            <v>180912</v>
          </cell>
          <cell r="O533">
            <v>13</v>
          </cell>
          <cell r="V533" t="str">
            <v>*</v>
          </cell>
        </row>
        <row r="534">
          <cell r="G534" t="str">
            <v>B.BRAUN MELSUNGEN AG.</v>
          </cell>
          <cell r="I534">
            <v>73440</v>
          </cell>
          <cell r="J534">
            <v>0</v>
          </cell>
          <cell r="K534">
            <v>0</v>
          </cell>
          <cell r="L534">
            <v>73440</v>
          </cell>
          <cell r="O534">
            <v>13</v>
          </cell>
          <cell r="V534" t="str">
            <v>*</v>
          </cell>
        </row>
        <row r="535">
          <cell r="G535" t="str">
            <v>B.BRAUN MEDICAL AG. SWITZERLAND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O535">
            <v>13</v>
          </cell>
          <cell r="V535" t="str">
            <v>*</v>
          </cell>
        </row>
        <row r="536">
          <cell r="G536" t="str">
            <v>MODVAT RECEIVABLE -RG 23 PART II</v>
          </cell>
          <cell r="H536" t="str">
            <v>Modvat RG23-Part II</v>
          </cell>
          <cell r="I536">
            <v>74512</v>
          </cell>
          <cell r="J536">
            <v>0</v>
          </cell>
          <cell r="K536">
            <v>0</v>
          </cell>
          <cell r="L536">
            <v>74512</v>
          </cell>
          <cell r="N536">
            <v>74512</v>
          </cell>
          <cell r="O536" t="str">
            <v>z</v>
          </cell>
          <cell r="U536">
            <v>502403</v>
          </cell>
          <cell r="V536" t="str">
            <v>*</v>
          </cell>
        </row>
        <row r="537">
          <cell r="G537" t="str">
            <v>DEPOSIT IN P.L.A. A/C</v>
          </cell>
          <cell r="H537" t="str">
            <v>Deposit in PLA</v>
          </cell>
          <cell r="I537">
            <v>3592</v>
          </cell>
          <cell r="J537">
            <v>0</v>
          </cell>
          <cell r="K537">
            <v>0</v>
          </cell>
          <cell r="L537">
            <v>3592</v>
          </cell>
          <cell r="N537">
            <v>3592</v>
          </cell>
          <cell r="O537" t="str">
            <v>z</v>
          </cell>
          <cell r="V537" t="str">
            <v>*</v>
          </cell>
        </row>
        <row r="538">
          <cell r="G538" t="str">
            <v>REFUNDABLE DUTY A/C</v>
          </cell>
          <cell r="H538" t="str">
            <v>Refundable Duty A/c</v>
          </cell>
          <cell r="I538">
            <v>424299</v>
          </cell>
          <cell r="J538">
            <v>0</v>
          </cell>
          <cell r="K538">
            <v>0</v>
          </cell>
          <cell r="L538">
            <v>424299</v>
          </cell>
          <cell r="N538">
            <v>424299</v>
          </cell>
          <cell r="O538" t="str">
            <v>z</v>
          </cell>
          <cell r="V538" t="str">
            <v>*</v>
          </cell>
        </row>
        <row r="539">
          <cell r="G539" t="str">
            <v>FESTIWAL ADVANCES</v>
          </cell>
          <cell r="H539" t="str">
            <v>Festival Advance</v>
          </cell>
          <cell r="I539">
            <v>51800</v>
          </cell>
          <cell r="J539">
            <v>0</v>
          </cell>
          <cell r="K539">
            <v>600</v>
          </cell>
          <cell r="L539">
            <v>51200</v>
          </cell>
          <cell r="N539">
            <v>51200</v>
          </cell>
          <cell r="O539" t="str">
            <v>z</v>
          </cell>
          <cell r="U539">
            <v>51200</v>
          </cell>
          <cell r="V539" t="str">
            <v>*</v>
          </cell>
        </row>
        <row r="540">
          <cell r="G540" t="str">
            <v>TOUR ADVANCES</v>
          </cell>
          <cell r="I540">
            <v>0</v>
          </cell>
          <cell r="J540">
            <v>15532</v>
          </cell>
          <cell r="K540">
            <v>15532</v>
          </cell>
          <cell r="L540">
            <v>0</v>
          </cell>
          <cell r="N540">
            <v>0</v>
          </cell>
          <cell r="O540" t="str">
            <v>z</v>
          </cell>
          <cell r="U540">
            <v>130325</v>
          </cell>
          <cell r="V540" t="str">
            <v>*</v>
          </cell>
        </row>
        <row r="541">
          <cell r="G541" t="str">
            <v>LALIT KUMAR SETH</v>
          </cell>
          <cell r="I541">
            <v>0</v>
          </cell>
          <cell r="J541">
            <v>57990</v>
          </cell>
          <cell r="K541">
            <v>57990</v>
          </cell>
          <cell r="L541">
            <v>0</v>
          </cell>
          <cell r="N541">
            <v>0</v>
          </cell>
          <cell r="O541" t="str">
            <v>z</v>
          </cell>
          <cell r="V541" t="str">
            <v>*</v>
          </cell>
        </row>
        <row r="542">
          <cell r="G542" t="str">
            <v>V. LAKSHMIPATHY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N542">
            <v>0</v>
          </cell>
          <cell r="O542" t="str">
            <v>z</v>
          </cell>
          <cell r="V542" t="str">
            <v>*</v>
          </cell>
        </row>
        <row r="543">
          <cell r="G543" t="str">
            <v>ASHISH K. MATTU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N543">
            <v>0</v>
          </cell>
          <cell r="O543" t="str">
            <v>z</v>
          </cell>
          <cell r="V543" t="str">
            <v>*</v>
          </cell>
        </row>
        <row r="544">
          <cell r="G544" t="str">
            <v>MAHITOSH BHATNAGAR</v>
          </cell>
          <cell r="I544">
            <v>0</v>
          </cell>
          <cell r="J544">
            <v>11748</v>
          </cell>
          <cell r="K544">
            <v>11748</v>
          </cell>
          <cell r="L544">
            <v>0</v>
          </cell>
          <cell r="N544">
            <v>0</v>
          </cell>
          <cell r="O544" t="str">
            <v>z</v>
          </cell>
          <cell r="V544" t="str">
            <v>*</v>
          </cell>
        </row>
        <row r="545">
          <cell r="G545" t="str">
            <v>S. A. JOHNSON</v>
          </cell>
          <cell r="I545">
            <v>9500</v>
          </cell>
          <cell r="J545">
            <v>11476</v>
          </cell>
          <cell r="K545">
            <v>10977</v>
          </cell>
          <cell r="L545">
            <v>9999</v>
          </cell>
          <cell r="N545">
            <v>9999</v>
          </cell>
          <cell r="O545" t="str">
            <v>z</v>
          </cell>
          <cell r="V545" t="str">
            <v>*</v>
          </cell>
        </row>
        <row r="546">
          <cell r="G546" t="str">
            <v>RAJENDER S. GOLAN</v>
          </cell>
          <cell r="I546">
            <v>0</v>
          </cell>
          <cell r="J546">
            <v>8485</v>
          </cell>
          <cell r="K546">
            <v>8485</v>
          </cell>
          <cell r="L546">
            <v>0</v>
          </cell>
          <cell r="N546">
            <v>0</v>
          </cell>
          <cell r="O546" t="str">
            <v>z</v>
          </cell>
          <cell r="V546" t="str">
            <v>*</v>
          </cell>
        </row>
        <row r="547">
          <cell r="G547" t="str">
            <v>BHAVESH B. PANDYA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N547">
            <v>0</v>
          </cell>
          <cell r="O547" t="str">
            <v>z</v>
          </cell>
          <cell r="V547" t="str">
            <v>*</v>
          </cell>
        </row>
        <row r="548">
          <cell r="G548" t="str">
            <v>PRATIBHA  SHIRSALE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N548">
            <v>0</v>
          </cell>
          <cell r="O548" t="str">
            <v>z</v>
          </cell>
          <cell r="V548" t="str">
            <v>*</v>
          </cell>
        </row>
        <row r="549">
          <cell r="G549" t="str">
            <v>LALIT P.  JADE</v>
          </cell>
          <cell r="I549">
            <v>0</v>
          </cell>
          <cell r="J549">
            <v>17470</v>
          </cell>
          <cell r="K549">
            <v>0</v>
          </cell>
          <cell r="L549">
            <v>17470</v>
          </cell>
          <cell r="N549">
            <v>17470</v>
          </cell>
          <cell r="O549" t="str">
            <v>z</v>
          </cell>
          <cell r="V549" t="str">
            <v>*</v>
          </cell>
        </row>
        <row r="550">
          <cell r="G550" t="str">
            <v>MANISH DESHMUKH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N550">
            <v>0</v>
          </cell>
          <cell r="O550" t="str">
            <v>z</v>
          </cell>
          <cell r="V550" t="str">
            <v>*</v>
          </cell>
        </row>
        <row r="551">
          <cell r="G551" t="str">
            <v>NITISH SHARMA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O551" t="str">
            <v>z</v>
          </cell>
          <cell r="V551" t="str">
            <v>*</v>
          </cell>
        </row>
        <row r="552">
          <cell r="G552" t="str">
            <v>PRAKASH CHANDRA MISHRA</v>
          </cell>
          <cell r="I552">
            <v>0</v>
          </cell>
          <cell r="J552">
            <v>2090</v>
          </cell>
          <cell r="K552">
            <v>2090</v>
          </cell>
          <cell r="L552">
            <v>0</v>
          </cell>
          <cell r="N552">
            <v>0</v>
          </cell>
          <cell r="O552" t="str">
            <v>z</v>
          </cell>
          <cell r="V552" t="str">
            <v>*</v>
          </cell>
        </row>
        <row r="553">
          <cell r="G553" t="str">
            <v>SATISH K. PALRECHA</v>
          </cell>
          <cell r="I553">
            <v>0</v>
          </cell>
          <cell r="J553">
            <v>6470</v>
          </cell>
          <cell r="K553">
            <v>6470</v>
          </cell>
          <cell r="L553">
            <v>0</v>
          </cell>
          <cell r="N553">
            <v>0</v>
          </cell>
          <cell r="O553" t="str">
            <v>z</v>
          </cell>
          <cell r="V553" t="str">
            <v>*</v>
          </cell>
        </row>
        <row r="554">
          <cell r="G554" t="str">
            <v>AMIT KUMAR SETHI</v>
          </cell>
          <cell r="I554">
            <v>0</v>
          </cell>
          <cell r="J554">
            <v>5898</v>
          </cell>
          <cell r="K554">
            <v>5898</v>
          </cell>
          <cell r="L554">
            <v>0</v>
          </cell>
          <cell r="N554">
            <v>0</v>
          </cell>
          <cell r="O554" t="str">
            <v>z</v>
          </cell>
          <cell r="V554" t="str">
            <v>*</v>
          </cell>
        </row>
        <row r="555">
          <cell r="G555" t="str">
            <v>URVASHI SINGH</v>
          </cell>
          <cell r="I555">
            <v>0</v>
          </cell>
          <cell r="J555">
            <v>2030</v>
          </cell>
          <cell r="K555">
            <v>2030</v>
          </cell>
          <cell r="L555">
            <v>0</v>
          </cell>
          <cell r="N555">
            <v>0</v>
          </cell>
          <cell r="O555" t="str">
            <v>z</v>
          </cell>
          <cell r="V555" t="str">
            <v>*</v>
          </cell>
        </row>
        <row r="556">
          <cell r="G556" t="str">
            <v>KAUSHIK BHATTACHARYA</v>
          </cell>
          <cell r="I556">
            <v>0</v>
          </cell>
          <cell r="J556">
            <v>5244</v>
          </cell>
          <cell r="K556">
            <v>5244</v>
          </cell>
          <cell r="L556">
            <v>0</v>
          </cell>
          <cell r="N556">
            <v>0</v>
          </cell>
          <cell r="O556" t="str">
            <v>z</v>
          </cell>
          <cell r="V556" t="str">
            <v>*</v>
          </cell>
        </row>
        <row r="557">
          <cell r="G557" t="str">
            <v>NIRMAL CHANDRA BANIK</v>
          </cell>
          <cell r="I557">
            <v>0</v>
          </cell>
          <cell r="J557">
            <v>19502</v>
          </cell>
          <cell r="K557">
            <v>19502</v>
          </cell>
          <cell r="L557">
            <v>0</v>
          </cell>
          <cell r="N557">
            <v>0</v>
          </cell>
          <cell r="O557" t="str">
            <v>z</v>
          </cell>
          <cell r="V557" t="str">
            <v>*</v>
          </cell>
        </row>
        <row r="558">
          <cell r="G558" t="str">
            <v>ATANU MAJUMDAR</v>
          </cell>
          <cell r="I558">
            <v>0</v>
          </cell>
          <cell r="J558">
            <v>7030</v>
          </cell>
          <cell r="K558">
            <v>7030</v>
          </cell>
          <cell r="L558">
            <v>0</v>
          </cell>
          <cell r="N558">
            <v>0</v>
          </cell>
          <cell r="O558" t="str">
            <v>z</v>
          </cell>
          <cell r="V558" t="str">
            <v>*</v>
          </cell>
        </row>
        <row r="559">
          <cell r="G559" t="str">
            <v>KINGSHOOK MALLIK</v>
          </cell>
          <cell r="I559">
            <v>0</v>
          </cell>
          <cell r="J559">
            <v>5212</v>
          </cell>
          <cell r="K559">
            <v>5212</v>
          </cell>
          <cell r="L559">
            <v>0</v>
          </cell>
          <cell r="N559">
            <v>0</v>
          </cell>
          <cell r="O559" t="str">
            <v>z</v>
          </cell>
          <cell r="V559" t="str">
            <v>*</v>
          </cell>
        </row>
        <row r="560">
          <cell r="G560" t="str">
            <v>SOMNATH MAJUMDAR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N560">
            <v>0</v>
          </cell>
          <cell r="O560" t="str">
            <v>z</v>
          </cell>
          <cell r="V560" t="str">
            <v>*</v>
          </cell>
        </row>
        <row r="561">
          <cell r="G561" t="str">
            <v>ANAND IYER</v>
          </cell>
          <cell r="I561">
            <v>0</v>
          </cell>
          <cell r="J561">
            <v>12489</v>
          </cell>
          <cell r="K561">
            <v>2489</v>
          </cell>
          <cell r="L561">
            <v>10000</v>
          </cell>
          <cell r="N561">
            <v>10000</v>
          </cell>
          <cell r="O561" t="str">
            <v>z</v>
          </cell>
          <cell r="V561" t="str">
            <v>*</v>
          </cell>
        </row>
        <row r="562">
          <cell r="G562" t="str">
            <v>MANOJ KUMARAR MISHRA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N562">
            <v>0</v>
          </cell>
          <cell r="O562" t="str">
            <v>z</v>
          </cell>
          <cell r="V562" t="str">
            <v>*</v>
          </cell>
        </row>
        <row r="563">
          <cell r="G563" t="str">
            <v>NILESH CHANDAN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N563">
            <v>0</v>
          </cell>
          <cell r="O563" t="str">
            <v>z</v>
          </cell>
          <cell r="V563" t="str">
            <v>*</v>
          </cell>
        </row>
        <row r="564">
          <cell r="G564" t="str">
            <v>ANITA TOMAR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N564">
            <v>0</v>
          </cell>
          <cell r="O564" t="str">
            <v>z</v>
          </cell>
          <cell r="V564" t="str">
            <v>*</v>
          </cell>
        </row>
        <row r="565">
          <cell r="G565" t="str">
            <v>PRASHANT TRIVEDI</v>
          </cell>
          <cell r="I565">
            <v>0</v>
          </cell>
          <cell r="J565">
            <v>9337</v>
          </cell>
          <cell r="K565">
            <v>9337</v>
          </cell>
          <cell r="L565">
            <v>0</v>
          </cell>
          <cell r="N565">
            <v>0</v>
          </cell>
          <cell r="O565" t="str">
            <v>z</v>
          </cell>
          <cell r="V565" t="str">
            <v>*</v>
          </cell>
        </row>
        <row r="566">
          <cell r="G566" t="str">
            <v>ANAND APTE</v>
          </cell>
          <cell r="I566">
            <v>37706</v>
          </cell>
          <cell r="J566">
            <v>0</v>
          </cell>
          <cell r="K566">
            <v>37706</v>
          </cell>
          <cell r="L566">
            <v>0</v>
          </cell>
          <cell r="N566">
            <v>0</v>
          </cell>
          <cell r="O566" t="str">
            <v>z</v>
          </cell>
          <cell r="V566" t="str">
            <v>*</v>
          </cell>
        </row>
        <row r="567">
          <cell r="G567" t="str">
            <v>MANOJ KUMAR- PATNA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N567">
            <v>0</v>
          </cell>
          <cell r="O567" t="str">
            <v>z</v>
          </cell>
          <cell r="V567" t="str">
            <v>*</v>
          </cell>
        </row>
        <row r="568">
          <cell r="G568" t="str">
            <v>NILIMA PARKAR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N568">
            <v>0</v>
          </cell>
          <cell r="O568" t="str">
            <v>z</v>
          </cell>
          <cell r="V568" t="str">
            <v>*</v>
          </cell>
        </row>
        <row r="569">
          <cell r="G569" t="str">
            <v>SANTOSH SAWANT</v>
          </cell>
          <cell r="I569">
            <v>0</v>
          </cell>
          <cell r="J569">
            <v>6972</v>
          </cell>
          <cell r="K569">
            <v>6972</v>
          </cell>
          <cell r="L569">
            <v>0</v>
          </cell>
          <cell r="N569">
            <v>0</v>
          </cell>
          <cell r="O569" t="str">
            <v>z</v>
          </cell>
          <cell r="V569" t="str">
            <v>*</v>
          </cell>
        </row>
        <row r="570">
          <cell r="G570" t="str">
            <v>INDRANIL MUKHERJEE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O570" t="str">
            <v>z</v>
          </cell>
          <cell r="V570" t="str">
            <v>*</v>
          </cell>
        </row>
        <row r="571">
          <cell r="G571" t="str">
            <v>JACOB PAYRA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N571">
            <v>0</v>
          </cell>
          <cell r="O571" t="str">
            <v>z</v>
          </cell>
          <cell r="V571" t="str">
            <v>*</v>
          </cell>
        </row>
        <row r="572">
          <cell r="G572" t="str">
            <v>AVTAR SINGH MADAN</v>
          </cell>
          <cell r="I572">
            <v>0</v>
          </cell>
          <cell r="J572">
            <v>12394</v>
          </cell>
          <cell r="K572">
            <v>12394</v>
          </cell>
          <cell r="L572">
            <v>0</v>
          </cell>
          <cell r="N572">
            <v>0</v>
          </cell>
          <cell r="O572" t="str">
            <v>z</v>
          </cell>
          <cell r="V572" t="str">
            <v>*</v>
          </cell>
        </row>
        <row r="573">
          <cell r="G573" t="str">
            <v>SUNIL GULATI</v>
          </cell>
          <cell r="I573">
            <v>0</v>
          </cell>
          <cell r="J573">
            <v>2672</v>
          </cell>
          <cell r="K573">
            <v>2672</v>
          </cell>
          <cell r="L573">
            <v>0</v>
          </cell>
          <cell r="N573">
            <v>0</v>
          </cell>
          <cell r="O573" t="str">
            <v>z</v>
          </cell>
          <cell r="V573" t="str">
            <v>*</v>
          </cell>
        </row>
        <row r="574">
          <cell r="G574" t="str">
            <v>K. RAVI SHANKAR</v>
          </cell>
          <cell r="I574">
            <v>18673</v>
          </cell>
          <cell r="J574">
            <v>0</v>
          </cell>
          <cell r="K574">
            <v>18673</v>
          </cell>
          <cell r="L574">
            <v>0</v>
          </cell>
          <cell r="N574">
            <v>0</v>
          </cell>
          <cell r="O574" t="str">
            <v>z</v>
          </cell>
          <cell r="V574" t="str">
            <v>*</v>
          </cell>
        </row>
        <row r="575">
          <cell r="G575" t="str">
            <v>RAVINDRA K. GUPTA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N575">
            <v>0</v>
          </cell>
          <cell r="O575" t="str">
            <v>z</v>
          </cell>
          <cell r="V575" t="str">
            <v>*</v>
          </cell>
        </row>
        <row r="576">
          <cell r="G576" t="str">
            <v>SUMAN CHAKRAVARTY</v>
          </cell>
          <cell r="I576">
            <v>0</v>
          </cell>
          <cell r="J576">
            <v>15572</v>
          </cell>
          <cell r="K576">
            <v>15572</v>
          </cell>
          <cell r="L576">
            <v>0</v>
          </cell>
          <cell r="N576">
            <v>0</v>
          </cell>
          <cell r="O576" t="str">
            <v>z</v>
          </cell>
          <cell r="V576" t="str">
            <v>*</v>
          </cell>
        </row>
        <row r="577">
          <cell r="G577" t="str">
            <v>CHENTHAMARAKSHAN A. S.</v>
          </cell>
          <cell r="I577">
            <v>0</v>
          </cell>
          <cell r="J577">
            <v>23930</v>
          </cell>
          <cell r="K577">
            <v>23930</v>
          </cell>
          <cell r="L577">
            <v>0</v>
          </cell>
          <cell r="N577">
            <v>0</v>
          </cell>
          <cell r="O577" t="str">
            <v>z</v>
          </cell>
          <cell r="V577" t="str">
            <v>*</v>
          </cell>
        </row>
        <row r="578">
          <cell r="G578" t="str">
            <v>SUBRAMANYA K. R.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N578">
            <v>0</v>
          </cell>
          <cell r="O578" t="str">
            <v>z</v>
          </cell>
          <cell r="V578" t="str">
            <v>*</v>
          </cell>
        </row>
        <row r="579">
          <cell r="G579" t="str">
            <v>MANOJ KUMAR G. S.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N579">
            <v>0</v>
          </cell>
          <cell r="O579" t="str">
            <v>z</v>
          </cell>
          <cell r="V579" t="str">
            <v>*</v>
          </cell>
        </row>
        <row r="580">
          <cell r="G580" t="str">
            <v>AARTI K.SUVARNA</v>
          </cell>
          <cell r="I580">
            <v>0</v>
          </cell>
          <cell r="J580">
            <v>25133</v>
          </cell>
          <cell r="K580">
            <v>0</v>
          </cell>
          <cell r="L580">
            <v>25133</v>
          </cell>
          <cell r="N580">
            <v>25133</v>
          </cell>
          <cell r="O580" t="str">
            <v>z</v>
          </cell>
          <cell r="V580" t="str">
            <v>*</v>
          </cell>
        </row>
        <row r="581">
          <cell r="G581" t="str">
            <v>K. R. SESHADRI</v>
          </cell>
          <cell r="I581">
            <v>0</v>
          </cell>
          <cell r="J581">
            <v>3376</v>
          </cell>
          <cell r="K581">
            <v>3376</v>
          </cell>
          <cell r="L581">
            <v>0</v>
          </cell>
          <cell r="N581">
            <v>0</v>
          </cell>
          <cell r="O581" t="str">
            <v>z</v>
          </cell>
          <cell r="V581" t="str">
            <v>*</v>
          </cell>
        </row>
        <row r="582">
          <cell r="G582" t="str">
            <v>ARUP KUMAR DAS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N582">
            <v>0</v>
          </cell>
          <cell r="O582" t="str">
            <v>z</v>
          </cell>
          <cell r="V582" t="str">
            <v>*</v>
          </cell>
        </row>
        <row r="583">
          <cell r="G583" t="str">
            <v>B. BALAKRISHANAN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N583">
            <v>0</v>
          </cell>
          <cell r="O583" t="str">
            <v>z</v>
          </cell>
          <cell r="V583" t="str">
            <v>*</v>
          </cell>
        </row>
        <row r="584">
          <cell r="G584" t="str">
            <v>PAWAN KUMAR PANDEY</v>
          </cell>
          <cell r="I584">
            <v>0</v>
          </cell>
          <cell r="J584">
            <v>13912</v>
          </cell>
          <cell r="K584">
            <v>13912</v>
          </cell>
          <cell r="L584">
            <v>0</v>
          </cell>
          <cell r="N584">
            <v>0</v>
          </cell>
          <cell r="O584" t="str">
            <v>z</v>
          </cell>
          <cell r="V584" t="str">
            <v>*</v>
          </cell>
        </row>
        <row r="585">
          <cell r="G585" t="str">
            <v>PRADEEP PANDITA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N585">
            <v>0</v>
          </cell>
          <cell r="O585" t="str">
            <v>z</v>
          </cell>
          <cell r="V585" t="str">
            <v>*</v>
          </cell>
        </row>
        <row r="586">
          <cell r="G586" t="str">
            <v>VISHAL KATKAR</v>
          </cell>
          <cell r="I586">
            <v>0</v>
          </cell>
          <cell r="J586">
            <v>13641</v>
          </cell>
          <cell r="K586">
            <v>13641</v>
          </cell>
          <cell r="L586">
            <v>0</v>
          </cell>
          <cell r="N586">
            <v>0</v>
          </cell>
          <cell r="O586" t="str">
            <v>z</v>
          </cell>
          <cell r="V586" t="str">
            <v>*</v>
          </cell>
        </row>
        <row r="587">
          <cell r="G587" t="str">
            <v>SAJID KHAN</v>
          </cell>
          <cell r="I587">
            <v>0</v>
          </cell>
          <cell r="J587">
            <v>12556</v>
          </cell>
          <cell r="K587">
            <v>12556</v>
          </cell>
          <cell r="L587">
            <v>0</v>
          </cell>
          <cell r="N587">
            <v>0</v>
          </cell>
          <cell r="O587" t="str">
            <v>z</v>
          </cell>
          <cell r="V587" t="str">
            <v>*</v>
          </cell>
        </row>
        <row r="588">
          <cell r="G588" t="str">
            <v>G. V. R. TAGORE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N588">
            <v>0</v>
          </cell>
          <cell r="O588" t="str">
            <v>z</v>
          </cell>
          <cell r="V588" t="str">
            <v>*</v>
          </cell>
        </row>
        <row r="589">
          <cell r="G589" t="str">
            <v>MAHESH KUMAR KHISTY</v>
          </cell>
          <cell r="I589">
            <v>5000</v>
          </cell>
          <cell r="J589">
            <v>10093</v>
          </cell>
          <cell r="K589">
            <v>5093</v>
          </cell>
          <cell r="L589">
            <v>10000</v>
          </cell>
          <cell r="N589">
            <v>10000</v>
          </cell>
          <cell r="O589" t="str">
            <v>z</v>
          </cell>
          <cell r="V589" t="str">
            <v>*</v>
          </cell>
        </row>
        <row r="590">
          <cell r="G590" t="str">
            <v>DELEEP KACHROO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N590">
            <v>0</v>
          </cell>
          <cell r="O590" t="str">
            <v>z</v>
          </cell>
          <cell r="V590" t="str">
            <v>*</v>
          </cell>
        </row>
        <row r="591">
          <cell r="G591" t="str">
            <v>RAKESH BRAHMBHATT</v>
          </cell>
          <cell r="I591">
            <v>0</v>
          </cell>
          <cell r="J591">
            <v>7766</v>
          </cell>
          <cell r="K591">
            <v>7766</v>
          </cell>
          <cell r="L591">
            <v>0</v>
          </cell>
          <cell r="N591">
            <v>0</v>
          </cell>
          <cell r="O591" t="str">
            <v>z</v>
          </cell>
          <cell r="V591" t="str">
            <v>*</v>
          </cell>
        </row>
        <row r="592">
          <cell r="G592" t="str">
            <v>PARTHA BARUAH</v>
          </cell>
          <cell r="I592">
            <v>0</v>
          </cell>
          <cell r="J592">
            <v>4467</v>
          </cell>
          <cell r="K592">
            <v>4467</v>
          </cell>
          <cell r="L592">
            <v>0</v>
          </cell>
          <cell r="N592">
            <v>0</v>
          </cell>
          <cell r="O592" t="str">
            <v>z</v>
          </cell>
          <cell r="V592" t="str">
            <v>*</v>
          </cell>
        </row>
        <row r="593">
          <cell r="G593" t="str">
            <v>ACHUTHA PRAKASH A. J.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N593">
            <v>0</v>
          </cell>
          <cell r="O593" t="str">
            <v>z</v>
          </cell>
          <cell r="V593" t="str">
            <v>*</v>
          </cell>
        </row>
        <row r="594">
          <cell r="G594" t="str">
            <v>DR. KAILASH SHARMA</v>
          </cell>
          <cell r="I594">
            <v>-13538</v>
          </cell>
          <cell r="J594">
            <v>0</v>
          </cell>
          <cell r="K594">
            <v>0</v>
          </cell>
          <cell r="L594">
            <v>-13538</v>
          </cell>
          <cell r="N594">
            <v>-13538</v>
          </cell>
          <cell r="O594" t="str">
            <v>z</v>
          </cell>
          <cell r="V594" t="str">
            <v>*</v>
          </cell>
        </row>
        <row r="595">
          <cell r="G595" t="str">
            <v>DIPANKAR DAS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N595">
            <v>0</v>
          </cell>
          <cell r="O595" t="str">
            <v>z</v>
          </cell>
          <cell r="V595" t="str">
            <v>*</v>
          </cell>
        </row>
        <row r="596">
          <cell r="G596" t="str">
            <v>RAJINDER SINGH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N596">
            <v>0</v>
          </cell>
          <cell r="O596" t="str">
            <v>z</v>
          </cell>
          <cell r="V596" t="str">
            <v>*</v>
          </cell>
        </row>
        <row r="597">
          <cell r="G597" t="str">
            <v>NITIN N. RODE</v>
          </cell>
          <cell r="I597">
            <v>6000</v>
          </cell>
          <cell r="J597">
            <v>12244</v>
          </cell>
          <cell r="K597">
            <v>15244</v>
          </cell>
          <cell r="L597">
            <v>3000</v>
          </cell>
          <cell r="N597">
            <v>3000</v>
          </cell>
          <cell r="O597" t="str">
            <v>z</v>
          </cell>
          <cell r="V597" t="str">
            <v>*</v>
          </cell>
        </row>
        <row r="598">
          <cell r="G598" t="str">
            <v>HEMANT MOHITE</v>
          </cell>
          <cell r="I598">
            <v>0</v>
          </cell>
          <cell r="J598">
            <v>7000</v>
          </cell>
          <cell r="K598">
            <v>0</v>
          </cell>
          <cell r="L598">
            <v>7000</v>
          </cell>
          <cell r="N598">
            <v>7000</v>
          </cell>
          <cell r="O598" t="str">
            <v>z</v>
          </cell>
          <cell r="V598" t="str">
            <v>*</v>
          </cell>
        </row>
        <row r="599">
          <cell r="G599" t="str">
            <v>RAJESH HUDDAR</v>
          </cell>
          <cell r="I599">
            <v>63145</v>
          </cell>
          <cell r="J599">
            <v>460</v>
          </cell>
          <cell r="K599">
            <v>52212</v>
          </cell>
          <cell r="L599">
            <v>11393</v>
          </cell>
          <cell r="N599">
            <v>11393</v>
          </cell>
          <cell r="O599" t="str">
            <v>z</v>
          </cell>
          <cell r="V599" t="str">
            <v>*</v>
          </cell>
        </row>
        <row r="600">
          <cell r="G600" t="str">
            <v>YOGESH LAKHANI</v>
          </cell>
          <cell r="I600">
            <v>10000</v>
          </cell>
          <cell r="J600">
            <v>0</v>
          </cell>
          <cell r="K600">
            <v>10000</v>
          </cell>
          <cell r="L600">
            <v>0</v>
          </cell>
          <cell r="N600">
            <v>0</v>
          </cell>
          <cell r="O600" t="str">
            <v>z</v>
          </cell>
          <cell r="V600" t="str">
            <v>*</v>
          </cell>
        </row>
        <row r="601">
          <cell r="G601" t="str">
            <v>RAJU KAUL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N601">
            <v>0</v>
          </cell>
          <cell r="O601" t="str">
            <v>z</v>
          </cell>
          <cell r="V601" t="str">
            <v>*</v>
          </cell>
        </row>
        <row r="602">
          <cell r="G602" t="str">
            <v>R. RAMESH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N602">
            <v>0</v>
          </cell>
          <cell r="O602" t="str">
            <v>z</v>
          </cell>
          <cell r="V602" t="str">
            <v>*</v>
          </cell>
        </row>
        <row r="603">
          <cell r="G603" t="str">
            <v>BIJAY PHILIP</v>
          </cell>
          <cell r="I603">
            <v>0</v>
          </cell>
          <cell r="J603">
            <v>3104</v>
          </cell>
          <cell r="K603">
            <v>3104</v>
          </cell>
          <cell r="L603">
            <v>0</v>
          </cell>
          <cell r="N603">
            <v>0</v>
          </cell>
          <cell r="O603" t="str">
            <v>z</v>
          </cell>
          <cell r="V603" t="str">
            <v>*</v>
          </cell>
        </row>
        <row r="604">
          <cell r="G604" t="str">
            <v>NASER AHMED</v>
          </cell>
          <cell r="I604">
            <v>0</v>
          </cell>
          <cell r="J604">
            <v>6131</v>
          </cell>
          <cell r="K604">
            <v>6131</v>
          </cell>
          <cell r="L604">
            <v>0</v>
          </cell>
          <cell r="N604">
            <v>0</v>
          </cell>
          <cell r="O604" t="str">
            <v>z</v>
          </cell>
          <cell r="V604" t="str">
            <v>*</v>
          </cell>
        </row>
        <row r="605">
          <cell r="G605" t="str">
            <v>SANJAY SAXENA</v>
          </cell>
          <cell r="I605">
            <v>0</v>
          </cell>
          <cell r="J605">
            <v>17139</v>
          </cell>
          <cell r="K605">
            <v>17139</v>
          </cell>
          <cell r="L605">
            <v>0</v>
          </cell>
          <cell r="N605">
            <v>0</v>
          </cell>
          <cell r="O605" t="str">
            <v>z</v>
          </cell>
          <cell r="V605" t="str">
            <v>*</v>
          </cell>
        </row>
        <row r="606">
          <cell r="G606" t="str">
            <v>MURUGAN G. S.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N606">
            <v>0</v>
          </cell>
          <cell r="O606" t="str">
            <v>z</v>
          </cell>
          <cell r="V606" t="str">
            <v>*</v>
          </cell>
        </row>
        <row r="607">
          <cell r="G607" t="str">
            <v>MOHAN PAWAR</v>
          </cell>
          <cell r="I607">
            <v>6400</v>
          </cell>
          <cell r="J607">
            <v>5000</v>
          </cell>
          <cell r="K607">
            <v>14738</v>
          </cell>
          <cell r="L607">
            <v>-3338</v>
          </cell>
          <cell r="N607">
            <v>-3338</v>
          </cell>
          <cell r="O607" t="str">
            <v>z</v>
          </cell>
          <cell r="V607" t="str">
            <v>*</v>
          </cell>
        </row>
        <row r="608">
          <cell r="G608" t="str">
            <v>SEEMA SURYA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O608" t="str">
            <v>z</v>
          </cell>
          <cell r="V608" t="str">
            <v>*</v>
          </cell>
        </row>
        <row r="609">
          <cell r="G609" t="str">
            <v>GIRISH CHAUDHARY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N609">
            <v>0</v>
          </cell>
          <cell r="O609" t="str">
            <v>z</v>
          </cell>
          <cell r="V609" t="str">
            <v>*</v>
          </cell>
        </row>
        <row r="610">
          <cell r="G610" t="str">
            <v>MANOJIT GUPTA</v>
          </cell>
          <cell r="I610">
            <v>0</v>
          </cell>
          <cell r="J610">
            <v>3675</v>
          </cell>
          <cell r="K610">
            <v>3675</v>
          </cell>
          <cell r="L610">
            <v>0</v>
          </cell>
          <cell r="N610">
            <v>0</v>
          </cell>
          <cell r="O610" t="str">
            <v>z</v>
          </cell>
          <cell r="V610" t="str">
            <v>*</v>
          </cell>
        </row>
        <row r="611">
          <cell r="G611" t="str">
            <v>CHETAN ANAND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N611">
            <v>0</v>
          </cell>
          <cell r="O611" t="str">
            <v>z</v>
          </cell>
          <cell r="V611" t="str">
            <v>*</v>
          </cell>
        </row>
        <row r="612">
          <cell r="G612" t="str">
            <v>RAMESH MENON</v>
          </cell>
          <cell r="I612">
            <v>12846</v>
          </cell>
          <cell r="J612">
            <v>0</v>
          </cell>
          <cell r="K612">
            <v>12846</v>
          </cell>
          <cell r="L612">
            <v>0</v>
          </cell>
          <cell r="N612">
            <v>0</v>
          </cell>
          <cell r="O612" t="str">
            <v>z</v>
          </cell>
          <cell r="V612" t="str">
            <v>*</v>
          </cell>
        </row>
        <row r="613">
          <cell r="G613" t="str">
            <v>SUDEB KALYAN DAS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N613">
            <v>0</v>
          </cell>
          <cell r="O613" t="str">
            <v>z</v>
          </cell>
          <cell r="V613" t="str">
            <v>*</v>
          </cell>
        </row>
        <row r="614">
          <cell r="G614" t="str">
            <v>JABY P. ISSAC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N614">
            <v>0</v>
          </cell>
          <cell r="O614" t="str">
            <v>z</v>
          </cell>
          <cell r="V614" t="str">
            <v>*</v>
          </cell>
        </row>
        <row r="615">
          <cell r="G615" t="str">
            <v>MANINDAR SINGH</v>
          </cell>
          <cell r="I615">
            <v>10000</v>
          </cell>
          <cell r="J615">
            <v>15847</v>
          </cell>
          <cell r="K615">
            <v>11847</v>
          </cell>
          <cell r="L615">
            <v>14000</v>
          </cell>
          <cell r="N615">
            <v>14000</v>
          </cell>
          <cell r="O615" t="str">
            <v>z</v>
          </cell>
          <cell r="V615" t="str">
            <v>*</v>
          </cell>
        </row>
        <row r="616">
          <cell r="G616" t="str">
            <v>JOBY ISSAC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N616">
            <v>0</v>
          </cell>
          <cell r="O616" t="str">
            <v>z</v>
          </cell>
          <cell r="V616" t="str">
            <v>*</v>
          </cell>
        </row>
        <row r="617">
          <cell r="G617" t="str">
            <v>V.K. SHRIVASTAVA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N617">
            <v>0</v>
          </cell>
          <cell r="O617" t="str">
            <v>z</v>
          </cell>
          <cell r="V617" t="str">
            <v>*</v>
          </cell>
        </row>
        <row r="618">
          <cell r="G618" t="str">
            <v>RONY BANNERJEE</v>
          </cell>
          <cell r="I618">
            <v>39840</v>
          </cell>
          <cell r="J618">
            <v>17877</v>
          </cell>
          <cell r="K618">
            <v>44507</v>
          </cell>
          <cell r="L618">
            <v>13210</v>
          </cell>
          <cell r="N618">
            <v>13210</v>
          </cell>
          <cell r="O618" t="str">
            <v>z</v>
          </cell>
          <cell r="V618" t="str">
            <v>*</v>
          </cell>
        </row>
        <row r="619">
          <cell r="G619" t="str">
            <v>R. SUNDAR RAJAN</v>
          </cell>
          <cell r="I619">
            <v>0</v>
          </cell>
          <cell r="J619">
            <v>6351</v>
          </cell>
          <cell r="K619">
            <v>6351</v>
          </cell>
          <cell r="L619">
            <v>0</v>
          </cell>
          <cell r="N619">
            <v>0</v>
          </cell>
          <cell r="O619" t="str">
            <v>z</v>
          </cell>
          <cell r="V619" t="str">
            <v>*</v>
          </cell>
        </row>
        <row r="620">
          <cell r="G620" t="str">
            <v>MURLI KRISHNA KUMBURU</v>
          </cell>
          <cell r="I620">
            <v>0</v>
          </cell>
          <cell r="J620">
            <v>5677</v>
          </cell>
          <cell r="K620">
            <v>5677</v>
          </cell>
          <cell r="L620">
            <v>0</v>
          </cell>
          <cell r="N620">
            <v>0</v>
          </cell>
          <cell r="O620" t="str">
            <v>z</v>
          </cell>
          <cell r="V620" t="str">
            <v>*</v>
          </cell>
        </row>
        <row r="621">
          <cell r="G621" t="str">
            <v>AVINASH DUBEY</v>
          </cell>
          <cell r="I621">
            <v>0</v>
          </cell>
          <cell r="J621">
            <v>15550</v>
          </cell>
          <cell r="K621">
            <v>15550</v>
          </cell>
          <cell r="L621">
            <v>0</v>
          </cell>
          <cell r="N621">
            <v>0</v>
          </cell>
          <cell r="O621" t="str">
            <v>z</v>
          </cell>
          <cell r="V621" t="str">
            <v>*</v>
          </cell>
        </row>
        <row r="622">
          <cell r="G622" t="str">
            <v>SUJEET SHINDE</v>
          </cell>
          <cell r="I622">
            <v>0</v>
          </cell>
          <cell r="J622">
            <v>4434</v>
          </cell>
          <cell r="K622">
            <v>4434</v>
          </cell>
          <cell r="L622">
            <v>0</v>
          </cell>
          <cell r="N622">
            <v>0</v>
          </cell>
          <cell r="O622" t="str">
            <v>z</v>
          </cell>
          <cell r="V622" t="str">
            <v>*</v>
          </cell>
        </row>
        <row r="623">
          <cell r="G623" t="str">
            <v>NILESH NABAR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N623">
            <v>0</v>
          </cell>
          <cell r="O623" t="str">
            <v>z</v>
          </cell>
          <cell r="V623" t="str">
            <v>*</v>
          </cell>
        </row>
        <row r="624">
          <cell r="G624" t="str">
            <v>HARI OM</v>
          </cell>
          <cell r="I624">
            <v>0</v>
          </cell>
          <cell r="J624">
            <v>3839</v>
          </cell>
          <cell r="K624">
            <v>3839</v>
          </cell>
          <cell r="L624">
            <v>0</v>
          </cell>
          <cell r="N624">
            <v>0</v>
          </cell>
          <cell r="O624" t="str">
            <v>z</v>
          </cell>
          <cell r="V624" t="str">
            <v>*</v>
          </cell>
        </row>
        <row r="625">
          <cell r="G625" t="str">
            <v>A. K. SINHA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N625">
            <v>0</v>
          </cell>
          <cell r="O625" t="str">
            <v>z</v>
          </cell>
          <cell r="V625" t="str">
            <v>*</v>
          </cell>
        </row>
        <row r="626">
          <cell r="G626" t="str">
            <v>NEVILLE CARVALHO</v>
          </cell>
          <cell r="I626">
            <v>0</v>
          </cell>
          <cell r="J626">
            <v>11408</v>
          </cell>
          <cell r="K626">
            <v>1408</v>
          </cell>
          <cell r="L626">
            <v>10000</v>
          </cell>
          <cell r="N626">
            <v>10000</v>
          </cell>
          <cell r="O626" t="str">
            <v>z</v>
          </cell>
          <cell r="V626" t="str">
            <v>*</v>
          </cell>
        </row>
        <row r="627">
          <cell r="G627" t="str">
            <v>ROHIT NARAYANAN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N627">
            <v>0</v>
          </cell>
          <cell r="O627" t="str">
            <v>z</v>
          </cell>
          <cell r="V627" t="str">
            <v>*</v>
          </cell>
        </row>
        <row r="628">
          <cell r="G628" t="str">
            <v>ARUN PEER</v>
          </cell>
          <cell r="I628">
            <v>0</v>
          </cell>
          <cell r="J628">
            <v>3190</v>
          </cell>
          <cell r="K628">
            <v>3190</v>
          </cell>
          <cell r="L628">
            <v>0</v>
          </cell>
          <cell r="N628">
            <v>0</v>
          </cell>
          <cell r="O628" t="str">
            <v>z</v>
          </cell>
          <cell r="V628" t="str">
            <v>*</v>
          </cell>
        </row>
        <row r="629">
          <cell r="G629" t="str">
            <v>DIPENDRA SINGH</v>
          </cell>
          <cell r="I629">
            <v>0</v>
          </cell>
          <cell r="J629">
            <v>3795</v>
          </cell>
          <cell r="K629">
            <v>3795</v>
          </cell>
          <cell r="L629">
            <v>0</v>
          </cell>
          <cell r="N629">
            <v>0</v>
          </cell>
          <cell r="O629" t="str">
            <v>z</v>
          </cell>
          <cell r="V629" t="str">
            <v>*</v>
          </cell>
        </row>
        <row r="630">
          <cell r="G630" t="str">
            <v>ARUNAVA DEB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N630">
            <v>0</v>
          </cell>
          <cell r="O630" t="str">
            <v>z</v>
          </cell>
          <cell r="V630" t="str">
            <v>*</v>
          </cell>
        </row>
        <row r="631">
          <cell r="G631" t="str">
            <v>SANTANU GHOSH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N631">
            <v>0</v>
          </cell>
          <cell r="O631" t="str">
            <v>z</v>
          </cell>
          <cell r="V631" t="str">
            <v>*</v>
          </cell>
        </row>
        <row r="632">
          <cell r="G632" t="str">
            <v>PATHIK PANDYA</v>
          </cell>
          <cell r="I632">
            <v>0</v>
          </cell>
          <cell r="J632">
            <v>7778</v>
          </cell>
          <cell r="K632">
            <v>7778</v>
          </cell>
          <cell r="L632">
            <v>0</v>
          </cell>
          <cell r="N632">
            <v>0</v>
          </cell>
          <cell r="O632" t="str">
            <v>z</v>
          </cell>
          <cell r="V632" t="str">
            <v>*</v>
          </cell>
        </row>
        <row r="633">
          <cell r="G633" t="str">
            <v>SANJAY RAJPAL</v>
          </cell>
          <cell r="I633">
            <v>0</v>
          </cell>
          <cell r="J633">
            <v>13740</v>
          </cell>
          <cell r="K633">
            <v>13740</v>
          </cell>
          <cell r="L633">
            <v>0</v>
          </cell>
          <cell r="N633">
            <v>0</v>
          </cell>
          <cell r="O633" t="str">
            <v>z</v>
          </cell>
          <cell r="V633" t="str">
            <v>*</v>
          </cell>
        </row>
        <row r="634">
          <cell r="G634" t="str">
            <v>DESH DEEPAK BHADAURIA</v>
          </cell>
          <cell r="I634">
            <v>0</v>
          </cell>
          <cell r="J634">
            <v>23349</v>
          </cell>
          <cell r="K634">
            <v>23349</v>
          </cell>
          <cell r="L634">
            <v>0</v>
          </cell>
          <cell r="N634">
            <v>0</v>
          </cell>
          <cell r="O634" t="str">
            <v>z</v>
          </cell>
          <cell r="V634" t="str">
            <v>*</v>
          </cell>
        </row>
        <row r="635">
          <cell r="G635" t="str">
            <v>PRABHUSHARAN LAMBA</v>
          </cell>
          <cell r="I635">
            <v>-8004</v>
          </cell>
          <cell r="J635">
            <v>0</v>
          </cell>
          <cell r="K635">
            <v>0</v>
          </cell>
          <cell r="L635">
            <v>-8004</v>
          </cell>
          <cell r="N635">
            <v>-8004</v>
          </cell>
          <cell r="O635" t="str">
            <v>z</v>
          </cell>
          <cell r="V635" t="str">
            <v>*</v>
          </cell>
        </row>
        <row r="636">
          <cell r="G636" t="str">
            <v>ARNAB BASUMALLIK</v>
          </cell>
          <cell r="I636">
            <v>0</v>
          </cell>
          <cell r="J636">
            <v>7193</v>
          </cell>
          <cell r="K636">
            <v>7193</v>
          </cell>
          <cell r="L636">
            <v>0</v>
          </cell>
          <cell r="N636">
            <v>0</v>
          </cell>
          <cell r="O636" t="str">
            <v>z</v>
          </cell>
          <cell r="V636" t="str">
            <v>*</v>
          </cell>
        </row>
        <row r="637">
          <cell r="G637" t="str">
            <v>SUDHIR SHANKAR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N637">
            <v>0</v>
          </cell>
          <cell r="O637" t="str">
            <v>z</v>
          </cell>
          <cell r="V637" t="str">
            <v>*</v>
          </cell>
        </row>
        <row r="638">
          <cell r="G638" t="str">
            <v>SUMAN SARKAR</v>
          </cell>
          <cell r="I638">
            <v>0</v>
          </cell>
          <cell r="J638">
            <v>2440</v>
          </cell>
          <cell r="K638">
            <v>2440</v>
          </cell>
          <cell r="L638">
            <v>0</v>
          </cell>
          <cell r="N638">
            <v>0</v>
          </cell>
          <cell r="O638" t="str">
            <v>z</v>
          </cell>
          <cell r="V638" t="str">
            <v>*</v>
          </cell>
        </row>
        <row r="639">
          <cell r="G639" t="str">
            <v>SHOBHIT TANDON</v>
          </cell>
          <cell r="I639">
            <v>0</v>
          </cell>
          <cell r="J639">
            <v>15191</v>
          </cell>
          <cell r="K639">
            <v>15191</v>
          </cell>
          <cell r="L639">
            <v>0</v>
          </cell>
          <cell r="N639">
            <v>0</v>
          </cell>
          <cell r="O639" t="str">
            <v>z</v>
          </cell>
          <cell r="V639" t="str">
            <v>*</v>
          </cell>
        </row>
        <row r="640">
          <cell r="G640" t="str">
            <v>RAKESH ARORA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N640">
            <v>0</v>
          </cell>
          <cell r="O640" t="str">
            <v>z</v>
          </cell>
          <cell r="V640" t="str">
            <v>*</v>
          </cell>
        </row>
        <row r="641">
          <cell r="G641" t="str">
            <v>SUNITA NAIK</v>
          </cell>
          <cell r="I641">
            <v>0</v>
          </cell>
          <cell r="J641">
            <v>2645</v>
          </cell>
          <cell r="K641">
            <v>2645</v>
          </cell>
          <cell r="L641">
            <v>0</v>
          </cell>
          <cell r="N641">
            <v>0</v>
          </cell>
          <cell r="O641" t="str">
            <v>z</v>
          </cell>
          <cell r="V641" t="str">
            <v>*</v>
          </cell>
        </row>
        <row r="642">
          <cell r="G642" t="str">
            <v>D. MAHENDER REDDY</v>
          </cell>
          <cell r="I642">
            <v>0</v>
          </cell>
          <cell r="J642">
            <v>2685</v>
          </cell>
          <cell r="K642">
            <v>2685</v>
          </cell>
          <cell r="L642">
            <v>0</v>
          </cell>
          <cell r="N642">
            <v>0</v>
          </cell>
          <cell r="O642" t="str">
            <v>z</v>
          </cell>
          <cell r="V642" t="str">
            <v>*</v>
          </cell>
        </row>
        <row r="643">
          <cell r="G643" t="str">
            <v>SARVANAN SWAMI</v>
          </cell>
          <cell r="I643">
            <v>32484</v>
          </cell>
          <cell r="J643">
            <v>12813</v>
          </cell>
          <cell r="K643">
            <v>35297</v>
          </cell>
          <cell r="L643">
            <v>10000</v>
          </cell>
          <cell r="N643">
            <v>10000</v>
          </cell>
          <cell r="O643" t="str">
            <v>z</v>
          </cell>
          <cell r="V643" t="str">
            <v>*</v>
          </cell>
        </row>
        <row r="644">
          <cell r="G644" t="str">
            <v>RAJESH BHINGARDE</v>
          </cell>
          <cell r="I644">
            <v>4000</v>
          </cell>
          <cell r="J644">
            <v>0</v>
          </cell>
          <cell r="K644">
            <v>0</v>
          </cell>
          <cell r="L644">
            <v>4000</v>
          </cell>
          <cell r="N644">
            <v>4000</v>
          </cell>
          <cell r="O644" t="str">
            <v>z</v>
          </cell>
          <cell r="V644" t="str">
            <v>*</v>
          </cell>
        </row>
        <row r="645">
          <cell r="G645" t="str">
            <v>RAKESH KOUL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N645">
            <v>0</v>
          </cell>
          <cell r="O645" t="str">
            <v>z</v>
          </cell>
          <cell r="V645" t="str">
            <v>*</v>
          </cell>
        </row>
        <row r="646">
          <cell r="G646" t="str">
            <v>NAGENDRAN S.</v>
          </cell>
          <cell r="I646">
            <v>0</v>
          </cell>
          <cell r="J646">
            <v>5251</v>
          </cell>
          <cell r="K646">
            <v>5251</v>
          </cell>
          <cell r="L646">
            <v>0</v>
          </cell>
          <cell r="N646">
            <v>0</v>
          </cell>
          <cell r="O646" t="str">
            <v>z</v>
          </cell>
          <cell r="V646" t="str">
            <v>*</v>
          </cell>
        </row>
        <row r="647">
          <cell r="G647" t="str">
            <v>GHANSHYAM MITTAL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N647">
            <v>0</v>
          </cell>
          <cell r="O647" t="str">
            <v>z</v>
          </cell>
          <cell r="V647" t="str">
            <v>*</v>
          </cell>
        </row>
        <row r="648">
          <cell r="G648" t="str">
            <v>AMIT MADAN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N648">
            <v>0</v>
          </cell>
          <cell r="O648" t="str">
            <v>z</v>
          </cell>
          <cell r="V648" t="str">
            <v>*</v>
          </cell>
        </row>
        <row r="649">
          <cell r="G649" t="str">
            <v>GEORGE THOMAS</v>
          </cell>
          <cell r="I649">
            <v>0</v>
          </cell>
          <cell r="J649">
            <v>4662</v>
          </cell>
          <cell r="K649">
            <v>4662</v>
          </cell>
          <cell r="L649">
            <v>0</v>
          </cell>
          <cell r="N649">
            <v>0</v>
          </cell>
          <cell r="O649" t="str">
            <v>z</v>
          </cell>
          <cell r="V649" t="str">
            <v>*</v>
          </cell>
        </row>
        <row r="650">
          <cell r="G650" t="str">
            <v>SUBHASH K.</v>
          </cell>
          <cell r="I650">
            <v>0</v>
          </cell>
          <cell r="J650">
            <v>4251</v>
          </cell>
          <cell r="K650">
            <v>4251</v>
          </cell>
          <cell r="L650">
            <v>0</v>
          </cell>
          <cell r="N650">
            <v>0</v>
          </cell>
          <cell r="O650" t="str">
            <v>z</v>
          </cell>
          <cell r="V650" t="str">
            <v>*</v>
          </cell>
        </row>
        <row r="651">
          <cell r="G651" t="str">
            <v>UTTAM ROY</v>
          </cell>
          <cell r="I651">
            <v>0</v>
          </cell>
          <cell r="J651">
            <v>11099</v>
          </cell>
          <cell r="K651">
            <v>11099</v>
          </cell>
          <cell r="L651">
            <v>0</v>
          </cell>
          <cell r="N651">
            <v>0</v>
          </cell>
          <cell r="O651" t="str">
            <v>z</v>
          </cell>
          <cell r="V651" t="str">
            <v>*</v>
          </cell>
        </row>
        <row r="652">
          <cell r="G652" t="str">
            <v>RAJINDER KAU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N652">
            <v>0</v>
          </cell>
          <cell r="O652" t="str">
            <v>z</v>
          </cell>
          <cell r="V652" t="str">
            <v>*</v>
          </cell>
        </row>
        <row r="653">
          <cell r="G653" t="str">
            <v>ALAK K. GUHA</v>
          </cell>
          <cell r="I653">
            <v>0</v>
          </cell>
          <cell r="J653">
            <v>29116</v>
          </cell>
          <cell r="K653">
            <v>29116</v>
          </cell>
          <cell r="L653">
            <v>0</v>
          </cell>
          <cell r="N653">
            <v>0</v>
          </cell>
          <cell r="O653" t="str">
            <v>z</v>
          </cell>
          <cell r="V653" t="str">
            <v>*</v>
          </cell>
        </row>
        <row r="654">
          <cell r="G654" t="str">
            <v>KRISHNA CHELLAPPA</v>
          </cell>
          <cell r="I654">
            <v>0</v>
          </cell>
          <cell r="J654">
            <v>20727</v>
          </cell>
          <cell r="K654">
            <v>20727</v>
          </cell>
          <cell r="L654">
            <v>0</v>
          </cell>
          <cell r="N654">
            <v>0</v>
          </cell>
          <cell r="O654" t="str">
            <v>z</v>
          </cell>
          <cell r="V654" t="str">
            <v>*</v>
          </cell>
        </row>
        <row r="655">
          <cell r="G655" t="str">
            <v>SUNIL K. SINGH</v>
          </cell>
          <cell r="I655">
            <v>0</v>
          </cell>
          <cell r="J655">
            <v>8153</v>
          </cell>
          <cell r="K655">
            <v>8153</v>
          </cell>
          <cell r="L655">
            <v>0</v>
          </cell>
          <cell r="N655">
            <v>0</v>
          </cell>
          <cell r="O655" t="str">
            <v>z</v>
          </cell>
          <cell r="V655" t="str">
            <v>*</v>
          </cell>
        </row>
        <row r="656">
          <cell r="G656" t="str">
            <v>ARUN VARGHESE</v>
          </cell>
          <cell r="I656">
            <v>0</v>
          </cell>
          <cell r="J656">
            <v>7054</v>
          </cell>
          <cell r="K656">
            <v>7054</v>
          </cell>
          <cell r="L656">
            <v>0</v>
          </cell>
          <cell r="N656">
            <v>0</v>
          </cell>
          <cell r="O656" t="str">
            <v>z</v>
          </cell>
          <cell r="V656" t="str">
            <v>*</v>
          </cell>
        </row>
        <row r="657">
          <cell r="G657" t="str">
            <v>GURUPRASAD RAO</v>
          </cell>
          <cell r="I657">
            <v>0</v>
          </cell>
          <cell r="J657">
            <v>3857</v>
          </cell>
          <cell r="K657">
            <v>3857</v>
          </cell>
          <cell r="L657">
            <v>0</v>
          </cell>
          <cell r="N657">
            <v>0</v>
          </cell>
          <cell r="O657" t="str">
            <v>z</v>
          </cell>
          <cell r="V657" t="str">
            <v>*</v>
          </cell>
        </row>
        <row r="658">
          <cell r="G658" t="str">
            <v>ANAD SUBRAMANIAN</v>
          </cell>
          <cell r="I658">
            <v>-10538</v>
          </cell>
          <cell r="J658">
            <v>14487</v>
          </cell>
          <cell r="K658">
            <v>3949</v>
          </cell>
          <cell r="L658">
            <v>0</v>
          </cell>
          <cell r="N658">
            <v>0</v>
          </cell>
          <cell r="O658" t="str">
            <v>z</v>
          </cell>
          <cell r="V658" t="str">
            <v>*</v>
          </cell>
        </row>
        <row r="659">
          <cell r="G659" t="str">
            <v>AMIT ADHIKARY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N659">
            <v>0</v>
          </cell>
          <cell r="O659" t="str">
            <v>z</v>
          </cell>
          <cell r="V659" t="str">
            <v>*</v>
          </cell>
        </row>
        <row r="660">
          <cell r="G660" t="str">
            <v>LAKSHMANA MURTHYKOTA</v>
          </cell>
          <cell r="I660">
            <v>0</v>
          </cell>
          <cell r="J660">
            <v>8666</v>
          </cell>
          <cell r="K660">
            <v>8666</v>
          </cell>
          <cell r="L660">
            <v>0</v>
          </cell>
          <cell r="N660">
            <v>0</v>
          </cell>
          <cell r="O660" t="str">
            <v>z</v>
          </cell>
          <cell r="V660" t="str">
            <v>*</v>
          </cell>
        </row>
        <row r="661">
          <cell r="G661" t="str">
            <v>DATTATRAY HEGDE</v>
          </cell>
          <cell r="I661">
            <v>5000</v>
          </cell>
          <cell r="J661">
            <v>0</v>
          </cell>
          <cell r="K661">
            <v>0</v>
          </cell>
          <cell r="L661">
            <v>5000</v>
          </cell>
          <cell r="N661">
            <v>5000</v>
          </cell>
          <cell r="O661" t="str">
            <v>z</v>
          </cell>
          <cell r="V661" t="str">
            <v>*</v>
          </cell>
        </row>
        <row r="662">
          <cell r="G662" t="str">
            <v>KRISHNA PRASAD RAVULA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N662">
            <v>0</v>
          </cell>
          <cell r="O662" t="str">
            <v>z</v>
          </cell>
          <cell r="V662" t="str">
            <v>*</v>
          </cell>
        </row>
        <row r="663">
          <cell r="G663" t="str">
            <v>J. NOBLE ANBUNESAN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N663">
            <v>0</v>
          </cell>
          <cell r="O663" t="str">
            <v>z</v>
          </cell>
          <cell r="V663" t="str">
            <v>*</v>
          </cell>
        </row>
        <row r="664">
          <cell r="G664" t="str">
            <v>E. PREMKUMAR</v>
          </cell>
          <cell r="I664">
            <v>0</v>
          </cell>
          <cell r="J664">
            <v>7842</v>
          </cell>
          <cell r="K664">
            <v>7842</v>
          </cell>
          <cell r="L664">
            <v>0</v>
          </cell>
          <cell r="N664">
            <v>0</v>
          </cell>
          <cell r="O664" t="str">
            <v>z</v>
          </cell>
          <cell r="V664" t="str">
            <v>*</v>
          </cell>
        </row>
        <row r="665">
          <cell r="G665" t="str">
            <v>MAINAK CHAKRABORTY</v>
          </cell>
          <cell r="I665">
            <v>0</v>
          </cell>
          <cell r="J665">
            <v>2328</v>
          </cell>
          <cell r="K665">
            <v>2328</v>
          </cell>
          <cell r="L665">
            <v>0</v>
          </cell>
          <cell r="N665">
            <v>0</v>
          </cell>
          <cell r="O665" t="str">
            <v>z</v>
          </cell>
          <cell r="V665" t="str">
            <v>*</v>
          </cell>
        </row>
        <row r="666">
          <cell r="G666" t="str">
            <v>ASHIM SIKDER</v>
          </cell>
          <cell r="I666">
            <v>0</v>
          </cell>
          <cell r="J666">
            <v>3080</v>
          </cell>
          <cell r="K666">
            <v>3080</v>
          </cell>
          <cell r="L666">
            <v>0</v>
          </cell>
          <cell r="N666">
            <v>0</v>
          </cell>
          <cell r="O666" t="str">
            <v>z</v>
          </cell>
          <cell r="V666" t="str">
            <v>*</v>
          </cell>
        </row>
        <row r="667">
          <cell r="G667" t="str">
            <v>SUDDHASHIL CHATTERJEE</v>
          </cell>
          <cell r="I667">
            <v>0</v>
          </cell>
          <cell r="J667">
            <v>4636</v>
          </cell>
          <cell r="K667">
            <v>4636</v>
          </cell>
          <cell r="L667">
            <v>0</v>
          </cell>
          <cell r="N667">
            <v>0</v>
          </cell>
          <cell r="O667" t="str">
            <v>z</v>
          </cell>
          <cell r="V667" t="str">
            <v>*</v>
          </cell>
        </row>
        <row r="668">
          <cell r="G668" t="str">
            <v>SAMUEL WANKHEDE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N668">
            <v>0</v>
          </cell>
          <cell r="O668" t="str">
            <v>z</v>
          </cell>
          <cell r="V668" t="str">
            <v>*</v>
          </cell>
        </row>
        <row r="669">
          <cell r="G669" t="str">
            <v>B. RAVICHANDRAN</v>
          </cell>
          <cell r="I669">
            <v>0</v>
          </cell>
          <cell r="J669">
            <v>5000</v>
          </cell>
          <cell r="K669">
            <v>0</v>
          </cell>
          <cell r="L669">
            <v>5000</v>
          </cell>
          <cell r="N669">
            <v>5000</v>
          </cell>
          <cell r="O669" t="str">
            <v>z</v>
          </cell>
          <cell r="V669" t="str">
            <v>*</v>
          </cell>
        </row>
        <row r="670">
          <cell r="G670" t="str">
            <v>LALIT KUMAR SETH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N670">
            <v>0</v>
          </cell>
          <cell r="O670" t="str">
            <v>z</v>
          </cell>
          <cell r="U670">
            <v>68246</v>
          </cell>
          <cell r="V670" t="str">
            <v>*</v>
          </cell>
        </row>
        <row r="671">
          <cell r="G671" t="str">
            <v>PRAKASH CHANDRA MISHRA</v>
          </cell>
          <cell r="I671">
            <v>2000</v>
          </cell>
          <cell r="J671">
            <v>0</v>
          </cell>
          <cell r="K671">
            <v>0</v>
          </cell>
          <cell r="L671">
            <v>2000</v>
          </cell>
          <cell r="N671">
            <v>2000</v>
          </cell>
          <cell r="O671" t="str">
            <v>z</v>
          </cell>
          <cell r="V671" t="str">
            <v>*</v>
          </cell>
        </row>
        <row r="672">
          <cell r="G672" t="str">
            <v>SATISH K. PALRECHA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N672">
            <v>0</v>
          </cell>
          <cell r="O672" t="str">
            <v>z</v>
          </cell>
          <cell r="V672" t="str">
            <v>*</v>
          </cell>
        </row>
        <row r="673">
          <cell r="G673" t="str">
            <v>ANAND IYER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N673">
            <v>0</v>
          </cell>
          <cell r="O673" t="str">
            <v>z</v>
          </cell>
          <cell r="V673" t="str">
            <v>*</v>
          </cell>
        </row>
        <row r="674">
          <cell r="G674" t="str">
            <v>DEEPALI  CHAUBAL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N674">
            <v>0</v>
          </cell>
          <cell r="O674" t="str">
            <v>z</v>
          </cell>
          <cell r="V674" t="str">
            <v>*</v>
          </cell>
        </row>
        <row r="675">
          <cell r="G675" t="str">
            <v>INDRANIL MUKHERJEE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N675">
            <v>0</v>
          </cell>
          <cell r="O675" t="str">
            <v>z</v>
          </cell>
          <cell r="V675" t="str">
            <v>*</v>
          </cell>
        </row>
        <row r="676">
          <cell r="G676" t="str">
            <v>ANAND TAUKARI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N676">
            <v>0</v>
          </cell>
          <cell r="O676" t="str">
            <v>z</v>
          </cell>
          <cell r="V676" t="str">
            <v>*</v>
          </cell>
        </row>
        <row r="677">
          <cell r="G677" t="str">
            <v>ARUP KUMAR DAS</v>
          </cell>
          <cell r="I677">
            <v>0</v>
          </cell>
          <cell r="J677">
            <v>15000</v>
          </cell>
          <cell r="K677">
            <v>0</v>
          </cell>
          <cell r="L677">
            <v>15000</v>
          </cell>
          <cell r="N677">
            <v>15000</v>
          </cell>
          <cell r="O677" t="str">
            <v>z</v>
          </cell>
          <cell r="V677" t="str">
            <v>*</v>
          </cell>
        </row>
        <row r="678">
          <cell r="G678" t="str">
            <v>B. BALAKRISHANAN</v>
          </cell>
          <cell r="I678">
            <v>-7754</v>
          </cell>
          <cell r="J678">
            <v>0</v>
          </cell>
          <cell r="K678">
            <v>0</v>
          </cell>
          <cell r="L678">
            <v>-7754</v>
          </cell>
          <cell r="N678">
            <v>-7754</v>
          </cell>
          <cell r="O678" t="str">
            <v>z</v>
          </cell>
          <cell r="V678" t="str">
            <v>*</v>
          </cell>
        </row>
        <row r="679">
          <cell r="G679" t="str">
            <v>M. SUDHAKAR MADDIRALA</v>
          </cell>
          <cell r="I679">
            <v>2000</v>
          </cell>
          <cell r="J679">
            <v>0</v>
          </cell>
          <cell r="K679">
            <v>0</v>
          </cell>
          <cell r="L679">
            <v>2000</v>
          </cell>
          <cell r="N679">
            <v>2000</v>
          </cell>
          <cell r="O679" t="str">
            <v>z</v>
          </cell>
          <cell r="V679" t="str">
            <v>*</v>
          </cell>
        </row>
        <row r="680">
          <cell r="G680" t="str">
            <v>G. V. R. TAGORE</v>
          </cell>
          <cell r="I680">
            <v>0</v>
          </cell>
          <cell r="J680">
            <v>2000</v>
          </cell>
          <cell r="K680">
            <v>0</v>
          </cell>
          <cell r="L680">
            <v>2000</v>
          </cell>
          <cell r="N680">
            <v>2000</v>
          </cell>
          <cell r="O680" t="str">
            <v>z</v>
          </cell>
          <cell r="V680" t="str">
            <v>*</v>
          </cell>
        </row>
        <row r="681">
          <cell r="G681" t="str">
            <v>DR. KAILASH SHARMA</v>
          </cell>
          <cell r="I681">
            <v>0</v>
          </cell>
          <cell r="J681">
            <v>5000</v>
          </cell>
          <cell r="K681">
            <v>0</v>
          </cell>
          <cell r="L681">
            <v>5000</v>
          </cell>
          <cell r="N681">
            <v>5000</v>
          </cell>
          <cell r="O681" t="str">
            <v>z</v>
          </cell>
          <cell r="V681" t="str">
            <v>*</v>
          </cell>
        </row>
        <row r="682">
          <cell r="G682" t="str">
            <v>N. HARITHEERTHAM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N682">
            <v>0</v>
          </cell>
          <cell r="O682" t="str">
            <v>z</v>
          </cell>
          <cell r="V682" t="str">
            <v>*</v>
          </cell>
        </row>
        <row r="683">
          <cell r="G683" t="str">
            <v>RAJINDER SINGH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N683">
            <v>0</v>
          </cell>
          <cell r="O683" t="str">
            <v>z</v>
          </cell>
          <cell r="V683" t="str">
            <v>*</v>
          </cell>
        </row>
        <row r="684">
          <cell r="G684" t="str">
            <v>P.K. CHANDA</v>
          </cell>
          <cell r="I684">
            <v>-2080</v>
          </cell>
          <cell r="J684">
            <v>2080</v>
          </cell>
          <cell r="K684">
            <v>0</v>
          </cell>
          <cell r="L684">
            <v>0</v>
          </cell>
          <cell r="N684">
            <v>0</v>
          </cell>
          <cell r="O684" t="str">
            <v>z</v>
          </cell>
          <cell r="V684" t="str">
            <v>*</v>
          </cell>
        </row>
        <row r="685">
          <cell r="G685" t="str">
            <v>RAJESH HUDDAR</v>
          </cell>
          <cell r="I685">
            <v>30000</v>
          </cell>
          <cell r="J685">
            <v>0</v>
          </cell>
          <cell r="K685">
            <v>30000</v>
          </cell>
          <cell r="L685">
            <v>0</v>
          </cell>
          <cell r="N685">
            <v>0</v>
          </cell>
          <cell r="O685" t="str">
            <v>z</v>
          </cell>
          <cell r="V685" t="str">
            <v>*</v>
          </cell>
        </row>
        <row r="686">
          <cell r="G686" t="str">
            <v>RAMESH MENON</v>
          </cell>
          <cell r="I686">
            <v>1500</v>
          </cell>
          <cell r="J686">
            <v>0</v>
          </cell>
          <cell r="K686">
            <v>1500</v>
          </cell>
          <cell r="L686">
            <v>0</v>
          </cell>
          <cell r="N686">
            <v>0</v>
          </cell>
          <cell r="O686" t="str">
            <v>z</v>
          </cell>
          <cell r="V686" t="str">
            <v>*</v>
          </cell>
        </row>
        <row r="687">
          <cell r="G687" t="str">
            <v>NEVILLE CARVALHO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N687">
            <v>0</v>
          </cell>
          <cell r="O687" t="str">
            <v>z</v>
          </cell>
          <cell r="V687" t="str">
            <v>*</v>
          </cell>
        </row>
        <row r="688">
          <cell r="G688" t="str">
            <v>ROHIT NARAYANAN</v>
          </cell>
          <cell r="I688">
            <v>0</v>
          </cell>
          <cell r="J688">
            <v>2000</v>
          </cell>
          <cell r="K688">
            <v>0</v>
          </cell>
          <cell r="L688">
            <v>2000</v>
          </cell>
          <cell r="N688">
            <v>2000</v>
          </cell>
          <cell r="O688" t="str">
            <v>z</v>
          </cell>
          <cell r="V688" t="str">
            <v>*</v>
          </cell>
        </row>
        <row r="689">
          <cell r="G689" t="str">
            <v>SANTANU GHOSH</v>
          </cell>
          <cell r="I689">
            <v>0</v>
          </cell>
          <cell r="J689">
            <v>10000</v>
          </cell>
          <cell r="K689">
            <v>0</v>
          </cell>
          <cell r="L689">
            <v>10000</v>
          </cell>
          <cell r="N689">
            <v>10000</v>
          </cell>
          <cell r="O689" t="str">
            <v>z</v>
          </cell>
          <cell r="V689" t="str">
            <v>*</v>
          </cell>
        </row>
        <row r="690">
          <cell r="G690" t="str">
            <v>PRABHUSHARAN LAMBA</v>
          </cell>
          <cell r="I690">
            <v>0</v>
          </cell>
          <cell r="J690">
            <v>10000</v>
          </cell>
          <cell r="K690">
            <v>0</v>
          </cell>
          <cell r="L690">
            <v>10000</v>
          </cell>
          <cell r="N690">
            <v>10000</v>
          </cell>
          <cell r="O690" t="str">
            <v>z</v>
          </cell>
          <cell r="V690" t="str">
            <v>*</v>
          </cell>
        </row>
        <row r="691">
          <cell r="G691" t="str">
            <v>RAKESH ARORA</v>
          </cell>
          <cell r="I691">
            <v>0</v>
          </cell>
          <cell r="J691">
            <v>2000</v>
          </cell>
          <cell r="K691">
            <v>0</v>
          </cell>
          <cell r="L691">
            <v>2000</v>
          </cell>
          <cell r="N691">
            <v>2000</v>
          </cell>
          <cell r="O691" t="str">
            <v>z</v>
          </cell>
          <cell r="V691" t="str">
            <v>*</v>
          </cell>
        </row>
        <row r="692">
          <cell r="G692" t="str">
            <v>SUNITA NAIK</v>
          </cell>
          <cell r="I692">
            <v>0</v>
          </cell>
          <cell r="J692">
            <v>2000</v>
          </cell>
          <cell r="K692">
            <v>0</v>
          </cell>
          <cell r="L692">
            <v>2000</v>
          </cell>
          <cell r="N692">
            <v>2000</v>
          </cell>
          <cell r="O692" t="str">
            <v>z</v>
          </cell>
          <cell r="V692" t="str">
            <v>*</v>
          </cell>
        </row>
        <row r="693">
          <cell r="G693" t="str">
            <v>RAJESH BHINGARDE</v>
          </cell>
          <cell r="I693">
            <v>0</v>
          </cell>
          <cell r="J693">
            <v>2000</v>
          </cell>
          <cell r="K693">
            <v>0</v>
          </cell>
          <cell r="L693">
            <v>2000</v>
          </cell>
          <cell r="N693">
            <v>2000</v>
          </cell>
          <cell r="O693" t="str">
            <v>z</v>
          </cell>
          <cell r="V693" t="str">
            <v>*</v>
          </cell>
        </row>
        <row r="694">
          <cell r="G694" t="str">
            <v>RAJIV R. SINGH</v>
          </cell>
          <cell r="I694">
            <v>0</v>
          </cell>
          <cell r="J694">
            <v>2000</v>
          </cell>
          <cell r="K694">
            <v>0</v>
          </cell>
          <cell r="L694">
            <v>2000</v>
          </cell>
          <cell r="N694">
            <v>2000</v>
          </cell>
          <cell r="O694" t="str">
            <v>z</v>
          </cell>
          <cell r="V694" t="str">
            <v>*</v>
          </cell>
        </row>
        <row r="695">
          <cell r="G695" t="str">
            <v>RAJINDER KAU</v>
          </cell>
          <cell r="I695">
            <v>0</v>
          </cell>
          <cell r="J695">
            <v>2000</v>
          </cell>
          <cell r="K695">
            <v>0</v>
          </cell>
          <cell r="L695">
            <v>2000</v>
          </cell>
          <cell r="N695">
            <v>2000</v>
          </cell>
          <cell r="O695" t="str">
            <v>z</v>
          </cell>
          <cell r="V695" t="str">
            <v>*</v>
          </cell>
        </row>
        <row r="696">
          <cell r="G696" t="str">
            <v>SAMUEL WANKHEDE</v>
          </cell>
          <cell r="I696">
            <v>0</v>
          </cell>
          <cell r="J696">
            <v>4000</v>
          </cell>
          <cell r="K696">
            <v>0</v>
          </cell>
          <cell r="L696">
            <v>4000</v>
          </cell>
          <cell r="N696">
            <v>4000</v>
          </cell>
          <cell r="O696" t="str">
            <v>z</v>
          </cell>
          <cell r="V696" t="str">
            <v>*</v>
          </cell>
        </row>
        <row r="697">
          <cell r="G697" t="str">
            <v>OTHER ADVANCES TO EMPLOYEES</v>
          </cell>
          <cell r="I697">
            <v>6500</v>
          </cell>
          <cell r="J697">
            <v>12000</v>
          </cell>
          <cell r="K697">
            <v>4500</v>
          </cell>
          <cell r="L697">
            <v>14000</v>
          </cell>
          <cell r="N697">
            <v>14000</v>
          </cell>
          <cell r="O697" t="str">
            <v>z</v>
          </cell>
          <cell r="V697" t="str">
            <v>*</v>
          </cell>
        </row>
        <row r="698">
          <cell r="G698" t="str">
            <v>INSURANCE BENEFITS &amp; DAMAGE CLAIMS</v>
          </cell>
          <cell r="H698" t="str">
            <v>Insurance Benefit Damage &amp; Claim</v>
          </cell>
          <cell r="I698">
            <v>278060</v>
          </cell>
          <cell r="J698">
            <v>18135.05</v>
          </cell>
          <cell r="K698">
            <v>282520</v>
          </cell>
          <cell r="L698">
            <v>13675.05</v>
          </cell>
          <cell r="N698">
            <v>13675.05</v>
          </cell>
          <cell r="O698" t="str">
            <v>z</v>
          </cell>
          <cell r="U698">
            <v>13675.05</v>
          </cell>
          <cell r="V698" t="str">
            <v>*</v>
          </cell>
        </row>
        <row r="699">
          <cell r="G699" t="str">
            <v>DEPOSITS AND OTHER SECURITY PAYMENTS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N699">
            <v>0</v>
          </cell>
          <cell r="O699">
            <v>0</v>
          </cell>
          <cell r="U699">
            <v>4116385.7399999998</v>
          </cell>
          <cell r="V699" t="str">
            <v>*</v>
          </cell>
        </row>
        <row r="700">
          <cell r="G700" t="str">
            <v>TENDER DEPOSITS</v>
          </cell>
          <cell r="H700" t="str">
            <v>Tender Deposits</v>
          </cell>
          <cell r="I700">
            <v>1196518.1299999999</v>
          </cell>
          <cell r="J700">
            <v>10000</v>
          </cell>
          <cell r="K700">
            <v>0</v>
          </cell>
          <cell r="L700">
            <v>1206518.1299999999</v>
          </cell>
          <cell r="N700">
            <v>1206518.1299999999</v>
          </cell>
          <cell r="O700" t="str">
            <v>z</v>
          </cell>
          <cell r="V700" t="str">
            <v>*</v>
          </cell>
        </row>
        <row r="701">
          <cell r="G701" t="str">
            <v>DEPOSIT WITH M T N L</v>
          </cell>
          <cell r="H701" t="str">
            <v>Deposits wih MTNL</v>
          </cell>
          <cell r="I701">
            <v>129000</v>
          </cell>
          <cell r="J701">
            <v>0</v>
          </cell>
          <cell r="K701">
            <v>0</v>
          </cell>
          <cell r="L701">
            <v>129000</v>
          </cell>
          <cell r="N701">
            <v>129000</v>
          </cell>
          <cell r="O701" t="str">
            <v>z</v>
          </cell>
          <cell r="V701" t="str">
            <v>*</v>
          </cell>
        </row>
        <row r="702">
          <cell r="G702" t="str">
            <v>DEPOSIT OTHERS</v>
          </cell>
          <cell r="H702" t="str">
            <v>Deposits others</v>
          </cell>
          <cell r="I702">
            <v>2430822</v>
          </cell>
          <cell r="J702">
            <v>100000</v>
          </cell>
          <cell r="K702">
            <v>0</v>
          </cell>
          <cell r="L702">
            <v>2530822</v>
          </cell>
          <cell r="N702">
            <v>2530822</v>
          </cell>
          <cell r="O702" t="str">
            <v>z</v>
          </cell>
          <cell r="V702" t="str">
            <v>*</v>
          </cell>
        </row>
        <row r="703">
          <cell r="G703" t="str">
            <v>ADVANCE CUSTOM DUTY - DEBP</v>
          </cell>
          <cell r="H703" t="str">
            <v>Advance Custom Duty (DEBP)</v>
          </cell>
          <cell r="I703">
            <v>2706973</v>
          </cell>
          <cell r="J703">
            <v>522839</v>
          </cell>
          <cell r="K703">
            <v>2994426</v>
          </cell>
          <cell r="L703">
            <v>235386</v>
          </cell>
          <cell r="N703">
            <v>235386</v>
          </cell>
          <cell r="O703" t="str">
            <v>z</v>
          </cell>
          <cell r="V703" t="str">
            <v>*</v>
          </cell>
        </row>
        <row r="704">
          <cell r="G704" t="str">
            <v>OTHER REMAINING CURRENT ASSETS</v>
          </cell>
          <cell r="H704" t="str">
            <v>Other Remaining Receivable Interest</v>
          </cell>
          <cell r="I704">
            <v>14659.61</v>
          </cell>
          <cell r="J704">
            <v>0</v>
          </cell>
          <cell r="K704">
            <v>0</v>
          </cell>
          <cell r="L704">
            <v>14659.61</v>
          </cell>
          <cell r="N704">
            <v>14659.61</v>
          </cell>
          <cell r="O704" t="str">
            <v>z</v>
          </cell>
          <cell r="V704" t="str">
            <v>*</v>
          </cell>
        </row>
        <row r="705">
          <cell r="G705" t="str">
            <v>DEUTSCHE BANK (INR)</v>
          </cell>
          <cell r="H705" t="str">
            <v>Deutsche Bank - INR A/C</v>
          </cell>
          <cell r="I705">
            <v>10993705.060000001</v>
          </cell>
          <cell r="J705">
            <v>51892193.060000002</v>
          </cell>
          <cell r="K705">
            <v>51208877.840000004</v>
          </cell>
          <cell r="L705">
            <v>11677020.279999999</v>
          </cell>
          <cell r="N705">
            <v>11677020.279999999</v>
          </cell>
          <cell r="O705" t="str">
            <v>z</v>
          </cell>
          <cell r="U705">
            <v>15889569.729999999</v>
          </cell>
          <cell r="V705" t="str">
            <v>*</v>
          </cell>
        </row>
        <row r="706">
          <cell r="G706" t="str">
            <v>DEUTSCHE BANK (62620050) USD</v>
          </cell>
          <cell r="H706" t="str">
            <v>Deutsche Bank - USD A/C</v>
          </cell>
          <cell r="I706">
            <v>84823.34</v>
          </cell>
          <cell r="J706">
            <v>101064.7</v>
          </cell>
          <cell r="K706">
            <v>127459</v>
          </cell>
          <cell r="L706">
            <v>51980.04</v>
          </cell>
          <cell r="N706">
            <v>51980.04</v>
          </cell>
          <cell r="O706" t="str">
            <v>z</v>
          </cell>
          <cell r="V706" t="str">
            <v>*</v>
          </cell>
        </row>
        <row r="707">
          <cell r="G707" t="str">
            <v>DEUTSCHE BANK (62620040)DEM</v>
          </cell>
          <cell r="H707" t="str">
            <v>Deutsche Bank - DEM A/C</v>
          </cell>
          <cell r="I707">
            <v>2566.7399999999998</v>
          </cell>
          <cell r="J707">
            <v>588004.68999999994</v>
          </cell>
          <cell r="K707">
            <v>590571.43000000005</v>
          </cell>
          <cell r="L707">
            <v>0</v>
          </cell>
          <cell r="N707">
            <v>0</v>
          </cell>
          <cell r="O707" t="str">
            <v>z</v>
          </cell>
          <cell r="V707" t="str">
            <v>*</v>
          </cell>
        </row>
        <row r="708">
          <cell r="G708" t="str">
            <v>DENA BANK</v>
          </cell>
          <cell r="H708" t="str">
            <v>Dena Bank Mumbai</v>
          </cell>
          <cell r="I708">
            <v>74063.97</v>
          </cell>
          <cell r="J708">
            <v>3892227</v>
          </cell>
          <cell r="K708">
            <v>3243513.38</v>
          </cell>
          <cell r="L708">
            <v>722777.59</v>
          </cell>
          <cell r="N708">
            <v>722777.59</v>
          </cell>
          <cell r="O708" t="str">
            <v>z</v>
          </cell>
          <cell r="V708" t="str">
            <v>*</v>
          </cell>
        </row>
        <row r="709">
          <cell r="G709" t="str">
            <v>BANK OF INDIA - PANJIM CURRENT ACCOUNT (1)</v>
          </cell>
          <cell r="H709" t="str">
            <v>Bank of India Panjim Curr. A/c(1)</v>
          </cell>
          <cell r="I709">
            <v>475</v>
          </cell>
          <cell r="J709">
            <v>0</v>
          </cell>
          <cell r="K709">
            <v>0</v>
          </cell>
          <cell r="L709">
            <v>475</v>
          </cell>
          <cell r="N709">
            <v>475</v>
          </cell>
          <cell r="O709" t="str">
            <v>z</v>
          </cell>
          <cell r="V709" t="str">
            <v>*</v>
          </cell>
        </row>
        <row r="710">
          <cell r="G710" t="str">
            <v>BANK OF INDIA - PONDA</v>
          </cell>
          <cell r="H710" t="str">
            <v>Bank of India Ponda Curr. A/c(1)</v>
          </cell>
          <cell r="I710">
            <v>46685.94</v>
          </cell>
          <cell r="J710">
            <v>2084149</v>
          </cell>
          <cell r="K710">
            <v>2190759.5</v>
          </cell>
          <cell r="L710">
            <v>-59924.56</v>
          </cell>
          <cell r="N710">
            <v>-59924.56</v>
          </cell>
          <cell r="O710" t="str">
            <v>z</v>
          </cell>
          <cell r="V710" t="str">
            <v>*</v>
          </cell>
        </row>
        <row r="711">
          <cell r="G711" t="str">
            <v>BANK OF INDIA PANJIM CURR.A/C (2)</v>
          </cell>
          <cell r="H711" t="str">
            <v>Bank of India Panjim Curr. A/c(2)</v>
          </cell>
          <cell r="I711">
            <v>85527.05</v>
          </cell>
          <cell r="J711">
            <v>800000</v>
          </cell>
          <cell r="K711">
            <v>817030</v>
          </cell>
          <cell r="L711">
            <v>68497.05</v>
          </cell>
          <cell r="N711">
            <v>68497.05</v>
          </cell>
          <cell r="O711" t="str">
            <v>z</v>
          </cell>
          <cell r="V711" t="str">
            <v>*</v>
          </cell>
        </row>
        <row r="712">
          <cell r="G712" t="str">
            <v>BANK OF INDIA CURR.A/C- IDBI SCHEME</v>
          </cell>
          <cell r="H712" t="str">
            <v>Bank of India Curr. A/c IDBI Scheme</v>
          </cell>
          <cell r="I712">
            <v>500</v>
          </cell>
          <cell r="J712">
            <v>0</v>
          </cell>
          <cell r="K712">
            <v>0</v>
          </cell>
          <cell r="L712">
            <v>500</v>
          </cell>
          <cell r="N712">
            <v>500</v>
          </cell>
          <cell r="O712" t="str">
            <v>z</v>
          </cell>
          <cell r="V712" t="str">
            <v>*</v>
          </cell>
        </row>
        <row r="713">
          <cell r="G713" t="str">
            <v>STATE BANK OF INDIA PANJIM</v>
          </cell>
          <cell r="H713" t="str">
            <v>State Bank of India Panjim</v>
          </cell>
          <cell r="I713">
            <v>191</v>
          </cell>
          <cell r="J713">
            <v>0</v>
          </cell>
          <cell r="K713">
            <v>0</v>
          </cell>
          <cell r="L713">
            <v>191</v>
          </cell>
          <cell r="N713">
            <v>191</v>
          </cell>
          <cell r="O713" t="str">
            <v>z</v>
          </cell>
          <cell r="V713" t="str">
            <v>*</v>
          </cell>
        </row>
        <row r="714">
          <cell r="G714" t="str">
            <v>GOA URBAN CO-OP.BANK LIMITED</v>
          </cell>
          <cell r="H714" t="str">
            <v>Goa Urban Co-Op. Bank</v>
          </cell>
          <cell r="I714">
            <v>3827.13</v>
          </cell>
          <cell r="J714">
            <v>0</v>
          </cell>
          <cell r="K714">
            <v>0</v>
          </cell>
          <cell r="L714">
            <v>3827.13</v>
          </cell>
          <cell r="N714">
            <v>3827.13</v>
          </cell>
          <cell r="O714" t="str">
            <v>z</v>
          </cell>
          <cell r="V714" t="str">
            <v>*</v>
          </cell>
        </row>
        <row r="715">
          <cell r="G715" t="str">
            <v>CANARA BANK O/D ACCOUNT</v>
          </cell>
          <cell r="H715" t="str">
            <v>Canara Bank O/D</v>
          </cell>
          <cell r="I715">
            <v>1136.19</v>
          </cell>
          <cell r="J715">
            <v>0</v>
          </cell>
          <cell r="K715">
            <v>0</v>
          </cell>
          <cell r="L715">
            <v>1136.19</v>
          </cell>
          <cell r="N715">
            <v>1136.19</v>
          </cell>
          <cell r="O715" t="str">
            <v>z</v>
          </cell>
          <cell r="V715" t="str">
            <v>*</v>
          </cell>
        </row>
        <row r="716">
          <cell r="G716" t="str">
            <v>BANK OF INDIA - TRUSTEE GRATUITY BANK A/C</v>
          </cell>
          <cell r="H716" t="str">
            <v>Trustee Bank Account (Gratuity)</v>
          </cell>
          <cell r="I716">
            <v>3292</v>
          </cell>
          <cell r="J716">
            <v>0</v>
          </cell>
          <cell r="K716">
            <v>0</v>
          </cell>
          <cell r="L716">
            <v>3292</v>
          </cell>
          <cell r="N716">
            <v>8232</v>
          </cell>
          <cell r="O716">
            <v>14</v>
          </cell>
          <cell r="V716" t="str">
            <v>*</v>
          </cell>
        </row>
        <row r="717">
          <cell r="G717" t="str">
            <v>BANK OF INDIA - SUPERANNUATION TRUST ACCOUNT</v>
          </cell>
          <cell r="I717">
            <v>4940</v>
          </cell>
          <cell r="J717">
            <v>0</v>
          </cell>
          <cell r="K717">
            <v>0</v>
          </cell>
          <cell r="L717">
            <v>4940</v>
          </cell>
          <cell r="O717">
            <v>14</v>
          </cell>
        </row>
        <row r="718">
          <cell r="G718" t="str">
            <v>CHEQUES IN HAND</v>
          </cell>
          <cell r="H718" t="str">
            <v>Cheques in Hand</v>
          </cell>
          <cell r="I718">
            <v>0</v>
          </cell>
          <cell r="J718">
            <v>2792459.7</v>
          </cell>
          <cell r="K718">
            <v>0</v>
          </cell>
          <cell r="L718">
            <v>2792459.7</v>
          </cell>
          <cell r="N718">
            <v>2792459.7</v>
          </cell>
          <cell r="O718" t="str">
            <v>z</v>
          </cell>
          <cell r="V718" t="str">
            <v>*</v>
          </cell>
        </row>
        <row r="719">
          <cell r="G719" t="str">
            <v>FIXED DEPOSITS</v>
          </cell>
          <cell r="H719" t="str">
            <v>Fixed Deposits</v>
          </cell>
          <cell r="I719">
            <v>3000</v>
          </cell>
          <cell r="J719">
            <v>0</v>
          </cell>
          <cell r="K719">
            <v>0</v>
          </cell>
          <cell r="L719">
            <v>3000</v>
          </cell>
          <cell r="N719">
            <v>3000</v>
          </cell>
          <cell r="O719" t="str">
            <v>z</v>
          </cell>
          <cell r="V719" t="str">
            <v>*</v>
          </cell>
        </row>
        <row r="720">
          <cell r="G720" t="str">
            <v>MARGIN MONEY DEPOSITS</v>
          </cell>
          <cell r="H720" t="str">
            <v>Margin Money Deposit</v>
          </cell>
          <cell r="I720">
            <v>125098.8</v>
          </cell>
          <cell r="J720">
            <v>0</v>
          </cell>
          <cell r="K720">
            <v>0</v>
          </cell>
          <cell r="L720">
            <v>125098.8</v>
          </cell>
          <cell r="N720">
            <v>125098.8</v>
          </cell>
          <cell r="O720" t="str">
            <v>z</v>
          </cell>
          <cell r="V720" t="str">
            <v>*</v>
          </cell>
        </row>
        <row r="721">
          <cell r="G721" t="str">
            <v>SHORT TERM DEPOSITS</v>
          </cell>
          <cell r="H721" t="str">
            <v>Short Term Deposits</v>
          </cell>
          <cell r="I721">
            <v>5000</v>
          </cell>
          <cell r="J721">
            <v>0</v>
          </cell>
          <cell r="K721">
            <v>0</v>
          </cell>
          <cell r="L721">
            <v>5000</v>
          </cell>
          <cell r="N721">
            <v>5000</v>
          </cell>
          <cell r="O721" t="str">
            <v>z</v>
          </cell>
          <cell r="V721" t="str">
            <v>*</v>
          </cell>
        </row>
        <row r="722">
          <cell r="G722" t="str">
            <v>IMPREST CASH</v>
          </cell>
          <cell r="H722" t="str">
            <v>Imprest Cash</v>
          </cell>
          <cell r="I722">
            <v>521000</v>
          </cell>
          <cell r="J722">
            <v>4000</v>
          </cell>
          <cell r="K722">
            <v>78000</v>
          </cell>
          <cell r="L722">
            <v>447000</v>
          </cell>
          <cell r="N722">
            <v>447000</v>
          </cell>
          <cell r="O722" t="str">
            <v>z</v>
          </cell>
          <cell r="V722" t="str">
            <v>*</v>
          </cell>
        </row>
        <row r="723">
          <cell r="G723" t="str">
            <v>PETTY CASH (MUMBAI)</v>
          </cell>
          <cell r="H723" t="str">
            <v>Petty Cash-Mumbai</v>
          </cell>
          <cell r="I723">
            <v>100280</v>
          </cell>
          <cell r="J723">
            <v>180000</v>
          </cell>
          <cell r="K723">
            <v>248950</v>
          </cell>
          <cell r="L723">
            <v>31330</v>
          </cell>
          <cell r="N723">
            <v>31330</v>
          </cell>
          <cell r="O723" t="str">
            <v>z</v>
          </cell>
          <cell r="V723" t="str">
            <v>*</v>
          </cell>
        </row>
        <row r="724">
          <cell r="G724" t="str">
            <v>PETTY CASH (GOA)</v>
          </cell>
          <cell r="H724" t="str">
            <v>Petty Cash - Goa</v>
          </cell>
          <cell r="I724">
            <v>16452.009999999998</v>
          </cell>
          <cell r="J724">
            <v>80000</v>
          </cell>
          <cell r="K724">
            <v>85482.5</v>
          </cell>
          <cell r="L724">
            <v>10969.51</v>
          </cell>
          <cell r="N724">
            <v>10969.51</v>
          </cell>
          <cell r="O724" t="str">
            <v>z</v>
          </cell>
          <cell r="V724" t="str">
            <v>*</v>
          </cell>
        </row>
        <row r="725">
          <cell r="G725" t="str">
            <v>OTHER PREPAID EXPENSES</v>
          </cell>
          <cell r="H725" t="str">
            <v>Prepaid Expenses</v>
          </cell>
          <cell r="I725">
            <v>830284</v>
          </cell>
          <cell r="J725">
            <v>11275</v>
          </cell>
          <cell r="K725">
            <v>45593</v>
          </cell>
          <cell r="L725">
            <v>795966</v>
          </cell>
          <cell r="N725">
            <v>795966</v>
          </cell>
          <cell r="O725" t="str">
            <v>z</v>
          </cell>
          <cell r="U725">
            <v>1677413</v>
          </cell>
          <cell r="V725" t="str">
            <v>*</v>
          </cell>
        </row>
        <row r="726">
          <cell r="G726" t="str">
            <v>PREPAID INSURANCE</v>
          </cell>
          <cell r="H726" t="str">
            <v>Prepaid Insurance</v>
          </cell>
          <cell r="I726">
            <v>550882</v>
          </cell>
          <cell r="J726">
            <v>2427</v>
          </cell>
          <cell r="K726">
            <v>52296</v>
          </cell>
          <cell r="L726">
            <v>501013</v>
          </cell>
          <cell r="N726">
            <v>501013</v>
          </cell>
          <cell r="O726" t="str">
            <v>z</v>
          </cell>
          <cell r="V726" t="str">
            <v>*</v>
          </cell>
        </row>
        <row r="727">
          <cell r="G727" t="str">
            <v>DEFF.REV. EXPENSES BUILDING</v>
          </cell>
          <cell r="H727" t="str">
            <v>Deff. Rev. Exp.- Misc. Assets</v>
          </cell>
          <cell r="I727">
            <v>0</v>
          </cell>
          <cell r="J727">
            <v>181560</v>
          </cell>
          <cell r="K727">
            <v>0</v>
          </cell>
          <cell r="L727">
            <v>181560</v>
          </cell>
          <cell r="N727">
            <v>380434</v>
          </cell>
          <cell r="O727">
            <v>15</v>
          </cell>
          <cell r="V727" t="str">
            <v>*</v>
          </cell>
        </row>
        <row r="728">
          <cell r="G728" t="str">
            <v>DEFF.REV. EXPENSES KALINA OFFICE &amp; GODOWN</v>
          </cell>
          <cell r="I728">
            <v>255514</v>
          </cell>
          <cell r="J728">
            <v>0</v>
          </cell>
          <cell r="K728">
            <v>56640</v>
          </cell>
          <cell r="L728">
            <v>198874</v>
          </cell>
          <cell r="O728">
            <v>15</v>
          </cell>
          <cell r="V728" t="str">
            <v>*</v>
          </cell>
        </row>
        <row r="729">
          <cell r="G729" t="str">
            <v>ADVANCE TAX A.Y. 1999-2000</v>
          </cell>
          <cell r="H729" t="str">
            <v>Advance I.Tax (A.Y. 1999-2000)</v>
          </cell>
          <cell r="I729">
            <v>7959070</v>
          </cell>
          <cell r="J729">
            <v>0</v>
          </cell>
          <cell r="K729">
            <v>0</v>
          </cell>
          <cell r="L729">
            <v>7959070</v>
          </cell>
          <cell r="N729">
            <v>7959070</v>
          </cell>
          <cell r="O729" t="str">
            <v>z</v>
          </cell>
          <cell r="U729">
            <v>12220027</v>
          </cell>
          <cell r="V729" t="str">
            <v>*</v>
          </cell>
        </row>
        <row r="730">
          <cell r="G730" t="str">
            <v>T.D.S.</v>
          </cell>
          <cell r="H730" t="str">
            <v>T.D.S. A/C</v>
          </cell>
          <cell r="I730">
            <v>110957</v>
          </cell>
          <cell r="J730">
            <v>0</v>
          </cell>
          <cell r="K730">
            <v>0</v>
          </cell>
          <cell r="L730">
            <v>110957</v>
          </cell>
          <cell r="N730">
            <v>110957</v>
          </cell>
          <cell r="O730" t="str">
            <v>z</v>
          </cell>
          <cell r="V730" t="str">
            <v>*</v>
          </cell>
        </row>
        <row r="731">
          <cell r="G731" t="str">
            <v>ADVANCE TAX A.Y.2000-2001</v>
          </cell>
          <cell r="H731" t="str">
            <v>Advance I.Tax (A.Y. 2000-2001)</v>
          </cell>
          <cell r="I731">
            <v>3350000</v>
          </cell>
          <cell r="J731">
            <v>0</v>
          </cell>
          <cell r="K731">
            <v>0</v>
          </cell>
          <cell r="L731">
            <v>3350000</v>
          </cell>
          <cell r="N731">
            <v>3350000</v>
          </cell>
          <cell r="O731" t="str">
            <v>z</v>
          </cell>
          <cell r="V731" t="str">
            <v>*</v>
          </cell>
        </row>
        <row r="732">
          <cell r="G732" t="str">
            <v>ADVANCE TAX - A.Y.2001-02</v>
          </cell>
          <cell r="H732" t="str">
            <v>Advance I.Tax (A.Y. 2001-2002)</v>
          </cell>
          <cell r="I732">
            <v>0</v>
          </cell>
          <cell r="J732">
            <v>800000</v>
          </cell>
          <cell r="K732">
            <v>0</v>
          </cell>
          <cell r="L732">
            <v>800000</v>
          </cell>
          <cell r="N732">
            <v>800000</v>
          </cell>
          <cell r="O732" t="str">
            <v>z</v>
          </cell>
          <cell r="V732" t="str">
            <v>*</v>
          </cell>
        </row>
        <row r="733">
          <cell r="G733" t="str">
            <v>SUBSCRIBED SHARE CAPITAL</v>
          </cell>
          <cell r="H733" t="str">
            <v>Issued, Subscribed and Paid-up:</v>
          </cell>
          <cell r="I733">
            <v>-52488100</v>
          </cell>
          <cell r="J733">
            <v>0</v>
          </cell>
          <cell r="K733">
            <v>0</v>
          </cell>
          <cell r="L733">
            <v>-52488100</v>
          </cell>
          <cell r="N733">
            <v>-52488100</v>
          </cell>
          <cell r="O733" t="str">
            <v>Z</v>
          </cell>
          <cell r="Q733">
            <v>-52488100</v>
          </cell>
          <cell r="U733">
            <v>-52488100</v>
          </cell>
          <cell r="V733" t="str">
            <v>*</v>
          </cell>
        </row>
        <row r="734">
          <cell r="G734" t="str">
            <v>PREMIUM FROM THE ISSUE OF SHARES</v>
          </cell>
          <cell r="H734" t="str">
            <v>Share Premium</v>
          </cell>
          <cell r="I734">
            <v>-953400</v>
          </cell>
          <cell r="J734">
            <v>0</v>
          </cell>
          <cell r="K734">
            <v>0</v>
          </cell>
          <cell r="L734">
            <v>-953400</v>
          </cell>
          <cell r="N734">
            <v>-953400</v>
          </cell>
          <cell r="O734" t="str">
            <v>Z</v>
          </cell>
          <cell r="Q734">
            <v>0</v>
          </cell>
          <cell r="U734">
            <v>-35549908.230000004</v>
          </cell>
          <cell r="V734" t="str">
            <v>*</v>
          </cell>
        </row>
        <row r="735">
          <cell r="G735" t="str">
            <v>RESERVE FOR TREASURY STOCK (OWN SHARES)</v>
          </cell>
          <cell r="H735" t="str">
            <v>General Reserve</v>
          </cell>
          <cell r="I735">
            <v>-7684450</v>
          </cell>
          <cell r="J735">
            <v>0</v>
          </cell>
          <cell r="K735">
            <v>0</v>
          </cell>
          <cell r="L735">
            <v>-7684450</v>
          </cell>
          <cell r="N735">
            <v>-7684450</v>
          </cell>
          <cell r="O735" t="str">
            <v>Z</v>
          </cell>
          <cell r="Q735">
            <v>-7684450</v>
          </cell>
          <cell r="V735" t="str">
            <v>*</v>
          </cell>
        </row>
        <row r="736">
          <cell r="G736" t="str">
            <v>RESULTS BROUGHT FORWARD FROM PRIOR YEAR</v>
          </cell>
          <cell r="H736" t="str">
            <v>Profit and Loss Account</v>
          </cell>
          <cell r="I736">
            <v>-26912058.23</v>
          </cell>
          <cell r="J736">
            <v>0</v>
          </cell>
          <cell r="K736">
            <v>0</v>
          </cell>
          <cell r="L736">
            <v>-26912058.23</v>
          </cell>
          <cell r="N736">
            <v>-26912058.23</v>
          </cell>
          <cell r="O736" t="str">
            <v>Z</v>
          </cell>
          <cell r="Q736">
            <v>-26912058.23</v>
          </cell>
          <cell r="V736" t="str">
            <v>*</v>
          </cell>
        </row>
        <row r="737">
          <cell r="G737" t="str">
            <v>EMPLOYEES PROVIDEND FUND</v>
          </cell>
          <cell r="H737" t="str">
            <v>Employees Provident Fund</v>
          </cell>
          <cell r="I737">
            <v>-82822</v>
          </cell>
          <cell r="J737">
            <v>82835</v>
          </cell>
          <cell r="K737">
            <v>85957</v>
          </cell>
          <cell r="L737">
            <v>-85944</v>
          </cell>
          <cell r="N737">
            <v>-85944</v>
          </cell>
          <cell r="O737" t="str">
            <v>Z</v>
          </cell>
          <cell r="Q737">
            <v>0</v>
          </cell>
          <cell r="U737">
            <v>-93719.86</v>
          </cell>
        </row>
        <row r="738">
          <cell r="G738" t="str">
            <v>EMPLOYEES STATE INSURANCE FUND</v>
          </cell>
          <cell r="H738" t="str">
            <v>Employees State Insurance</v>
          </cell>
          <cell r="I738">
            <v>-4614.1000000000004</v>
          </cell>
          <cell r="J738">
            <v>4622.8999999999996</v>
          </cell>
          <cell r="K738">
            <v>4402.3</v>
          </cell>
          <cell r="L738">
            <v>-4393.5</v>
          </cell>
          <cell r="N738">
            <v>-4393.5</v>
          </cell>
          <cell r="O738" t="str">
            <v>Z</v>
          </cell>
          <cell r="Q738">
            <v>0</v>
          </cell>
        </row>
        <row r="739">
          <cell r="G739" t="str">
            <v>EMPLOYEES DEATH BENE.FUND</v>
          </cell>
          <cell r="I739">
            <v>0</v>
          </cell>
          <cell r="J739">
            <v>360</v>
          </cell>
          <cell r="K739">
            <v>360</v>
          </cell>
          <cell r="L739">
            <v>0</v>
          </cell>
          <cell r="N739">
            <v>0</v>
          </cell>
          <cell r="O739" t="str">
            <v>Z</v>
          </cell>
          <cell r="Q739">
            <v>0</v>
          </cell>
        </row>
        <row r="740">
          <cell r="G740" t="str">
            <v>MAHARASHRA PROFESSION TAX</v>
          </cell>
          <cell r="H740" t="str">
            <v>Maharashtra Profession Tax</v>
          </cell>
          <cell r="I740">
            <v>-5755</v>
          </cell>
          <cell r="J740">
            <v>5755</v>
          </cell>
          <cell r="K740">
            <v>5600</v>
          </cell>
          <cell r="L740">
            <v>-5600</v>
          </cell>
          <cell r="N740">
            <v>-5600</v>
          </cell>
          <cell r="O740" t="str">
            <v>Z</v>
          </cell>
          <cell r="Q740">
            <v>0</v>
          </cell>
        </row>
        <row r="741">
          <cell r="G741" t="str">
            <v>LABOUR WELFARE FUND</v>
          </cell>
          <cell r="H741" t="str">
            <v>Labour Welfare Fund</v>
          </cell>
          <cell r="I741">
            <v>1175.3499999999999</v>
          </cell>
          <cell r="J741">
            <v>0</v>
          </cell>
          <cell r="K741">
            <v>39</v>
          </cell>
          <cell r="L741">
            <v>1136.3499999999999</v>
          </cell>
          <cell r="N741">
            <v>1136.3499999999999</v>
          </cell>
          <cell r="O741" t="str">
            <v>Z</v>
          </cell>
          <cell r="Q741">
            <v>0</v>
          </cell>
        </row>
        <row r="742">
          <cell r="G742" t="str">
            <v>GOA URBAN CO-OP. BANK LOAN</v>
          </cell>
          <cell r="I742">
            <v>0</v>
          </cell>
          <cell r="J742">
            <v>5910</v>
          </cell>
          <cell r="K742">
            <v>5910</v>
          </cell>
          <cell r="L742">
            <v>0</v>
          </cell>
          <cell r="O742">
            <v>0</v>
          </cell>
          <cell r="Q742">
            <v>0</v>
          </cell>
        </row>
        <row r="743">
          <cell r="G743" t="str">
            <v>MENEZES ENT. EMP. CO. OP. SOCIETY LOAN</v>
          </cell>
          <cell r="H743" t="str">
            <v>MENEZES ENT. EMP. CO. OP. SOCIETY LOAN</v>
          </cell>
          <cell r="I743">
            <v>-34444</v>
          </cell>
          <cell r="J743">
            <v>72026</v>
          </cell>
          <cell r="K743">
            <v>37182</v>
          </cell>
          <cell r="L743">
            <v>400</v>
          </cell>
          <cell r="N743">
            <v>400</v>
          </cell>
          <cell r="O743" t="str">
            <v>Z</v>
          </cell>
          <cell r="Q743">
            <v>0</v>
          </cell>
        </row>
        <row r="744">
          <cell r="G744" t="str">
            <v>THE BICHOLIN URBAN CO- OP BANK LOAN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O744">
            <v>0</v>
          </cell>
          <cell r="Q744">
            <v>0</v>
          </cell>
        </row>
        <row r="745">
          <cell r="G745" t="str">
            <v>EMPLOYEES L.I.C.</v>
          </cell>
          <cell r="H745" t="str">
            <v>LIC</v>
          </cell>
          <cell r="I745">
            <v>-7861.71</v>
          </cell>
          <cell r="J745">
            <v>18621</v>
          </cell>
          <cell r="K745">
            <v>10078</v>
          </cell>
          <cell r="L745">
            <v>681.29</v>
          </cell>
          <cell r="N745">
            <v>681.29</v>
          </cell>
          <cell r="O745" t="str">
            <v>Z</v>
          </cell>
          <cell r="Q745">
            <v>0</v>
          </cell>
          <cell r="V745" t="str">
            <v>*</v>
          </cell>
        </row>
        <row r="746">
          <cell r="G746" t="str">
            <v>GRATUITY / SUPERANNUATION PAYABLE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O746">
            <v>0</v>
          </cell>
          <cell r="Q746">
            <v>0</v>
          </cell>
        </row>
        <row r="747">
          <cell r="G747" t="str">
            <v>PROVISION FOR INCOME TAX- A.Y. 1998-99</v>
          </cell>
          <cell r="H747" t="str">
            <v>Provision For I.Tax (A.Y. 98/99)</v>
          </cell>
          <cell r="I747">
            <v>-6900000</v>
          </cell>
          <cell r="J747">
            <v>0</v>
          </cell>
          <cell r="K747">
            <v>0</v>
          </cell>
          <cell r="L747">
            <v>-6900000</v>
          </cell>
          <cell r="N747">
            <v>-6900000</v>
          </cell>
          <cell r="O747" t="str">
            <v>Z</v>
          </cell>
          <cell r="Q747">
            <v>-6900000</v>
          </cell>
          <cell r="U747">
            <v>-13723143</v>
          </cell>
        </row>
        <row r="748">
          <cell r="G748" t="str">
            <v>ADVANCE TAX REFUND</v>
          </cell>
          <cell r="H748" t="str">
            <v>Advance Tax Refund</v>
          </cell>
          <cell r="I748">
            <v>-23143</v>
          </cell>
          <cell r="J748">
            <v>0</v>
          </cell>
          <cell r="K748">
            <v>0</v>
          </cell>
          <cell r="L748">
            <v>-23143</v>
          </cell>
          <cell r="N748">
            <v>-23143</v>
          </cell>
          <cell r="O748" t="str">
            <v>Z</v>
          </cell>
          <cell r="Q748">
            <v>0</v>
          </cell>
        </row>
        <row r="749">
          <cell r="G749" t="str">
            <v>PROVISION FOR INCOME TAX- A.Y. 1999-2000</v>
          </cell>
          <cell r="H749" t="str">
            <v>Provision For I.Tax (A.Y. 99/00)</v>
          </cell>
          <cell r="I749">
            <v>-6800000</v>
          </cell>
          <cell r="J749">
            <v>0</v>
          </cell>
          <cell r="K749">
            <v>0</v>
          </cell>
          <cell r="L749">
            <v>-6800000</v>
          </cell>
          <cell r="N749">
            <v>-6800000</v>
          </cell>
          <cell r="O749" t="str">
            <v>Z</v>
          </cell>
          <cell r="Q749">
            <v>-6800000</v>
          </cell>
        </row>
        <row r="750">
          <cell r="G750" t="str">
            <v>PROVISION FOR BONUS</v>
          </cell>
          <cell r="H750" t="str">
            <v>Provision for Bonus</v>
          </cell>
          <cell r="I750">
            <v>-502913</v>
          </cell>
          <cell r="J750">
            <v>0</v>
          </cell>
          <cell r="K750">
            <v>245424</v>
          </cell>
          <cell r="L750">
            <v>-463654</v>
          </cell>
          <cell r="N750">
            <v>-463654</v>
          </cell>
          <cell r="O750" t="str">
            <v>z</v>
          </cell>
          <cell r="Q750">
            <v>0</v>
          </cell>
          <cell r="U750">
            <v>-894443</v>
          </cell>
        </row>
        <row r="751">
          <cell r="G751" t="str">
            <v>LIABILITIES TO MANAGING DIRECTOR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N751">
            <v>0</v>
          </cell>
          <cell r="O751" t="str">
            <v>z</v>
          </cell>
          <cell r="Q751">
            <v>0</v>
          </cell>
        </row>
        <row r="752">
          <cell r="G752" t="str">
            <v>PROVISION FOR LEAVE ENCASHMENT</v>
          </cell>
          <cell r="H752" t="str">
            <v>PROVISION FOR LEAVE ENCASHMENT</v>
          </cell>
          <cell r="I752">
            <v>0</v>
          </cell>
          <cell r="J752">
            <v>0</v>
          </cell>
          <cell r="K752">
            <v>430789</v>
          </cell>
          <cell r="L752">
            <v>-430789</v>
          </cell>
          <cell r="N752">
            <v>-430789</v>
          </cell>
          <cell r="O752" t="str">
            <v>z</v>
          </cell>
          <cell r="Q752">
            <v>0</v>
          </cell>
        </row>
        <row r="753">
          <cell r="G753" t="str">
            <v>PROVISION FOR AUDIT FEES</v>
          </cell>
          <cell r="H753" t="str">
            <v>Provision for Audit Fees</v>
          </cell>
          <cell r="I753">
            <v>-337700</v>
          </cell>
          <cell r="J753">
            <v>0</v>
          </cell>
          <cell r="K753">
            <v>37000</v>
          </cell>
          <cell r="L753">
            <v>-374700</v>
          </cell>
          <cell r="N753">
            <v>-374700</v>
          </cell>
          <cell r="O753" t="str">
            <v>z</v>
          </cell>
          <cell r="Q753">
            <v>0</v>
          </cell>
          <cell r="U753">
            <v>-5719034.8399999999</v>
          </cell>
        </row>
        <row r="754">
          <cell r="G754" t="str">
            <v>PROVISION FOR TAX AUDIT FEES</v>
          </cell>
          <cell r="H754" t="str">
            <v>Provision for Tax Audit Fees</v>
          </cell>
          <cell r="I754">
            <v>-28875</v>
          </cell>
          <cell r="J754">
            <v>0</v>
          </cell>
          <cell r="K754">
            <v>3000</v>
          </cell>
          <cell r="L754">
            <v>-31875</v>
          </cell>
          <cell r="N754">
            <v>-31875</v>
          </cell>
          <cell r="O754" t="str">
            <v>z</v>
          </cell>
          <cell r="Q754">
            <v>0</v>
          </cell>
        </row>
        <row r="755">
          <cell r="G755" t="str">
            <v>OUTSTANDING EXPENSES</v>
          </cell>
          <cell r="H755" t="str">
            <v>Outstanding Expenses</v>
          </cell>
          <cell r="I755">
            <v>-1118000</v>
          </cell>
          <cell r="J755">
            <v>1094000</v>
          </cell>
          <cell r="K755">
            <v>3751348</v>
          </cell>
          <cell r="L755">
            <v>-5312459.84</v>
          </cell>
          <cell r="N755">
            <v>-5312459.84</v>
          </cell>
          <cell r="O755">
            <v>100</v>
          </cell>
          <cell r="Q755">
            <v>-5312459.84</v>
          </cell>
        </row>
        <row r="756">
          <cell r="G756" t="str">
            <v>BHARAT CHEMICALS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N756">
            <v>0</v>
          </cell>
          <cell r="O756" t="str">
            <v>z</v>
          </cell>
          <cell r="Q756">
            <v>0</v>
          </cell>
          <cell r="U756">
            <v>-55224.11</v>
          </cell>
        </row>
        <row r="757">
          <cell r="G757" t="str">
            <v>EXPO ENGINNEERS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N757">
            <v>0</v>
          </cell>
          <cell r="O757" t="str">
            <v>z</v>
          </cell>
          <cell r="Q757">
            <v>0</v>
          </cell>
        </row>
        <row r="758">
          <cell r="G758" t="str">
            <v>HOSPITAL SUPPLY CORPORATION (INDIA)</v>
          </cell>
          <cell r="I758">
            <v>0</v>
          </cell>
          <cell r="J758">
            <v>0</v>
          </cell>
          <cell r="K758">
            <v>2125</v>
          </cell>
          <cell r="L758">
            <v>-2125</v>
          </cell>
          <cell r="N758">
            <v>-2125</v>
          </cell>
          <cell r="O758" t="str">
            <v>z</v>
          </cell>
          <cell r="Q758">
            <v>0</v>
          </cell>
        </row>
        <row r="759">
          <cell r="G759" t="str">
            <v>INKS INDIA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N759">
            <v>0</v>
          </cell>
          <cell r="O759" t="str">
            <v>z</v>
          </cell>
          <cell r="Q759">
            <v>0</v>
          </cell>
        </row>
        <row r="760">
          <cell r="G760" t="str">
            <v>MONGA ELECTRONICS PVT. LTD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N760">
            <v>0</v>
          </cell>
          <cell r="O760" t="str">
            <v>z</v>
          </cell>
          <cell r="Q760">
            <v>0</v>
          </cell>
        </row>
        <row r="761">
          <cell r="G761" t="str">
            <v>MANGIRISH PRINTERS</v>
          </cell>
          <cell r="I761">
            <v>-2855</v>
          </cell>
          <cell r="J761">
            <v>0</v>
          </cell>
          <cell r="K761">
            <v>0</v>
          </cell>
          <cell r="L761">
            <v>-2855</v>
          </cell>
          <cell r="N761">
            <v>-2855</v>
          </cell>
          <cell r="O761" t="str">
            <v>z</v>
          </cell>
          <cell r="Q761">
            <v>0</v>
          </cell>
        </row>
        <row r="762">
          <cell r="G762" t="str">
            <v>OMEGA SYSTEMS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N762">
            <v>0</v>
          </cell>
          <cell r="O762" t="str">
            <v>z</v>
          </cell>
          <cell r="Q762">
            <v>0</v>
          </cell>
        </row>
        <row r="763">
          <cell r="G763" t="str">
            <v>PACKWELL</v>
          </cell>
          <cell r="I763">
            <v>23768.85</v>
          </cell>
          <cell r="J763">
            <v>0</v>
          </cell>
          <cell r="K763">
            <v>0</v>
          </cell>
          <cell r="L763">
            <v>23768.85</v>
          </cell>
          <cell r="N763">
            <v>23768.85</v>
          </cell>
          <cell r="O763" t="str">
            <v>z</v>
          </cell>
          <cell r="Q763">
            <v>0</v>
          </cell>
        </row>
        <row r="764">
          <cell r="G764" t="str">
            <v>PERITO ASSOCIATES</v>
          </cell>
          <cell r="I764">
            <v>4050.04</v>
          </cell>
          <cell r="J764">
            <v>2592</v>
          </cell>
          <cell r="K764">
            <v>0</v>
          </cell>
          <cell r="L764">
            <v>6642.04</v>
          </cell>
          <cell r="N764">
            <v>6642.04</v>
          </cell>
          <cell r="O764" t="str">
            <v>z</v>
          </cell>
          <cell r="Q764">
            <v>0</v>
          </cell>
        </row>
        <row r="765">
          <cell r="G765" t="str">
            <v>PEST CONTROL (INDIA) LTD.</v>
          </cell>
          <cell r="I765">
            <v>-29515</v>
          </cell>
          <cell r="J765">
            <v>29515</v>
          </cell>
          <cell r="K765">
            <v>16876</v>
          </cell>
          <cell r="L765">
            <v>-16876</v>
          </cell>
          <cell r="N765">
            <v>-16876</v>
          </cell>
          <cell r="O765" t="str">
            <v>z</v>
          </cell>
          <cell r="Q765">
            <v>0</v>
          </cell>
        </row>
        <row r="766">
          <cell r="G766" t="str">
            <v>PRO -PACK INDUSTRIES</v>
          </cell>
          <cell r="I766">
            <v>-142878</v>
          </cell>
          <cell r="J766">
            <v>89273</v>
          </cell>
          <cell r="K766">
            <v>0</v>
          </cell>
          <cell r="L766">
            <v>-53605</v>
          </cell>
          <cell r="N766">
            <v>-53605</v>
          </cell>
          <cell r="O766" t="str">
            <v>z</v>
          </cell>
          <cell r="Q766">
            <v>0</v>
          </cell>
        </row>
        <row r="767">
          <cell r="G767" t="str">
            <v>R.K. PACKAGING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N767">
            <v>0</v>
          </cell>
          <cell r="O767" t="str">
            <v>z</v>
          </cell>
          <cell r="Q767">
            <v>0</v>
          </cell>
        </row>
        <row r="768">
          <cell r="G768" t="str">
            <v>ROBOT SOAP PRODUCTS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 t="str">
            <v>z</v>
          </cell>
          <cell r="Q768">
            <v>0</v>
          </cell>
        </row>
        <row r="769">
          <cell r="G769" t="str">
            <v>SADHALE ENTERPRISES</v>
          </cell>
          <cell r="I769">
            <v>0</v>
          </cell>
          <cell r="J769">
            <v>12096</v>
          </cell>
          <cell r="K769">
            <v>14877</v>
          </cell>
          <cell r="L769">
            <v>-2781</v>
          </cell>
          <cell r="N769">
            <v>-2781</v>
          </cell>
          <cell r="O769" t="str">
            <v>z</v>
          </cell>
          <cell r="Q769">
            <v>0</v>
          </cell>
        </row>
        <row r="770">
          <cell r="G770" t="str">
            <v>SANJAY PLASTICS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N770">
            <v>0</v>
          </cell>
          <cell r="O770" t="str">
            <v>z</v>
          </cell>
          <cell r="Q770">
            <v>0</v>
          </cell>
        </row>
        <row r="771">
          <cell r="G771" t="str">
            <v>SHERVANI PLASTIC INDUSTRY</v>
          </cell>
          <cell r="I771">
            <v>-28595</v>
          </cell>
          <cell r="J771">
            <v>28585</v>
          </cell>
          <cell r="K771">
            <v>7383</v>
          </cell>
          <cell r="L771">
            <v>-7393</v>
          </cell>
          <cell r="N771">
            <v>-7393</v>
          </cell>
          <cell r="O771" t="str">
            <v>z</v>
          </cell>
          <cell r="Q771">
            <v>0</v>
          </cell>
        </row>
        <row r="772">
          <cell r="G772" t="str">
            <v>S.R.ENTERPRISE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O772" t="str">
            <v>z</v>
          </cell>
          <cell r="Q772">
            <v>0</v>
          </cell>
        </row>
        <row r="773">
          <cell r="G773" t="str">
            <v>YASH AGENCIES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N773">
            <v>0</v>
          </cell>
          <cell r="O773" t="str">
            <v>z</v>
          </cell>
          <cell r="Q773">
            <v>0</v>
          </cell>
        </row>
        <row r="774">
          <cell r="G774" t="str">
            <v>EDIFICE MEDICAL SYSTEMS, MUMBAI</v>
          </cell>
          <cell r="I774">
            <v>-27832</v>
          </cell>
          <cell r="J774">
            <v>19000</v>
          </cell>
          <cell r="K774">
            <v>0</v>
          </cell>
          <cell r="L774">
            <v>-8832</v>
          </cell>
          <cell r="N774">
            <v>-8832</v>
          </cell>
          <cell r="O774" t="str">
            <v>z</v>
          </cell>
          <cell r="Q774">
            <v>0</v>
          </cell>
        </row>
        <row r="775">
          <cell r="G775" t="str">
            <v>G.D.ENTERPRISES</v>
          </cell>
          <cell r="I775">
            <v>-183910</v>
          </cell>
          <cell r="J775">
            <v>0</v>
          </cell>
          <cell r="K775">
            <v>0</v>
          </cell>
          <cell r="L775">
            <v>-183910</v>
          </cell>
          <cell r="N775">
            <v>-183910</v>
          </cell>
          <cell r="O775" t="str">
            <v>z</v>
          </cell>
          <cell r="Q775">
            <v>0</v>
          </cell>
        </row>
        <row r="776">
          <cell r="G776" t="str">
            <v>K. K. SURGICALS</v>
          </cell>
          <cell r="I776">
            <v>-24537</v>
          </cell>
          <cell r="J776">
            <v>0</v>
          </cell>
          <cell r="K776">
            <v>0</v>
          </cell>
          <cell r="L776">
            <v>-24537</v>
          </cell>
          <cell r="N776">
            <v>-24537</v>
          </cell>
          <cell r="O776" t="str">
            <v>z</v>
          </cell>
          <cell r="Q776">
            <v>0</v>
          </cell>
        </row>
        <row r="777">
          <cell r="G777" t="str">
            <v>KONSUMEX SERVICES</v>
          </cell>
          <cell r="I777">
            <v>-96801</v>
          </cell>
          <cell r="J777">
            <v>0</v>
          </cell>
          <cell r="K777">
            <v>0</v>
          </cell>
          <cell r="L777">
            <v>-96801</v>
          </cell>
          <cell r="N777">
            <v>-96801</v>
          </cell>
          <cell r="O777" t="str">
            <v>z</v>
          </cell>
          <cell r="Q777">
            <v>0</v>
          </cell>
        </row>
        <row r="778">
          <cell r="G778" t="str">
            <v>PRADEEP KALE &amp; CO.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N778">
            <v>0</v>
          </cell>
          <cell r="O778" t="str">
            <v>z</v>
          </cell>
          <cell r="Q778">
            <v>0</v>
          </cell>
        </row>
        <row r="779">
          <cell r="G779" t="str">
            <v>P. MAHAJAN</v>
          </cell>
          <cell r="I779">
            <v>-25000</v>
          </cell>
          <cell r="J779">
            <v>0</v>
          </cell>
          <cell r="K779">
            <v>0</v>
          </cell>
          <cell r="L779">
            <v>-25000</v>
          </cell>
          <cell r="N779">
            <v>-25000</v>
          </cell>
          <cell r="O779" t="str">
            <v>z</v>
          </cell>
          <cell r="Q779">
            <v>0</v>
          </cell>
        </row>
        <row r="780">
          <cell r="G780" t="str">
            <v>P. RAVEENDRAN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N780">
            <v>0</v>
          </cell>
          <cell r="O780" t="str">
            <v>z</v>
          </cell>
          <cell r="Q780">
            <v>0</v>
          </cell>
        </row>
        <row r="781">
          <cell r="G781" t="str">
            <v>PRABHA SURGICALS</v>
          </cell>
          <cell r="I781">
            <v>-66290</v>
          </cell>
          <cell r="J781">
            <v>16800</v>
          </cell>
          <cell r="K781">
            <v>6000</v>
          </cell>
          <cell r="L781">
            <v>-55490</v>
          </cell>
          <cell r="N781">
            <v>-55490</v>
          </cell>
          <cell r="O781" t="str">
            <v>z</v>
          </cell>
          <cell r="Q781">
            <v>0</v>
          </cell>
        </row>
        <row r="782">
          <cell r="G782" t="str">
            <v>RENHART HEALTH PRODUCTS LIMITED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N782">
            <v>0</v>
          </cell>
          <cell r="O782" t="str">
            <v>z</v>
          </cell>
          <cell r="Q782">
            <v>0</v>
          </cell>
        </row>
        <row r="783">
          <cell r="G783" t="str">
            <v>STERICAT GUSTRINGS NEW DELHI</v>
          </cell>
          <cell r="I783">
            <v>5351</v>
          </cell>
          <cell r="J783">
            <v>0</v>
          </cell>
          <cell r="K783">
            <v>0</v>
          </cell>
          <cell r="L783">
            <v>5351</v>
          </cell>
          <cell r="N783">
            <v>5351</v>
          </cell>
          <cell r="O783" t="str">
            <v>z</v>
          </cell>
          <cell r="Q783">
            <v>0</v>
          </cell>
        </row>
        <row r="784">
          <cell r="G784" t="str">
            <v>SCIEMED OVERSEAS</v>
          </cell>
          <cell r="I784">
            <v>-356669</v>
          </cell>
          <cell r="J784">
            <v>90263</v>
          </cell>
          <cell r="K784">
            <v>0</v>
          </cell>
          <cell r="L784">
            <v>-266406</v>
          </cell>
          <cell r="N784">
            <v>-266406</v>
          </cell>
          <cell r="O784" t="str">
            <v>z</v>
          </cell>
          <cell r="Q784">
            <v>0</v>
          </cell>
        </row>
        <row r="785">
          <cell r="G785" t="str">
            <v>S.R.ENTERPRISES.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N785">
            <v>0</v>
          </cell>
          <cell r="O785" t="str">
            <v>z</v>
          </cell>
          <cell r="Q785">
            <v>0</v>
          </cell>
        </row>
        <row r="786">
          <cell r="G786" t="str">
            <v>UNITED SURGICALS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N786">
            <v>0</v>
          </cell>
          <cell r="O786" t="str">
            <v>z</v>
          </cell>
          <cell r="Q786">
            <v>0</v>
          </cell>
        </row>
        <row r="787">
          <cell r="G787" t="str">
            <v>VIJAY PANCHAL</v>
          </cell>
          <cell r="I787">
            <v>-32062</v>
          </cell>
          <cell r="J787">
            <v>32062</v>
          </cell>
          <cell r="K787">
            <v>0</v>
          </cell>
          <cell r="L787">
            <v>0</v>
          </cell>
          <cell r="N787">
            <v>0</v>
          </cell>
          <cell r="O787" t="str">
            <v>z</v>
          </cell>
          <cell r="Q787">
            <v>0</v>
          </cell>
        </row>
        <row r="788">
          <cell r="G788" t="str">
            <v>USHA BUSINESS DEVELOPMENT PVT. LTD.</v>
          </cell>
          <cell r="I788">
            <v>-181285</v>
          </cell>
          <cell r="J788">
            <v>0</v>
          </cell>
          <cell r="K788">
            <v>174204</v>
          </cell>
          <cell r="L788">
            <v>-355489</v>
          </cell>
          <cell r="N788">
            <v>-355489</v>
          </cell>
          <cell r="O788" t="str">
            <v>z</v>
          </cell>
          <cell r="Q788">
            <v>0</v>
          </cell>
        </row>
        <row r="789">
          <cell r="G789" t="str">
            <v>INDRA GANDHI INSTITUTE, PATNA</v>
          </cell>
          <cell r="I789">
            <v>185407</v>
          </cell>
          <cell r="J789">
            <v>0</v>
          </cell>
          <cell r="K789">
            <v>0</v>
          </cell>
          <cell r="L789">
            <v>185407</v>
          </cell>
          <cell r="N789">
            <v>185407</v>
          </cell>
          <cell r="O789" t="str">
            <v>z</v>
          </cell>
          <cell r="Q789">
            <v>0</v>
          </cell>
        </row>
        <row r="790">
          <cell r="G790" t="str">
            <v>MULTICARE MEDICAL EQIPMENT LTD.</v>
          </cell>
          <cell r="I790">
            <v>-790608</v>
          </cell>
          <cell r="J790">
            <v>0</v>
          </cell>
          <cell r="K790">
            <v>43273</v>
          </cell>
          <cell r="L790">
            <v>-833881</v>
          </cell>
          <cell r="N790">
            <v>-833881</v>
          </cell>
          <cell r="O790" t="str">
            <v>z</v>
          </cell>
          <cell r="Q790">
            <v>0</v>
          </cell>
        </row>
        <row r="791">
          <cell r="G791" t="str">
            <v>CHEMIPLAST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N791">
            <v>0</v>
          </cell>
          <cell r="O791" t="str">
            <v>z</v>
          </cell>
          <cell r="Q791">
            <v>0</v>
          </cell>
        </row>
        <row r="792">
          <cell r="G792" t="str">
            <v>OVERSEAS ASSOCIATES</v>
          </cell>
          <cell r="I792">
            <v>-573563.49</v>
          </cell>
          <cell r="J792">
            <v>100279</v>
          </cell>
          <cell r="K792">
            <v>63388</v>
          </cell>
          <cell r="L792">
            <v>-536672.49</v>
          </cell>
          <cell r="N792">
            <v>-536672.49</v>
          </cell>
          <cell r="O792" t="str">
            <v>z</v>
          </cell>
          <cell r="Q792">
            <v>0</v>
          </cell>
        </row>
        <row r="793">
          <cell r="G793" t="str">
            <v>WIPRO BIOMED</v>
          </cell>
          <cell r="I793">
            <v>-502808</v>
          </cell>
          <cell r="J793">
            <v>0</v>
          </cell>
          <cell r="K793">
            <v>20634</v>
          </cell>
          <cell r="L793">
            <v>-523442</v>
          </cell>
          <cell r="N793">
            <v>-523442</v>
          </cell>
          <cell r="O793" t="str">
            <v>z</v>
          </cell>
          <cell r="Q793">
            <v>0</v>
          </cell>
        </row>
        <row r="794">
          <cell r="G794" t="str">
            <v>TRITON MEDICAL SERVICES PVT LTD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N794">
            <v>0</v>
          </cell>
          <cell r="O794" t="str">
            <v>z</v>
          </cell>
          <cell r="Q794">
            <v>0</v>
          </cell>
        </row>
        <row r="795">
          <cell r="G795" t="str">
            <v>HI TECH PHARMA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N795">
            <v>0</v>
          </cell>
          <cell r="O795" t="str">
            <v>z</v>
          </cell>
          <cell r="Q795">
            <v>0</v>
          </cell>
        </row>
        <row r="796">
          <cell r="G796" t="str">
            <v>JAGJIT SINGH</v>
          </cell>
          <cell r="I796">
            <v>-75000</v>
          </cell>
          <cell r="J796">
            <v>0</v>
          </cell>
          <cell r="K796">
            <v>0</v>
          </cell>
          <cell r="L796">
            <v>-75000</v>
          </cell>
          <cell r="N796">
            <v>-75000</v>
          </cell>
          <cell r="O796" t="str">
            <v>z</v>
          </cell>
          <cell r="Q796">
            <v>0</v>
          </cell>
        </row>
        <row r="797">
          <cell r="G797" t="str">
            <v>ESQUIRE SURGICALS</v>
          </cell>
          <cell r="I797">
            <v>-9678.7000000000007</v>
          </cell>
          <cell r="J797">
            <v>0</v>
          </cell>
          <cell r="K797">
            <v>0</v>
          </cell>
          <cell r="L797">
            <v>-9678.7000000000007</v>
          </cell>
          <cell r="N797">
            <v>-9678.7000000000007</v>
          </cell>
          <cell r="O797" t="str">
            <v>z</v>
          </cell>
          <cell r="Q797">
            <v>0</v>
          </cell>
        </row>
        <row r="798">
          <cell r="G798" t="str">
            <v>THE SOUTH INDIA SURGICAL CO. LTD.</v>
          </cell>
          <cell r="I798">
            <v>-114074</v>
          </cell>
          <cell r="J798">
            <v>114074</v>
          </cell>
          <cell r="K798">
            <v>121327</v>
          </cell>
          <cell r="L798">
            <v>-121327</v>
          </cell>
          <cell r="N798">
            <v>-121327</v>
          </cell>
          <cell r="O798" t="str">
            <v>z</v>
          </cell>
          <cell r="Q798">
            <v>0</v>
          </cell>
        </row>
        <row r="799">
          <cell r="G799" t="str">
            <v>DESAI AGENCIES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N799">
            <v>0</v>
          </cell>
          <cell r="O799" t="str">
            <v>z</v>
          </cell>
          <cell r="Q799">
            <v>0</v>
          </cell>
        </row>
        <row r="800">
          <cell r="G800" t="str">
            <v>S.K.SHARMA &amp; COMPANY</v>
          </cell>
          <cell r="I800">
            <v>-91520</v>
          </cell>
          <cell r="J800">
            <v>91520</v>
          </cell>
          <cell r="K800">
            <v>40999</v>
          </cell>
          <cell r="L800">
            <v>-40999</v>
          </cell>
          <cell r="N800">
            <v>-40999</v>
          </cell>
          <cell r="O800" t="str">
            <v>z</v>
          </cell>
          <cell r="Q800">
            <v>0</v>
          </cell>
        </row>
        <row r="801">
          <cell r="G801" t="str">
            <v>EDIFICE CORPORATION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N801">
            <v>0</v>
          </cell>
          <cell r="O801" t="str">
            <v>z</v>
          </cell>
          <cell r="Q801">
            <v>0</v>
          </cell>
        </row>
        <row r="802">
          <cell r="G802" t="str">
            <v>SHANBAG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N802">
            <v>0</v>
          </cell>
          <cell r="O802" t="str">
            <v>z</v>
          </cell>
          <cell r="Q802">
            <v>0</v>
          </cell>
        </row>
        <row r="803">
          <cell r="G803" t="str">
            <v>RETAINTION MONEY - BHARAT ENG.</v>
          </cell>
          <cell r="H803" t="str">
            <v>Retaintion Money - Bharat Eng.</v>
          </cell>
          <cell r="I803">
            <v>-827501</v>
          </cell>
          <cell r="J803">
            <v>0</v>
          </cell>
          <cell r="K803">
            <v>0</v>
          </cell>
          <cell r="L803">
            <v>-827501</v>
          </cell>
          <cell r="N803">
            <v>-827501</v>
          </cell>
          <cell r="O803" t="str">
            <v>z</v>
          </cell>
          <cell r="Q803">
            <v>0</v>
          </cell>
          <cell r="U803">
            <v>-2433730.81</v>
          </cell>
        </row>
        <row r="804">
          <cell r="G804" t="str">
            <v>TRINITY</v>
          </cell>
          <cell r="I804">
            <v>-51992</v>
          </cell>
          <cell r="J804">
            <v>0</v>
          </cell>
          <cell r="K804">
            <v>0</v>
          </cell>
          <cell r="L804">
            <v>-51992</v>
          </cell>
          <cell r="N804">
            <v>-51992</v>
          </cell>
          <cell r="O804" t="str">
            <v>z</v>
          </cell>
          <cell r="Q804">
            <v>0</v>
          </cell>
        </row>
        <row r="805">
          <cell r="G805" t="str">
            <v>ACME AIRFROST IND PVT. LTD.</v>
          </cell>
          <cell r="I805">
            <v>-4875</v>
          </cell>
          <cell r="J805">
            <v>0</v>
          </cell>
          <cell r="K805">
            <v>0</v>
          </cell>
          <cell r="L805">
            <v>-4875</v>
          </cell>
          <cell r="N805">
            <v>-4875</v>
          </cell>
          <cell r="O805" t="str">
            <v>z</v>
          </cell>
          <cell r="Q805">
            <v>0</v>
          </cell>
        </row>
        <row r="806">
          <cell r="G806" t="str">
            <v>ADMARK GIFTS</v>
          </cell>
          <cell r="I806">
            <v>48922</v>
          </cell>
          <cell r="J806">
            <v>48922</v>
          </cell>
          <cell r="K806">
            <v>97844</v>
          </cell>
          <cell r="L806">
            <v>0</v>
          </cell>
          <cell r="N806">
            <v>0</v>
          </cell>
          <cell r="O806" t="str">
            <v>z</v>
          </cell>
          <cell r="Q806">
            <v>0</v>
          </cell>
        </row>
        <row r="807">
          <cell r="G807" t="str">
            <v>ALEENA FURNISHERS</v>
          </cell>
          <cell r="I807">
            <v>15000</v>
          </cell>
          <cell r="J807">
            <v>0</v>
          </cell>
          <cell r="K807">
            <v>15000</v>
          </cell>
          <cell r="L807">
            <v>0</v>
          </cell>
          <cell r="N807">
            <v>0</v>
          </cell>
          <cell r="O807" t="str">
            <v>z</v>
          </cell>
          <cell r="Q807">
            <v>0</v>
          </cell>
        </row>
        <row r="808">
          <cell r="G808" t="str">
            <v>AJAY ENTERPRISES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N808">
            <v>0</v>
          </cell>
          <cell r="O808" t="str">
            <v>z</v>
          </cell>
          <cell r="Q808">
            <v>0</v>
          </cell>
        </row>
        <row r="809">
          <cell r="G809" t="str">
            <v>AIR PACK LAMINAIR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N809">
            <v>0</v>
          </cell>
          <cell r="O809" t="str">
            <v>z</v>
          </cell>
          <cell r="Q809">
            <v>0</v>
          </cell>
        </row>
        <row r="810">
          <cell r="G810" t="str">
            <v>ASHWINI RENAL CARE</v>
          </cell>
          <cell r="I810">
            <v>11177</v>
          </cell>
          <cell r="J810">
            <v>0</v>
          </cell>
          <cell r="K810">
            <v>0</v>
          </cell>
          <cell r="L810">
            <v>11177</v>
          </cell>
          <cell r="N810">
            <v>11177</v>
          </cell>
          <cell r="O810" t="str">
            <v>z</v>
          </cell>
          <cell r="Q810">
            <v>0</v>
          </cell>
        </row>
        <row r="811">
          <cell r="G811" t="str">
            <v>ASSOCIATED  ROAD CARRIERS LIMITED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N811">
            <v>0</v>
          </cell>
          <cell r="O811" t="str">
            <v>z</v>
          </cell>
          <cell r="Q811">
            <v>0</v>
          </cell>
        </row>
        <row r="812">
          <cell r="G812" t="str">
            <v>A.R.ENTERPRISES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N812">
            <v>0</v>
          </cell>
          <cell r="O812" t="str">
            <v>z</v>
          </cell>
          <cell r="Q812">
            <v>0</v>
          </cell>
        </row>
        <row r="813">
          <cell r="G813" t="str">
            <v>BASANT BETONS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N813">
            <v>0</v>
          </cell>
          <cell r="O813" t="str">
            <v>z</v>
          </cell>
          <cell r="Q813">
            <v>0</v>
          </cell>
        </row>
        <row r="814">
          <cell r="G814" t="str">
            <v>BLUE DART EXPRESS LIMITED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N814">
            <v>0</v>
          </cell>
          <cell r="O814" t="str">
            <v>z</v>
          </cell>
          <cell r="Q814">
            <v>0</v>
          </cell>
        </row>
        <row r="815">
          <cell r="G815" t="str">
            <v>BHARAT ENGINEERS</v>
          </cell>
          <cell r="I815">
            <v>38212</v>
          </cell>
          <cell r="J815">
            <v>0</v>
          </cell>
          <cell r="K815">
            <v>0</v>
          </cell>
          <cell r="L815">
            <v>38212</v>
          </cell>
          <cell r="N815">
            <v>38212</v>
          </cell>
          <cell r="O815" t="str">
            <v>z</v>
          </cell>
          <cell r="Q815">
            <v>0</v>
          </cell>
        </row>
        <row r="816">
          <cell r="G816" t="str">
            <v>BHAVANI FURNITURE WORKS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N816">
            <v>0</v>
          </cell>
          <cell r="O816" t="str">
            <v>z</v>
          </cell>
          <cell r="Q816">
            <v>0</v>
          </cell>
        </row>
        <row r="817">
          <cell r="G817" t="str">
            <v>BLUE SKY LIMITED</v>
          </cell>
          <cell r="I817">
            <v>-5241</v>
          </cell>
          <cell r="J817">
            <v>0</v>
          </cell>
          <cell r="K817">
            <v>0</v>
          </cell>
          <cell r="L817">
            <v>-5241</v>
          </cell>
          <cell r="N817">
            <v>-5241</v>
          </cell>
          <cell r="O817" t="str">
            <v>z</v>
          </cell>
          <cell r="Q817">
            <v>0</v>
          </cell>
        </row>
        <row r="818">
          <cell r="G818" t="str">
            <v>M/S BLUE STAR LTD.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N818">
            <v>0</v>
          </cell>
          <cell r="O818" t="str">
            <v>z</v>
          </cell>
          <cell r="Q818">
            <v>0</v>
          </cell>
        </row>
        <row r="819">
          <cell r="G819" t="str">
            <v>BASANT TILES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N819">
            <v>0</v>
          </cell>
          <cell r="O819" t="str">
            <v>z</v>
          </cell>
          <cell r="Q819">
            <v>0</v>
          </cell>
        </row>
        <row r="820">
          <cell r="G820" t="str">
            <v>CONCORDE</v>
          </cell>
          <cell r="I820">
            <v>-17921</v>
          </cell>
          <cell r="J820">
            <v>0</v>
          </cell>
          <cell r="K820">
            <v>0</v>
          </cell>
          <cell r="L820">
            <v>-17921</v>
          </cell>
          <cell r="N820">
            <v>-17921</v>
          </cell>
          <cell r="O820" t="str">
            <v>z</v>
          </cell>
          <cell r="Q820">
            <v>0</v>
          </cell>
        </row>
        <row r="821">
          <cell r="G821" t="str">
            <v>COMPACT BUSINESS MACHINE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N821">
            <v>0</v>
          </cell>
          <cell r="O821" t="str">
            <v>z</v>
          </cell>
          <cell r="Q821">
            <v>0</v>
          </cell>
        </row>
        <row r="822">
          <cell r="G822" t="str">
            <v>C G FARMS</v>
          </cell>
          <cell r="I822">
            <v>0</v>
          </cell>
          <cell r="J822">
            <v>28093</v>
          </cell>
          <cell r="K822">
            <v>39330</v>
          </cell>
          <cell r="L822">
            <v>-11237</v>
          </cell>
          <cell r="N822">
            <v>-11237</v>
          </cell>
          <cell r="O822" t="str">
            <v>z</v>
          </cell>
          <cell r="Q822">
            <v>0</v>
          </cell>
        </row>
        <row r="823">
          <cell r="G823" t="str">
            <v>COSMED MATHIAS MENEZES LIMITED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O823" t="str">
            <v>z</v>
          </cell>
          <cell r="Q823">
            <v>0</v>
          </cell>
        </row>
        <row r="824">
          <cell r="G824" t="str">
            <v>C. N. GANDHEVIA CLEAING &amp; FORWARDING AGENTS P. LTD</v>
          </cell>
          <cell r="I824">
            <v>0</v>
          </cell>
          <cell r="J824">
            <v>14163</v>
          </cell>
          <cell r="K824">
            <v>14163</v>
          </cell>
          <cell r="L824">
            <v>0</v>
          </cell>
          <cell r="N824">
            <v>0</v>
          </cell>
          <cell r="O824" t="str">
            <v>z</v>
          </cell>
          <cell r="Q824">
            <v>0</v>
          </cell>
        </row>
        <row r="825">
          <cell r="G825" t="str">
            <v>COMPU-TECH</v>
          </cell>
          <cell r="I825">
            <v>33000</v>
          </cell>
          <cell r="J825">
            <v>32965</v>
          </cell>
          <cell r="K825">
            <v>65965</v>
          </cell>
          <cell r="L825">
            <v>0</v>
          </cell>
          <cell r="N825">
            <v>0</v>
          </cell>
          <cell r="O825" t="str">
            <v>z</v>
          </cell>
          <cell r="Q825">
            <v>0</v>
          </cell>
        </row>
        <row r="826">
          <cell r="G826" t="str">
            <v>EAGLE FREIGHT FORWARDERS LTD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N826">
            <v>0</v>
          </cell>
          <cell r="O826" t="str">
            <v>z</v>
          </cell>
          <cell r="Q826">
            <v>0</v>
          </cell>
        </row>
        <row r="827">
          <cell r="G827" t="str">
            <v>EUREKA FORBES LIMITED</v>
          </cell>
          <cell r="I827">
            <v>7250</v>
          </cell>
          <cell r="J827">
            <v>0</v>
          </cell>
          <cell r="K827">
            <v>0</v>
          </cell>
          <cell r="L827">
            <v>7250</v>
          </cell>
          <cell r="N827">
            <v>7250</v>
          </cell>
          <cell r="O827" t="str">
            <v>z</v>
          </cell>
          <cell r="Q827">
            <v>0</v>
          </cell>
        </row>
        <row r="828">
          <cell r="G828" t="str">
            <v>ELJAY IMPEX</v>
          </cell>
          <cell r="I828">
            <v>0</v>
          </cell>
          <cell r="J828">
            <v>56212</v>
          </cell>
          <cell r="K828">
            <v>56212</v>
          </cell>
          <cell r="L828">
            <v>0</v>
          </cell>
          <cell r="N828">
            <v>0</v>
          </cell>
          <cell r="O828" t="str">
            <v>z</v>
          </cell>
          <cell r="Q828">
            <v>0</v>
          </cell>
        </row>
        <row r="829">
          <cell r="G829" t="str">
            <v>EXCEL LOGISTICS PVT. LTD.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N829">
            <v>0</v>
          </cell>
          <cell r="O829" t="str">
            <v>z</v>
          </cell>
          <cell r="Q829">
            <v>0</v>
          </cell>
        </row>
        <row r="830">
          <cell r="G830" t="str">
            <v>ENTIRE SERVICES</v>
          </cell>
          <cell r="I830">
            <v>0</v>
          </cell>
          <cell r="J830">
            <v>12250</v>
          </cell>
          <cell r="K830">
            <v>12250</v>
          </cell>
          <cell r="L830">
            <v>0</v>
          </cell>
          <cell r="N830">
            <v>0</v>
          </cell>
          <cell r="O830" t="str">
            <v>z</v>
          </cell>
          <cell r="Q830">
            <v>0</v>
          </cell>
        </row>
        <row r="831">
          <cell r="G831" t="str">
            <v>FURTADO &amp; CO.</v>
          </cell>
          <cell r="I831">
            <v>20000</v>
          </cell>
          <cell r="J831">
            <v>65230</v>
          </cell>
          <cell r="K831">
            <v>65230</v>
          </cell>
          <cell r="L831">
            <v>20000</v>
          </cell>
          <cell r="N831">
            <v>20000</v>
          </cell>
          <cell r="O831" t="str">
            <v>z</v>
          </cell>
          <cell r="Q831">
            <v>0</v>
          </cell>
        </row>
        <row r="832">
          <cell r="G832" t="str">
            <v>FUSEN ENGINEERING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N832">
            <v>0</v>
          </cell>
          <cell r="O832" t="str">
            <v>z</v>
          </cell>
          <cell r="Q832">
            <v>0</v>
          </cell>
        </row>
        <row r="833">
          <cell r="G833" t="str">
            <v>FIRST FLIGHT COURIER PVT.LTD</v>
          </cell>
          <cell r="I833">
            <v>0</v>
          </cell>
          <cell r="J833">
            <v>3496</v>
          </cell>
          <cell r="K833">
            <v>3496</v>
          </cell>
          <cell r="L833">
            <v>0</v>
          </cell>
          <cell r="N833">
            <v>0</v>
          </cell>
          <cell r="O833" t="str">
            <v>z</v>
          </cell>
          <cell r="Q833">
            <v>0</v>
          </cell>
        </row>
        <row r="834">
          <cell r="G834" t="str">
            <v>F. G. ELECTRIC WORKS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N834">
            <v>0</v>
          </cell>
          <cell r="O834" t="str">
            <v>z</v>
          </cell>
          <cell r="Q834">
            <v>0</v>
          </cell>
        </row>
        <row r="835">
          <cell r="G835" t="str">
            <v>GOA CONTAINER &amp; ALLIED SERVICES</v>
          </cell>
          <cell r="I835">
            <v>0</v>
          </cell>
          <cell r="J835">
            <v>11200</v>
          </cell>
          <cell r="K835">
            <v>11200</v>
          </cell>
          <cell r="L835">
            <v>0</v>
          </cell>
          <cell r="N835">
            <v>0</v>
          </cell>
          <cell r="O835" t="str">
            <v>z</v>
          </cell>
          <cell r="Q835">
            <v>0</v>
          </cell>
        </row>
        <row r="836">
          <cell r="G836" t="str">
            <v>GATI CORPORATION LTD ( MUMBAI)</v>
          </cell>
          <cell r="I836">
            <v>0</v>
          </cell>
          <cell r="J836">
            <v>3343</v>
          </cell>
          <cell r="K836">
            <v>3343</v>
          </cell>
          <cell r="L836">
            <v>0</v>
          </cell>
          <cell r="N836">
            <v>0</v>
          </cell>
          <cell r="O836" t="str">
            <v>z</v>
          </cell>
          <cell r="Q836">
            <v>0</v>
          </cell>
        </row>
        <row r="837">
          <cell r="G837" t="str">
            <v>G.D.ENTERPRISES</v>
          </cell>
          <cell r="I837">
            <v>-346478</v>
          </cell>
          <cell r="J837">
            <v>192733</v>
          </cell>
          <cell r="K837">
            <v>359525</v>
          </cell>
          <cell r="L837">
            <v>-513270</v>
          </cell>
          <cell r="N837">
            <v>-513270</v>
          </cell>
          <cell r="O837" t="str">
            <v>z</v>
          </cell>
          <cell r="Q837">
            <v>0</v>
          </cell>
        </row>
        <row r="838">
          <cell r="G838" t="str">
            <v>GATI- DESK- TO -DESK CARGO</v>
          </cell>
          <cell r="I838">
            <v>-100688</v>
          </cell>
          <cell r="J838">
            <v>209294</v>
          </cell>
          <cell r="K838">
            <v>430573</v>
          </cell>
          <cell r="L838">
            <v>-321967</v>
          </cell>
          <cell r="N838">
            <v>-321967</v>
          </cell>
          <cell r="O838" t="str">
            <v>z</v>
          </cell>
          <cell r="Q838">
            <v>0</v>
          </cell>
        </row>
        <row r="839">
          <cell r="G839" t="str">
            <v>GANESH FURNITURE WORKS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N839">
            <v>0</v>
          </cell>
          <cell r="O839" t="str">
            <v>z</v>
          </cell>
          <cell r="Q839">
            <v>0</v>
          </cell>
        </row>
        <row r="840">
          <cell r="G840" t="str">
            <v>GLOBAL PAPER PRODUCT</v>
          </cell>
          <cell r="I840">
            <v>33051</v>
          </cell>
          <cell r="J840">
            <v>0</v>
          </cell>
          <cell r="K840">
            <v>0</v>
          </cell>
          <cell r="L840">
            <v>33051</v>
          </cell>
          <cell r="N840">
            <v>33051</v>
          </cell>
          <cell r="O840" t="str">
            <v>z</v>
          </cell>
          <cell r="Q840">
            <v>0</v>
          </cell>
        </row>
        <row r="841">
          <cell r="G841" t="str">
            <v>G.M.BHANDARE CARGO MOVERS.</v>
          </cell>
          <cell r="I841">
            <v>0</v>
          </cell>
          <cell r="J841">
            <v>15500</v>
          </cell>
          <cell r="K841">
            <v>15500</v>
          </cell>
          <cell r="L841">
            <v>0</v>
          </cell>
          <cell r="N841">
            <v>0</v>
          </cell>
          <cell r="O841" t="str">
            <v>z</v>
          </cell>
          <cell r="Q841">
            <v>0</v>
          </cell>
        </row>
        <row r="842">
          <cell r="G842" t="str">
            <v>GOKUL AGENCIES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N842">
            <v>0</v>
          </cell>
          <cell r="O842" t="str">
            <v>z</v>
          </cell>
          <cell r="Q842">
            <v>0</v>
          </cell>
        </row>
        <row r="843">
          <cell r="G843" t="str">
            <v>GREEN ROADLINES CHANDIGARH</v>
          </cell>
          <cell r="I843">
            <v>80000</v>
          </cell>
          <cell r="J843">
            <v>83905</v>
          </cell>
          <cell r="K843">
            <v>100747</v>
          </cell>
          <cell r="L843">
            <v>63158</v>
          </cell>
          <cell r="N843">
            <v>63158</v>
          </cell>
          <cell r="O843" t="str">
            <v>z</v>
          </cell>
          <cell r="Q843">
            <v>0</v>
          </cell>
        </row>
        <row r="844">
          <cell r="G844" t="str">
            <v>HINDUSTAN ADHESIVES LTD.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N844">
            <v>0</v>
          </cell>
          <cell r="O844" t="str">
            <v>z</v>
          </cell>
          <cell r="Q844">
            <v>0</v>
          </cell>
        </row>
        <row r="845">
          <cell r="G845" t="str">
            <v>HYDROLOG ENGINEERS</v>
          </cell>
          <cell r="I845">
            <v>-50000</v>
          </cell>
          <cell r="J845">
            <v>0</v>
          </cell>
          <cell r="K845">
            <v>0</v>
          </cell>
          <cell r="L845">
            <v>-50000</v>
          </cell>
          <cell r="N845">
            <v>-50000</v>
          </cell>
          <cell r="O845" t="str">
            <v>z</v>
          </cell>
          <cell r="Q845">
            <v>0</v>
          </cell>
        </row>
        <row r="846">
          <cell r="G846" t="str">
            <v>HINDUSTAN TRADERS CO.</v>
          </cell>
          <cell r="I846">
            <v>9800</v>
          </cell>
          <cell r="J846">
            <v>0</v>
          </cell>
          <cell r="K846">
            <v>0</v>
          </cell>
          <cell r="L846">
            <v>9800</v>
          </cell>
          <cell r="N846">
            <v>9800</v>
          </cell>
          <cell r="O846" t="str">
            <v>z</v>
          </cell>
          <cell r="Q846">
            <v>0</v>
          </cell>
        </row>
        <row r="847">
          <cell r="G847" t="str">
            <v>INSYST BUSINESS SOLUTIONS PVT. LTD</v>
          </cell>
          <cell r="I847">
            <v>45000</v>
          </cell>
          <cell r="J847">
            <v>29346</v>
          </cell>
          <cell r="K847">
            <v>0</v>
          </cell>
          <cell r="L847">
            <v>74346</v>
          </cell>
          <cell r="N847">
            <v>74346</v>
          </cell>
          <cell r="O847" t="str">
            <v>z</v>
          </cell>
          <cell r="Q847">
            <v>0</v>
          </cell>
        </row>
        <row r="848">
          <cell r="G848" t="str">
            <v>INTERNATIONAL FLEXIBLE CONVERTERS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N848">
            <v>0</v>
          </cell>
          <cell r="O848" t="str">
            <v>z</v>
          </cell>
          <cell r="Q848">
            <v>0</v>
          </cell>
        </row>
        <row r="849">
          <cell r="G849" t="str">
            <v>INDUSTRIAL FILTRATION SERVICES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N849">
            <v>0</v>
          </cell>
          <cell r="O849" t="str">
            <v>z</v>
          </cell>
          <cell r="Q849">
            <v>0</v>
          </cell>
        </row>
        <row r="850">
          <cell r="G850" t="str">
            <v>INDUSTRIAL FILTRATION SERVICES (RETENTION MONEY)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N850">
            <v>0</v>
          </cell>
          <cell r="O850" t="str">
            <v>z</v>
          </cell>
          <cell r="Q850">
            <v>0</v>
          </cell>
        </row>
        <row r="851">
          <cell r="G851" t="str">
            <v>INGERSOLL RAND PATEL ENGG. CO.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N851">
            <v>0</v>
          </cell>
          <cell r="O851" t="str">
            <v>z</v>
          </cell>
          <cell r="Q851">
            <v>0</v>
          </cell>
        </row>
        <row r="852">
          <cell r="G852" t="str">
            <v>IRA TRADING CO.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N852">
            <v>0</v>
          </cell>
          <cell r="O852" t="str">
            <v>z</v>
          </cell>
          <cell r="Q852">
            <v>0</v>
          </cell>
        </row>
        <row r="853">
          <cell r="G853" t="str">
            <v>JK SERVICE AGENCIES</v>
          </cell>
          <cell r="I853">
            <v>416210</v>
          </cell>
          <cell r="J853">
            <v>0</v>
          </cell>
          <cell r="K853">
            <v>381876</v>
          </cell>
          <cell r="L853">
            <v>34334</v>
          </cell>
          <cell r="N853">
            <v>34334</v>
          </cell>
          <cell r="O853" t="str">
            <v>z</v>
          </cell>
          <cell r="Q853">
            <v>0</v>
          </cell>
        </row>
        <row r="854">
          <cell r="G854" t="str">
            <v>J.M.MEHTA &amp; CO.</v>
          </cell>
          <cell r="I854">
            <v>0</v>
          </cell>
          <cell r="J854">
            <v>331532</v>
          </cell>
          <cell r="K854">
            <v>493551</v>
          </cell>
          <cell r="L854">
            <v>-162019</v>
          </cell>
          <cell r="N854">
            <v>-162019</v>
          </cell>
          <cell r="O854" t="str">
            <v>z</v>
          </cell>
          <cell r="Q854">
            <v>0</v>
          </cell>
        </row>
        <row r="855">
          <cell r="G855" t="str">
            <v>KORDE ELECTRIC CONTROLS</v>
          </cell>
          <cell r="I855">
            <v>0</v>
          </cell>
          <cell r="J855">
            <v>1900</v>
          </cell>
          <cell r="K855">
            <v>1900</v>
          </cell>
          <cell r="L855">
            <v>0</v>
          </cell>
          <cell r="N855">
            <v>0</v>
          </cell>
          <cell r="O855" t="str">
            <v>z</v>
          </cell>
          <cell r="Q855">
            <v>0</v>
          </cell>
        </row>
        <row r="856">
          <cell r="G856" t="str">
            <v>KIRAN FIRE SERVICES</v>
          </cell>
          <cell r="I856">
            <v>-25650</v>
          </cell>
          <cell r="J856">
            <v>0</v>
          </cell>
          <cell r="K856">
            <v>0</v>
          </cell>
          <cell r="L856">
            <v>-25650</v>
          </cell>
          <cell r="N856">
            <v>-25650</v>
          </cell>
          <cell r="O856" t="str">
            <v>z</v>
          </cell>
          <cell r="Q856">
            <v>0</v>
          </cell>
        </row>
        <row r="857">
          <cell r="G857" t="str">
            <v>KIRAN FIRE SERVICES (RETENTIOIN MONEY0</v>
          </cell>
          <cell r="I857">
            <v>-9900</v>
          </cell>
          <cell r="J857">
            <v>0</v>
          </cell>
          <cell r="K857">
            <v>0</v>
          </cell>
          <cell r="L857">
            <v>-9900</v>
          </cell>
          <cell r="N857">
            <v>-9900</v>
          </cell>
          <cell r="O857" t="str">
            <v>z</v>
          </cell>
          <cell r="Q857">
            <v>0</v>
          </cell>
        </row>
        <row r="858">
          <cell r="G858" t="str">
            <v>KALPAKA TRANSPORT CO. LTD.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N858">
            <v>0</v>
          </cell>
          <cell r="O858" t="str">
            <v>z</v>
          </cell>
          <cell r="Q858">
            <v>0</v>
          </cell>
        </row>
        <row r="859">
          <cell r="G859" t="str">
            <v>K.T. LAU CONSULTANTS</v>
          </cell>
          <cell r="I859">
            <v>-60566</v>
          </cell>
          <cell r="J859">
            <v>60566</v>
          </cell>
          <cell r="K859">
            <v>0</v>
          </cell>
          <cell r="L859">
            <v>0</v>
          </cell>
          <cell r="N859">
            <v>0</v>
          </cell>
          <cell r="O859" t="str">
            <v>z</v>
          </cell>
          <cell r="Q859">
            <v>0</v>
          </cell>
        </row>
        <row r="860">
          <cell r="G860" t="str">
            <v>KUSTA V. NAIK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N860">
            <v>0</v>
          </cell>
          <cell r="O860" t="str">
            <v>z</v>
          </cell>
          <cell r="Q860">
            <v>0</v>
          </cell>
        </row>
        <row r="861">
          <cell r="G861" t="str">
            <v>LUDWIG FLOW EQUIPMENTS PVT. LTD.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N861">
            <v>0</v>
          </cell>
          <cell r="O861" t="str">
            <v>z</v>
          </cell>
          <cell r="Q861">
            <v>0</v>
          </cell>
        </row>
        <row r="862">
          <cell r="G862" t="str">
            <v>LIMA LEITAO TRANSPORT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N862">
            <v>0</v>
          </cell>
          <cell r="O862" t="str">
            <v>z</v>
          </cell>
          <cell r="Q862">
            <v>0</v>
          </cell>
        </row>
        <row r="863">
          <cell r="G863" t="str">
            <v>LAUREN SOFTWARE PVT. LTD</v>
          </cell>
          <cell r="I863">
            <v>-35850</v>
          </cell>
          <cell r="J863">
            <v>0</v>
          </cell>
          <cell r="K863">
            <v>0</v>
          </cell>
          <cell r="L863">
            <v>-35850</v>
          </cell>
          <cell r="N863">
            <v>-35850</v>
          </cell>
          <cell r="O863" t="str">
            <v>z</v>
          </cell>
          <cell r="Q863">
            <v>0</v>
          </cell>
        </row>
        <row r="864">
          <cell r="G864" t="str">
            <v>MEGHASHYAM ANAND SWAR &amp; CO.</v>
          </cell>
          <cell r="I864">
            <v>0</v>
          </cell>
          <cell r="J864">
            <v>12100</v>
          </cell>
          <cell r="K864">
            <v>12100</v>
          </cell>
          <cell r="L864">
            <v>0</v>
          </cell>
          <cell r="N864">
            <v>0</v>
          </cell>
          <cell r="O864" t="str">
            <v>z</v>
          </cell>
          <cell r="Q864">
            <v>0</v>
          </cell>
        </row>
        <row r="865">
          <cell r="G865" t="str">
            <v>MENEZES AIR TRAVEL</v>
          </cell>
          <cell r="I865">
            <v>-89198.13</v>
          </cell>
          <cell r="J865">
            <v>0</v>
          </cell>
          <cell r="K865">
            <v>0</v>
          </cell>
          <cell r="L865">
            <v>-89198.13</v>
          </cell>
          <cell r="N865">
            <v>-89198.13</v>
          </cell>
          <cell r="O865" t="str">
            <v>z</v>
          </cell>
          <cell r="Q865">
            <v>0</v>
          </cell>
        </row>
        <row r="866">
          <cell r="G866" t="str">
            <v>MICROCITY INDIA LTD.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N866">
            <v>0</v>
          </cell>
          <cell r="O866" t="str">
            <v>z</v>
          </cell>
          <cell r="Q866">
            <v>0</v>
          </cell>
        </row>
        <row r="867">
          <cell r="G867" t="str">
            <v>MONGA ELECTRONICS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N867">
            <v>0</v>
          </cell>
          <cell r="O867" t="str">
            <v>z</v>
          </cell>
          <cell r="Q867">
            <v>0</v>
          </cell>
        </row>
        <row r="868">
          <cell r="G868" t="str">
            <v>MONARCH ENTERPRISES</v>
          </cell>
          <cell r="I868">
            <v>0</v>
          </cell>
          <cell r="J868">
            <v>30923</v>
          </cell>
          <cell r="K868">
            <v>0</v>
          </cell>
          <cell r="L868">
            <v>30923</v>
          </cell>
          <cell r="N868">
            <v>30923</v>
          </cell>
          <cell r="O868" t="str">
            <v>z</v>
          </cell>
          <cell r="Q868">
            <v>0</v>
          </cell>
        </row>
        <row r="869">
          <cell r="G869" t="str">
            <v>METAFORM INDUSTRIES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N869">
            <v>0</v>
          </cell>
          <cell r="O869" t="str">
            <v>z</v>
          </cell>
          <cell r="Q869">
            <v>0</v>
          </cell>
        </row>
        <row r="870">
          <cell r="G870" t="str">
            <v>MAC INPHASYST PVT. LTD.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N870">
            <v>0</v>
          </cell>
          <cell r="O870" t="str">
            <v>z</v>
          </cell>
          <cell r="Q870">
            <v>0</v>
          </cell>
        </row>
        <row r="871">
          <cell r="G871" t="str">
            <v>MITTALS INTERNATIONAL RELOCATIONS PVT. LTD.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N871">
            <v>0</v>
          </cell>
          <cell r="O871" t="str">
            <v>z</v>
          </cell>
          <cell r="Q871">
            <v>0</v>
          </cell>
        </row>
        <row r="872">
          <cell r="G872" t="str">
            <v>NIHAL APPARELS</v>
          </cell>
          <cell r="I872">
            <v>0</v>
          </cell>
          <cell r="J872">
            <v>6480</v>
          </cell>
          <cell r="K872">
            <v>6480</v>
          </cell>
          <cell r="L872">
            <v>0</v>
          </cell>
          <cell r="N872">
            <v>0</v>
          </cell>
          <cell r="O872" t="str">
            <v>z</v>
          </cell>
          <cell r="Q872">
            <v>0</v>
          </cell>
        </row>
        <row r="873">
          <cell r="G873" t="str">
            <v>NIKEDA ART PRINTERS PVT. LTD.</v>
          </cell>
          <cell r="I873">
            <v>77522</v>
          </cell>
          <cell r="J873">
            <v>0</v>
          </cell>
          <cell r="K873">
            <v>0</v>
          </cell>
          <cell r="L873">
            <v>77522</v>
          </cell>
          <cell r="N873">
            <v>77522</v>
          </cell>
          <cell r="O873" t="str">
            <v>z</v>
          </cell>
          <cell r="Q873">
            <v>0</v>
          </cell>
        </row>
        <row r="874">
          <cell r="G874" t="str">
            <v>NAIR BUSSINESS MACHINES PVT. LTD.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N874">
            <v>0</v>
          </cell>
          <cell r="O874" t="str">
            <v>z</v>
          </cell>
          <cell r="Q874">
            <v>0</v>
          </cell>
        </row>
        <row r="875">
          <cell r="G875" t="str">
            <v>NAGARKOT CLEARING AGENCY</v>
          </cell>
          <cell r="I875">
            <v>325000</v>
          </cell>
          <cell r="J875">
            <v>100000</v>
          </cell>
          <cell r="K875">
            <v>314302</v>
          </cell>
          <cell r="L875">
            <v>110698</v>
          </cell>
          <cell r="N875">
            <v>110698</v>
          </cell>
          <cell r="O875" t="str">
            <v>z</v>
          </cell>
          <cell r="Q875">
            <v>0</v>
          </cell>
        </row>
        <row r="876">
          <cell r="G876" t="str">
            <v>NILKAMAL CRATES &amp; BINS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N876">
            <v>0</v>
          </cell>
          <cell r="O876" t="str">
            <v>z</v>
          </cell>
          <cell r="Q876">
            <v>0</v>
          </cell>
        </row>
        <row r="877">
          <cell r="G877" t="str">
            <v>NEW COLOURFUL PACKAGING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N877">
            <v>0</v>
          </cell>
          <cell r="O877" t="str">
            <v>z</v>
          </cell>
          <cell r="Q877">
            <v>0</v>
          </cell>
        </row>
        <row r="878">
          <cell r="G878" t="str">
            <v>NORTH EASTERN CARRYING CORPN.</v>
          </cell>
          <cell r="I878">
            <v>-15232</v>
          </cell>
          <cell r="J878">
            <v>176822</v>
          </cell>
          <cell r="K878">
            <v>370222</v>
          </cell>
          <cell r="L878">
            <v>-208632</v>
          </cell>
          <cell r="N878">
            <v>-208632</v>
          </cell>
          <cell r="O878" t="str">
            <v>z</v>
          </cell>
          <cell r="Q878">
            <v>0</v>
          </cell>
        </row>
        <row r="879">
          <cell r="G879" t="str">
            <v>NEW NATIONAL ELECTRICAL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N879">
            <v>0</v>
          </cell>
          <cell r="O879" t="str">
            <v>z</v>
          </cell>
          <cell r="Q879">
            <v>0</v>
          </cell>
        </row>
        <row r="880">
          <cell r="G880" t="str">
            <v>PEST CONTROL (INDIA) LTD.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N880">
            <v>0</v>
          </cell>
          <cell r="O880" t="str">
            <v>z</v>
          </cell>
          <cell r="Q880">
            <v>0</v>
          </cell>
        </row>
        <row r="881">
          <cell r="G881" t="str">
            <v>PIPE DREAMS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N881">
            <v>0</v>
          </cell>
          <cell r="O881" t="str">
            <v>z</v>
          </cell>
          <cell r="Q881">
            <v>0</v>
          </cell>
        </row>
        <row r="882">
          <cell r="G882" t="str">
            <v>PIPE DREAMS ( RETENTION MONEY )</v>
          </cell>
          <cell r="I882">
            <v>-50316</v>
          </cell>
          <cell r="J882">
            <v>0</v>
          </cell>
          <cell r="K882">
            <v>0</v>
          </cell>
          <cell r="L882">
            <v>-50316</v>
          </cell>
          <cell r="N882">
            <v>-50316</v>
          </cell>
          <cell r="O882" t="str">
            <v>z</v>
          </cell>
          <cell r="Q882">
            <v>0</v>
          </cell>
        </row>
        <row r="883">
          <cell r="G883" t="str">
            <v>PADMAVI ENGINEERS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N883">
            <v>0</v>
          </cell>
          <cell r="O883" t="str">
            <v>z</v>
          </cell>
          <cell r="Q883">
            <v>0</v>
          </cell>
        </row>
        <row r="884">
          <cell r="G884" t="str">
            <v>P.L.AGENCIES</v>
          </cell>
          <cell r="I884">
            <v>-60962</v>
          </cell>
          <cell r="J884">
            <v>0</v>
          </cell>
          <cell r="K884">
            <v>0</v>
          </cell>
          <cell r="L884">
            <v>-60962</v>
          </cell>
          <cell r="N884">
            <v>-60962</v>
          </cell>
          <cell r="O884" t="str">
            <v>z</v>
          </cell>
          <cell r="Q884">
            <v>0</v>
          </cell>
        </row>
        <row r="885">
          <cell r="G885" t="str">
            <v>PACK POINT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N885">
            <v>0</v>
          </cell>
          <cell r="O885" t="str">
            <v>z</v>
          </cell>
          <cell r="Q885">
            <v>0</v>
          </cell>
        </row>
        <row r="886">
          <cell r="G886" t="str">
            <v>PATEL ROADWAYS LTD.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N886">
            <v>0</v>
          </cell>
          <cell r="O886" t="str">
            <v>z</v>
          </cell>
          <cell r="Q886">
            <v>0</v>
          </cell>
        </row>
        <row r="887">
          <cell r="G887" t="str">
            <v>POWER WELD INDUSTRIES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N887">
            <v>0</v>
          </cell>
          <cell r="O887" t="str">
            <v>z</v>
          </cell>
          <cell r="Q887">
            <v>0</v>
          </cell>
        </row>
        <row r="888">
          <cell r="G888" t="str">
            <v>RAVIRAJ DISTRIBUTORS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N888">
            <v>0</v>
          </cell>
          <cell r="O888" t="str">
            <v>z</v>
          </cell>
          <cell r="Q888">
            <v>0</v>
          </cell>
        </row>
        <row r="889">
          <cell r="G889" t="str">
            <v>RIMA ENTERPRISES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N889">
            <v>0</v>
          </cell>
          <cell r="O889" t="str">
            <v>z</v>
          </cell>
          <cell r="Q889">
            <v>0</v>
          </cell>
        </row>
        <row r="890">
          <cell r="G890" t="str">
            <v>REGENCY HOTEL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N890">
            <v>0</v>
          </cell>
          <cell r="O890" t="str">
            <v>z</v>
          </cell>
          <cell r="Q890">
            <v>0</v>
          </cell>
        </row>
        <row r="891">
          <cell r="G891" t="str">
            <v>ROHINI INDUSTRIAL ELECTRICAL LTD.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N891">
            <v>0</v>
          </cell>
          <cell r="O891" t="str">
            <v>z</v>
          </cell>
          <cell r="Q891">
            <v>0</v>
          </cell>
        </row>
        <row r="892">
          <cell r="G892" t="str">
            <v>ROHINI ELECTICAL (RETENTION MONEY)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N892">
            <v>0</v>
          </cell>
          <cell r="O892" t="str">
            <v>z</v>
          </cell>
          <cell r="Q892">
            <v>0</v>
          </cell>
        </row>
        <row r="893">
          <cell r="G893" t="str">
            <v>SPEEDAGE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N893">
            <v>0</v>
          </cell>
          <cell r="O893" t="str">
            <v>z</v>
          </cell>
          <cell r="Q893">
            <v>0</v>
          </cell>
        </row>
        <row r="894">
          <cell r="G894" t="str">
            <v>SIMCA ALUMINIUM PVT. LTD.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N894">
            <v>0</v>
          </cell>
          <cell r="O894" t="str">
            <v>z</v>
          </cell>
          <cell r="Q894">
            <v>0</v>
          </cell>
        </row>
        <row r="895">
          <cell r="G895" t="str">
            <v>SHREE DURGA ELECTRICALS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N895">
            <v>0</v>
          </cell>
          <cell r="O895" t="str">
            <v>z</v>
          </cell>
          <cell r="Q895">
            <v>0</v>
          </cell>
        </row>
        <row r="896">
          <cell r="G896" t="str">
            <v>SAFEXPRESS</v>
          </cell>
          <cell r="I896">
            <v>0</v>
          </cell>
          <cell r="J896">
            <v>8279</v>
          </cell>
          <cell r="K896">
            <v>259322</v>
          </cell>
          <cell r="L896">
            <v>-251043</v>
          </cell>
          <cell r="N896">
            <v>-251043</v>
          </cell>
          <cell r="O896" t="str">
            <v>z</v>
          </cell>
          <cell r="Q896">
            <v>0</v>
          </cell>
        </row>
        <row r="897">
          <cell r="G897" t="str">
            <v>SHARMA FURNITURE WORKS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N897">
            <v>0</v>
          </cell>
          <cell r="O897" t="str">
            <v>z</v>
          </cell>
          <cell r="Q897">
            <v>0</v>
          </cell>
        </row>
        <row r="898">
          <cell r="G898" t="str">
            <v>SHIVPRASAD ENTERPRISES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N898">
            <v>0</v>
          </cell>
          <cell r="O898" t="str">
            <v>z</v>
          </cell>
          <cell r="Q898">
            <v>0</v>
          </cell>
        </row>
        <row r="899">
          <cell r="G899" t="str">
            <v>SPACE HVAC SYSTEMS PRIVATE LIMITED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N899">
            <v>0</v>
          </cell>
          <cell r="O899" t="str">
            <v>z</v>
          </cell>
          <cell r="Q899">
            <v>0</v>
          </cell>
        </row>
        <row r="900">
          <cell r="G900" t="str">
            <v>SHAILENDRA JAIN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N900">
            <v>0</v>
          </cell>
          <cell r="O900" t="str">
            <v>z</v>
          </cell>
          <cell r="Q900">
            <v>0</v>
          </cell>
        </row>
        <row r="901">
          <cell r="G901" t="str">
            <v>SANKET ENTERPRISE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N901">
            <v>0</v>
          </cell>
          <cell r="O901" t="str">
            <v>z</v>
          </cell>
          <cell r="Q901">
            <v>0</v>
          </cell>
        </row>
        <row r="902">
          <cell r="G902" t="str">
            <v>SANKET ENTERPRISES (RETENTION MONEY)</v>
          </cell>
          <cell r="I902">
            <v>-44866</v>
          </cell>
          <cell r="J902">
            <v>0</v>
          </cell>
          <cell r="K902">
            <v>0</v>
          </cell>
          <cell r="L902">
            <v>-44866</v>
          </cell>
          <cell r="N902">
            <v>-44866</v>
          </cell>
          <cell r="O902" t="str">
            <v>z</v>
          </cell>
          <cell r="Q902">
            <v>0</v>
          </cell>
        </row>
        <row r="903">
          <cell r="G903" t="str">
            <v>S N MAINKAR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N903">
            <v>0</v>
          </cell>
          <cell r="O903" t="str">
            <v>z</v>
          </cell>
          <cell r="Q903">
            <v>0</v>
          </cell>
        </row>
        <row r="904">
          <cell r="G904" t="str">
            <v>SIMCA ALUMINIUM PVT LTD ( RETENTION MONEY)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N904">
            <v>0</v>
          </cell>
          <cell r="O904" t="str">
            <v>z</v>
          </cell>
          <cell r="Q904">
            <v>0</v>
          </cell>
        </row>
        <row r="905">
          <cell r="G905" t="str">
            <v>SANDEEP R. S. KHANDEPARKER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N905">
            <v>0</v>
          </cell>
          <cell r="O905" t="str">
            <v>z</v>
          </cell>
          <cell r="Q905">
            <v>0</v>
          </cell>
        </row>
        <row r="906">
          <cell r="G906" t="str">
            <v>SENIOR TRANSLINE</v>
          </cell>
          <cell r="I906">
            <v>-79286.539999999994</v>
          </cell>
          <cell r="J906">
            <v>1291</v>
          </cell>
          <cell r="K906">
            <v>2484</v>
          </cell>
          <cell r="L906">
            <v>-80479.539999999994</v>
          </cell>
          <cell r="N906">
            <v>-80479.539999999994</v>
          </cell>
          <cell r="O906" t="str">
            <v>z</v>
          </cell>
          <cell r="Q906">
            <v>0</v>
          </cell>
        </row>
        <row r="907">
          <cell r="G907" t="str">
            <v>SENIOR TRANSLINES ( MUMBAI)</v>
          </cell>
          <cell r="I907">
            <v>40000</v>
          </cell>
          <cell r="J907">
            <v>1419</v>
          </cell>
          <cell r="K907">
            <v>41419</v>
          </cell>
          <cell r="L907">
            <v>0</v>
          </cell>
          <cell r="N907">
            <v>0</v>
          </cell>
          <cell r="O907" t="str">
            <v>z</v>
          </cell>
          <cell r="Q907">
            <v>0</v>
          </cell>
        </row>
        <row r="908">
          <cell r="G908" t="str">
            <v>M/S S.V.B LABORATORIES</v>
          </cell>
          <cell r="I908">
            <v>-8640</v>
          </cell>
          <cell r="J908">
            <v>8640</v>
          </cell>
          <cell r="K908">
            <v>0</v>
          </cell>
          <cell r="L908">
            <v>0</v>
          </cell>
          <cell r="N908">
            <v>0</v>
          </cell>
          <cell r="O908" t="str">
            <v>z</v>
          </cell>
          <cell r="Q908">
            <v>0</v>
          </cell>
        </row>
        <row r="909">
          <cell r="G909" t="str">
            <v>TRANSPORT CORPORATION OF INDIA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N909">
            <v>0</v>
          </cell>
          <cell r="O909" t="str">
            <v>z</v>
          </cell>
          <cell r="Q909">
            <v>0</v>
          </cell>
        </row>
        <row r="910">
          <cell r="G910" t="str">
            <v>TECHNICS INCORPORATION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N910">
            <v>0</v>
          </cell>
          <cell r="O910" t="str">
            <v>z</v>
          </cell>
          <cell r="Q910">
            <v>0</v>
          </cell>
        </row>
        <row r="911">
          <cell r="G911" t="str">
            <v>TELE SOLUTIONS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N911">
            <v>0</v>
          </cell>
          <cell r="O911" t="str">
            <v>z</v>
          </cell>
          <cell r="Q911">
            <v>0</v>
          </cell>
        </row>
        <row r="912">
          <cell r="G912" t="str">
            <v>TULIP SOFTWARE PVT. LTD.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N912">
            <v>0</v>
          </cell>
          <cell r="O912" t="str">
            <v>z</v>
          </cell>
          <cell r="Q912">
            <v>0</v>
          </cell>
        </row>
        <row r="913">
          <cell r="G913" t="str">
            <v>UNIVERSAL FABRICATION &amp; BLOWER INDUSTRIES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N913">
            <v>0</v>
          </cell>
          <cell r="O913" t="str">
            <v>z</v>
          </cell>
          <cell r="Q913">
            <v>0</v>
          </cell>
        </row>
        <row r="914">
          <cell r="G914" t="str">
            <v>UNIQUE MARKETING SERVICES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N914">
            <v>0</v>
          </cell>
          <cell r="O914" t="str">
            <v>z</v>
          </cell>
          <cell r="Q914">
            <v>0</v>
          </cell>
        </row>
        <row r="915">
          <cell r="G915" t="str">
            <v>VAIBHAVI ENTERPRISES</v>
          </cell>
          <cell r="I915">
            <v>0</v>
          </cell>
          <cell r="J915">
            <v>7344</v>
          </cell>
          <cell r="K915">
            <v>7344</v>
          </cell>
          <cell r="L915">
            <v>0</v>
          </cell>
          <cell r="N915">
            <v>0</v>
          </cell>
          <cell r="O915" t="str">
            <v>z</v>
          </cell>
          <cell r="Q915">
            <v>0</v>
          </cell>
        </row>
        <row r="916">
          <cell r="G916" t="str">
            <v>VISION INDUSTRIAL SERVICES</v>
          </cell>
          <cell r="I916">
            <v>0</v>
          </cell>
          <cell r="J916">
            <v>16200</v>
          </cell>
          <cell r="K916">
            <v>16200</v>
          </cell>
          <cell r="L916">
            <v>0</v>
          </cell>
          <cell r="N916">
            <v>0</v>
          </cell>
          <cell r="O916" t="str">
            <v>z</v>
          </cell>
          <cell r="Q916">
            <v>0</v>
          </cell>
        </row>
        <row r="917">
          <cell r="G917" t="str">
            <v>VJ PRINTERS</v>
          </cell>
          <cell r="I917">
            <v>0</v>
          </cell>
          <cell r="J917">
            <v>2000</v>
          </cell>
          <cell r="K917">
            <v>0</v>
          </cell>
          <cell r="L917">
            <v>2000</v>
          </cell>
          <cell r="N917">
            <v>2000</v>
          </cell>
          <cell r="O917" t="str">
            <v>z</v>
          </cell>
          <cell r="Q917">
            <v>0</v>
          </cell>
        </row>
        <row r="918">
          <cell r="G918" t="str">
            <v>VOLTAS LIMITED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N918">
            <v>0</v>
          </cell>
          <cell r="O918" t="str">
            <v>z</v>
          </cell>
          <cell r="Q918">
            <v>0</v>
          </cell>
        </row>
        <row r="919">
          <cell r="G919" t="str">
            <v>VIJAY NURSERY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N919">
            <v>0</v>
          </cell>
          <cell r="O919" t="str">
            <v>z</v>
          </cell>
          <cell r="Q919">
            <v>0</v>
          </cell>
        </row>
        <row r="920">
          <cell r="G920" t="str">
            <v>VIMAL PLASTICS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N920">
            <v>0</v>
          </cell>
          <cell r="O920" t="str">
            <v>z</v>
          </cell>
          <cell r="Q920">
            <v>0</v>
          </cell>
        </row>
        <row r="921">
          <cell r="G921" t="str">
            <v>VIRANI SALES CORPORATION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N921">
            <v>0</v>
          </cell>
          <cell r="O921" t="str">
            <v>z</v>
          </cell>
          <cell r="Q921">
            <v>0</v>
          </cell>
        </row>
        <row r="922">
          <cell r="G922" t="str">
            <v>WISS GOA</v>
          </cell>
          <cell r="I922">
            <v>-17990</v>
          </cell>
          <cell r="J922">
            <v>17990</v>
          </cell>
          <cell r="K922">
            <v>0</v>
          </cell>
          <cell r="L922">
            <v>0</v>
          </cell>
          <cell r="N922">
            <v>0</v>
          </cell>
          <cell r="O922" t="str">
            <v>z</v>
          </cell>
          <cell r="Q922">
            <v>0</v>
          </cell>
        </row>
        <row r="923">
          <cell r="G923" t="str">
            <v>WALLACE PHARMA LTD.</v>
          </cell>
          <cell r="I923">
            <v>-25656</v>
          </cell>
          <cell r="J923">
            <v>0</v>
          </cell>
          <cell r="K923">
            <v>0</v>
          </cell>
          <cell r="L923">
            <v>-25656</v>
          </cell>
          <cell r="N923">
            <v>-25656</v>
          </cell>
          <cell r="O923" t="str">
            <v>z</v>
          </cell>
          <cell r="Q923">
            <v>0</v>
          </cell>
        </row>
        <row r="924">
          <cell r="G924" t="str">
            <v>XPS CARGO SERVICE</v>
          </cell>
          <cell r="I924">
            <v>-15551</v>
          </cell>
          <cell r="J924">
            <v>62784</v>
          </cell>
          <cell r="K924">
            <v>143290</v>
          </cell>
          <cell r="L924">
            <v>-96057</v>
          </cell>
          <cell r="N924">
            <v>-96057</v>
          </cell>
          <cell r="O924" t="str">
            <v>z</v>
          </cell>
          <cell r="Q924">
            <v>0</v>
          </cell>
        </row>
        <row r="925">
          <cell r="G925" t="str">
            <v>ROENTGEN CHEMICALS &amp; ALLIED PRODUCTS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N925">
            <v>0</v>
          </cell>
          <cell r="O925" t="str">
            <v>z</v>
          </cell>
          <cell r="Q925">
            <v>0</v>
          </cell>
        </row>
        <row r="926">
          <cell r="G926" t="str">
            <v>THE SOUTH INDIA SURGICAL CO. LTD.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N926">
            <v>0</v>
          </cell>
          <cell r="O926" t="str">
            <v>z</v>
          </cell>
          <cell r="Q926">
            <v>0</v>
          </cell>
        </row>
        <row r="927">
          <cell r="G927" t="str">
            <v>MED-TECH INC</v>
          </cell>
          <cell r="H927" t="str">
            <v>MED-TECH INC</v>
          </cell>
          <cell r="I927">
            <v>-1569.14</v>
          </cell>
          <cell r="J927">
            <v>0</v>
          </cell>
          <cell r="K927">
            <v>0</v>
          </cell>
          <cell r="L927">
            <v>-1569.14</v>
          </cell>
          <cell r="N927">
            <v>-1569.14</v>
          </cell>
          <cell r="O927" t="str">
            <v>z</v>
          </cell>
          <cell r="Q927">
            <v>0</v>
          </cell>
        </row>
        <row r="928">
          <cell r="G928" t="str">
            <v>B.BRAUN MEDICAL IND. SDN. BHD.</v>
          </cell>
          <cell r="H928" t="str">
            <v>Due to Group Cos.(as per Trial Bal.)</v>
          </cell>
          <cell r="I928">
            <v>-56811354.604999997</v>
          </cell>
          <cell r="J928">
            <v>11950474.189999999</v>
          </cell>
          <cell r="K928">
            <v>2946058.0559999999</v>
          </cell>
          <cell r="L928">
            <v>-49316360.471000001</v>
          </cell>
          <cell r="N928">
            <v>-128650191.29899997</v>
          </cell>
          <cell r="O928">
            <v>48</v>
          </cell>
          <cell r="Q928">
            <v>-128650191.29899997</v>
          </cell>
          <cell r="U928">
            <v>-128650191.29899997</v>
          </cell>
        </row>
        <row r="929">
          <cell r="G929" t="str">
            <v>B.BRAUN MEDICAL SUPPLIES SDN.BHD</v>
          </cell>
          <cell r="I929">
            <v>0.52</v>
          </cell>
          <cell r="J929">
            <v>0</v>
          </cell>
          <cell r="K929">
            <v>0</v>
          </cell>
          <cell r="L929">
            <v>0.52</v>
          </cell>
          <cell r="O929">
            <v>48</v>
          </cell>
          <cell r="Q929">
            <v>0</v>
          </cell>
        </row>
        <row r="930">
          <cell r="G930" t="str">
            <v>B.BRAUN SURGICAL SDN. BHD.</v>
          </cell>
          <cell r="I930">
            <v>-12801</v>
          </cell>
          <cell r="J930">
            <v>0</v>
          </cell>
          <cell r="K930">
            <v>0</v>
          </cell>
          <cell r="L930">
            <v>-15875</v>
          </cell>
          <cell r="O930">
            <v>48</v>
          </cell>
          <cell r="Q930">
            <v>0</v>
          </cell>
        </row>
        <row r="931">
          <cell r="G931" t="str">
            <v>B.BRAUN PHARMACEUTICAL IND. S/B</v>
          </cell>
          <cell r="I931">
            <v>-7977826.0559999999</v>
          </cell>
          <cell r="J931">
            <v>1237082.1200000001</v>
          </cell>
          <cell r="K931">
            <v>127923.05100000001</v>
          </cell>
          <cell r="L931">
            <v>-7062745.9869999997</v>
          </cell>
          <cell r="O931">
            <v>48</v>
          </cell>
          <cell r="Q931">
            <v>0</v>
          </cell>
        </row>
        <row r="932">
          <cell r="G932" t="str">
            <v>B.BRAUN NEEDLES INDUSTRIES</v>
          </cell>
          <cell r="I932">
            <v>-466266.87699999998</v>
          </cell>
          <cell r="J932">
            <v>264366</v>
          </cell>
          <cell r="K932">
            <v>14934</v>
          </cell>
          <cell r="L932">
            <v>-225126.87700000001</v>
          </cell>
          <cell r="O932">
            <v>48</v>
          </cell>
          <cell r="Q932">
            <v>0</v>
          </cell>
        </row>
        <row r="933">
          <cell r="G933" t="str">
            <v>B.BRAUN PRECISION ENG. SDN.BHD</v>
          </cell>
          <cell r="I933">
            <v>-15888874.997</v>
          </cell>
          <cell r="J933">
            <v>4008184.44</v>
          </cell>
          <cell r="K933">
            <v>2351264.9449999998</v>
          </cell>
          <cell r="L933">
            <v>-14649082.502</v>
          </cell>
          <cell r="O933">
            <v>48</v>
          </cell>
          <cell r="Q933">
            <v>0</v>
          </cell>
        </row>
        <row r="934">
          <cell r="G934" t="str">
            <v>B.BRAUN MELSUNGEN AG.</v>
          </cell>
          <cell r="I934">
            <v>-44107636.524999999</v>
          </cell>
          <cell r="J934">
            <v>12959683.721000001</v>
          </cell>
          <cell r="K934">
            <v>2234983.48</v>
          </cell>
          <cell r="L934">
            <v>-34479344.284000002</v>
          </cell>
          <cell r="O934">
            <v>48</v>
          </cell>
          <cell r="Q934">
            <v>0</v>
          </cell>
        </row>
        <row r="935">
          <cell r="G935" t="str">
            <v>AESCULAP AG &amp; CO.KG - TUTTLINGEN</v>
          </cell>
          <cell r="I935">
            <v>-7201003.0140000004</v>
          </cell>
          <cell r="J935">
            <v>1669198.75</v>
          </cell>
          <cell r="K935">
            <v>2495198.673</v>
          </cell>
          <cell r="L935">
            <v>-8281130.9369999999</v>
          </cell>
          <cell r="O935">
            <v>48</v>
          </cell>
          <cell r="Q935">
            <v>0</v>
          </cell>
        </row>
        <row r="936">
          <cell r="G936" t="str">
            <v>AESCULAP AG &amp; CO. KG - MELSUNGEN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O936">
            <v>48</v>
          </cell>
          <cell r="Q936">
            <v>0</v>
          </cell>
        </row>
        <row r="937">
          <cell r="G937" t="str">
            <v>AESCULAP - FLEXIMED GMBH-DENZLINGEN</v>
          </cell>
          <cell r="I937">
            <v>-49129</v>
          </cell>
          <cell r="J937">
            <v>19256.5</v>
          </cell>
          <cell r="K937">
            <v>309.5</v>
          </cell>
          <cell r="L937">
            <v>-31290</v>
          </cell>
          <cell r="O937">
            <v>48</v>
          </cell>
          <cell r="Q937">
            <v>0</v>
          </cell>
        </row>
        <row r="938">
          <cell r="G938" t="str">
            <v>B.BRAUN CAREX S.P.A.,</v>
          </cell>
          <cell r="I938">
            <v>-618986.54700000002</v>
          </cell>
          <cell r="J938">
            <v>327802.46999999997</v>
          </cell>
          <cell r="K938">
            <v>18227.14</v>
          </cell>
          <cell r="L938">
            <v>-322530.217</v>
          </cell>
          <cell r="O938">
            <v>48</v>
          </cell>
          <cell r="Q938">
            <v>0</v>
          </cell>
        </row>
        <row r="939">
          <cell r="G939" t="str">
            <v>B.BRAUN MEDICAL AG. SWITZERLAND</v>
          </cell>
          <cell r="I939">
            <v>-12191019.864</v>
          </cell>
          <cell r="J939">
            <v>4740892.6399999997</v>
          </cell>
          <cell r="K939">
            <v>947498.32499999995</v>
          </cell>
          <cell r="L939">
            <v>-8706226.5490000006</v>
          </cell>
          <cell r="O939">
            <v>48</v>
          </cell>
          <cell r="Q939">
            <v>0</v>
          </cell>
        </row>
        <row r="940">
          <cell r="G940" t="str">
            <v>B.BRAUN MEDICAL LIMITED,U.K.</v>
          </cell>
          <cell r="I940">
            <v>-2461274.8849999998</v>
          </cell>
          <cell r="J940">
            <v>364530.85</v>
          </cell>
          <cell r="K940">
            <v>1280909.8999999999</v>
          </cell>
          <cell r="L940">
            <v>-3501403.9350000001</v>
          </cell>
          <cell r="O940">
            <v>48</v>
          </cell>
          <cell r="Q940">
            <v>0</v>
          </cell>
        </row>
        <row r="941">
          <cell r="G941" t="str">
            <v>B|BRAUN MEDICAL (HK) LTD.</v>
          </cell>
          <cell r="I941">
            <v>-19466.25</v>
          </cell>
          <cell r="J941">
            <v>0</v>
          </cell>
          <cell r="K941">
            <v>0</v>
          </cell>
          <cell r="L941">
            <v>-20016.25</v>
          </cell>
          <cell r="O941">
            <v>48</v>
          </cell>
          <cell r="Q941">
            <v>0</v>
          </cell>
        </row>
        <row r="942">
          <cell r="G942" t="str">
            <v>B.BRAUN INTERNATIONAL PTE. LTD.</v>
          </cell>
          <cell r="I942">
            <v>0</v>
          </cell>
          <cell r="J942">
            <v>118809.60000000001</v>
          </cell>
          <cell r="K942">
            <v>118809.60000000001</v>
          </cell>
          <cell r="L942">
            <v>0</v>
          </cell>
          <cell r="O942">
            <v>48</v>
          </cell>
          <cell r="Q942">
            <v>0</v>
          </cell>
        </row>
        <row r="943">
          <cell r="G943" t="str">
            <v>B.BRAUN MEDICAL IND. SDN. BHD.</v>
          </cell>
          <cell r="I943">
            <v>-1386401.46</v>
          </cell>
          <cell r="J943">
            <v>66893</v>
          </cell>
          <cell r="K943">
            <v>676743</v>
          </cell>
          <cell r="L943">
            <v>-2000272.46</v>
          </cell>
          <cell r="O943">
            <v>48</v>
          </cell>
          <cell r="Q943">
            <v>0</v>
          </cell>
        </row>
        <row r="944">
          <cell r="G944" t="str">
            <v>B.BRAUN PRECISION ENG. SDN.BHD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O944">
            <v>48</v>
          </cell>
          <cell r="Q944">
            <v>0</v>
          </cell>
        </row>
        <row r="945">
          <cell r="G945" t="str">
            <v>B.BRAUN HANOI PHARMACEUTICALS CO.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O945">
            <v>48</v>
          </cell>
          <cell r="Q945">
            <v>0</v>
          </cell>
        </row>
        <row r="946">
          <cell r="G946" t="str">
            <v>AESCULAP AG &amp; CO.KG - TUTTLINGEN</v>
          </cell>
          <cell r="I946">
            <v>-38786.35</v>
          </cell>
          <cell r="J946">
            <v>0</v>
          </cell>
          <cell r="K946">
            <v>0</v>
          </cell>
          <cell r="L946">
            <v>-38786.35</v>
          </cell>
          <cell r="O946">
            <v>48</v>
          </cell>
          <cell r="Q946">
            <v>0</v>
          </cell>
        </row>
        <row r="947">
          <cell r="G947" t="str">
            <v>S. A. JOHNSON</v>
          </cell>
          <cell r="H947" t="str">
            <v>Citibank Dinners Club</v>
          </cell>
          <cell r="I947">
            <v>-4405</v>
          </cell>
          <cell r="J947">
            <v>26887</v>
          </cell>
          <cell r="K947">
            <v>18193</v>
          </cell>
          <cell r="L947">
            <v>4289</v>
          </cell>
          <cell r="N947">
            <v>4289</v>
          </cell>
          <cell r="O947">
            <v>49</v>
          </cell>
          <cell r="P947">
            <v>-35548</v>
          </cell>
          <cell r="Q947">
            <v>0</v>
          </cell>
          <cell r="U947">
            <v>-20174.78</v>
          </cell>
          <cell r="V947" t="str">
            <v>*</v>
          </cell>
        </row>
        <row r="948">
          <cell r="G948" t="str">
            <v>MANISH DESHMUKH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N948">
            <v>0</v>
          </cell>
          <cell r="O948">
            <v>49</v>
          </cell>
          <cell r="Q948">
            <v>0</v>
          </cell>
          <cell r="V948" t="str">
            <v>*</v>
          </cell>
        </row>
        <row r="949">
          <cell r="G949" t="str">
            <v>SATISH K. PALRECHA</v>
          </cell>
          <cell r="I949">
            <v>0</v>
          </cell>
          <cell r="J949">
            <v>3486</v>
          </cell>
          <cell r="K949">
            <v>6972</v>
          </cell>
          <cell r="L949">
            <v>-3486</v>
          </cell>
          <cell r="N949">
            <v>-3486</v>
          </cell>
          <cell r="O949">
            <v>49</v>
          </cell>
          <cell r="Q949">
            <v>0</v>
          </cell>
          <cell r="V949" t="str">
            <v>*</v>
          </cell>
        </row>
        <row r="950">
          <cell r="G950" t="str">
            <v>ANAND APTE</v>
          </cell>
          <cell r="I950">
            <v>11190.22</v>
          </cell>
          <cell r="J950">
            <v>21262</v>
          </cell>
          <cell r="K950">
            <v>27939</v>
          </cell>
          <cell r="L950">
            <v>4513.22</v>
          </cell>
          <cell r="N950">
            <v>4513.22</v>
          </cell>
          <cell r="O950">
            <v>49</v>
          </cell>
          <cell r="Q950">
            <v>0</v>
          </cell>
          <cell r="V950" t="str">
            <v>*</v>
          </cell>
        </row>
        <row r="951">
          <cell r="G951" t="str">
            <v>RAMAN GOUD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N951">
            <v>0</v>
          </cell>
          <cell r="O951">
            <v>49</v>
          </cell>
          <cell r="Q951">
            <v>0</v>
          </cell>
          <cell r="V951" t="str">
            <v>*</v>
          </cell>
        </row>
        <row r="952">
          <cell r="G952" t="str">
            <v>MAHESH KUMAR KHISTY</v>
          </cell>
          <cell r="I952">
            <v>-160</v>
          </cell>
          <cell r="J952">
            <v>160</v>
          </cell>
          <cell r="K952">
            <v>1813</v>
          </cell>
          <cell r="L952">
            <v>-1813</v>
          </cell>
          <cell r="N952">
            <v>-1813</v>
          </cell>
          <cell r="O952">
            <v>49</v>
          </cell>
          <cell r="Q952">
            <v>0</v>
          </cell>
          <cell r="V952" t="str">
            <v>*</v>
          </cell>
        </row>
        <row r="953">
          <cell r="G953" t="str">
            <v>DR. KAILASH SHARMA</v>
          </cell>
          <cell r="I953">
            <v>5127</v>
          </cell>
          <cell r="J953">
            <v>0</v>
          </cell>
          <cell r="K953">
            <v>0</v>
          </cell>
          <cell r="L953">
            <v>5127</v>
          </cell>
          <cell r="N953">
            <v>5127</v>
          </cell>
          <cell r="O953">
            <v>49</v>
          </cell>
          <cell r="Q953">
            <v>0</v>
          </cell>
          <cell r="V953" t="str">
            <v>*</v>
          </cell>
        </row>
        <row r="954">
          <cell r="G954" t="str">
            <v>SWEETY AMBARDAR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N954">
            <v>0</v>
          </cell>
          <cell r="O954">
            <v>49</v>
          </cell>
          <cell r="Q954">
            <v>0</v>
          </cell>
          <cell r="V954" t="str">
            <v>*</v>
          </cell>
        </row>
        <row r="955">
          <cell r="G955" t="str">
            <v>RAJINDER SINGH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N955">
            <v>0</v>
          </cell>
          <cell r="O955">
            <v>49</v>
          </cell>
          <cell r="Q955">
            <v>0</v>
          </cell>
          <cell r="V955" t="str">
            <v>*</v>
          </cell>
        </row>
        <row r="956">
          <cell r="G956" t="str">
            <v>NITIN N. RODE</v>
          </cell>
          <cell r="I956">
            <v>-2408</v>
          </cell>
          <cell r="J956">
            <v>3852</v>
          </cell>
          <cell r="K956">
            <v>0</v>
          </cell>
          <cell r="L956">
            <v>1444</v>
          </cell>
          <cell r="N956">
            <v>1444</v>
          </cell>
          <cell r="O956">
            <v>49</v>
          </cell>
          <cell r="Q956">
            <v>0</v>
          </cell>
          <cell r="V956" t="str">
            <v>*</v>
          </cell>
        </row>
        <row r="957">
          <cell r="G957" t="str">
            <v>RAJESH HUDDAR</v>
          </cell>
          <cell r="I957">
            <v>-1073</v>
          </cell>
          <cell r="J957">
            <v>0</v>
          </cell>
          <cell r="K957">
            <v>20930</v>
          </cell>
          <cell r="L957">
            <v>-22003</v>
          </cell>
          <cell r="N957">
            <v>-22003</v>
          </cell>
          <cell r="O957">
            <v>49</v>
          </cell>
          <cell r="Q957">
            <v>0</v>
          </cell>
          <cell r="V957" t="str">
            <v>*</v>
          </cell>
        </row>
        <row r="958">
          <cell r="G958" t="str">
            <v>MOHAN PAWAR</v>
          </cell>
          <cell r="I958">
            <v>25</v>
          </cell>
          <cell r="J958">
            <v>1430</v>
          </cell>
          <cell r="K958">
            <v>1455</v>
          </cell>
          <cell r="L958">
            <v>0</v>
          </cell>
          <cell r="N958">
            <v>0</v>
          </cell>
          <cell r="O958">
            <v>49</v>
          </cell>
          <cell r="Q958">
            <v>0</v>
          </cell>
          <cell r="V958" t="str">
            <v>*</v>
          </cell>
        </row>
        <row r="959">
          <cell r="G959" t="str">
            <v>RONY BANNERJEE</v>
          </cell>
          <cell r="H959" t="str">
            <v>Citibank Dinners Club (Dr. Bal.)</v>
          </cell>
          <cell r="I959">
            <v>-4290</v>
          </cell>
          <cell r="J959">
            <v>4290</v>
          </cell>
          <cell r="K959">
            <v>8246</v>
          </cell>
          <cell r="L959">
            <v>-8246</v>
          </cell>
          <cell r="N959">
            <v>-8246</v>
          </cell>
          <cell r="O959">
            <v>49</v>
          </cell>
          <cell r="P959">
            <v>15373.220000000001</v>
          </cell>
          <cell r="Q959">
            <v>0</v>
          </cell>
          <cell r="V959" t="str">
            <v>*</v>
          </cell>
        </row>
        <row r="960">
          <cell r="G960" t="str">
            <v>PROVISION FOR CENTRAL SALES TAX - GOA</v>
          </cell>
          <cell r="H960" t="str">
            <v>Provision for Sales Tax</v>
          </cell>
          <cell r="I960">
            <v>-365919.28</v>
          </cell>
          <cell r="J960">
            <v>441145.9</v>
          </cell>
          <cell r="K960">
            <v>633400.62</v>
          </cell>
          <cell r="L960">
            <v>-558174</v>
          </cell>
          <cell r="N960">
            <v>-1051247.75</v>
          </cell>
          <cell r="O960">
            <v>50</v>
          </cell>
          <cell r="Q960">
            <v>0</v>
          </cell>
          <cell r="U960">
            <v>-1051247.75</v>
          </cell>
        </row>
        <row r="961">
          <cell r="G961" t="str">
            <v>PROVISION FOR CENTRAL SALES TAX - MUMBAI</v>
          </cell>
          <cell r="I961">
            <v>-13480.33</v>
          </cell>
          <cell r="J961">
            <v>21480.33</v>
          </cell>
          <cell r="K961">
            <v>8000</v>
          </cell>
          <cell r="L961">
            <v>0</v>
          </cell>
          <cell r="O961">
            <v>50</v>
          </cell>
          <cell r="Q961">
            <v>0</v>
          </cell>
        </row>
        <row r="962">
          <cell r="G962" t="str">
            <v>PROVISION FOR CENTRAL SALES TAX - DELHI</v>
          </cell>
          <cell r="I962">
            <v>5754.04</v>
          </cell>
          <cell r="J962">
            <v>12591</v>
          </cell>
          <cell r="K962">
            <v>30622.04</v>
          </cell>
          <cell r="L962">
            <v>-12277</v>
          </cell>
          <cell r="O962">
            <v>50</v>
          </cell>
          <cell r="Q962">
            <v>0</v>
          </cell>
        </row>
        <row r="963">
          <cell r="G963" t="str">
            <v>PROVISION FOR LOCAL SALES TAX - GOA</v>
          </cell>
          <cell r="I963">
            <v>-492</v>
          </cell>
          <cell r="J963">
            <v>492</v>
          </cell>
          <cell r="K963">
            <v>0</v>
          </cell>
          <cell r="L963">
            <v>0</v>
          </cell>
          <cell r="O963">
            <v>50</v>
          </cell>
          <cell r="Q963">
            <v>0</v>
          </cell>
        </row>
        <row r="964">
          <cell r="G964" t="str">
            <v>PROVISION FOR LOCAL SALES TAX - MUMBAI</v>
          </cell>
          <cell r="I964">
            <v>-94431.21</v>
          </cell>
          <cell r="J964">
            <v>94430</v>
          </cell>
          <cell r="K964">
            <v>314596.53999999998</v>
          </cell>
          <cell r="L964">
            <v>-314597.75</v>
          </cell>
          <cell r="O964">
            <v>50</v>
          </cell>
          <cell r="Q964">
            <v>0</v>
          </cell>
        </row>
        <row r="965">
          <cell r="G965" t="str">
            <v>PROVISION FOR LOCAL SALES TAX - DELHI</v>
          </cell>
          <cell r="I965">
            <v>-114146.79</v>
          </cell>
          <cell r="J965">
            <v>115088</v>
          </cell>
          <cell r="K965">
            <v>167140.21</v>
          </cell>
          <cell r="L965">
            <v>-166199</v>
          </cell>
          <cell r="O965">
            <v>50</v>
          </cell>
          <cell r="Q965">
            <v>0</v>
          </cell>
        </row>
        <row r="966">
          <cell r="G966" t="str">
            <v>LEGAL &amp; CONSULTACY FEES</v>
          </cell>
          <cell r="I966">
            <v>-275</v>
          </cell>
          <cell r="J966">
            <v>550</v>
          </cell>
          <cell r="K966">
            <v>550</v>
          </cell>
          <cell r="L966">
            <v>-275</v>
          </cell>
          <cell r="N966">
            <v>-275</v>
          </cell>
          <cell r="O966" t="str">
            <v>z</v>
          </cell>
          <cell r="Q966">
            <v>0</v>
          </cell>
          <cell r="U966">
            <v>-34030</v>
          </cell>
        </row>
        <row r="967">
          <cell r="G967" t="str">
            <v>SALARIES &amp; WAGES PAYABLE</v>
          </cell>
          <cell r="I967">
            <v>-39747</v>
          </cell>
          <cell r="J967">
            <v>58047</v>
          </cell>
          <cell r="K967">
            <v>31247</v>
          </cell>
          <cell r="L967">
            <v>-12947</v>
          </cell>
          <cell r="N967">
            <v>-12947</v>
          </cell>
          <cell r="O967" t="str">
            <v>z</v>
          </cell>
          <cell r="Q967">
            <v>0</v>
          </cell>
        </row>
        <row r="968">
          <cell r="G968" t="str">
            <v>RENT FOR PRODUCTION PREMISES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N968">
            <v>0</v>
          </cell>
          <cell r="O968" t="str">
            <v>z</v>
          </cell>
          <cell r="Q968">
            <v>0</v>
          </cell>
        </row>
        <row r="969">
          <cell r="G969" t="str">
            <v>RENT FOR OFFICE PREMISES</v>
          </cell>
          <cell r="I969">
            <v>-11621</v>
          </cell>
          <cell r="J969">
            <v>13711</v>
          </cell>
          <cell r="K969">
            <v>11715</v>
          </cell>
          <cell r="L969">
            <v>-9625</v>
          </cell>
          <cell r="N969">
            <v>-9625</v>
          </cell>
          <cell r="O969" t="str">
            <v>z</v>
          </cell>
          <cell r="Q969">
            <v>0</v>
          </cell>
        </row>
        <row r="970">
          <cell r="G970" t="str">
            <v>RENT FOR WAREHOUSE</v>
          </cell>
          <cell r="I970">
            <v>14322</v>
          </cell>
          <cell r="J970">
            <v>14412</v>
          </cell>
          <cell r="K970">
            <v>14412</v>
          </cell>
          <cell r="L970">
            <v>14322</v>
          </cell>
          <cell r="N970">
            <v>14322</v>
          </cell>
          <cell r="O970" t="str">
            <v>z</v>
          </cell>
          <cell r="Q970">
            <v>0</v>
          </cell>
        </row>
        <row r="971">
          <cell r="G971" t="str">
            <v>2 CS &amp; A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N971">
            <v>0</v>
          </cell>
          <cell r="O971" t="str">
            <v>z</v>
          </cell>
          <cell r="Q971">
            <v>0</v>
          </cell>
        </row>
        <row r="972">
          <cell r="G972" t="str">
            <v>TRINITY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N972">
            <v>0</v>
          </cell>
          <cell r="O972" t="str">
            <v>z</v>
          </cell>
          <cell r="Q972">
            <v>0</v>
          </cell>
        </row>
        <row r="973">
          <cell r="G973" t="str">
            <v>ACME AIRFROST IND PVT. LTD.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N973">
            <v>0</v>
          </cell>
          <cell r="O973" t="str">
            <v>z</v>
          </cell>
          <cell r="Q973">
            <v>0</v>
          </cell>
        </row>
        <row r="974">
          <cell r="G974" t="str">
            <v>ASSOCIATED  ROAD CARRIERS LIMITED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N974">
            <v>0</v>
          </cell>
          <cell r="O974" t="str">
            <v>z</v>
          </cell>
          <cell r="Q974">
            <v>0</v>
          </cell>
        </row>
        <row r="975">
          <cell r="G975" t="str">
            <v>BASANT BETONS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N975">
            <v>0</v>
          </cell>
          <cell r="O975" t="str">
            <v>z</v>
          </cell>
          <cell r="Q975">
            <v>0</v>
          </cell>
        </row>
        <row r="976">
          <cell r="G976" t="str">
            <v>BHARAT ENGINEERS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N976">
            <v>0</v>
          </cell>
          <cell r="O976" t="str">
            <v>z</v>
          </cell>
          <cell r="Q976">
            <v>0</v>
          </cell>
        </row>
        <row r="977">
          <cell r="G977" t="str">
            <v>BHAVANI FURNITURE WORKS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N977">
            <v>0</v>
          </cell>
          <cell r="O977" t="str">
            <v>z</v>
          </cell>
          <cell r="Q977">
            <v>0</v>
          </cell>
        </row>
        <row r="978">
          <cell r="G978" t="str">
            <v>BALKAN PLACEMENTS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N978">
            <v>0</v>
          </cell>
          <cell r="O978" t="str">
            <v>z</v>
          </cell>
          <cell r="Q978">
            <v>0</v>
          </cell>
        </row>
        <row r="979">
          <cell r="G979" t="str">
            <v>BASANT TILES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N979">
            <v>0</v>
          </cell>
          <cell r="O979" t="str">
            <v>z</v>
          </cell>
          <cell r="Q979">
            <v>0</v>
          </cell>
        </row>
        <row r="980">
          <cell r="G980" t="str">
            <v>CONCORDE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N980">
            <v>0</v>
          </cell>
          <cell r="O980" t="str">
            <v>z</v>
          </cell>
          <cell r="Q980">
            <v>0</v>
          </cell>
        </row>
        <row r="981">
          <cell r="G981" t="str">
            <v>CARRIER AIRCON LIMITED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N981">
            <v>0</v>
          </cell>
          <cell r="O981" t="str">
            <v>z</v>
          </cell>
          <cell r="Q981">
            <v>0</v>
          </cell>
        </row>
        <row r="982">
          <cell r="G982" t="str">
            <v>C G FARMS</v>
          </cell>
          <cell r="I982">
            <v>0</v>
          </cell>
          <cell r="J982">
            <v>632</v>
          </cell>
          <cell r="K982">
            <v>885</v>
          </cell>
          <cell r="L982">
            <v>-253</v>
          </cell>
          <cell r="N982">
            <v>-253</v>
          </cell>
          <cell r="O982" t="str">
            <v>z</v>
          </cell>
          <cell r="Q982">
            <v>0</v>
          </cell>
        </row>
        <row r="983">
          <cell r="G983" t="str">
            <v>CHOUDHARY INTERNATIONAL</v>
          </cell>
          <cell r="I983">
            <v>0</v>
          </cell>
          <cell r="J983">
            <v>0</v>
          </cell>
          <cell r="K983">
            <v>684</v>
          </cell>
          <cell r="L983">
            <v>-684</v>
          </cell>
          <cell r="N983">
            <v>-684</v>
          </cell>
          <cell r="O983" t="str">
            <v>z</v>
          </cell>
          <cell r="Q983">
            <v>0</v>
          </cell>
        </row>
        <row r="984">
          <cell r="G984" t="str">
            <v>C. N. GANDHEVIA CLEAING &amp; FORWARDING AGENTS P. LTD</v>
          </cell>
          <cell r="I984">
            <v>0</v>
          </cell>
          <cell r="J984">
            <v>0</v>
          </cell>
          <cell r="K984">
            <v>232</v>
          </cell>
          <cell r="L984">
            <v>-232</v>
          </cell>
          <cell r="N984">
            <v>-232</v>
          </cell>
          <cell r="O984" t="str">
            <v>z</v>
          </cell>
          <cell r="Q984">
            <v>0</v>
          </cell>
        </row>
        <row r="985">
          <cell r="G985" t="str">
            <v>DHL EXPRESS DIV. OF AIRFRIEGHT LTD.</v>
          </cell>
          <cell r="I985">
            <v>-430</v>
          </cell>
          <cell r="J985">
            <v>430</v>
          </cell>
          <cell r="K985">
            <v>1126</v>
          </cell>
          <cell r="L985">
            <v>-1126</v>
          </cell>
          <cell r="N985">
            <v>-1126</v>
          </cell>
          <cell r="O985" t="str">
            <v>z</v>
          </cell>
          <cell r="Q985">
            <v>0</v>
          </cell>
        </row>
        <row r="986">
          <cell r="G986" t="str">
            <v>ELJAY IMPEX</v>
          </cell>
          <cell r="I986">
            <v>0</v>
          </cell>
          <cell r="J986">
            <v>0</v>
          </cell>
          <cell r="K986">
            <v>1019</v>
          </cell>
          <cell r="L986">
            <v>-1019</v>
          </cell>
          <cell r="N986">
            <v>-1019</v>
          </cell>
          <cell r="O986" t="str">
            <v>z</v>
          </cell>
          <cell r="Q986">
            <v>0</v>
          </cell>
        </row>
        <row r="987">
          <cell r="G987" t="str">
            <v>EXCEL LOGISTICS PVT. LTD.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N987">
            <v>0</v>
          </cell>
          <cell r="O987" t="str">
            <v>z</v>
          </cell>
          <cell r="Q987">
            <v>0</v>
          </cell>
        </row>
        <row r="988">
          <cell r="G988" t="str">
            <v>EXCEL PEST CONTROL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N988">
            <v>0</v>
          </cell>
          <cell r="O988" t="str">
            <v>z</v>
          </cell>
          <cell r="Q988">
            <v>0</v>
          </cell>
        </row>
        <row r="989">
          <cell r="G989" t="str">
            <v>FURTADO &amp; CO.</v>
          </cell>
          <cell r="I989">
            <v>0</v>
          </cell>
          <cell r="J989">
            <v>0</v>
          </cell>
          <cell r="K989">
            <v>237</v>
          </cell>
          <cell r="L989">
            <v>-237</v>
          </cell>
          <cell r="N989">
            <v>-237</v>
          </cell>
          <cell r="O989" t="str">
            <v>z</v>
          </cell>
          <cell r="Q989">
            <v>0</v>
          </cell>
        </row>
        <row r="990">
          <cell r="G990" t="str">
            <v>FIRST FLIGHT COURIER PVT.LTD</v>
          </cell>
          <cell r="I990">
            <v>0</v>
          </cell>
          <cell r="J990">
            <v>79</v>
          </cell>
          <cell r="K990">
            <v>79</v>
          </cell>
          <cell r="L990">
            <v>0</v>
          </cell>
          <cell r="N990">
            <v>0</v>
          </cell>
          <cell r="O990" t="str">
            <v>z</v>
          </cell>
          <cell r="Q990">
            <v>0</v>
          </cell>
        </row>
        <row r="991">
          <cell r="G991" t="str">
            <v>F. G. ELECTRIC WORKS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N991">
            <v>0</v>
          </cell>
          <cell r="O991" t="str">
            <v>z</v>
          </cell>
          <cell r="Q991">
            <v>0</v>
          </cell>
        </row>
        <row r="992">
          <cell r="G992" t="str">
            <v>ST. FRANCIS XAVIER'S PEST CONTROL SERVICES</v>
          </cell>
          <cell r="I992">
            <v>0</v>
          </cell>
          <cell r="J992">
            <v>88</v>
          </cell>
          <cell r="K992">
            <v>88</v>
          </cell>
          <cell r="L992">
            <v>0</v>
          </cell>
          <cell r="N992">
            <v>0</v>
          </cell>
          <cell r="O992" t="str">
            <v>z</v>
          </cell>
          <cell r="Q992">
            <v>0</v>
          </cell>
        </row>
        <row r="993">
          <cell r="G993" t="str">
            <v>GUPTA CARPET SERVICES</v>
          </cell>
          <cell r="I993">
            <v>-88</v>
          </cell>
          <cell r="J993">
            <v>88</v>
          </cell>
          <cell r="K993">
            <v>88</v>
          </cell>
          <cell r="L993">
            <v>-88</v>
          </cell>
          <cell r="N993">
            <v>-88</v>
          </cell>
          <cell r="O993" t="str">
            <v>z</v>
          </cell>
          <cell r="Q993">
            <v>0</v>
          </cell>
        </row>
        <row r="994">
          <cell r="G994" t="str">
            <v>G.D.ENTERPRISES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N994">
            <v>0</v>
          </cell>
          <cell r="O994" t="str">
            <v>z</v>
          </cell>
          <cell r="Q994">
            <v>0</v>
          </cell>
        </row>
        <row r="995">
          <cell r="G995" t="str">
            <v>GREEN ROADLINES CHANDIGARH</v>
          </cell>
          <cell r="I995">
            <v>0</v>
          </cell>
          <cell r="J995">
            <v>0</v>
          </cell>
          <cell r="K995">
            <v>2263</v>
          </cell>
          <cell r="L995">
            <v>-2263</v>
          </cell>
          <cell r="N995">
            <v>-2263</v>
          </cell>
          <cell r="O995" t="str">
            <v>z</v>
          </cell>
          <cell r="Q995">
            <v>0</v>
          </cell>
        </row>
        <row r="996">
          <cell r="G996" t="str">
            <v>HERAMB COMPUTER SYSTEMS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N996">
            <v>0</v>
          </cell>
          <cell r="O996" t="str">
            <v>z</v>
          </cell>
          <cell r="Q996">
            <v>0</v>
          </cell>
        </row>
        <row r="997">
          <cell r="G997" t="str">
            <v>HERALD PUBLICATIONS PVT. LTD.</v>
          </cell>
          <cell r="I997">
            <v>-801</v>
          </cell>
          <cell r="J997">
            <v>801</v>
          </cell>
          <cell r="K997">
            <v>0</v>
          </cell>
          <cell r="L997">
            <v>0</v>
          </cell>
          <cell r="N997">
            <v>0</v>
          </cell>
          <cell r="O997" t="str">
            <v>z</v>
          </cell>
          <cell r="Q997">
            <v>0</v>
          </cell>
        </row>
        <row r="998">
          <cell r="G998" t="str">
            <v>INSYST BUSINESS SOLUTIONS PVT. LTD</v>
          </cell>
          <cell r="I998">
            <v>0</v>
          </cell>
          <cell r="J998">
            <v>0</v>
          </cell>
          <cell r="K998">
            <v>330</v>
          </cell>
          <cell r="L998">
            <v>-330</v>
          </cell>
          <cell r="N998">
            <v>-330</v>
          </cell>
          <cell r="O998" t="str">
            <v>z</v>
          </cell>
          <cell r="Q998">
            <v>0</v>
          </cell>
        </row>
        <row r="999">
          <cell r="G999" t="str">
            <v>INDIAN EXPRESS NEWS PAPERS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N999">
            <v>0</v>
          </cell>
          <cell r="O999" t="str">
            <v>z</v>
          </cell>
          <cell r="Q999">
            <v>0</v>
          </cell>
        </row>
        <row r="1000">
          <cell r="G1000" t="str">
            <v>INDUSTRIAL FILTRATION SERVICES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N1000">
            <v>0</v>
          </cell>
          <cell r="O1000" t="str">
            <v>z</v>
          </cell>
          <cell r="Q1000">
            <v>0</v>
          </cell>
        </row>
        <row r="1001">
          <cell r="G1001" t="str">
            <v>INDO-GERMAN SERVICE CENTRE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N1001">
            <v>0</v>
          </cell>
          <cell r="O1001" t="str">
            <v>z</v>
          </cell>
          <cell r="Q1001">
            <v>0</v>
          </cell>
        </row>
        <row r="1002">
          <cell r="G1002" t="str">
            <v>INDUSTRIAL SECURITY CENTRE</v>
          </cell>
          <cell r="I1002">
            <v>312</v>
          </cell>
          <cell r="J1002">
            <v>311</v>
          </cell>
          <cell r="K1002">
            <v>623</v>
          </cell>
          <cell r="L1002">
            <v>0</v>
          </cell>
          <cell r="N1002">
            <v>0</v>
          </cell>
          <cell r="O1002" t="str">
            <v>z</v>
          </cell>
          <cell r="Q1002">
            <v>0</v>
          </cell>
        </row>
        <row r="1003">
          <cell r="G1003" t="str">
            <v>JK SERVICE AGENCIES</v>
          </cell>
          <cell r="I1003">
            <v>0</v>
          </cell>
          <cell r="J1003">
            <v>0</v>
          </cell>
          <cell r="K1003">
            <v>207</v>
          </cell>
          <cell r="L1003">
            <v>-207</v>
          </cell>
          <cell r="N1003">
            <v>-207</v>
          </cell>
          <cell r="O1003" t="str">
            <v>z</v>
          </cell>
          <cell r="Q1003">
            <v>0</v>
          </cell>
        </row>
        <row r="1004">
          <cell r="G1004" t="str">
            <v>KIRAN FIRE SERVICES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N1004">
            <v>0</v>
          </cell>
          <cell r="O1004" t="str">
            <v>z</v>
          </cell>
          <cell r="Q1004">
            <v>0</v>
          </cell>
        </row>
        <row r="1005">
          <cell r="G1005" t="str">
            <v>KALPAKA TRANSPORT CO. LTD.</v>
          </cell>
          <cell r="I1005">
            <v>-1</v>
          </cell>
          <cell r="J1005">
            <v>0</v>
          </cell>
          <cell r="K1005">
            <v>0</v>
          </cell>
          <cell r="L1005">
            <v>-1</v>
          </cell>
          <cell r="N1005">
            <v>-1</v>
          </cell>
          <cell r="O1005" t="str">
            <v>z</v>
          </cell>
          <cell r="Q1005">
            <v>0</v>
          </cell>
        </row>
        <row r="1006">
          <cell r="G1006" t="str">
            <v>LOVELOCK &amp; LEWES</v>
          </cell>
          <cell r="I1006">
            <v>-27720</v>
          </cell>
          <cell r="J1006">
            <v>27720</v>
          </cell>
          <cell r="K1006">
            <v>0</v>
          </cell>
          <cell r="L1006">
            <v>0</v>
          </cell>
          <cell r="N1006">
            <v>0</v>
          </cell>
          <cell r="O1006" t="str">
            <v>z</v>
          </cell>
          <cell r="Q1006">
            <v>0</v>
          </cell>
        </row>
        <row r="1007">
          <cell r="G1007" t="str">
            <v>LAUREN SOFTWARE PVT. LTD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N1007">
            <v>0</v>
          </cell>
          <cell r="O1007" t="str">
            <v>z</v>
          </cell>
          <cell r="Q1007">
            <v>0</v>
          </cell>
        </row>
        <row r="1008">
          <cell r="G1008" t="str">
            <v>MENEZES AIR TRAVEL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N1008">
            <v>0</v>
          </cell>
          <cell r="O1008" t="str">
            <v>z</v>
          </cell>
          <cell r="Q1008">
            <v>0</v>
          </cell>
        </row>
        <row r="1009">
          <cell r="G1009" t="str">
            <v>MICROCITY INDIA LTD.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N1009">
            <v>0</v>
          </cell>
          <cell r="O1009" t="str">
            <v>z</v>
          </cell>
          <cell r="Q1009">
            <v>0</v>
          </cell>
        </row>
        <row r="1010">
          <cell r="G1010" t="str">
            <v>METAFORM INDUSTRIES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N1010">
            <v>0</v>
          </cell>
          <cell r="O1010" t="str">
            <v>z</v>
          </cell>
          <cell r="Q1010">
            <v>0</v>
          </cell>
        </row>
        <row r="1011">
          <cell r="G1011" t="str">
            <v>MAC INPHASYST PVT. LTD.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N1011">
            <v>0</v>
          </cell>
          <cell r="O1011" t="str">
            <v>z</v>
          </cell>
          <cell r="Q1011">
            <v>0</v>
          </cell>
        </row>
        <row r="1012">
          <cell r="G1012" t="str">
            <v>NIMBUS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N1012">
            <v>0</v>
          </cell>
          <cell r="O1012" t="str">
            <v>z</v>
          </cell>
          <cell r="Q1012">
            <v>0</v>
          </cell>
        </row>
        <row r="1013">
          <cell r="G1013" t="str">
            <v>NAGARKOT CLEARING AGENCY</v>
          </cell>
          <cell r="I1013">
            <v>0</v>
          </cell>
          <cell r="J1013">
            <v>0</v>
          </cell>
          <cell r="K1013">
            <v>1431</v>
          </cell>
          <cell r="L1013">
            <v>-1431</v>
          </cell>
          <cell r="N1013">
            <v>-1431</v>
          </cell>
          <cell r="O1013" t="str">
            <v>z</v>
          </cell>
          <cell r="Q1013">
            <v>0</v>
          </cell>
        </row>
        <row r="1014">
          <cell r="G1014" t="str">
            <v>NORTH EASTERN CARRYING CORPN.</v>
          </cell>
          <cell r="I1014">
            <v>-343</v>
          </cell>
          <cell r="J1014">
            <v>4180</v>
          </cell>
          <cell r="K1014">
            <v>8328</v>
          </cell>
          <cell r="L1014">
            <v>-4491</v>
          </cell>
          <cell r="N1014">
            <v>-4491</v>
          </cell>
          <cell r="O1014" t="str">
            <v>z</v>
          </cell>
          <cell r="Q1014">
            <v>0</v>
          </cell>
        </row>
        <row r="1015">
          <cell r="G1015" t="str">
            <v>NEW NATIONAL ELECTRICAL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N1015">
            <v>0</v>
          </cell>
          <cell r="O1015" t="str">
            <v>z</v>
          </cell>
          <cell r="Q1015">
            <v>0</v>
          </cell>
        </row>
        <row r="1016">
          <cell r="G1016" t="str">
            <v>PIPE DREAMS</v>
          </cell>
          <cell r="I1016">
            <v>-857</v>
          </cell>
          <cell r="J1016">
            <v>857</v>
          </cell>
          <cell r="K1016">
            <v>0</v>
          </cell>
          <cell r="L1016">
            <v>0</v>
          </cell>
          <cell r="N1016">
            <v>0</v>
          </cell>
          <cell r="O1016" t="str">
            <v>z</v>
          </cell>
          <cell r="Q1016">
            <v>0</v>
          </cell>
        </row>
        <row r="1017">
          <cell r="G1017" t="str">
            <v>PADMAVI ENGINEERS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N1017">
            <v>0</v>
          </cell>
          <cell r="O1017" t="str">
            <v>z</v>
          </cell>
          <cell r="Q1017">
            <v>0</v>
          </cell>
        </row>
        <row r="1018">
          <cell r="G1018" t="str">
            <v>PARIMAL KULKARNI</v>
          </cell>
          <cell r="I1018">
            <v>-248</v>
          </cell>
          <cell r="J1018">
            <v>248</v>
          </cell>
          <cell r="K1018">
            <v>248</v>
          </cell>
          <cell r="L1018">
            <v>-248</v>
          </cell>
          <cell r="N1018">
            <v>-248</v>
          </cell>
          <cell r="O1018" t="str">
            <v>z</v>
          </cell>
          <cell r="Q1018">
            <v>0</v>
          </cell>
        </row>
        <row r="1019">
          <cell r="G1019" t="str">
            <v>P.K.MUTHA &amp; CO.</v>
          </cell>
          <cell r="I1019">
            <v>-55</v>
          </cell>
          <cell r="J1019">
            <v>55</v>
          </cell>
          <cell r="K1019">
            <v>0</v>
          </cell>
          <cell r="L1019">
            <v>0</v>
          </cell>
          <cell r="N1019">
            <v>0</v>
          </cell>
          <cell r="O1019" t="str">
            <v>z</v>
          </cell>
          <cell r="Q1019">
            <v>0</v>
          </cell>
        </row>
        <row r="1020">
          <cell r="G1020" t="str">
            <v>PATEL ROADWAYS LTD.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N1020">
            <v>0</v>
          </cell>
          <cell r="O1020" t="str">
            <v>z</v>
          </cell>
          <cell r="Q1020">
            <v>0</v>
          </cell>
        </row>
        <row r="1021">
          <cell r="G1021" t="str">
            <v>P.V.BHANDARE &amp; CO</v>
          </cell>
          <cell r="I1021">
            <v>0</v>
          </cell>
          <cell r="J1021">
            <v>58</v>
          </cell>
          <cell r="K1021">
            <v>58</v>
          </cell>
          <cell r="L1021">
            <v>0</v>
          </cell>
          <cell r="N1021">
            <v>0</v>
          </cell>
          <cell r="O1021" t="str">
            <v>z</v>
          </cell>
          <cell r="Q1021">
            <v>0</v>
          </cell>
        </row>
        <row r="1022">
          <cell r="G1022" t="str">
            <v>RAMESH MAKHIJA &amp; CO</v>
          </cell>
          <cell r="I1022">
            <v>-688</v>
          </cell>
          <cell r="J1022">
            <v>688</v>
          </cell>
          <cell r="K1022">
            <v>688</v>
          </cell>
          <cell r="L1022">
            <v>-688</v>
          </cell>
          <cell r="N1022">
            <v>-688</v>
          </cell>
          <cell r="O1022" t="str">
            <v>z</v>
          </cell>
          <cell r="Q1022">
            <v>0</v>
          </cell>
        </row>
        <row r="1023">
          <cell r="G1023" t="str">
            <v>REEMA TRANSPORT PVT. LTD.</v>
          </cell>
          <cell r="I1023">
            <v>0</v>
          </cell>
          <cell r="J1023">
            <v>64</v>
          </cell>
          <cell r="K1023">
            <v>64</v>
          </cell>
          <cell r="L1023">
            <v>0</v>
          </cell>
          <cell r="N1023">
            <v>0</v>
          </cell>
          <cell r="O1023" t="str">
            <v>z</v>
          </cell>
          <cell r="Q1023">
            <v>0</v>
          </cell>
        </row>
        <row r="1024">
          <cell r="G1024" t="str">
            <v>SPEEDAGE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N1024">
            <v>0</v>
          </cell>
          <cell r="O1024" t="str">
            <v>z</v>
          </cell>
          <cell r="Q1024">
            <v>0</v>
          </cell>
        </row>
        <row r="1025">
          <cell r="G1025" t="str">
            <v>SIMCA ALUMINIUM PVT. LTD.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N1025">
            <v>0</v>
          </cell>
          <cell r="O1025" t="str">
            <v>z</v>
          </cell>
          <cell r="Q1025">
            <v>0</v>
          </cell>
        </row>
        <row r="1026">
          <cell r="G1026" t="str">
            <v>SAFEXPRESS</v>
          </cell>
          <cell r="I1026">
            <v>0</v>
          </cell>
          <cell r="J1026">
            <v>2753</v>
          </cell>
          <cell r="K1026">
            <v>5647</v>
          </cell>
          <cell r="L1026">
            <v>-2894</v>
          </cell>
          <cell r="N1026">
            <v>-2894</v>
          </cell>
          <cell r="O1026" t="str">
            <v>z</v>
          </cell>
          <cell r="Q1026">
            <v>0</v>
          </cell>
        </row>
        <row r="1027">
          <cell r="G1027" t="str">
            <v>SUNNY FORESIGHT P. LTD.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N1027">
            <v>0</v>
          </cell>
          <cell r="O1027" t="str">
            <v>z</v>
          </cell>
          <cell r="Q1027">
            <v>0</v>
          </cell>
        </row>
        <row r="1028">
          <cell r="G1028" t="str">
            <v>SPACE HVAC SYSTEMS PRIVATE LIMITED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N1028">
            <v>0</v>
          </cell>
          <cell r="O1028" t="str">
            <v>z</v>
          </cell>
          <cell r="Q1028">
            <v>0</v>
          </cell>
        </row>
        <row r="1029">
          <cell r="G1029" t="str">
            <v>SANKET ENTERPRISE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N1029">
            <v>0</v>
          </cell>
          <cell r="O1029" t="str">
            <v>z</v>
          </cell>
          <cell r="Q1029">
            <v>0</v>
          </cell>
        </row>
        <row r="1030">
          <cell r="G1030" t="str">
            <v>SANDEEP R. S. KHANDEPARKER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N1030">
            <v>0</v>
          </cell>
          <cell r="O1030" t="str">
            <v>z</v>
          </cell>
          <cell r="Q1030">
            <v>0</v>
          </cell>
        </row>
        <row r="1031">
          <cell r="G1031" t="str">
            <v>SENIOR TRANSLINE</v>
          </cell>
          <cell r="I1031">
            <v>0</v>
          </cell>
          <cell r="J1031">
            <v>56</v>
          </cell>
          <cell r="K1031">
            <v>987</v>
          </cell>
          <cell r="L1031">
            <v>-931</v>
          </cell>
          <cell r="N1031">
            <v>-931</v>
          </cell>
          <cell r="O1031" t="str">
            <v>z</v>
          </cell>
          <cell r="Q1031">
            <v>0</v>
          </cell>
        </row>
        <row r="1032">
          <cell r="G1032" t="str">
            <v>UNIVERSAL FABRICATION &amp; BLOWER INDUSTRIES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N1032">
            <v>0</v>
          </cell>
          <cell r="O1032" t="str">
            <v>z</v>
          </cell>
          <cell r="Q1032">
            <v>0</v>
          </cell>
        </row>
        <row r="1033">
          <cell r="G1033" t="str">
            <v>VOLTAS LIMITED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N1033">
            <v>0</v>
          </cell>
          <cell r="O1033" t="str">
            <v>z</v>
          </cell>
          <cell r="Q1033">
            <v>0</v>
          </cell>
        </row>
        <row r="1034">
          <cell r="G1034" t="str">
            <v>VIJAY NURSERY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N1034">
            <v>0</v>
          </cell>
          <cell r="O1034" t="str">
            <v>z</v>
          </cell>
          <cell r="Q1034">
            <v>0</v>
          </cell>
        </row>
        <row r="1035">
          <cell r="G1035" t="str">
            <v>WALLACE PHARMA LTD.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N1035">
            <v>0</v>
          </cell>
          <cell r="O1035" t="str">
            <v>z</v>
          </cell>
          <cell r="Q1035">
            <v>0</v>
          </cell>
        </row>
        <row r="1036">
          <cell r="G1036" t="str">
            <v>XPS CARGO SERVICE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N1036">
            <v>0</v>
          </cell>
          <cell r="O1036" t="str">
            <v>z</v>
          </cell>
          <cell r="Q1036">
            <v>0</v>
          </cell>
        </row>
        <row r="1037">
          <cell r="G1037" t="str">
            <v>YASH AGENCIES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N1037">
            <v>0</v>
          </cell>
          <cell r="O1037" t="str">
            <v>z</v>
          </cell>
          <cell r="Q1037">
            <v>0</v>
          </cell>
        </row>
        <row r="1038">
          <cell r="G1038" t="str">
            <v>INTEREST - NON GROUP COMPANIES</v>
          </cell>
          <cell r="I1038">
            <v>0</v>
          </cell>
          <cell r="J1038">
            <v>0</v>
          </cell>
          <cell r="K1038">
            <v>8250</v>
          </cell>
          <cell r="L1038">
            <v>-8250</v>
          </cell>
          <cell r="N1038">
            <v>-8250</v>
          </cell>
          <cell r="O1038" t="str">
            <v>z</v>
          </cell>
          <cell r="Q1038">
            <v>0</v>
          </cell>
        </row>
        <row r="1039">
          <cell r="G1039" t="str">
            <v>IN HOUSE SERVICES</v>
          </cell>
          <cell r="I1039">
            <v>-132</v>
          </cell>
          <cell r="J1039">
            <v>132</v>
          </cell>
          <cell r="K1039">
            <v>132</v>
          </cell>
          <cell r="L1039">
            <v>-132</v>
          </cell>
          <cell r="N1039">
            <v>-132</v>
          </cell>
          <cell r="O1039" t="str">
            <v>z</v>
          </cell>
          <cell r="Q1039">
            <v>0</v>
          </cell>
        </row>
        <row r="1040">
          <cell r="G1040" t="str">
            <v>V. B. GOEL &amp; CO.</v>
          </cell>
          <cell r="I1040">
            <v>-1788</v>
          </cell>
          <cell r="J1040">
            <v>1788</v>
          </cell>
          <cell r="K1040">
            <v>0</v>
          </cell>
          <cell r="L1040">
            <v>0</v>
          </cell>
          <cell r="N1040">
            <v>0</v>
          </cell>
          <cell r="O1040" t="str">
            <v>z</v>
          </cell>
          <cell r="Q1040">
            <v>0</v>
          </cell>
        </row>
        <row r="1041">
          <cell r="G1041" t="str">
            <v>C. N. GANDHEVIA CLEAING &amp; FORWARDING AGENTS P. LTD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O1041" t="str">
            <v>z</v>
          </cell>
          <cell r="Q1041">
            <v>0</v>
          </cell>
          <cell r="U1041">
            <v>0</v>
          </cell>
        </row>
        <row r="1042">
          <cell r="G1042" t="str">
            <v>FURTADO &amp; CO.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N1042">
            <v>0</v>
          </cell>
          <cell r="O1042" t="str">
            <v>z</v>
          </cell>
          <cell r="Q1042">
            <v>0</v>
          </cell>
        </row>
        <row r="1043">
          <cell r="G1043" t="str">
            <v>NAGARKOT CLEARING AGENCY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O1043" t="str">
            <v>z</v>
          </cell>
          <cell r="Q1043">
            <v>0</v>
          </cell>
        </row>
        <row r="1044">
          <cell r="G1044" t="str">
            <v>SALARIES &amp; WAGES PAYABLE</v>
          </cell>
          <cell r="H1044" t="str">
            <v>Salaries &amp; Wages Payable</v>
          </cell>
          <cell r="I1044">
            <v>-94911.360000000001</v>
          </cell>
          <cell r="J1044">
            <v>1049502</v>
          </cell>
          <cell r="K1044">
            <v>989121.08</v>
          </cell>
          <cell r="L1044">
            <v>-34530.44</v>
          </cell>
          <cell r="N1044">
            <v>-34530.44</v>
          </cell>
          <cell r="O1044" t="str">
            <v>z</v>
          </cell>
          <cell r="Q1044">
            <v>0</v>
          </cell>
          <cell r="U1044">
            <v>-1697598.44</v>
          </cell>
        </row>
        <row r="1045">
          <cell r="G1045" t="str">
            <v>PROVISION FOR INCENTIVE</v>
          </cell>
          <cell r="H1045" t="str">
            <v>Provision for Incentives</v>
          </cell>
          <cell r="I1045">
            <v>-1806750</v>
          </cell>
          <cell r="J1045">
            <v>128652</v>
          </cell>
          <cell r="K1045">
            <v>0</v>
          </cell>
          <cell r="L1045">
            <v>-1663068</v>
          </cell>
          <cell r="N1045">
            <v>-1663068</v>
          </cell>
          <cell r="O1045" t="str">
            <v>z</v>
          </cell>
          <cell r="Q1045">
            <v>0</v>
          </cell>
        </row>
        <row r="1046">
          <cell r="G1046" t="str">
            <v>UNION FEES PAYABLE</v>
          </cell>
          <cell r="I1046">
            <v>0</v>
          </cell>
          <cell r="J1046">
            <v>15</v>
          </cell>
          <cell r="K1046">
            <v>15</v>
          </cell>
          <cell r="L1046">
            <v>0</v>
          </cell>
          <cell r="N1046">
            <v>0</v>
          </cell>
          <cell r="O1046" t="str">
            <v>z</v>
          </cell>
          <cell r="Q1046">
            <v>0</v>
          </cell>
        </row>
        <row r="1047">
          <cell r="G1047" t="str">
            <v>OTHER REMAINING LIABILITIES</v>
          </cell>
          <cell r="H1047" t="str">
            <v>Other liabilities</v>
          </cell>
          <cell r="I1047">
            <v>-889638</v>
          </cell>
          <cell r="J1047">
            <v>500000</v>
          </cell>
          <cell r="K1047">
            <v>0</v>
          </cell>
          <cell r="L1047">
            <v>-389638</v>
          </cell>
          <cell r="N1047">
            <v>-389638</v>
          </cell>
          <cell r="O1047" t="str">
            <v>z</v>
          </cell>
          <cell r="Q1047">
            <v>0</v>
          </cell>
          <cell r="U1047">
            <v>-1993494.14</v>
          </cell>
        </row>
        <row r="1048">
          <cell r="G1048" t="str">
            <v>COSMED ANALYTICAL &amp; CENTRAL SERVICES</v>
          </cell>
          <cell r="H1048" t="str">
            <v>COSMED ANALYTICAL &amp; CENTRAL SERVICES</v>
          </cell>
          <cell r="I1048">
            <v>10036.84</v>
          </cell>
          <cell r="J1048">
            <v>0</v>
          </cell>
          <cell r="K1048">
            <v>0</v>
          </cell>
          <cell r="L1048">
            <v>10036.84</v>
          </cell>
          <cell r="N1048">
            <v>10036.84</v>
          </cell>
          <cell r="O1048" t="str">
            <v>z</v>
          </cell>
          <cell r="Q1048">
            <v>0</v>
          </cell>
        </row>
        <row r="1049">
          <cell r="G1049" t="str">
            <v>WALLACE PHARMA LTD.</v>
          </cell>
          <cell r="H1049" t="str">
            <v>WALLACE PHARMA LTD.</v>
          </cell>
          <cell r="I1049">
            <v>9773.52</v>
          </cell>
          <cell r="J1049">
            <v>0</v>
          </cell>
          <cell r="K1049">
            <v>0</v>
          </cell>
          <cell r="L1049">
            <v>9773.52</v>
          </cell>
          <cell r="N1049">
            <v>9773.52</v>
          </cell>
          <cell r="O1049" t="str">
            <v>z</v>
          </cell>
          <cell r="Q1049">
            <v>0</v>
          </cell>
        </row>
        <row r="1050">
          <cell r="G1050" t="str">
            <v>CFL PHARMA LTD.</v>
          </cell>
          <cell r="H1050" t="str">
            <v>CFL Pharma Ltd.</v>
          </cell>
          <cell r="I1050">
            <v>-1717.06</v>
          </cell>
          <cell r="J1050">
            <v>0</v>
          </cell>
          <cell r="K1050">
            <v>0</v>
          </cell>
          <cell r="L1050">
            <v>-1717.06</v>
          </cell>
          <cell r="N1050">
            <v>-1717.06</v>
          </cell>
          <cell r="O1050" t="str">
            <v>z</v>
          </cell>
          <cell r="Q1050">
            <v>0</v>
          </cell>
        </row>
        <row r="1051">
          <cell r="G1051" t="str">
            <v>MAHARASHRA PROFESSION TAX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N1051">
            <v>0</v>
          </cell>
          <cell r="O1051" t="str">
            <v>z</v>
          </cell>
          <cell r="Q1051">
            <v>0</v>
          </cell>
        </row>
        <row r="1052">
          <cell r="G1052" t="str">
            <v>BEIERSDORF (INDIA) LIMITED</v>
          </cell>
          <cell r="H1052" t="str">
            <v>BEIERSDORF (INDIA) LIMITED</v>
          </cell>
          <cell r="I1052">
            <v>-4710</v>
          </cell>
          <cell r="J1052">
            <v>0</v>
          </cell>
          <cell r="K1052">
            <v>0</v>
          </cell>
          <cell r="L1052">
            <v>-4710</v>
          </cell>
          <cell r="N1052">
            <v>-4710</v>
          </cell>
          <cell r="O1052" t="str">
            <v>z</v>
          </cell>
          <cell r="Q1052">
            <v>0</v>
          </cell>
        </row>
        <row r="1053">
          <cell r="G1053" t="str">
            <v>COLFAX  LAB. (INDIA) LIMITED</v>
          </cell>
          <cell r="H1053" t="str">
            <v>COLFAX  LAB. (INDIA) LIMITED</v>
          </cell>
          <cell r="I1053">
            <v>0</v>
          </cell>
          <cell r="J1053">
            <v>15888</v>
          </cell>
          <cell r="K1053">
            <v>15888</v>
          </cell>
          <cell r="L1053">
            <v>0</v>
          </cell>
          <cell r="N1053">
            <v>0</v>
          </cell>
          <cell r="O1053" t="str">
            <v>z</v>
          </cell>
          <cell r="Q1053">
            <v>0</v>
          </cell>
        </row>
        <row r="1054">
          <cell r="G1054" t="str">
            <v>INTEREST ACCRUED BUT NOT PAID</v>
          </cell>
          <cell r="H1054" t="str">
            <v>Interest Accrued But not Due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N1054">
            <v>0</v>
          </cell>
          <cell r="O1054" t="str">
            <v>z</v>
          </cell>
          <cell r="Q1054">
            <v>0</v>
          </cell>
        </row>
        <row r="1055">
          <cell r="G1055" t="str">
            <v>PROVISION FOR CUSTOM DUTY</v>
          </cell>
          <cell r="H1055" t="str">
            <v>Provision for Custom Duty on GIT</v>
          </cell>
          <cell r="I1055">
            <v>-16777525.27</v>
          </cell>
          <cell r="J1055">
            <v>15041839.699999999</v>
          </cell>
          <cell r="K1055">
            <v>9012753.8800000008</v>
          </cell>
          <cell r="L1055">
            <v>-1101596.44</v>
          </cell>
          <cell r="N1055">
            <v>-1101596.44</v>
          </cell>
          <cell r="O1055" t="str">
            <v>z</v>
          </cell>
          <cell r="Q1055">
            <v>0</v>
          </cell>
        </row>
        <row r="1056">
          <cell r="G1056" t="str">
            <v>COSME MATIAS MENEZES FINANCE LTD</v>
          </cell>
          <cell r="H1056" t="str">
            <v>Cosme Mathias Menezes Finance Ltd.</v>
          </cell>
          <cell r="I1056">
            <v>-579</v>
          </cell>
          <cell r="J1056">
            <v>0</v>
          </cell>
          <cell r="K1056">
            <v>0</v>
          </cell>
          <cell r="L1056">
            <v>-579</v>
          </cell>
          <cell r="N1056">
            <v>-579</v>
          </cell>
          <cell r="O1056" t="str">
            <v>z</v>
          </cell>
          <cell r="Q1056">
            <v>0</v>
          </cell>
        </row>
        <row r="1057">
          <cell r="G1057" t="str">
            <v>PROVISION FOR COMMISSION ON SALES</v>
          </cell>
          <cell r="H1057" t="str">
            <v>Provision For Commission on Sales</v>
          </cell>
          <cell r="I1057">
            <v>-393204</v>
          </cell>
          <cell r="J1057">
            <v>40000</v>
          </cell>
          <cell r="K1057">
            <v>161860</v>
          </cell>
          <cell r="L1057">
            <v>-515064</v>
          </cell>
          <cell r="N1057">
            <v>-515064</v>
          </cell>
          <cell r="O1057" t="str">
            <v>z</v>
          </cell>
          <cell r="Q1057">
            <v>0</v>
          </cell>
        </row>
        <row r="1058">
          <cell r="G1058" t="str">
            <v>RETAINTION MONEY - BHARAT ENG.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N1058">
            <v>0</v>
          </cell>
          <cell r="O1058" t="str">
            <v>z</v>
          </cell>
          <cell r="Q1058">
            <v>0</v>
          </cell>
        </row>
        <row r="1059">
          <cell r="G1059" t="str">
            <v>G.D.ENTERPRISES</v>
          </cell>
          <cell r="H1059" t="str">
            <v>Security Deposits (G.D.Enterprises)</v>
          </cell>
          <cell r="I1059">
            <v>-2000000</v>
          </cell>
          <cell r="J1059">
            <v>0</v>
          </cell>
          <cell r="K1059">
            <v>0</v>
          </cell>
          <cell r="L1059">
            <v>-2000000</v>
          </cell>
          <cell r="N1059">
            <v>-2000000</v>
          </cell>
          <cell r="O1059" t="str">
            <v>z</v>
          </cell>
          <cell r="Q1059">
            <v>0</v>
          </cell>
          <cell r="U1059">
            <v>-2014999.6</v>
          </cell>
        </row>
        <row r="1060">
          <cell r="G1060" t="str">
            <v>K. K. SURGICALS</v>
          </cell>
          <cell r="H1060" t="str">
            <v>Security Deposits (K.K.Surgicals)</v>
          </cell>
          <cell r="I1060">
            <v>-15000</v>
          </cell>
          <cell r="J1060">
            <v>0</v>
          </cell>
          <cell r="K1060">
            <v>0</v>
          </cell>
          <cell r="L1060">
            <v>-15000</v>
          </cell>
          <cell r="N1060">
            <v>-15000</v>
          </cell>
          <cell r="O1060" t="str">
            <v>z</v>
          </cell>
          <cell r="Q1060">
            <v>0</v>
          </cell>
        </row>
        <row r="1061">
          <cell r="G1061" t="str">
            <v>HI TECH PHARMA</v>
          </cell>
          <cell r="H1061" t="str">
            <v>Security Deposits (Hi-Tech Pharma)</v>
          </cell>
          <cell r="I1061">
            <v>0.4</v>
          </cell>
          <cell r="J1061">
            <v>0</v>
          </cell>
          <cell r="K1061">
            <v>0</v>
          </cell>
          <cell r="L1061">
            <v>0.4</v>
          </cell>
          <cell r="N1061">
            <v>0.4</v>
          </cell>
          <cell r="O1061" t="str">
            <v>z</v>
          </cell>
          <cell r="Q1061">
            <v>0</v>
          </cell>
        </row>
        <row r="1062">
          <cell r="G1062" t="str">
            <v>DOMESTIC SALES - 3RD PARTY</v>
          </cell>
          <cell r="H1062" t="str">
            <v xml:space="preserve">        Traded Goods</v>
          </cell>
          <cell r="I1062">
            <v>-237027746.13</v>
          </cell>
          <cell r="J1062">
            <v>0</v>
          </cell>
          <cell r="K1062">
            <v>42829787.75</v>
          </cell>
          <cell r="L1062">
            <v>-279857533.88</v>
          </cell>
          <cell r="M1062">
            <v>-279857533.88</v>
          </cell>
          <cell r="O1062" t="str">
            <v>z</v>
          </cell>
          <cell r="P1062">
            <v>-318065736.33999997</v>
          </cell>
        </row>
        <row r="1063">
          <cell r="G1063" t="str">
            <v>SALES REVERSAL TRADE-(RATE DIFF.) DOMESTIC - 3RD PARTY</v>
          </cell>
          <cell r="H1063" t="str">
            <v xml:space="preserve">Less : Sales Return </v>
          </cell>
          <cell r="I1063">
            <v>13995</v>
          </cell>
          <cell r="J1063">
            <v>0</v>
          </cell>
          <cell r="K1063">
            <v>0</v>
          </cell>
          <cell r="L1063">
            <v>13995</v>
          </cell>
          <cell r="M1063">
            <v>10504629.76</v>
          </cell>
          <cell r="O1063">
            <v>51</v>
          </cell>
        </row>
        <row r="1064">
          <cell r="G1064" t="str">
            <v>SALES (MFG.) DOMESTIC -3RD PARTY</v>
          </cell>
          <cell r="H1064" t="str">
            <v xml:space="preserve">        Manufactured Goods</v>
          </cell>
          <cell r="I1064">
            <v>-22512945.649999999</v>
          </cell>
          <cell r="J1064">
            <v>0</v>
          </cell>
          <cell r="K1064">
            <v>2443907.5</v>
          </cell>
          <cell r="L1064">
            <v>-24956853.149999999</v>
          </cell>
          <cell r="M1064">
            <v>-24956853.149999999</v>
          </cell>
          <cell r="O1064" t="str">
            <v>z</v>
          </cell>
        </row>
        <row r="1065">
          <cell r="G1065" t="str">
            <v>CENTRAL EXCISE DUTY</v>
          </cell>
          <cell r="H1065" t="str">
            <v>Excise Duty</v>
          </cell>
          <cell r="I1065">
            <v>652140</v>
          </cell>
          <cell r="J1065">
            <v>0</v>
          </cell>
          <cell r="K1065">
            <v>0</v>
          </cell>
          <cell r="L1065">
            <v>652140</v>
          </cell>
          <cell r="M1065">
            <v>652140</v>
          </cell>
          <cell r="O1065" t="str">
            <v>z</v>
          </cell>
        </row>
        <row r="1066">
          <cell r="G1066" t="str">
            <v>SALES RETURN- TRADE DOMESTIC - 3RD PARTY</v>
          </cell>
          <cell r="I1066">
            <v>9635212.3599999994</v>
          </cell>
          <cell r="J1066">
            <v>214172.4</v>
          </cell>
          <cell r="K1066">
            <v>0</v>
          </cell>
          <cell r="L1066">
            <v>9849384.7599999998</v>
          </cell>
          <cell r="O1066">
            <v>51</v>
          </cell>
        </row>
        <row r="1067">
          <cell r="G1067" t="str">
            <v>SALES RETURN (MFG) DOMESTIC - 3RD PARTY</v>
          </cell>
          <cell r="I1067">
            <v>641250</v>
          </cell>
          <cell r="J1067">
            <v>0</v>
          </cell>
          <cell r="K1067">
            <v>0</v>
          </cell>
          <cell r="L1067">
            <v>641250</v>
          </cell>
          <cell r="O1067">
            <v>51</v>
          </cell>
        </row>
        <row r="1068">
          <cell r="G1068" t="str">
            <v>ADDITIONAL REVENUE FROM DISPOSAL OF ENERGY AND WASTE</v>
          </cell>
          <cell r="H1068" t="str">
            <v>Scrap Sales</v>
          </cell>
          <cell r="I1068">
            <v>-30007.5</v>
          </cell>
          <cell r="J1068">
            <v>0</v>
          </cell>
          <cell r="K1068">
            <v>5302</v>
          </cell>
          <cell r="L1068">
            <v>-35309.5</v>
          </cell>
          <cell r="M1068">
            <v>-35309.5</v>
          </cell>
          <cell r="O1068" t="str">
            <v>z</v>
          </cell>
        </row>
        <row r="1069">
          <cell r="G1069" t="str">
            <v>MISC. INCOME</v>
          </cell>
          <cell r="H1069" t="str">
            <v>Misc. Income</v>
          </cell>
          <cell r="I1069">
            <v>-317543.09000000003</v>
          </cell>
          <cell r="J1069">
            <v>625567.26</v>
          </cell>
          <cell r="K1069">
            <v>1258838.44</v>
          </cell>
          <cell r="L1069">
            <v>-950814.27</v>
          </cell>
          <cell r="M1069">
            <v>-950814.27</v>
          </cell>
          <cell r="O1069" t="str">
            <v>z</v>
          </cell>
        </row>
        <row r="1070">
          <cell r="G1070" t="str">
            <v>SERVICE CHARGES / REPAIR CHARGES (INCOME)</v>
          </cell>
          <cell r="H1070" t="str">
            <v>Service charges (y)</v>
          </cell>
          <cell r="I1070">
            <v>-534400.01</v>
          </cell>
          <cell r="J1070">
            <v>0</v>
          </cell>
          <cell r="K1070">
            <v>0</v>
          </cell>
          <cell r="L1070">
            <v>-534400.01</v>
          </cell>
          <cell r="M1070">
            <v>-534400.01</v>
          </cell>
          <cell r="O1070" t="str">
            <v>z</v>
          </cell>
        </row>
        <row r="1071">
          <cell r="G1071" t="str">
            <v>OTHER REVENUE FROM COMMISSION INCOME - ASIA PACIFIC (INTERCO</v>
          </cell>
          <cell r="H1071" t="str">
            <v>Other Revenue from Commission</v>
          </cell>
          <cell r="I1071">
            <v>-198942.78</v>
          </cell>
          <cell r="J1071">
            <v>13456</v>
          </cell>
          <cell r="K1071">
            <v>0</v>
          </cell>
          <cell r="L1071">
            <v>-185486.78</v>
          </cell>
          <cell r="M1071">
            <v>-22807984.370000001</v>
          </cell>
          <cell r="O1071">
            <v>2</v>
          </cell>
        </row>
        <row r="1072">
          <cell r="G1072" t="str">
            <v>OTHER REVENUE FROM COMMISSION INCOME - EXPORT(INTERCOMPANY)</v>
          </cell>
          <cell r="I1072">
            <v>-19324541.59</v>
          </cell>
          <cell r="J1072">
            <v>3143291</v>
          </cell>
          <cell r="K1072">
            <v>6441247</v>
          </cell>
          <cell r="L1072">
            <v>-22622497.59</v>
          </cell>
          <cell r="O1072">
            <v>2</v>
          </cell>
        </row>
        <row r="1073">
          <cell r="G1073" t="str">
            <v>REALISED FOREX GAINS</v>
          </cell>
          <cell r="H1073" t="str">
            <v>Forex Loss (Realised )</v>
          </cell>
          <cell r="I1073">
            <v>454662.19</v>
          </cell>
          <cell r="J1073">
            <v>789292.34</v>
          </cell>
          <cell r="K1073">
            <v>188188.64</v>
          </cell>
          <cell r="L1073">
            <v>-10098.74</v>
          </cell>
          <cell r="M1073">
            <v>3977314.5199999996</v>
          </cell>
          <cell r="O1073">
            <v>16</v>
          </cell>
        </row>
        <row r="1074">
          <cell r="G1074" t="str">
            <v>UNREALISED FOREX GAINS</v>
          </cell>
          <cell r="H1074" t="str">
            <v>Forex Loss (Unrealised)</v>
          </cell>
          <cell r="I1074">
            <v>30016</v>
          </cell>
          <cell r="J1074">
            <v>0</v>
          </cell>
          <cell r="K1074">
            <v>0</v>
          </cell>
          <cell r="L1074">
            <v>-210615</v>
          </cell>
          <cell r="M1074">
            <v>2931165</v>
          </cell>
          <cell r="O1074">
            <v>17</v>
          </cell>
        </row>
        <row r="1075">
          <cell r="G1075" t="str">
            <v>BAD DEBTS RECOVERED</v>
          </cell>
          <cell r="H1075" t="str">
            <v>Bad Debts Recovered</v>
          </cell>
          <cell r="I1075">
            <v>-78235</v>
          </cell>
          <cell r="J1075">
            <v>0</v>
          </cell>
          <cell r="K1075">
            <v>0</v>
          </cell>
          <cell r="L1075">
            <v>-78235</v>
          </cell>
          <cell r="M1075">
            <v>-78235</v>
          </cell>
          <cell r="O1075" t="str">
            <v>z</v>
          </cell>
        </row>
        <row r="1076">
          <cell r="G1076" t="str">
            <v>SUNDRY BAL. WRITTEN BACK</v>
          </cell>
          <cell r="H1076" t="str">
            <v>Sundry Balance Written Back</v>
          </cell>
          <cell r="I1076">
            <v>-7.92</v>
          </cell>
          <cell r="J1076">
            <v>0</v>
          </cell>
          <cell r="K1076">
            <v>0</v>
          </cell>
          <cell r="L1076">
            <v>-7.92</v>
          </cell>
          <cell r="M1076">
            <v>-7.92</v>
          </cell>
          <cell r="O1076" t="str">
            <v>z</v>
          </cell>
        </row>
        <row r="1077">
          <cell r="G1077" t="str">
            <v>BANK INTEREST &amp; FDR INTEREST</v>
          </cell>
          <cell r="H1077" t="str">
            <v>Bank Interest &amp; FDR Interest</v>
          </cell>
          <cell r="I1077">
            <v>-1368</v>
          </cell>
          <cell r="J1077">
            <v>0</v>
          </cell>
          <cell r="K1077">
            <v>0</v>
          </cell>
          <cell r="L1077">
            <v>-1368</v>
          </cell>
          <cell r="M1077">
            <v>-1368</v>
          </cell>
          <cell r="O1077" t="str">
            <v>z</v>
          </cell>
        </row>
        <row r="1078">
          <cell r="G1078" t="str">
            <v>RAW MATERIALS &amp; SUPPLIES - DOMESTIC 3RD PARTY</v>
          </cell>
          <cell r="H1078" t="str">
            <v xml:space="preserve">           Add : Purchases </v>
          </cell>
          <cell r="I1078">
            <v>13783339.4</v>
          </cell>
          <cell r="J1078">
            <v>1937001</v>
          </cell>
          <cell r="K1078">
            <v>0</v>
          </cell>
          <cell r="L1078">
            <v>15185410.4</v>
          </cell>
          <cell r="M1078">
            <v>16980796.649999999</v>
          </cell>
          <cell r="O1078">
            <v>3</v>
          </cell>
          <cell r="P1078">
            <v>320493499.07000005</v>
          </cell>
        </row>
        <row r="1079">
          <cell r="G1079" t="str">
            <v>CONSUMABLE STORES</v>
          </cell>
          <cell r="H1079" t="str">
            <v>Consumable stores</v>
          </cell>
          <cell r="I1079">
            <v>438521.02</v>
          </cell>
          <cell r="J1079">
            <v>72788</v>
          </cell>
          <cell r="K1079">
            <v>0</v>
          </cell>
          <cell r="L1079">
            <v>511309.02</v>
          </cell>
          <cell r="M1079">
            <v>511309.02</v>
          </cell>
          <cell r="O1079" t="str">
            <v>z</v>
          </cell>
        </row>
        <row r="1080">
          <cell r="G1080" t="str">
            <v>PACKING MATERIAL FOR MFG.GOODS</v>
          </cell>
          <cell r="H1080" t="str">
            <v xml:space="preserve">           Packing Material consumed</v>
          </cell>
          <cell r="I1080">
            <v>584458</v>
          </cell>
          <cell r="J1080">
            <v>87830</v>
          </cell>
          <cell r="K1080">
            <v>0</v>
          </cell>
          <cell r="L1080">
            <v>672288</v>
          </cell>
          <cell r="M1080">
            <v>672288</v>
          </cell>
          <cell r="O1080" t="str">
            <v>z</v>
          </cell>
        </row>
        <row r="1081">
          <cell r="G1081" t="str">
            <v>COGS -DOMESTIC 3 RD PARTY - MFG.</v>
          </cell>
          <cell r="I1081">
            <v>1206055.6499999999</v>
          </cell>
          <cell r="J1081">
            <v>580347</v>
          </cell>
          <cell r="K1081">
            <v>7781.4</v>
          </cell>
          <cell r="L1081">
            <v>1794416.25</v>
          </cell>
          <cell r="O1081">
            <v>3</v>
          </cell>
        </row>
        <row r="1082">
          <cell r="G1082" t="str">
            <v>CARRIAGE INWARD FOR MFG. GOODS</v>
          </cell>
          <cell r="I1082">
            <v>970</v>
          </cell>
          <cell r="J1082">
            <v>0</v>
          </cell>
          <cell r="K1082">
            <v>0</v>
          </cell>
          <cell r="L1082">
            <v>970</v>
          </cell>
          <cell r="O1082">
            <v>3</v>
          </cell>
        </row>
        <row r="1083">
          <cell r="G1083" t="str">
            <v>COGS -DOMESTIC 3 RD PARTY - TRADE</v>
          </cell>
          <cell r="H1083" t="str">
            <v xml:space="preserve">          Add: Purchases-tr</v>
          </cell>
          <cell r="I1083">
            <v>175738780.34</v>
          </cell>
          <cell r="J1083">
            <v>34915956.450000003</v>
          </cell>
          <cell r="K1083">
            <v>725213.53</v>
          </cell>
          <cell r="L1083">
            <v>207317860.86000001</v>
          </cell>
          <cell r="M1083">
            <v>208403989.93000004</v>
          </cell>
          <cell r="O1083">
            <v>4</v>
          </cell>
        </row>
        <row r="1084">
          <cell r="G1084" t="str">
            <v>CARRIAGE INWARD FOR TRADING GOODS</v>
          </cell>
          <cell r="I1084">
            <v>30245</v>
          </cell>
          <cell r="J1084">
            <v>4006</v>
          </cell>
          <cell r="K1084">
            <v>0</v>
          </cell>
          <cell r="L1084">
            <v>34251</v>
          </cell>
          <cell r="O1084">
            <v>4</v>
          </cell>
        </row>
        <row r="1085">
          <cell r="G1085" t="str">
            <v>INVENTORY ADJUSTMENT - DAMAGED GOODS</v>
          </cell>
          <cell r="I1085">
            <v>54258.65</v>
          </cell>
          <cell r="J1085">
            <v>110592.71</v>
          </cell>
          <cell r="K1085">
            <v>0</v>
          </cell>
          <cell r="L1085">
            <v>164851.35999999999</v>
          </cell>
          <cell r="O1085">
            <v>4</v>
          </cell>
        </row>
        <row r="1086">
          <cell r="G1086" t="str">
            <v>INVENTORY ADJUSTMENT - EXPIRED GOODS</v>
          </cell>
          <cell r="I1086">
            <v>384998.96</v>
          </cell>
          <cell r="J1086">
            <v>483630.9</v>
          </cell>
          <cell r="K1086">
            <v>0</v>
          </cell>
          <cell r="L1086">
            <v>868629.86</v>
          </cell>
          <cell r="O1086">
            <v>4</v>
          </cell>
        </row>
        <row r="1087">
          <cell r="G1087" t="str">
            <v>INVENTORY ADJUSTMENT - OTHERS</v>
          </cell>
          <cell r="I1087">
            <v>18396.849999999999</v>
          </cell>
          <cell r="J1087">
            <v>0</v>
          </cell>
          <cell r="K1087">
            <v>0</v>
          </cell>
          <cell r="L1087">
            <v>18396.849999999999</v>
          </cell>
          <cell r="O1087">
            <v>4</v>
          </cell>
        </row>
        <row r="1088">
          <cell r="G1088" t="str">
            <v>BASIC WAGES - PRODUCTION</v>
          </cell>
          <cell r="H1088" t="str">
            <v>Basic Salaries &amp; Wages</v>
          </cell>
          <cell r="I1088">
            <v>425846</v>
          </cell>
          <cell r="J1088">
            <v>47964</v>
          </cell>
          <cell r="K1088">
            <v>0</v>
          </cell>
          <cell r="L1088">
            <v>473810</v>
          </cell>
          <cell r="M1088">
            <v>6534477</v>
          </cell>
          <cell r="O1088">
            <v>5</v>
          </cell>
        </row>
        <row r="1089">
          <cell r="G1089" t="str">
            <v>ANNUAL BONUS - PRODUCION</v>
          </cell>
          <cell r="H1089" t="str">
            <v>Annual Bonus</v>
          </cell>
          <cell r="I1089">
            <v>83903</v>
          </cell>
          <cell r="J1089">
            <v>133324</v>
          </cell>
          <cell r="K1089">
            <v>0</v>
          </cell>
          <cell r="L1089">
            <v>217227</v>
          </cell>
          <cell r="M1089">
            <v>364644</v>
          </cell>
          <cell r="O1089">
            <v>6</v>
          </cell>
        </row>
        <row r="1090">
          <cell r="G1090" t="str">
            <v>OVERTIME ALLOWANCE-PRODUCTION</v>
          </cell>
          <cell r="H1090" t="str">
            <v xml:space="preserve">Overtime Allowance </v>
          </cell>
          <cell r="I1090">
            <v>17118.05</v>
          </cell>
          <cell r="J1090">
            <v>1191.07</v>
          </cell>
          <cell r="K1090">
            <v>0</v>
          </cell>
          <cell r="L1090">
            <v>18309.12</v>
          </cell>
          <cell r="M1090">
            <v>41459.339999999997</v>
          </cell>
          <cell r="O1090">
            <v>7</v>
          </cell>
        </row>
        <row r="1091">
          <cell r="G1091" t="str">
            <v>CENTRAL SERVICES - PERSONAL COST - (PRODUCTION)</v>
          </cell>
          <cell r="H1091" t="str">
            <v>Central Service - Personal</v>
          </cell>
          <cell r="I1091">
            <v>28353.919999999998</v>
          </cell>
          <cell r="J1091">
            <v>93000</v>
          </cell>
          <cell r="K1091">
            <v>0</v>
          </cell>
          <cell r="L1091">
            <v>121353.92</v>
          </cell>
          <cell r="M1091">
            <v>662503.16</v>
          </cell>
          <cell r="O1091">
            <v>8</v>
          </cell>
        </row>
        <row r="1092">
          <cell r="G1092" t="str">
            <v>BASIC SALARIES</v>
          </cell>
          <cell r="I1092">
            <v>5449871</v>
          </cell>
          <cell r="J1092">
            <v>610796</v>
          </cell>
          <cell r="K1092">
            <v>0</v>
          </cell>
          <cell r="L1092">
            <v>6060667</v>
          </cell>
          <cell r="O1092">
            <v>5</v>
          </cell>
        </row>
        <row r="1093">
          <cell r="G1093" t="str">
            <v>ANNUAL BONUS / EX GRATIA</v>
          </cell>
          <cell r="I1093">
            <v>320000</v>
          </cell>
          <cell r="J1093">
            <v>112100</v>
          </cell>
          <cell r="K1093">
            <v>0</v>
          </cell>
          <cell r="L1093">
            <v>147417</v>
          </cell>
          <cell r="O1093">
            <v>6</v>
          </cell>
        </row>
        <row r="1094">
          <cell r="G1094" t="str">
            <v>OVERTIME ALLOWANCE</v>
          </cell>
          <cell r="I1094">
            <v>20918.91</v>
          </cell>
          <cell r="J1094">
            <v>2231.31</v>
          </cell>
          <cell r="K1094">
            <v>0</v>
          </cell>
          <cell r="L1094">
            <v>23150.22</v>
          </cell>
          <cell r="O1094">
            <v>7</v>
          </cell>
        </row>
        <row r="1095">
          <cell r="G1095" t="str">
            <v>COMMISSION &amp; INCENTIVE</v>
          </cell>
          <cell r="H1095" t="str">
            <v>Incentives &amp; Commission to Staff</v>
          </cell>
          <cell r="I1095">
            <v>2384549</v>
          </cell>
          <cell r="J1095">
            <v>0</v>
          </cell>
          <cell r="K1095">
            <v>128652</v>
          </cell>
          <cell r="L1095">
            <v>2240867</v>
          </cell>
          <cell r="M1095">
            <v>2240867</v>
          </cell>
          <cell r="O1095" t="str">
            <v>z</v>
          </cell>
        </row>
        <row r="1096">
          <cell r="G1096" t="str">
            <v>CENTRAL SERVICES - PERSONAL COST</v>
          </cell>
          <cell r="I1096">
            <v>356149.24</v>
          </cell>
          <cell r="J1096">
            <v>217000</v>
          </cell>
          <cell r="K1096">
            <v>32000</v>
          </cell>
          <cell r="L1096">
            <v>541149.24</v>
          </cell>
          <cell r="O1096">
            <v>8</v>
          </cell>
        </row>
        <row r="1097">
          <cell r="G1097" t="str">
            <v>EMPLOYER'S CONTRIBUTION TO ESIC</v>
          </cell>
          <cell r="H1097" t="str">
            <v>Employer's Contribution ESIC</v>
          </cell>
          <cell r="I1097">
            <v>120830.39999999999</v>
          </cell>
          <cell r="J1097">
            <v>29624.1</v>
          </cell>
          <cell r="K1097">
            <v>0</v>
          </cell>
          <cell r="L1097">
            <v>150454.5</v>
          </cell>
          <cell r="M1097">
            <v>150454.5</v>
          </cell>
          <cell r="O1097" t="str">
            <v>z</v>
          </cell>
        </row>
        <row r="1098">
          <cell r="G1098" t="str">
            <v>EMPLOYER'S CONTRIBUTION TO DEATH BEN. WELFARE FUND,LABOUR WE</v>
          </cell>
          <cell r="H1098" t="str">
            <v>Employer's Cont. To Death Ben.Wel. Fund</v>
          </cell>
          <cell r="I1098">
            <v>5786</v>
          </cell>
          <cell r="J1098">
            <v>1210</v>
          </cell>
          <cell r="K1098">
            <v>0</v>
          </cell>
          <cell r="L1098">
            <v>6996</v>
          </cell>
          <cell r="M1098">
            <v>6996</v>
          </cell>
          <cell r="O1098" t="str">
            <v>z</v>
          </cell>
        </row>
        <row r="1099">
          <cell r="G1099" t="str">
            <v>EMPLOYER'S CONTRIBUTION TO PROVIDEND FUND</v>
          </cell>
          <cell r="H1099" t="str">
            <v>Employer's Contribution PF</v>
          </cell>
          <cell r="I1099">
            <v>309770</v>
          </cell>
          <cell r="J1099">
            <v>64621</v>
          </cell>
          <cell r="K1099">
            <v>0</v>
          </cell>
          <cell r="L1099">
            <v>374391</v>
          </cell>
          <cell r="M1099">
            <v>374391</v>
          </cell>
          <cell r="O1099" t="str">
            <v>z</v>
          </cell>
        </row>
        <row r="1100">
          <cell r="G1100" t="str">
            <v>EMPLOYER'S CONTRIBUTION TO FAMILY PENSION FUND</v>
          </cell>
          <cell r="H1100" t="str">
            <v>Employer's Cont. To Family Penson</v>
          </cell>
          <cell r="I1100">
            <v>437877</v>
          </cell>
          <cell r="J1100">
            <v>101715</v>
          </cell>
          <cell r="K1100">
            <v>0</v>
          </cell>
          <cell r="L1100">
            <v>539592</v>
          </cell>
          <cell r="M1100">
            <v>539592</v>
          </cell>
          <cell r="O1100" t="str">
            <v>z</v>
          </cell>
        </row>
        <row r="1101">
          <cell r="G1101" t="str">
            <v>EMPLOYER'S CONTRIBUTION TO SUPERANNUATION FUND</v>
          </cell>
          <cell r="H1101" t="str">
            <v>EMPLOYER'S CONTRIBUTION TO SUPERANNUATION FUND</v>
          </cell>
          <cell r="I1101">
            <v>2032</v>
          </cell>
          <cell r="J1101">
            <v>0</v>
          </cell>
          <cell r="K1101">
            <v>0</v>
          </cell>
          <cell r="L1101">
            <v>2032</v>
          </cell>
          <cell r="M1101">
            <v>2032</v>
          </cell>
          <cell r="O1101" t="str">
            <v>z</v>
          </cell>
        </row>
        <row r="1102">
          <cell r="G1102" t="str">
            <v>TRAINING &amp; RECRUITMENT EXPENSES</v>
          </cell>
          <cell r="H1102" t="str">
            <v>TRAINING &amp; RECRUITMENT EXPENSES</v>
          </cell>
          <cell r="I1102">
            <v>767103</v>
          </cell>
          <cell r="J1102">
            <v>38696</v>
          </cell>
          <cell r="K1102">
            <v>0</v>
          </cell>
          <cell r="L1102">
            <v>805799</v>
          </cell>
          <cell r="M1102">
            <v>805799</v>
          </cell>
          <cell r="O1102" t="str">
            <v>z</v>
          </cell>
        </row>
        <row r="1103">
          <cell r="G1103" t="str">
            <v>EMPLOYER'S CONTRIBUTION TO EMPLOYEES MEDICLAIM INSURANCE FUN</v>
          </cell>
          <cell r="H1103" t="str">
            <v>Employer's Cont. To Employees Ins. Fund</v>
          </cell>
          <cell r="I1103">
            <v>12005</v>
          </cell>
          <cell r="J1103">
            <v>0</v>
          </cell>
          <cell r="K1103">
            <v>0</v>
          </cell>
          <cell r="L1103">
            <v>12005</v>
          </cell>
          <cell r="M1103">
            <v>12005</v>
          </cell>
          <cell r="O1103" t="str">
            <v>z</v>
          </cell>
        </row>
        <row r="1104">
          <cell r="G1104" t="str">
            <v>STAFF EVENTS</v>
          </cell>
          <cell r="H1104" t="str">
            <v>Staff Events</v>
          </cell>
          <cell r="I1104">
            <v>1716</v>
          </cell>
          <cell r="J1104">
            <v>0</v>
          </cell>
          <cell r="K1104">
            <v>0</v>
          </cell>
          <cell r="L1104">
            <v>1716</v>
          </cell>
          <cell r="M1104">
            <v>1716</v>
          </cell>
          <cell r="O1104" t="str">
            <v>z</v>
          </cell>
        </row>
        <row r="1105">
          <cell r="G1105" t="str">
            <v>STAFF WELFARE EXPENSES</v>
          </cell>
          <cell r="H1105" t="str">
            <v>Staff Walfare Expenses</v>
          </cell>
          <cell r="I1105">
            <v>145794</v>
          </cell>
          <cell r="J1105">
            <v>35368</v>
          </cell>
          <cell r="K1105">
            <v>250</v>
          </cell>
          <cell r="L1105">
            <v>180912</v>
          </cell>
          <cell r="M1105">
            <v>180912</v>
          </cell>
          <cell r="O1105" t="str">
            <v>z</v>
          </cell>
        </row>
        <row r="1106">
          <cell r="G1106" t="str">
            <v>MEDICAL EXPENSES</v>
          </cell>
          <cell r="H1106" t="str">
            <v>Medical Expenses</v>
          </cell>
          <cell r="I1106">
            <v>41364</v>
          </cell>
          <cell r="J1106">
            <v>389846</v>
          </cell>
          <cell r="K1106">
            <v>35000</v>
          </cell>
          <cell r="L1106">
            <v>396210</v>
          </cell>
          <cell r="M1106">
            <v>396210</v>
          </cell>
          <cell r="O1106" t="str">
            <v>z</v>
          </cell>
        </row>
        <row r="1107">
          <cell r="G1107" t="str">
            <v>LEAVE TRAVEL CONCESSION</v>
          </cell>
          <cell r="H1107" t="str">
            <v>Leave Travel Concession</v>
          </cell>
          <cell r="I1107">
            <v>-14939</v>
          </cell>
          <cell r="J1107">
            <v>520770</v>
          </cell>
          <cell r="K1107">
            <v>35000</v>
          </cell>
          <cell r="L1107">
            <v>470831</v>
          </cell>
          <cell r="M1107">
            <v>470831</v>
          </cell>
          <cell r="O1107" t="str">
            <v>z</v>
          </cell>
        </row>
        <row r="1108">
          <cell r="G1108" t="str">
            <v>HOUSE RENT ALLOWANCE</v>
          </cell>
          <cell r="H1108" t="str">
            <v>HRA Allowance</v>
          </cell>
          <cell r="I1108">
            <v>1265564</v>
          </cell>
          <cell r="J1108">
            <v>146014</v>
          </cell>
          <cell r="K1108">
            <v>0</v>
          </cell>
          <cell r="L1108">
            <v>1411578</v>
          </cell>
          <cell r="M1108">
            <v>1411578</v>
          </cell>
          <cell r="O1108" t="str">
            <v>z</v>
          </cell>
        </row>
        <row r="1109">
          <cell r="G1109" t="str">
            <v>OTHER ALLOWANCES</v>
          </cell>
          <cell r="H1109" t="str">
            <v>Other Allowance</v>
          </cell>
          <cell r="I1109">
            <v>4035899</v>
          </cell>
          <cell r="J1109">
            <v>883912</v>
          </cell>
          <cell r="K1109">
            <v>16668</v>
          </cell>
          <cell r="L1109">
            <v>4903143</v>
          </cell>
          <cell r="M1109">
            <v>4903143</v>
          </cell>
          <cell r="O1109" t="str">
            <v>z</v>
          </cell>
        </row>
        <row r="1110">
          <cell r="G1110" t="str">
            <v>REPAIRS &amp; MAINTENANCE - CAR (G.M .)</v>
          </cell>
          <cell r="I1110">
            <v>87087</v>
          </cell>
          <cell r="J1110">
            <v>0</v>
          </cell>
          <cell r="K1110">
            <v>0</v>
          </cell>
          <cell r="L1110">
            <v>87087</v>
          </cell>
          <cell r="O1110">
            <v>1</v>
          </cell>
        </row>
        <row r="1111">
          <cell r="G1111" t="str">
            <v>REPAIRS &amp; MAINTENANCE - CAR (M.D)</v>
          </cell>
          <cell r="H1111" t="str">
            <v xml:space="preserve">Repairs &amp; Maintainance Car </v>
          </cell>
          <cell r="I1111">
            <v>143056</v>
          </cell>
          <cell r="J1111">
            <v>13390</v>
          </cell>
          <cell r="K1111">
            <v>0</v>
          </cell>
          <cell r="L1111">
            <v>156446</v>
          </cell>
          <cell r="M1111">
            <v>243533</v>
          </cell>
          <cell r="O1111">
            <v>1</v>
          </cell>
        </row>
        <row r="1112">
          <cell r="G1112" t="str">
            <v>FREIGHT OUT &amp; INSURANCE -DOMESTIC 3RD PARTY</v>
          </cell>
          <cell r="H1112" t="str">
            <v xml:space="preserve"> Freight Outwards</v>
          </cell>
          <cell r="I1112">
            <v>4388796.47</v>
          </cell>
          <cell r="J1112">
            <v>1933207</v>
          </cell>
          <cell r="K1112">
            <v>98000</v>
          </cell>
          <cell r="L1112">
            <v>6224003.4699999997</v>
          </cell>
          <cell r="M1112">
            <v>6229958.4699999997</v>
          </cell>
          <cell r="O1112">
            <v>9</v>
          </cell>
        </row>
        <row r="1113">
          <cell r="G1113" t="str">
            <v>FREIGHT OUT &amp; INSURANCE - DOMESTIC INTERCOMPANY</v>
          </cell>
          <cell r="I1113">
            <v>234</v>
          </cell>
          <cell r="J1113">
            <v>0</v>
          </cell>
          <cell r="K1113">
            <v>0</v>
          </cell>
          <cell r="L1113">
            <v>234</v>
          </cell>
          <cell r="O1113">
            <v>9</v>
          </cell>
        </row>
        <row r="1114">
          <cell r="G1114" t="str">
            <v>FREIGHT OUT &amp; INSURANCE - ASIA PACIFIC 3RD PARTY</v>
          </cell>
          <cell r="I1114">
            <v>5721</v>
          </cell>
          <cell r="J1114">
            <v>0</v>
          </cell>
          <cell r="K1114">
            <v>0</v>
          </cell>
          <cell r="L1114">
            <v>5721</v>
          </cell>
          <cell r="O1114">
            <v>9</v>
          </cell>
        </row>
        <row r="1115">
          <cell r="G1115" t="str">
            <v>BANK CHARGES &amp; DOCUMENTATION FEES DOMESTIC 3RD PARTY</v>
          </cell>
          <cell r="H1115" t="str">
            <v xml:space="preserve"> Bank Charges </v>
          </cell>
          <cell r="I1115">
            <v>42804</v>
          </cell>
          <cell r="J1115">
            <v>0</v>
          </cell>
          <cell r="K1115">
            <v>0</v>
          </cell>
          <cell r="L1115">
            <v>42804</v>
          </cell>
          <cell r="M1115">
            <v>585658.47</v>
          </cell>
          <cell r="O1115">
            <v>10</v>
          </cell>
        </row>
        <row r="1116">
          <cell r="G1116" t="str">
            <v>BANK CHARGES &amp; DOCUMENTATION FEES ASIA PACIFIC 3RD PARTY</v>
          </cell>
          <cell r="I1116">
            <v>1300</v>
          </cell>
          <cell r="J1116">
            <v>0</v>
          </cell>
          <cell r="K1116">
            <v>0</v>
          </cell>
          <cell r="L1116">
            <v>1300</v>
          </cell>
          <cell r="O1116">
            <v>10</v>
          </cell>
        </row>
        <row r="1117">
          <cell r="G1117" t="str">
            <v>BANK CHARGES &amp; DOCUMENTATION FEES ASIA PACIFIC INTERCOMPANY</v>
          </cell>
          <cell r="I1117">
            <v>242118.8</v>
          </cell>
          <cell r="J1117">
            <v>56226</v>
          </cell>
          <cell r="K1117">
            <v>0</v>
          </cell>
          <cell r="L1117">
            <v>298344.8</v>
          </cell>
          <cell r="O1117">
            <v>10</v>
          </cell>
        </row>
        <row r="1118">
          <cell r="G1118" t="str">
            <v>BANK CHARGES &amp; DOCUMENTATION FEES - EXPORT INTERCOMPANY</v>
          </cell>
          <cell r="I1118">
            <v>219716.67</v>
          </cell>
          <cell r="J1118">
            <v>23493</v>
          </cell>
          <cell r="K1118">
            <v>0</v>
          </cell>
          <cell r="L1118">
            <v>243209.67</v>
          </cell>
          <cell r="O1118">
            <v>10</v>
          </cell>
        </row>
        <row r="1119">
          <cell r="G1119" t="str">
            <v>COMMISSION TO 3RD PARTY</v>
          </cell>
          <cell r="H1119" t="str">
            <v>Commission To 3rd Party</v>
          </cell>
          <cell r="I1119">
            <v>55995</v>
          </cell>
          <cell r="J1119">
            <v>0</v>
          </cell>
          <cell r="K1119">
            <v>0</v>
          </cell>
          <cell r="L1119">
            <v>55995</v>
          </cell>
          <cell r="M1119">
            <v>55995</v>
          </cell>
          <cell r="O1119" t="str">
            <v>z</v>
          </cell>
        </row>
        <row r="1120">
          <cell r="G1120" t="str">
            <v>MEMBERSHIP SUBSCRIPTION -  SALES &amp; MARKETING</v>
          </cell>
          <cell r="H1120" t="str">
            <v>Membership Subscriptions</v>
          </cell>
          <cell r="I1120">
            <v>62400</v>
          </cell>
          <cell r="J1120">
            <v>16042</v>
          </cell>
          <cell r="K1120">
            <v>0</v>
          </cell>
          <cell r="L1120">
            <v>78442</v>
          </cell>
          <cell r="M1120">
            <v>78442</v>
          </cell>
          <cell r="O1120" t="str">
            <v>z</v>
          </cell>
        </row>
        <row r="1121">
          <cell r="G1121" t="str">
            <v>DEFF.REV. EXPENSES KALINA OFFICE &amp; GODOWN</v>
          </cell>
          <cell r="H1121" t="str">
            <v>Deff. Rev. Expenses</v>
          </cell>
          <cell r="I1121">
            <v>623040</v>
          </cell>
          <cell r="J1121">
            <v>56640</v>
          </cell>
          <cell r="K1121">
            <v>0</v>
          </cell>
          <cell r="L1121">
            <v>679680</v>
          </cell>
          <cell r="M1121">
            <v>679680</v>
          </cell>
          <cell r="O1121" t="str">
            <v>z</v>
          </cell>
        </row>
        <row r="1122">
          <cell r="G1122" t="str">
            <v>COMPANY'S ANNUAL FUNCTION COST</v>
          </cell>
          <cell r="H1122" t="str">
            <v xml:space="preserve">Company's Annual Function </v>
          </cell>
          <cell r="I1122">
            <v>247700</v>
          </cell>
          <cell r="J1122">
            <v>0</v>
          </cell>
          <cell r="K1122">
            <v>0</v>
          </cell>
          <cell r="L1122">
            <v>247700</v>
          </cell>
          <cell r="M1122">
            <v>247700</v>
          </cell>
          <cell r="O1122" t="str">
            <v>z</v>
          </cell>
        </row>
        <row r="1123">
          <cell r="G1123" t="str">
            <v>RENT FOR PRODUCTION PREMISES</v>
          </cell>
          <cell r="H1123" t="str">
            <v>RENT FOR PRODUCTION PREMISES</v>
          </cell>
          <cell r="I1123">
            <v>166000</v>
          </cell>
          <cell r="J1123">
            <v>0</v>
          </cell>
          <cell r="K1123">
            <v>0</v>
          </cell>
          <cell r="L1123">
            <v>166000</v>
          </cell>
          <cell r="M1123">
            <v>166000</v>
          </cell>
          <cell r="O1123" t="str">
            <v>z</v>
          </cell>
        </row>
        <row r="1124">
          <cell r="G1124" t="str">
            <v>REPAIRS &amp; MAINTENANCE-PRODUCTION BLDGS / PREMISES</v>
          </cell>
          <cell r="I1124">
            <v>149975.5</v>
          </cell>
          <cell r="J1124">
            <v>97726.75</v>
          </cell>
          <cell r="K1124">
            <v>0</v>
          </cell>
          <cell r="L1124">
            <v>247702.25</v>
          </cell>
          <cell r="O1124">
            <v>12</v>
          </cell>
        </row>
        <row r="1125">
          <cell r="G1125" t="str">
            <v>ELECTRICITY  &amp; WATER CHARGES - PRODUCTION  PREMISES</v>
          </cell>
          <cell r="H1125" t="str">
            <v>Electricity &amp; Water Charges - Prodn</v>
          </cell>
          <cell r="I1125">
            <v>1198831</v>
          </cell>
          <cell r="J1125">
            <v>116917</v>
          </cell>
          <cell r="K1125">
            <v>0</v>
          </cell>
          <cell r="L1125">
            <v>1315748</v>
          </cell>
          <cell r="M1125">
            <v>1315748</v>
          </cell>
          <cell r="O1125" t="str">
            <v>z</v>
          </cell>
        </row>
        <row r="1126">
          <cell r="G1126" t="str">
            <v>RENT FOR OFFICE PREMISES</v>
          </cell>
          <cell r="H1126" t="str">
            <v>Rent For Warehouse &amp; Office Premises</v>
          </cell>
          <cell r="I1126">
            <v>264907</v>
          </cell>
          <cell r="J1126">
            <v>63500</v>
          </cell>
          <cell r="K1126">
            <v>9500</v>
          </cell>
          <cell r="L1126">
            <v>318907</v>
          </cell>
          <cell r="M1126">
            <v>1111971</v>
          </cell>
          <cell r="O1126">
            <v>11</v>
          </cell>
        </row>
        <row r="1127">
          <cell r="G1127" t="str">
            <v>REPAIRS &amp; MAINTENANCE - OFFICE BLDGS</v>
          </cell>
          <cell r="H1127" t="str">
            <v>Repairs &amp; Maintainance - Prodn&amp; off.  Bldg</v>
          </cell>
          <cell r="I1127">
            <v>41009</v>
          </cell>
          <cell r="J1127">
            <v>0</v>
          </cell>
          <cell r="K1127">
            <v>0</v>
          </cell>
          <cell r="L1127">
            <v>41009</v>
          </cell>
          <cell r="M1127">
            <v>288711.25</v>
          </cell>
          <cell r="O1127">
            <v>12</v>
          </cell>
        </row>
        <row r="1128">
          <cell r="G1128" t="str">
            <v>ELECTRICITY  &amp; WATER CHARGES -OFFICE</v>
          </cell>
          <cell r="H1128" t="str">
            <v>Electricity &amp; Water Charges - Office</v>
          </cell>
          <cell r="I1128">
            <v>488425</v>
          </cell>
          <cell r="J1128">
            <v>103674</v>
          </cell>
          <cell r="K1128">
            <v>3802</v>
          </cell>
          <cell r="L1128">
            <v>588297</v>
          </cell>
          <cell r="M1128">
            <v>588297</v>
          </cell>
          <cell r="O1128" t="str">
            <v>z</v>
          </cell>
        </row>
        <row r="1129">
          <cell r="G1129" t="str">
            <v>RENT FOR WAREHOUSE</v>
          </cell>
          <cell r="I1129">
            <v>717714</v>
          </cell>
          <cell r="J1129">
            <v>119350</v>
          </cell>
          <cell r="K1129">
            <v>44000</v>
          </cell>
          <cell r="L1129">
            <v>793064</v>
          </cell>
          <cell r="O1129">
            <v>11</v>
          </cell>
        </row>
        <row r="1130">
          <cell r="G1130" t="str">
            <v>REPAIRS &amp; MAINTENANCE - WAREHOUSE /RESIDENTIAL BLDGS</v>
          </cell>
          <cell r="H1130" t="str">
            <v>Repairs &amp; Maintainance - Warehouse</v>
          </cell>
          <cell r="I1130">
            <v>161928.5</v>
          </cell>
          <cell r="J1130">
            <v>18187.75</v>
          </cell>
          <cell r="K1130">
            <v>0</v>
          </cell>
          <cell r="L1130">
            <v>180116.25</v>
          </cell>
          <cell r="M1130">
            <v>180116.25</v>
          </cell>
          <cell r="O1130" t="str">
            <v>z</v>
          </cell>
        </row>
        <row r="1131">
          <cell r="G1131" t="str">
            <v>ELECTRICITY  &amp; WATER CHARGES - WAREHOUSE</v>
          </cell>
          <cell r="H1131" t="str">
            <v>Electricity &amp; Water Charges - Warehouse</v>
          </cell>
          <cell r="I1131">
            <v>13656</v>
          </cell>
          <cell r="J1131">
            <v>3993</v>
          </cell>
          <cell r="K1131">
            <v>0</v>
          </cell>
          <cell r="L1131">
            <v>17649</v>
          </cell>
          <cell r="M1131">
            <v>17649</v>
          </cell>
          <cell r="O1131" t="str">
            <v>z</v>
          </cell>
        </row>
        <row r="1132">
          <cell r="G1132" t="str">
            <v>RENT FOR RESIDENCE</v>
          </cell>
          <cell r="H1132" t="str">
            <v>Rent For Resident</v>
          </cell>
          <cell r="I1132">
            <v>275000</v>
          </cell>
          <cell r="J1132">
            <v>0</v>
          </cell>
          <cell r="K1132">
            <v>0</v>
          </cell>
          <cell r="L1132">
            <v>275000</v>
          </cell>
          <cell r="M1132">
            <v>275000</v>
          </cell>
          <cell r="O1132" t="str">
            <v>z</v>
          </cell>
        </row>
        <row r="1133">
          <cell r="G1133" t="str">
            <v>REPAIRS &amp; MAIN. - OFFICE</v>
          </cell>
          <cell r="H1133" t="str">
            <v>Repairs &amp; Maintainance - Office</v>
          </cell>
          <cell r="I1133">
            <v>374460.5</v>
          </cell>
          <cell r="J1133">
            <v>35441.5</v>
          </cell>
          <cell r="K1133">
            <v>0</v>
          </cell>
          <cell r="L1133">
            <v>409902</v>
          </cell>
          <cell r="M1133">
            <v>409902</v>
          </cell>
          <cell r="O1133" t="str">
            <v>z</v>
          </cell>
        </row>
        <row r="1134">
          <cell r="G1134" t="str">
            <v>RATES &amp; TAXES</v>
          </cell>
          <cell r="H1134" t="str">
            <v>Rates &amp; Taxes</v>
          </cell>
          <cell r="I1134">
            <v>9267</v>
          </cell>
          <cell r="J1134">
            <v>1001.5</v>
          </cell>
          <cell r="K1134">
            <v>0</v>
          </cell>
          <cell r="L1134">
            <v>10268.5</v>
          </cell>
          <cell r="M1134">
            <v>10673.5</v>
          </cell>
          <cell r="O1134">
            <v>18</v>
          </cell>
        </row>
        <row r="1135">
          <cell r="G1135" t="str">
            <v>SERVICE CHARGES</v>
          </cell>
          <cell r="H1135" t="str">
            <v>Service Charges</v>
          </cell>
          <cell r="I1135">
            <v>2371783</v>
          </cell>
          <cell r="J1135">
            <v>210000</v>
          </cell>
          <cell r="K1135">
            <v>0</v>
          </cell>
          <cell r="L1135">
            <v>2581783</v>
          </cell>
          <cell r="M1135">
            <v>2581783</v>
          </cell>
          <cell r="O1135" t="str">
            <v>z</v>
          </cell>
        </row>
        <row r="1136">
          <cell r="G1136" t="str">
            <v>REPAIRS &amp; MAINTENANCE - PLANT &amp; MACHINERY</v>
          </cell>
          <cell r="H1136" t="str">
            <v>Repairs &amp; Maintainance - Plant &amp; Mach.</v>
          </cell>
          <cell r="I1136">
            <v>34148</v>
          </cell>
          <cell r="J1136">
            <v>24040</v>
          </cell>
          <cell r="K1136">
            <v>21500</v>
          </cell>
          <cell r="L1136">
            <v>36688</v>
          </cell>
          <cell r="M1136">
            <v>36688</v>
          </cell>
          <cell r="O1136" t="str">
            <v>z</v>
          </cell>
        </row>
        <row r="1137">
          <cell r="G1137" t="str">
            <v>LEASE RENT - TRANSPORT VEHICLES</v>
          </cell>
          <cell r="H1137" t="str">
            <v>Lease Rent</v>
          </cell>
          <cell r="I1137">
            <v>198981.25</v>
          </cell>
          <cell r="J1137">
            <v>25203.49</v>
          </cell>
          <cell r="K1137">
            <v>0</v>
          </cell>
          <cell r="L1137">
            <v>224184.74</v>
          </cell>
          <cell r="M1137">
            <v>224184.74</v>
          </cell>
          <cell r="O1137" t="str">
            <v>z</v>
          </cell>
        </row>
        <row r="1138">
          <cell r="G1138" t="str">
            <v>LEASE RENT - TOOLS &amp; MACHINERY</v>
          </cell>
          <cell r="H1138" t="str">
            <v>Lease Rent For Production</v>
          </cell>
          <cell r="I1138">
            <v>14130</v>
          </cell>
          <cell r="J1138">
            <v>0</v>
          </cell>
          <cell r="K1138">
            <v>0</v>
          </cell>
          <cell r="L1138">
            <v>14130</v>
          </cell>
          <cell r="M1138">
            <v>14130</v>
          </cell>
          <cell r="O1138" t="str">
            <v>z</v>
          </cell>
        </row>
        <row r="1139">
          <cell r="G1139" t="str">
            <v>REPAIRS &amp; MAIN. - COMPUTER HARDWARE</v>
          </cell>
          <cell r="H1139" t="str">
            <v>Repairs &amp; Maintainance - Computer</v>
          </cell>
          <cell r="I1139">
            <v>49757</v>
          </cell>
          <cell r="J1139">
            <v>13200</v>
          </cell>
          <cell r="K1139">
            <v>0</v>
          </cell>
          <cell r="L1139">
            <v>62957</v>
          </cell>
          <cell r="M1139">
            <v>62957</v>
          </cell>
          <cell r="O1139" t="str">
            <v>z</v>
          </cell>
        </row>
        <row r="1140">
          <cell r="G1140" t="str">
            <v>REPAIRS &amp; MAIN. - COMPUTER SOFTWARE</v>
          </cell>
          <cell r="H1140" t="str">
            <v>Repairs &amp; Maintainance -Software</v>
          </cell>
          <cell r="I1140">
            <v>408727</v>
          </cell>
          <cell r="J1140">
            <v>59622</v>
          </cell>
          <cell r="K1140">
            <v>40000</v>
          </cell>
          <cell r="L1140">
            <v>428349</v>
          </cell>
          <cell r="M1140">
            <v>428349</v>
          </cell>
          <cell r="O1140" t="str">
            <v>z</v>
          </cell>
        </row>
        <row r="1141">
          <cell r="G1141" t="str">
            <v>LICENCE FEES</v>
          </cell>
          <cell r="H1141" t="str">
            <v>Licence Fees</v>
          </cell>
          <cell r="I1141">
            <v>32705</v>
          </cell>
          <cell r="J1141">
            <v>0</v>
          </cell>
          <cell r="K1141">
            <v>0</v>
          </cell>
          <cell r="L1141">
            <v>32705</v>
          </cell>
          <cell r="M1141">
            <v>32705</v>
          </cell>
          <cell r="O1141" t="str">
            <v>z</v>
          </cell>
        </row>
        <row r="1142">
          <cell r="G1142" t="str">
            <v>TESTING &amp; ANALYSIS CHARGES</v>
          </cell>
          <cell r="H1142" t="str">
            <v>Testing &amp; Analysis Charges</v>
          </cell>
          <cell r="I1142">
            <v>506634</v>
          </cell>
          <cell r="J1142">
            <v>150000</v>
          </cell>
          <cell r="K1142">
            <v>85000</v>
          </cell>
          <cell r="L1142">
            <v>571634</v>
          </cell>
          <cell r="M1142">
            <v>571634</v>
          </cell>
          <cell r="O1142" t="str">
            <v>z</v>
          </cell>
        </row>
        <row r="1143">
          <cell r="G1143" t="str">
            <v>PART TIME STAFF(NON PAYROLL)</v>
          </cell>
          <cell r="H1143" t="str">
            <v>PART TIME STAFF(NON PAYROLL)</v>
          </cell>
          <cell r="I1143">
            <v>195114</v>
          </cell>
          <cell r="J1143">
            <v>35120</v>
          </cell>
          <cell r="K1143">
            <v>0</v>
          </cell>
          <cell r="L1143">
            <v>230234</v>
          </cell>
          <cell r="M1143">
            <v>230234</v>
          </cell>
          <cell r="O1143" t="str">
            <v>z</v>
          </cell>
        </row>
        <row r="1144">
          <cell r="G1144" t="str">
            <v>BANK CHARGES FOR MONETRY TRANSACTION AND PROCUREMENT OF CAPI</v>
          </cell>
          <cell r="H1144" t="str">
            <v>Bank Charges For Monetary Transaction</v>
          </cell>
          <cell r="I1144">
            <v>600393.4</v>
          </cell>
          <cell r="J1144">
            <v>120128.77</v>
          </cell>
          <cell r="K1144">
            <v>3015</v>
          </cell>
          <cell r="L1144">
            <v>717507.17</v>
          </cell>
          <cell r="M1144">
            <v>717507.17</v>
          </cell>
          <cell r="O1144" t="str">
            <v>z</v>
          </cell>
        </row>
        <row r="1145">
          <cell r="G1145" t="str">
            <v>COMMISSION TO DISTRIBUTORS - DOMESTIC</v>
          </cell>
          <cell r="H1145" t="str">
            <v>Commission</v>
          </cell>
          <cell r="I1145">
            <v>11553910.109999999</v>
          </cell>
          <cell r="J1145">
            <v>871341</v>
          </cell>
          <cell r="K1145">
            <v>24153</v>
          </cell>
          <cell r="L1145">
            <v>12401098.109999999</v>
          </cell>
          <cell r="M1145">
            <v>12401098.109999999</v>
          </cell>
          <cell r="O1145" t="str">
            <v>z</v>
          </cell>
        </row>
        <row r="1146">
          <cell r="G1146" t="str">
            <v>AUDIT &amp; ACCOUNTING FEES</v>
          </cell>
          <cell r="H1146" t="str">
            <v>Audit Fees</v>
          </cell>
          <cell r="I1146">
            <v>169400</v>
          </cell>
          <cell r="J1146">
            <v>22000</v>
          </cell>
          <cell r="K1146">
            <v>0</v>
          </cell>
          <cell r="L1146">
            <v>191400</v>
          </cell>
          <cell r="M1146">
            <v>191400</v>
          </cell>
          <cell r="O1146" t="str">
            <v>z</v>
          </cell>
        </row>
        <row r="1147">
          <cell r="G1147" t="str">
            <v>LEGAL &amp; CONSULTANCY FEES</v>
          </cell>
          <cell r="H1147" t="str">
            <v>Legal &amp; Consultancy</v>
          </cell>
          <cell r="I1147">
            <v>1489233</v>
          </cell>
          <cell r="J1147">
            <v>99840</v>
          </cell>
          <cell r="K1147">
            <v>575275</v>
          </cell>
          <cell r="L1147">
            <v>1013798</v>
          </cell>
          <cell r="M1147">
            <v>1013798</v>
          </cell>
          <cell r="O1147" t="str">
            <v>z</v>
          </cell>
        </row>
        <row r="1148">
          <cell r="G1148" t="str">
            <v>AUDITORS REMMUNERATION (OTHER MATTERS)</v>
          </cell>
          <cell r="H1148" t="str">
            <v>Other Services</v>
          </cell>
          <cell r="I1148">
            <v>177906</v>
          </cell>
          <cell r="J1148">
            <v>17531</v>
          </cell>
          <cell r="K1148">
            <v>2531</v>
          </cell>
          <cell r="L1148">
            <v>192906</v>
          </cell>
          <cell r="M1148">
            <v>192906</v>
          </cell>
          <cell r="O1148" t="str">
            <v>z</v>
          </cell>
        </row>
        <row r="1149">
          <cell r="G1149" t="str">
            <v>AUDITORS REMMUNERATION (OUT OF POCKET EXP.)</v>
          </cell>
          <cell r="H1149" t="str">
            <v>Reimbursement of Expenses</v>
          </cell>
          <cell r="I1149">
            <v>18925</v>
          </cell>
          <cell r="J1149">
            <v>0</v>
          </cell>
          <cell r="K1149">
            <v>0</v>
          </cell>
          <cell r="L1149">
            <v>18925</v>
          </cell>
          <cell r="M1149">
            <v>18925</v>
          </cell>
          <cell r="O1149" t="str">
            <v>z</v>
          </cell>
        </row>
        <row r="1150">
          <cell r="G1150" t="str">
            <v>TAX AUDIT FEES</v>
          </cell>
          <cell r="H1150" t="str">
            <v>Tax Audit Fees</v>
          </cell>
          <cell r="I1150">
            <v>28875</v>
          </cell>
          <cell r="J1150">
            <v>3000</v>
          </cell>
          <cell r="K1150">
            <v>0</v>
          </cell>
          <cell r="L1150">
            <v>31875</v>
          </cell>
          <cell r="M1150">
            <v>31875</v>
          </cell>
          <cell r="O1150" t="str">
            <v>z</v>
          </cell>
        </row>
        <row r="1151">
          <cell r="G1151" t="str">
            <v>DIRECTORS FEES</v>
          </cell>
          <cell r="H1151" t="str">
            <v xml:space="preserve">Directors Fees    </v>
          </cell>
          <cell r="I1151">
            <v>16000</v>
          </cell>
          <cell r="J1151">
            <v>0</v>
          </cell>
          <cell r="K1151">
            <v>0</v>
          </cell>
          <cell r="L1151">
            <v>33500</v>
          </cell>
          <cell r="M1151">
            <v>33500</v>
          </cell>
          <cell r="O1151" t="str">
            <v>z</v>
          </cell>
        </row>
        <row r="1152">
          <cell r="G1152" t="str">
            <v>STATIONERY</v>
          </cell>
          <cell r="H1152" t="str">
            <v>Printing &amp; Stationery Charges</v>
          </cell>
          <cell r="I1152">
            <v>541261.54</v>
          </cell>
          <cell r="J1152">
            <v>48490</v>
          </cell>
          <cell r="K1152">
            <v>0</v>
          </cell>
          <cell r="L1152">
            <v>589751.54</v>
          </cell>
          <cell r="M1152">
            <v>1214570.54</v>
          </cell>
          <cell r="O1152">
            <v>13</v>
          </cell>
        </row>
        <row r="1153">
          <cell r="G1153" t="str">
            <v>FORM FEES</v>
          </cell>
          <cell r="I1153">
            <v>9155</v>
          </cell>
          <cell r="J1153">
            <v>700</v>
          </cell>
          <cell r="K1153">
            <v>0</v>
          </cell>
          <cell r="L1153">
            <v>9855</v>
          </cell>
          <cell r="O1153">
            <v>13</v>
          </cell>
        </row>
        <row r="1154">
          <cell r="G1154" t="str">
            <v>PRINTING CHARGES</v>
          </cell>
          <cell r="I1154">
            <v>564495</v>
          </cell>
          <cell r="J1154">
            <v>50469</v>
          </cell>
          <cell r="K1154">
            <v>0</v>
          </cell>
          <cell r="L1154">
            <v>614964</v>
          </cell>
          <cell r="O1154">
            <v>13</v>
          </cell>
        </row>
        <row r="1155">
          <cell r="G1155" t="str">
            <v>NEWSPAPER ,BOOKS &amp; PERIODICALS</v>
          </cell>
          <cell r="H1155" t="str">
            <v>News Paper, Books &amp; Periodicals Chgs.</v>
          </cell>
          <cell r="I1155">
            <v>77658</v>
          </cell>
          <cell r="J1155">
            <v>23647</v>
          </cell>
          <cell r="K1155">
            <v>750</v>
          </cell>
          <cell r="L1155">
            <v>100555</v>
          </cell>
          <cell r="M1155">
            <v>100555</v>
          </cell>
          <cell r="O1155" t="str">
            <v>z</v>
          </cell>
        </row>
        <row r="1156">
          <cell r="G1156" t="str">
            <v>COURIER  &amp; TELEGRAM CHARGES</v>
          </cell>
          <cell r="H1156" t="str">
            <v>Courier &amp; Telegram</v>
          </cell>
          <cell r="I1156">
            <v>458968</v>
          </cell>
          <cell r="J1156">
            <v>172017</v>
          </cell>
          <cell r="K1156">
            <v>0</v>
          </cell>
          <cell r="L1156">
            <v>630985</v>
          </cell>
          <cell r="M1156">
            <v>630985</v>
          </cell>
          <cell r="O1156" t="str">
            <v>z</v>
          </cell>
        </row>
        <row r="1157">
          <cell r="G1157" t="str">
            <v>TELEPHONE ,TELEX &amp; FAX CHARGES</v>
          </cell>
          <cell r="H1157" t="str">
            <v>Telephone, Telex &amp; Fax Chgs.</v>
          </cell>
          <cell r="I1157">
            <v>5046341.43</v>
          </cell>
          <cell r="J1157">
            <v>935754</v>
          </cell>
          <cell r="K1157">
            <v>160774</v>
          </cell>
          <cell r="L1157">
            <v>5821321.4299999997</v>
          </cell>
          <cell r="M1157">
            <v>5821321.4299999997</v>
          </cell>
          <cell r="O1157" t="str">
            <v>z</v>
          </cell>
        </row>
        <row r="1158">
          <cell r="G1158" t="str">
            <v>SALES CONFERANCE EXPENSES &amp; PROMOTIONAL EXPENSES</v>
          </cell>
          <cell r="H1158" t="str">
            <v>Sales Conference Chgs.</v>
          </cell>
          <cell r="I1158">
            <v>4367418.8</v>
          </cell>
          <cell r="J1158">
            <v>864134.37</v>
          </cell>
          <cell r="K1158">
            <v>2630</v>
          </cell>
          <cell r="L1158">
            <v>5241307.17</v>
          </cell>
          <cell r="M1158">
            <v>5241307.17</v>
          </cell>
          <cell r="O1158" t="str">
            <v>z</v>
          </cell>
        </row>
        <row r="1159">
          <cell r="G1159" t="str">
            <v>DAILY ALLOWANCE &amp; ACCOMODATIONS CHARGES(LOCAL)</v>
          </cell>
          <cell r="H1159" t="str">
            <v>Daily Allowance &amp; Accomodation Chgs.</v>
          </cell>
          <cell r="I1159">
            <v>1334452</v>
          </cell>
          <cell r="J1159">
            <v>0</v>
          </cell>
          <cell r="K1159">
            <v>0</v>
          </cell>
          <cell r="L1159">
            <v>1334452</v>
          </cell>
          <cell r="M1159">
            <v>1376032</v>
          </cell>
          <cell r="O1159">
            <v>14</v>
          </cell>
        </row>
        <row r="1160">
          <cell r="G1160" t="str">
            <v>DAILY ALLOWANCE &amp; ACCOMODATIONS CHARGES(OVERSEAS)</v>
          </cell>
          <cell r="I1160">
            <v>41580</v>
          </cell>
          <cell r="J1160">
            <v>0</v>
          </cell>
          <cell r="K1160">
            <v>0</v>
          </cell>
          <cell r="L1160">
            <v>41580</v>
          </cell>
          <cell r="O1160">
            <v>14</v>
          </cell>
        </row>
        <row r="1161">
          <cell r="G1161" t="str">
            <v>TRAVELLING &amp; FLYING COST ( LOCAL)</v>
          </cell>
          <cell r="H1161" t="str">
            <v>Travelling &amp; Flying Cost</v>
          </cell>
          <cell r="I1161">
            <v>7099978.1799999997</v>
          </cell>
          <cell r="J1161">
            <v>1783739</v>
          </cell>
          <cell r="K1161">
            <v>138179</v>
          </cell>
          <cell r="L1161">
            <v>8732538.1799999997</v>
          </cell>
          <cell r="M1161">
            <v>10534787.18</v>
          </cell>
          <cell r="O1161">
            <v>15</v>
          </cell>
        </row>
        <row r="1162">
          <cell r="G1162" t="str">
            <v>TRAVELLING &amp; FLYING COST ( OVESEAS)</v>
          </cell>
          <cell r="I1162">
            <v>1516198</v>
          </cell>
          <cell r="J1162">
            <v>286051</v>
          </cell>
          <cell r="K1162">
            <v>0</v>
          </cell>
          <cell r="L1162">
            <v>1802249</v>
          </cell>
          <cell r="O1162">
            <v>15</v>
          </cell>
        </row>
        <row r="1163">
          <cell r="G1163" t="str">
            <v>ENTERTAINMENT &amp; GIFTS</v>
          </cell>
          <cell r="H1163" t="str">
            <v>Entertainment &amp; Gift Chgs.</v>
          </cell>
          <cell r="I1163">
            <v>642397</v>
          </cell>
          <cell r="J1163">
            <v>208731</v>
          </cell>
          <cell r="K1163">
            <v>750</v>
          </cell>
          <cell r="L1163">
            <v>850378</v>
          </cell>
          <cell r="M1163">
            <v>850378</v>
          </cell>
          <cell r="O1163" t="str">
            <v>z</v>
          </cell>
        </row>
        <row r="1164">
          <cell r="G1164" t="str">
            <v>SAMPLES</v>
          </cell>
          <cell r="H1164" t="str">
            <v>Samples</v>
          </cell>
          <cell r="I1164">
            <v>1542305.05</v>
          </cell>
          <cell r="J1164">
            <v>23678.09</v>
          </cell>
          <cell r="K1164">
            <v>762787.82</v>
          </cell>
          <cell r="L1164">
            <v>803195.32</v>
          </cell>
          <cell r="M1164">
            <v>803195.32</v>
          </cell>
          <cell r="O1164" t="str">
            <v>z</v>
          </cell>
        </row>
        <row r="1165">
          <cell r="G1165" t="str">
            <v>PACKING MATERIAL (SALES)</v>
          </cell>
          <cell r="H1165" t="str">
            <v>Packing Material - sales</v>
          </cell>
          <cell r="I1165">
            <v>674626</v>
          </cell>
          <cell r="J1165">
            <v>177901</v>
          </cell>
          <cell r="K1165">
            <v>0</v>
          </cell>
          <cell r="L1165">
            <v>852527</v>
          </cell>
          <cell r="M1165">
            <v>852527</v>
          </cell>
          <cell r="O1165" t="str">
            <v>z</v>
          </cell>
        </row>
        <row r="1166">
          <cell r="G1166" t="str">
            <v>DONATIONS</v>
          </cell>
          <cell r="H1166" t="str">
            <v>Donations</v>
          </cell>
          <cell r="I1166">
            <v>9500</v>
          </cell>
          <cell r="J1166">
            <v>0</v>
          </cell>
          <cell r="K1166">
            <v>0</v>
          </cell>
          <cell r="L1166">
            <v>9500</v>
          </cell>
          <cell r="M1166">
            <v>9500</v>
          </cell>
          <cell r="O1166" t="str">
            <v>z</v>
          </cell>
        </row>
        <row r="1167">
          <cell r="G1167" t="str">
            <v>ADVERTISING &amp; EXHIBITIONS</v>
          </cell>
          <cell r="H1167" t="str">
            <v>Advertising &amp; Exhibitions</v>
          </cell>
          <cell r="I1167">
            <v>191551</v>
          </cell>
          <cell r="J1167">
            <v>0</v>
          </cell>
          <cell r="K1167">
            <v>0</v>
          </cell>
          <cell r="L1167">
            <v>191551</v>
          </cell>
          <cell r="M1167">
            <v>191551</v>
          </cell>
          <cell r="O1167" t="str">
            <v>z</v>
          </cell>
        </row>
        <row r="1168">
          <cell r="G1168" t="str">
            <v>MISC.EXP.</v>
          </cell>
          <cell r="H1168" t="str">
            <v>Misc. Expenses</v>
          </cell>
          <cell r="I1168">
            <v>1971778.5</v>
          </cell>
          <cell r="J1168">
            <v>738853</v>
          </cell>
          <cell r="K1168">
            <v>3099</v>
          </cell>
          <cell r="L1168">
            <v>2707532.5</v>
          </cell>
          <cell r="M1168">
            <v>2707532.5</v>
          </cell>
          <cell r="O1168" t="str">
            <v>z</v>
          </cell>
        </row>
        <row r="1169">
          <cell r="G1169" t="str">
            <v>INSURANCE - STOCKS</v>
          </cell>
          <cell r="H1169" t="str">
            <v>Insurance Stocks</v>
          </cell>
          <cell r="I1169">
            <v>418908</v>
          </cell>
          <cell r="J1169">
            <v>38974</v>
          </cell>
          <cell r="K1169">
            <v>0</v>
          </cell>
          <cell r="L1169">
            <v>457882</v>
          </cell>
          <cell r="M1169">
            <v>457882</v>
          </cell>
          <cell r="O1169" t="str">
            <v>z</v>
          </cell>
        </row>
        <row r="1170">
          <cell r="G1170" t="str">
            <v>INSURANCE - MOTOR</v>
          </cell>
          <cell r="H1170" t="str">
            <v xml:space="preserve">Insurance - Others- R &amp; D, Motor </v>
          </cell>
          <cell r="I1170">
            <v>183652</v>
          </cell>
          <cell r="J1170">
            <v>6295</v>
          </cell>
          <cell r="K1170">
            <v>0</v>
          </cell>
          <cell r="L1170">
            <v>189947</v>
          </cell>
          <cell r="M1170">
            <v>189947</v>
          </cell>
          <cell r="O1170" t="str">
            <v>z</v>
          </cell>
        </row>
        <row r="1171">
          <cell r="G1171" t="str">
            <v>SUNDRY BALANCES  W/OFF</v>
          </cell>
          <cell r="H1171" t="str">
            <v>Sundry Balances Written off</v>
          </cell>
          <cell r="I1171">
            <v>944204.47</v>
          </cell>
          <cell r="J1171">
            <v>0</v>
          </cell>
          <cell r="K1171">
            <v>0</v>
          </cell>
          <cell r="L1171">
            <v>1021446.05</v>
          </cell>
          <cell r="M1171">
            <v>1021446.05</v>
          </cell>
          <cell r="O1171" t="str">
            <v>z</v>
          </cell>
        </row>
        <row r="1172">
          <cell r="G1172" t="str">
            <v>PROVIDEND FUND ADMN.CHARGES</v>
          </cell>
          <cell r="H1172" t="str">
            <v>Providend Fund (Other Operatiing Exps)</v>
          </cell>
          <cell r="I1172">
            <v>72347</v>
          </cell>
          <cell r="J1172">
            <v>15310</v>
          </cell>
          <cell r="K1172">
            <v>0</v>
          </cell>
          <cell r="L1172">
            <v>87657</v>
          </cell>
          <cell r="M1172">
            <v>87657</v>
          </cell>
          <cell r="O1172" t="str">
            <v>z</v>
          </cell>
        </row>
        <row r="1173">
          <cell r="G1173" t="str">
            <v>DOUBTFUL DEBTS</v>
          </cell>
          <cell r="H1173" t="str">
            <v>Provision for Doubtful Debts</v>
          </cell>
          <cell r="I1173">
            <v>3801057</v>
          </cell>
          <cell r="J1173">
            <v>0</v>
          </cell>
          <cell r="K1173">
            <v>0</v>
          </cell>
          <cell r="L1173">
            <v>3801057</v>
          </cell>
          <cell r="M1173">
            <v>3801057</v>
          </cell>
          <cell r="O1173" t="str">
            <v>z</v>
          </cell>
        </row>
        <row r="1174">
          <cell r="G1174" t="str">
            <v>REALISED FOREX LOSS</v>
          </cell>
          <cell r="I1174">
            <v>1390141.24</v>
          </cell>
          <cell r="J1174">
            <v>1531397.87</v>
          </cell>
          <cell r="K1174">
            <v>0</v>
          </cell>
          <cell r="L1174">
            <v>3987413.26</v>
          </cell>
          <cell r="O1174">
            <v>16</v>
          </cell>
        </row>
        <row r="1175">
          <cell r="G1175" t="str">
            <v>UNREALISED FOREX LOSS</v>
          </cell>
          <cell r="I1175">
            <v>-810804</v>
          </cell>
          <cell r="J1175">
            <v>0</v>
          </cell>
          <cell r="K1175">
            <v>0</v>
          </cell>
          <cell r="L1175">
            <v>3141780</v>
          </cell>
          <cell r="O1175">
            <v>17</v>
          </cell>
        </row>
        <row r="1176">
          <cell r="G1176" t="str">
            <v>CENTRAL SALES TAX</v>
          </cell>
          <cell r="H1176" t="str">
            <v>Sales Tax</v>
          </cell>
          <cell r="I1176">
            <v>127821.39</v>
          </cell>
          <cell r="J1176">
            <v>93571.97</v>
          </cell>
          <cell r="K1176">
            <v>21115.33</v>
          </cell>
          <cell r="L1176">
            <v>200278.03</v>
          </cell>
          <cell r="M1176">
            <v>220937.31</v>
          </cell>
          <cell r="O1176">
            <v>19</v>
          </cell>
        </row>
        <row r="1177">
          <cell r="G1177" t="str">
            <v>LOCAL SALES TAX</v>
          </cell>
          <cell r="H1177" t="str">
            <v>Sales Tax</v>
          </cell>
          <cell r="I1177">
            <v>20209.87</v>
          </cell>
          <cell r="J1177">
            <v>941.41</v>
          </cell>
          <cell r="K1177">
            <v>492</v>
          </cell>
          <cell r="L1177">
            <v>20659.28</v>
          </cell>
          <cell r="O1177">
            <v>19</v>
          </cell>
        </row>
        <row r="1178">
          <cell r="G1178" t="str">
            <v>BANK INTEREST - LONG TERM CREDIT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G1179" t="str">
            <v>BANK INTEREST - OTHER CREDIT</v>
          </cell>
          <cell r="H1179" t="str">
            <v>Bank Interest - Other Credit</v>
          </cell>
          <cell r="I1179">
            <v>1101461.49</v>
          </cell>
          <cell r="J1179">
            <v>1334728.52</v>
          </cell>
          <cell r="K1179">
            <v>75000</v>
          </cell>
          <cell r="L1179">
            <v>2361190.0099999998</v>
          </cell>
          <cell r="M1179">
            <v>2361190.0099999998</v>
          </cell>
          <cell r="O1179" t="str">
            <v>z</v>
          </cell>
        </row>
        <row r="1180">
          <cell r="G1180" t="str">
            <v>INTEREST - NON GROUP COMPANIES</v>
          </cell>
          <cell r="H1180" t="str">
            <v xml:space="preserve">Other Interest </v>
          </cell>
          <cell r="I1180">
            <v>225000</v>
          </cell>
          <cell r="J1180">
            <v>75000</v>
          </cell>
          <cell r="K1180">
            <v>0</v>
          </cell>
          <cell r="L1180">
            <v>300000</v>
          </cell>
          <cell r="M1180">
            <v>300000</v>
          </cell>
          <cell r="O1180" t="str">
            <v>z</v>
          </cell>
        </row>
        <row r="1181">
          <cell r="G1181" t="str">
            <v>OTHER TAXES</v>
          </cell>
          <cell r="I1181">
            <v>405</v>
          </cell>
          <cell r="J1181">
            <v>0</v>
          </cell>
          <cell r="K1181">
            <v>0</v>
          </cell>
          <cell r="L1181">
            <v>405</v>
          </cell>
          <cell r="O1181">
            <v>18</v>
          </cell>
        </row>
        <row r="1182">
          <cell r="G1182" t="str">
            <v>DEPRECIATION ON LAND &amp; BUILDINGS</v>
          </cell>
          <cell r="H1182" t="str">
            <v>Depreciation on Land &amp; Building</v>
          </cell>
          <cell r="I1182">
            <v>274094</v>
          </cell>
          <cell r="J1182">
            <v>413458</v>
          </cell>
          <cell r="K1182">
            <v>0</v>
          </cell>
          <cell r="L1182">
            <v>687552</v>
          </cell>
          <cell r="M1182">
            <v>687552</v>
          </cell>
          <cell r="O1182" t="str">
            <v>z</v>
          </cell>
          <cell r="U1182">
            <v>4782438</v>
          </cell>
        </row>
        <row r="1183">
          <cell r="G1183" t="str">
            <v>DEPRECIATION ON TECHNICAL EQUIPMENT AND MACHINERY</v>
          </cell>
          <cell r="H1183" t="str">
            <v>Depreciation on Technical Equipment</v>
          </cell>
          <cell r="I1183">
            <v>522491</v>
          </cell>
          <cell r="J1183">
            <v>604886</v>
          </cell>
          <cell r="K1183">
            <v>0</v>
          </cell>
          <cell r="L1183">
            <v>1127377</v>
          </cell>
          <cell r="M1183">
            <v>1127377</v>
          </cell>
          <cell r="O1183" t="str">
            <v>z</v>
          </cell>
          <cell r="U1183">
            <v>4782828</v>
          </cell>
        </row>
        <row r="1184">
          <cell r="G1184" t="str">
            <v>DEPRECIATION ON WORKSHOP EQUIPMENT</v>
          </cell>
          <cell r="H1184" t="str">
            <v>Depreciation on Workshop Equipment</v>
          </cell>
          <cell r="I1184">
            <v>47686</v>
          </cell>
          <cell r="J1184">
            <v>0</v>
          </cell>
          <cell r="K1184">
            <v>30000</v>
          </cell>
          <cell r="L1184">
            <v>17686</v>
          </cell>
          <cell r="M1184">
            <v>17686</v>
          </cell>
          <cell r="O1184" t="str">
            <v>z</v>
          </cell>
          <cell r="U1184">
            <v>390</v>
          </cell>
        </row>
        <row r="1185">
          <cell r="G1185" t="str">
            <v>DEPRECIATION ON MOTOR VEHICLE</v>
          </cell>
          <cell r="H1185" t="str">
            <v>Depreciation on Motor Vehical</v>
          </cell>
          <cell r="I1185">
            <v>117334</v>
          </cell>
          <cell r="J1185">
            <v>97678</v>
          </cell>
          <cell r="K1185">
            <v>20000</v>
          </cell>
          <cell r="L1185">
            <v>195012</v>
          </cell>
          <cell r="M1185">
            <v>195012</v>
          </cell>
          <cell r="O1185" t="str">
            <v>z</v>
          </cell>
        </row>
        <row r="1186">
          <cell r="G1186" t="str">
            <v>DEPRECIATION ON FURNITURE &amp; FIXTURES</v>
          </cell>
          <cell r="H1186" t="str">
            <v>Depreciation on Furniture &amp; Fixture</v>
          </cell>
          <cell r="I1186">
            <v>190233</v>
          </cell>
          <cell r="J1186">
            <v>196234</v>
          </cell>
          <cell r="K1186">
            <v>24000</v>
          </cell>
          <cell r="L1186">
            <v>362467</v>
          </cell>
          <cell r="M1186">
            <v>362467</v>
          </cell>
          <cell r="O1186" t="str">
            <v>z</v>
          </cell>
        </row>
        <row r="1187">
          <cell r="G1187" t="str">
            <v>DEPRECIATION ON OFFICE EQUIPMENT</v>
          </cell>
          <cell r="H1187" t="str">
            <v>Depreciation on Office Equipment</v>
          </cell>
          <cell r="I1187">
            <v>346143</v>
          </cell>
          <cell r="J1187">
            <v>444680</v>
          </cell>
          <cell r="K1187">
            <v>11000</v>
          </cell>
          <cell r="L1187">
            <v>779823</v>
          </cell>
          <cell r="M1187">
            <v>779823</v>
          </cell>
          <cell r="O1187" t="str">
            <v>z</v>
          </cell>
        </row>
        <row r="1188">
          <cell r="G1188" t="str">
            <v>DEPRECIATION ON EDP HARDWARE</v>
          </cell>
          <cell r="H1188" t="str">
            <v>Depreciation on EDP Hardware</v>
          </cell>
          <cell r="I1188">
            <v>752190</v>
          </cell>
          <cell r="J1188">
            <v>434239</v>
          </cell>
          <cell r="K1188">
            <v>300000</v>
          </cell>
          <cell r="L1188">
            <v>886429</v>
          </cell>
          <cell r="M1188">
            <v>886429</v>
          </cell>
          <cell r="O1188" t="str">
            <v>z</v>
          </cell>
        </row>
        <row r="1189">
          <cell r="G1189" t="str">
            <v>DEPRECIATION ON EDP SOFTWARE</v>
          </cell>
          <cell r="H1189" t="str">
            <v>Depreciation on EDP Software</v>
          </cell>
          <cell r="I1189">
            <v>483276</v>
          </cell>
          <cell r="J1189">
            <v>351113</v>
          </cell>
          <cell r="K1189">
            <v>150000</v>
          </cell>
          <cell r="L1189">
            <v>684389</v>
          </cell>
          <cell r="M1189">
            <v>684389</v>
          </cell>
          <cell r="O1189" t="str">
            <v>z</v>
          </cell>
        </row>
        <row r="1190">
          <cell r="G1190" t="str">
            <v>DEPRECIATION ON COMMUNICATION EQUIPMENT</v>
          </cell>
          <cell r="H1190" t="str">
            <v>Depreciation on Communication</v>
          </cell>
          <cell r="I1190">
            <v>23124</v>
          </cell>
          <cell r="J1190">
            <v>18579</v>
          </cell>
          <cell r="K1190">
            <v>0</v>
          </cell>
          <cell r="L1190">
            <v>41703</v>
          </cell>
          <cell r="M1190">
            <v>41703</v>
          </cell>
          <cell r="O1190" t="str">
            <v>z</v>
          </cell>
        </row>
        <row r="1192">
          <cell r="I1192">
            <v>4399534.4600001862</v>
          </cell>
          <cell r="J1192">
            <v>280081989.90000004</v>
          </cell>
          <cell r="K1192">
            <v>284481524.35999984</v>
          </cell>
          <cell r="L1192">
            <v>4.2840838432312012E-8</v>
          </cell>
          <cell r="M1192">
            <v>9336242.2500000019</v>
          </cell>
          <cell r="P1192">
            <v>2427762.7300000787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pitalization"/>
      <sheetName val="Sensitivity Analysis"/>
      <sheetName val="OpStmt"/>
      <sheetName val="OpStmt (Q)"/>
      <sheetName val="Return"/>
      <sheetName val="Return (Q)"/>
      <sheetName val="Partner Promote"/>
      <sheetName val="A-General"/>
      <sheetName val="A-Global"/>
      <sheetName val="Property NOI"/>
      <sheetName val="A-Property"/>
      <sheetName val="A-Property Expense"/>
      <sheetName val="Module1"/>
      <sheetName val="A-Rentroll"/>
      <sheetName val="A-Min Vacancy"/>
      <sheetName val="A-Disposition &amp; Purchase"/>
      <sheetName val="Market Rent"/>
      <sheetName val="Revenue"/>
      <sheetName val="Rent"/>
      <sheetName val="Occupancy"/>
      <sheetName val="Lease Status"/>
      <sheetName val="PrintManagerCode"/>
      <sheetName val="A-Debt"/>
      <sheetName val="Debt"/>
      <sheetName val="A-Tax"/>
      <sheetName val="Tax"/>
      <sheetName val="Definition"/>
      <sheetName val="Fund &amp; Investor Summary"/>
      <sheetName val="Investment Summary"/>
      <sheetName val="Class A"/>
      <sheetName val="Class B"/>
      <sheetName val="A_General"/>
      <sheetName val="FITZ MORT 9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>
        <row r="10">
          <cell r="R10">
            <v>3</v>
          </cell>
        </row>
      </sheetData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"/>
      <sheetName val="CF (NB)"/>
      <sheetName val="Dwt"/>
      <sheetName val="Cbm"/>
      <sheetName val="B|B"/>
      <sheetName val="JTM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"/>
      <sheetName val="CF (NB)"/>
      <sheetName val="Dwt"/>
      <sheetName val="Cbm"/>
      <sheetName val="B|B"/>
      <sheetName val="JTM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Invoice"/>
      <sheetName val="Invoice"/>
      <sheetName val="Macros"/>
      <sheetName val="ATW"/>
      <sheetName val="Lock"/>
      <sheetName val="Intl Data Table"/>
      <sheetName val="TemplateInformation"/>
      <sheetName val="Ver 1"/>
    </sheetNames>
    <sheetDataSet>
      <sheetData sheetId="0" refreshError="1"/>
      <sheetData sheetId="1" refreshError="1">
        <row r="15">
          <cell r="E15" t="str">
            <v xml:space="preserve">Maharashtra </v>
          </cell>
        </row>
        <row r="22">
          <cell r="E22" t="str">
            <v>State</v>
          </cell>
          <cell r="G22" t="str">
            <v>Credit Card #1</v>
          </cell>
        </row>
        <row r="23">
          <cell r="E23">
            <v>0.05</v>
          </cell>
          <cell r="G23" t="str">
            <v>Credit Card #2</v>
          </cell>
        </row>
        <row r="24">
          <cell r="D24" t="b">
            <v>1</v>
          </cell>
          <cell r="G24" t="str">
            <v>Credit Card #3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CD"/>
      <sheetName val="Sheet4"/>
      <sheetName val="Rm"/>
      <sheetName val="Capex"/>
      <sheetName val="forTL"/>
      <sheetName val="43B"/>
      <sheetName val="ROI"/>
      <sheetName val="depo"/>
      <sheetName val="192"/>
      <sheetName val="194A"/>
      <sheetName val="194C"/>
      <sheetName val="194 I"/>
      <sheetName val="194 J"/>
      <sheetName val="Bon.CL.7"/>
      <sheetName val="CONSOLIDATION"/>
      <sheetName val="Bon.CL.4(x)"/>
      <sheetName val="Sheet2"/>
      <sheetName val="Sheet1"/>
      <sheetName val="Exreco (2)"/>
      <sheetName val="bonReco (2)"/>
      <sheetName val="totalreco"/>
      <sheetName val="Sheet3"/>
      <sheetName val="CAS 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dules to Fixed Asset"/>
      <sheetName val="Challan"/>
    </sheetNames>
    <sheetDataSet>
      <sheetData sheetId="0" refreshError="1"/>
      <sheetData sheetId="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Output"/>
      <sheetName val="Assum"/>
      <sheetName val="Plant_details"/>
      <sheetName val="P&amp;L"/>
      <sheetName val="BS"/>
      <sheetName val="CFS"/>
      <sheetName val="DCF"/>
      <sheetName val="Loans"/>
      <sheetName val="WCAP"/>
      <sheetName val="Fixed_Assets"/>
      <sheetName val="Computation"/>
      <sheetName val="Investments"/>
      <sheetName val="I.T.Dep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TA Power"/>
      <sheetName val="Brokers Consensus"/>
      <sheetName val="Sheet2"/>
    </sheetNames>
    <sheetDataSet>
      <sheetData sheetId="0">
        <row r="2">
          <cell r="L2">
            <v>1</v>
          </cell>
        </row>
      </sheetData>
      <sheetData sheetId="1"/>
      <sheetData sheetId="2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-&gt;&gt;"/>
      <sheetName val="O-Sens-KW-B"/>
      <sheetName val="O-Sens-KW-D"/>
      <sheetName val="O-Sens-Baspa"/>
      <sheetName val="O-Brokers-KW"/>
      <sheetName val="O-Brokers-Baspa"/>
      <sheetName val="O-Rev-KW-B"/>
      <sheetName val="O-Rev-KW-D"/>
      <sheetName val="O-Rev-Baspa"/>
      <sheetName val="O-CF-KW"/>
      <sheetName val="O-CF-Baspa"/>
      <sheetName val="O-BS-KW"/>
      <sheetName val="O-BS-Baspa"/>
      <sheetName val="O-IS-KW"/>
      <sheetName val="O-IS-Baspa"/>
      <sheetName val="O-FCFE-KW"/>
      <sheetName val="O-FCFE-Baspa"/>
      <sheetName val="Models-&gt;&gt;"/>
      <sheetName val="Wangtoo_Chart"/>
      <sheetName val="Baspa_Chart"/>
      <sheetName val="Consolidated_Chart"/>
      <sheetName val="Football"/>
      <sheetName val="Broker"/>
      <sheetName val="FCFE-KW"/>
      <sheetName val="FCFE-Baspa"/>
      <sheetName val="KW"/>
      <sheetName val="Baspa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/>
      <sheetData sheetId="26"/>
      <sheetData sheetId="27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-&gt;&gt;"/>
      <sheetName val="O-Sens-KW-B"/>
      <sheetName val="O-Sens-KW-D"/>
      <sheetName val="O-Sens-Baspa"/>
      <sheetName val="O-Brokers-KW"/>
      <sheetName val="O-Brokers-Baspa"/>
      <sheetName val="O-Rev-KW-B"/>
      <sheetName val="O-Rev-KW-D"/>
      <sheetName val="O-Rev-Baspa"/>
      <sheetName val="O-CF-KW"/>
      <sheetName val="O-CF-Baspa"/>
      <sheetName val="O-BS-KW"/>
      <sheetName val="O-BS-Baspa"/>
      <sheetName val="O-IS-KW"/>
      <sheetName val="O-IS-Baspa"/>
      <sheetName val="O-FCFE-KW"/>
      <sheetName val="O-FCFE-Baspa"/>
      <sheetName val="Models-&gt;&gt;"/>
      <sheetName val="Wangtoo_Chart"/>
      <sheetName val="Baspa_Chart"/>
      <sheetName val="Consolidated_Chart"/>
      <sheetName val="Football"/>
      <sheetName val="Broker"/>
      <sheetName val="FCFE-KW"/>
      <sheetName val="FCFE-Baspa"/>
      <sheetName val="KW"/>
      <sheetName val="Baspa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/>
      <sheetData sheetId="26"/>
      <sheetData sheetId="27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s"/>
      <sheetName val="Assumptions"/>
      <sheetName val="ABI data"/>
      <sheetName val="building"/>
      <sheetName val="Building Summary"/>
      <sheetName val="summary"/>
      <sheetName val="Businesssummary"/>
      <sheetName val="Kbs summary"/>
      <sheetName val="empsummary"/>
      <sheetName val="tensummary"/>
      <sheetName val="tensummary Stats"/>
      <sheetName val="Single Analysis"/>
      <sheetName val="Multi Analysis"/>
      <sheetName val="Sheet1"/>
      <sheetName val="Data"/>
      <sheetName val="Const QMS Dash Board"/>
      <sheetName val=""/>
      <sheetName val="Citibuilder"/>
      <sheetName val="ABI_data"/>
      <sheetName val="Building_Summary"/>
      <sheetName val="Kbs_summary"/>
      <sheetName val="tensummary_Stats"/>
      <sheetName val="Single_Analysis"/>
      <sheetName val="Multi_Analysis"/>
      <sheetName val="Const_QMS_Dash_Board"/>
      <sheetName val="ABI_data1"/>
      <sheetName val="Building_Summary1"/>
      <sheetName val="Kbs_summary1"/>
      <sheetName val="tensummary_Stats1"/>
      <sheetName val="Single_Analysis1"/>
      <sheetName val="Multi_Analysis1"/>
      <sheetName val="Const_QMS_Dash_Board1"/>
      <sheetName val="ABI_data2"/>
      <sheetName val="Building_Summary2"/>
      <sheetName val="Kbs_summary2"/>
      <sheetName val="tensummary_Stats2"/>
      <sheetName val="Single_Analysis2"/>
      <sheetName val="Multi_Analysis2"/>
      <sheetName val="Const_QMS_Dash_Board2"/>
      <sheetName val="ABI_data3"/>
      <sheetName val="Building_Summary3"/>
      <sheetName val="Kbs_summary3"/>
      <sheetName val="tensummary_Stats3"/>
      <sheetName val="Single_Analysis3"/>
      <sheetName val="Multi_Analysis3"/>
      <sheetName val="Const_QMS_Dash_Board3"/>
      <sheetName val="Level 0"/>
      <sheetName val="Assmpns"/>
      <sheetName val="NC"/>
      <sheetName val="Parameters"/>
      <sheetName val="icici"/>
      <sheetName val="A-Property"/>
      <sheetName val="Chart"/>
      <sheetName val="capg"/>
      <sheetName val="factors"/>
      <sheetName val="Consolidated"/>
      <sheetName val="CFS"/>
      <sheetName val="Controls"/>
      <sheetName val="CII"/>
      <sheetName val="SOLUT007"/>
      <sheetName val="SOLUT010"/>
      <sheetName val="ABI_data5"/>
      <sheetName val="Building_Summary5"/>
      <sheetName val="Kbs_summary5"/>
      <sheetName val="tensummary_Stats5"/>
      <sheetName val="Single_Analysis5"/>
      <sheetName val="Multi_Analysis5"/>
      <sheetName val="Const_QMS_Dash_Board5"/>
      <sheetName val="Level_01"/>
      <sheetName val="ABI_data4"/>
      <sheetName val="Building_Summary4"/>
      <sheetName val="Kbs_summary4"/>
      <sheetName val="tensummary_Stats4"/>
      <sheetName val="Single_Analysis4"/>
      <sheetName val="Multi_Analysis4"/>
      <sheetName val="Const_QMS_Dash_Board4"/>
      <sheetName val="Level_0"/>
      <sheetName val="Circulaty"/>
      <sheetName val="#REF"/>
      <sheetName val="Direct_Lbr"/>
      <sheetName val="Rates"/>
      <sheetName val="Bech_Lab"/>
      <sheetName val="Detail"/>
      <sheetName val="A"/>
      <sheetName val="B"/>
      <sheetName val="Manpower"/>
      <sheetName val="Final VA"/>
      <sheetName val="Challan"/>
      <sheetName val="EBITDA Bridge"/>
      <sheetName val="WC analytics (+data pages)"/>
      <sheetName val="SWITCH"/>
      <sheetName val="CONNECTIVITY"/>
      <sheetName val="FilterTable"/>
      <sheetName val="Main_Menu"/>
      <sheetName val="LINKS"/>
      <sheetName val="NonUnitItems"/>
      <sheetName val="CostTable"/>
      <sheetName val="PriceTable"/>
      <sheetName val="Sheet3"/>
      <sheetName val="CF"/>
      <sheetName val="Codes"/>
      <sheetName val="F-DCF"/>
      <sheetName val="CWIP-detl-AUC"/>
      <sheetName val="Config"/>
      <sheetName val="Break Dw"/>
      <sheetName val="BOQ"/>
      <sheetName val="List"/>
      <sheetName val="ABI_data6"/>
      <sheetName val="Building_Summary6"/>
      <sheetName val="Kbs_summary6"/>
      <sheetName val="tensummary_Stats6"/>
      <sheetName val="Single_Analysis6"/>
      <sheetName val="Multi_Analysis6"/>
      <sheetName val="Const_QMS_Dash_Board6"/>
      <sheetName val="ABI_data7"/>
      <sheetName val="Building_Summary7"/>
      <sheetName val="Kbs_summary7"/>
      <sheetName val="tensummary_Stats7"/>
      <sheetName val="Single_Analysis7"/>
      <sheetName val="Multi_Analysis7"/>
      <sheetName val="Const_QMS_Dash_Board7"/>
      <sheetName val="ABI_data8"/>
      <sheetName val="Building_Summary8"/>
      <sheetName val="Kbs_summary8"/>
      <sheetName val="tensummary_Stats8"/>
      <sheetName val="Single_Analysis8"/>
      <sheetName val="Multi_Analysis8"/>
      <sheetName val="Const_QMS_Dash_Board8"/>
      <sheetName val="ABI_data9"/>
      <sheetName val="Building_Summary9"/>
      <sheetName val="Kbs_summary9"/>
      <sheetName val="tensummary_Stats9"/>
      <sheetName val="Single_Analysis9"/>
      <sheetName val="Multi_Analysis9"/>
      <sheetName val="Const_QMS_Dash_Board9"/>
      <sheetName val="ABI_data10"/>
      <sheetName val="Building_Summary10"/>
      <sheetName val="Kbs_summary10"/>
      <sheetName val="tensummary_Stats10"/>
      <sheetName val="Single_Analysis10"/>
      <sheetName val="Multi_Analysis10"/>
      <sheetName val="Const_QMS_Dash_Board10"/>
      <sheetName val="sc-mar2000"/>
      <sheetName val="óc-sepVdec99"/>
      <sheetName val="PRICE-COMP"/>
      <sheetName val="ABI_data11"/>
      <sheetName val="Building_Summary11"/>
      <sheetName val="Kbs_summary11"/>
      <sheetName val="tensummary_Stats11"/>
      <sheetName val="Single_Analysis11"/>
      <sheetName val="Multi_Analysis11"/>
      <sheetName val="Const_QMS_Dash_Board11"/>
      <sheetName val="ABI_data12"/>
      <sheetName val="Building_Summary12"/>
      <sheetName val="Kbs_summary12"/>
      <sheetName val="tensummary_Stats12"/>
      <sheetName val="Single_Analysis12"/>
      <sheetName val="Multi_Analysis12"/>
      <sheetName val="Const_QMS_Dash_Board12"/>
      <sheetName val="Level_02"/>
      <sheetName val="Final_VA"/>
      <sheetName val="EBITDA_Bridge"/>
      <sheetName val="WC_analytics_(+data_pages)"/>
      <sheetName val="Break_Dw"/>
      <sheetName val="SOLUT006"/>
      <sheetName val="oresreqsum"/>
      <sheetName val="CFP"/>
      <sheetName val="ecc_res"/>
      <sheetName val="GS-DCF"/>
      <sheetName val="DSL-S"/>
      <sheetName val="LA- lookups"/>
      <sheetName val="Other assumptions"/>
      <sheetName val="INNOVATION"/>
      <sheetName val="factor sheet"/>
      <sheetName val="DDETABLE "/>
      <sheetName val="A-General"/>
      <sheetName val="R - Seats Requirement"/>
      <sheetName val="Historical Data 1"/>
      <sheetName val="FORECAST"/>
      <sheetName val="New Business"/>
      <sheetName val="Seat Data"/>
      <sheetName val="Assumption"/>
      <sheetName val="Ins Erection"/>
      <sheetName val="#REF!"/>
      <sheetName val="OEE"/>
      <sheetName val="Conditions"/>
      <sheetName val="Daywise"/>
      <sheetName val="Staffing"/>
      <sheetName val="Bi_Weekly"/>
      <sheetName val="A G PIPING"/>
      <sheetName val="OVER ALL"/>
    </sheetNames>
    <sheetDataSet>
      <sheetData sheetId="0" refreshError="1"/>
      <sheetData sheetId="1" refreshError="1">
        <row r="2">
          <cell r="M2" t="str">
            <v>EDMONTON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chedule"/>
      <sheetName val="debt schedule-tyres"/>
      <sheetName val="debt schedule -sugar"/>
      <sheetName val="debt-IDBI"/>
      <sheetName val="debt -ICICI"/>
      <sheetName val="debt -IFCI"/>
      <sheetName val="debt-SBI"/>
      <sheetName val="debt schedule - Corpo"/>
      <sheetName val="debt schedule - JKDPL"/>
      <sheetName val="debt-sugar"/>
      <sheetName val="debt -tyres"/>
      <sheetName val="debt - Corp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CoverSheet"/>
      <sheetName val="Ann -1"/>
      <sheetName val="assumptions"/>
      <sheetName val="Do not dele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CN connectivity details"/>
      <sheetName val="MCN constructruction details"/>
      <sheetName val="Sheet2"/>
      <sheetName val="Sheet1"/>
      <sheetName val="Data not available"/>
      <sheetName val="MCN Manpower details"/>
      <sheetName val="MCN IT details"/>
      <sheetName val="Miscellenous "/>
      <sheetName val="Annexure 1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MCN Addresses"/>
    </sheetNames>
    <sheetDataSet>
      <sheetData sheetId="0"/>
      <sheetData sheetId="1"/>
      <sheetData sheetId="2" refreshError="1">
        <row r="3">
          <cell r="A3" t="str">
            <v>Delhi (Okhla)</v>
          </cell>
          <cell r="B3" t="str">
            <v>DELHI &amp; RAJASTHAN</v>
          </cell>
          <cell r="C3" t="str">
            <v>DELHI</v>
          </cell>
        </row>
        <row r="4">
          <cell r="A4" t="str">
            <v>Ghaziabad</v>
          </cell>
          <cell r="B4" t="str">
            <v>DELHI &amp; RAJASTHAN</v>
          </cell>
          <cell r="C4" t="str">
            <v>DELHI</v>
          </cell>
        </row>
        <row r="5">
          <cell r="A5" t="str">
            <v>GURGAON</v>
          </cell>
          <cell r="B5" t="str">
            <v>DELHI &amp; RAJASTHAN</v>
          </cell>
          <cell r="C5" t="str">
            <v>DELHI</v>
          </cell>
        </row>
        <row r="6">
          <cell r="A6" t="str">
            <v>FARIDABAD</v>
          </cell>
          <cell r="B6" t="str">
            <v>DELHI &amp; RAJASTHAN</v>
          </cell>
          <cell r="C6" t="str">
            <v>DELHI</v>
          </cell>
        </row>
        <row r="7">
          <cell r="A7" t="str">
            <v>MODINAGAR</v>
          </cell>
          <cell r="B7" t="str">
            <v>DELHI &amp; RAJASTHAN</v>
          </cell>
          <cell r="C7" t="str">
            <v>DELHI</v>
          </cell>
        </row>
        <row r="8">
          <cell r="A8" t="str">
            <v>REWARI</v>
          </cell>
          <cell r="B8" t="str">
            <v>DELHI &amp; RAJASTHAN</v>
          </cell>
          <cell r="C8" t="str">
            <v>DELHI</v>
          </cell>
        </row>
        <row r="9">
          <cell r="A9" t="str">
            <v>PALWAL</v>
          </cell>
          <cell r="B9" t="str">
            <v>DELHI &amp; RAJASTHAN</v>
          </cell>
          <cell r="C9" t="str">
            <v>DELHI</v>
          </cell>
        </row>
        <row r="10">
          <cell r="A10" t="str">
            <v>JAIPUR</v>
          </cell>
          <cell r="B10" t="str">
            <v>DELHI &amp; RAJASTHAN</v>
          </cell>
          <cell r="C10" t="str">
            <v>JAIPUR</v>
          </cell>
        </row>
        <row r="11">
          <cell r="A11" t="str">
            <v>Bikaner</v>
          </cell>
          <cell r="B11" t="str">
            <v>DELHI &amp; RAJASTHAN</v>
          </cell>
          <cell r="C11" t="str">
            <v>JAIPUR</v>
          </cell>
        </row>
        <row r="12">
          <cell r="A12" t="str">
            <v>ALWAR</v>
          </cell>
          <cell r="B12" t="str">
            <v>DELHI &amp; RAJASTHAN</v>
          </cell>
          <cell r="C12" t="str">
            <v>JAIPUR</v>
          </cell>
        </row>
        <row r="13">
          <cell r="A13" t="str">
            <v>SIKAR</v>
          </cell>
          <cell r="B13" t="str">
            <v>DELHI &amp; RAJASTHAN</v>
          </cell>
          <cell r="C13" t="str">
            <v>JAIPUR</v>
          </cell>
        </row>
        <row r="14">
          <cell r="A14" t="str">
            <v>Nagaur</v>
          </cell>
          <cell r="B14" t="str">
            <v>DELHI &amp; RAJASTHAN</v>
          </cell>
          <cell r="C14" t="str">
            <v>JAIPUR</v>
          </cell>
        </row>
        <row r="15">
          <cell r="A15" t="str">
            <v>JhunJhunun</v>
          </cell>
          <cell r="B15" t="str">
            <v>DELHI &amp; RAJASTHAN</v>
          </cell>
          <cell r="C15" t="str">
            <v>JAIPUR</v>
          </cell>
        </row>
        <row r="16">
          <cell r="A16" t="str">
            <v>AMBER(CHOMU)</v>
          </cell>
          <cell r="B16" t="str">
            <v>DELHI &amp; RAJASTHAN</v>
          </cell>
          <cell r="C16" t="str">
            <v>JAIPUR</v>
          </cell>
        </row>
        <row r="17">
          <cell r="A17" t="str">
            <v>KOTPUTLI</v>
          </cell>
          <cell r="B17" t="str">
            <v>DELHI &amp; RAJASTHAN</v>
          </cell>
          <cell r="C17" t="str">
            <v>JAIPUR</v>
          </cell>
        </row>
        <row r="18">
          <cell r="A18" t="str">
            <v>Jodhpur</v>
          </cell>
          <cell r="B18" t="str">
            <v>DELHI &amp; RAJASTHAN</v>
          </cell>
          <cell r="C18" t="str">
            <v>AJMER</v>
          </cell>
        </row>
        <row r="19">
          <cell r="A19" t="str">
            <v>Udaipur</v>
          </cell>
          <cell r="B19" t="str">
            <v>DELHI &amp; RAJASTHAN</v>
          </cell>
          <cell r="C19" t="str">
            <v>AJMER</v>
          </cell>
        </row>
        <row r="20">
          <cell r="A20" t="str">
            <v>Kota</v>
          </cell>
          <cell r="B20" t="str">
            <v>DELHI &amp; RAJASTHAN</v>
          </cell>
          <cell r="C20" t="str">
            <v>AJMER</v>
          </cell>
        </row>
        <row r="21">
          <cell r="A21" t="str">
            <v>AJMER</v>
          </cell>
          <cell r="B21" t="str">
            <v>DELHI &amp; RAJASTHAN</v>
          </cell>
          <cell r="C21" t="str">
            <v>AJMER</v>
          </cell>
        </row>
        <row r="22">
          <cell r="A22" t="str">
            <v>BHILWARA</v>
          </cell>
          <cell r="B22" t="str">
            <v>DELHI &amp; RAJASTHAN</v>
          </cell>
          <cell r="C22" t="str">
            <v>AJMER</v>
          </cell>
        </row>
        <row r="23">
          <cell r="A23" t="str">
            <v>BEAWAR</v>
          </cell>
          <cell r="B23" t="str">
            <v>DELHI &amp; RAJASTHAN</v>
          </cell>
          <cell r="C23" t="str">
            <v>AJMER</v>
          </cell>
        </row>
        <row r="24">
          <cell r="A24" t="str">
            <v>Pali</v>
          </cell>
          <cell r="B24" t="str">
            <v>DELHI &amp; RAJASTHAN</v>
          </cell>
          <cell r="C24" t="str">
            <v>AJMER</v>
          </cell>
        </row>
        <row r="25">
          <cell r="A25" t="str">
            <v>KISHANGARH (S)</v>
          </cell>
          <cell r="B25" t="str">
            <v>DELHI &amp; RAJASTHAN</v>
          </cell>
          <cell r="C25" t="str">
            <v>AJMER</v>
          </cell>
        </row>
        <row r="26">
          <cell r="A26" t="str">
            <v>CHITTORGARH</v>
          </cell>
          <cell r="B26" t="str">
            <v>DELHI &amp; RAJASTHAN</v>
          </cell>
          <cell r="C26" t="str">
            <v>AJMER</v>
          </cell>
        </row>
        <row r="27">
          <cell r="A27" t="str">
            <v>NATHDWARA</v>
          </cell>
          <cell r="B27" t="str">
            <v>DELHI &amp; RAJASTHAN</v>
          </cell>
          <cell r="C27" t="str">
            <v>AJMER</v>
          </cell>
        </row>
        <row r="28">
          <cell r="A28" t="str">
            <v>RAJSAMAND(KANKROLI)</v>
          </cell>
          <cell r="B28" t="str">
            <v>DELHI &amp; RAJASTHAN</v>
          </cell>
          <cell r="C28" t="str">
            <v>AJMER</v>
          </cell>
        </row>
        <row r="29">
          <cell r="A29" t="str">
            <v>BUNDI</v>
          </cell>
          <cell r="B29" t="str">
            <v>DELHI &amp; RAJASTHAN</v>
          </cell>
          <cell r="C29" t="str">
            <v>AJMER</v>
          </cell>
        </row>
        <row r="30">
          <cell r="A30" t="str">
            <v>MAVLI(FATEHNAGAR)</v>
          </cell>
          <cell r="B30" t="str">
            <v>DELHI &amp; RAJASTHAN</v>
          </cell>
          <cell r="C30" t="str">
            <v>AJMER</v>
          </cell>
        </row>
        <row r="31">
          <cell r="A31">
            <v>28</v>
          </cell>
          <cell r="B31">
            <v>1</v>
          </cell>
          <cell r="C31">
            <v>3</v>
          </cell>
        </row>
        <row r="32">
          <cell r="A32" t="str">
            <v>PUNE</v>
          </cell>
          <cell r="B32" t="str">
            <v>MAHARASHTRA &amp; GOA</v>
          </cell>
          <cell r="C32" t="str">
            <v>PUNE</v>
          </cell>
        </row>
        <row r="33">
          <cell r="A33" t="str">
            <v>CHINCHWAD</v>
          </cell>
          <cell r="B33" t="str">
            <v>MAHARASHTRA &amp; GOA</v>
          </cell>
          <cell r="C33" t="str">
            <v>PUNE</v>
          </cell>
        </row>
        <row r="34">
          <cell r="A34" t="str">
            <v>Solapur</v>
          </cell>
          <cell r="B34" t="str">
            <v>MAHARASHTRA &amp; GOA</v>
          </cell>
          <cell r="C34" t="str">
            <v>PUNE</v>
          </cell>
        </row>
        <row r="35">
          <cell r="A35" t="str">
            <v>BARAMATI</v>
          </cell>
          <cell r="B35" t="str">
            <v>MAHARASHTRA &amp; GOA</v>
          </cell>
          <cell r="C35" t="str">
            <v>PUNE</v>
          </cell>
        </row>
        <row r="36">
          <cell r="A36" t="str">
            <v>LONAVALA</v>
          </cell>
          <cell r="B36" t="str">
            <v>MAHARASHTRA &amp; GOA</v>
          </cell>
          <cell r="C36" t="str">
            <v>PUNE</v>
          </cell>
        </row>
        <row r="37">
          <cell r="A37" t="str">
            <v>PEN</v>
          </cell>
          <cell r="B37" t="str">
            <v>MAHARASHTRA &amp; GOA</v>
          </cell>
          <cell r="C37" t="str">
            <v>PUNE</v>
          </cell>
        </row>
        <row r="38">
          <cell r="A38" t="str">
            <v>ALIBAGH</v>
          </cell>
          <cell r="B38" t="str">
            <v>MAHARASHTRA &amp; GOA</v>
          </cell>
          <cell r="C38" t="str">
            <v>PUNE</v>
          </cell>
        </row>
        <row r="39">
          <cell r="A39" t="str">
            <v>KHOPOLI</v>
          </cell>
          <cell r="B39" t="str">
            <v>MAHARASHTRA &amp; GOA</v>
          </cell>
          <cell r="C39" t="str">
            <v>PUNE</v>
          </cell>
        </row>
        <row r="40">
          <cell r="A40" t="str">
            <v>KHADAKWASALA</v>
          </cell>
          <cell r="B40" t="str">
            <v>MAHARASHTRA &amp; GOA</v>
          </cell>
          <cell r="C40" t="str">
            <v>PUNE</v>
          </cell>
        </row>
        <row r="41">
          <cell r="A41" t="str">
            <v>RAJGURUNAGAR</v>
          </cell>
          <cell r="B41" t="str">
            <v>MAHARASHTRA &amp; GOA</v>
          </cell>
          <cell r="C41" t="str">
            <v>PUNE</v>
          </cell>
        </row>
        <row r="42">
          <cell r="A42" t="str">
            <v>PANDHARPUR</v>
          </cell>
          <cell r="B42" t="str">
            <v>MAHARASHTRA &amp; GOA</v>
          </cell>
          <cell r="C42" t="str">
            <v>PUNE</v>
          </cell>
        </row>
        <row r="43">
          <cell r="A43" t="str">
            <v>SASWAD</v>
          </cell>
          <cell r="B43" t="str">
            <v>MAHARASHTRA &amp; GOA</v>
          </cell>
          <cell r="C43" t="str">
            <v>PUNE</v>
          </cell>
        </row>
        <row r="44">
          <cell r="A44" t="str">
            <v>NAGPUR</v>
          </cell>
          <cell r="B44" t="str">
            <v>MAHARASHTRA &amp; GOA</v>
          </cell>
          <cell r="C44" t="str">
            <v>NAGPUR</v>
          </cell>
        </row>
        <row r="45">
          <cell r="A45" t="str">
            <v>Amrawati</v>
          </cell>
          <cell r="B45" t="str">
            <v>MAHARASHTRA &amp; GOA</v>
          </cell>
          <cell r="C45" t="str">
            <v>NAGPUR</v>
          </cell>
        </row>
        <row r="46">
          <cell r="A46" t="str">
            <v>AKOLA</v>
          </cell>
          <cell r="B46" t="str">
            <v>MAHARASHTRA &amp; GOA</v>
          </cell>
          <cell r="C46" t="str">
            <v>NAGPUR</v>
          </cell>
        </row>
        <row r="47">
          <cell r="A47" t="str">
            <v>CHANDRAPUR</v>
          </cell>
          <cell r="B47" t="str">
            <v>MAHARASHTRA &amp; GOA</v>
          </cell>
          <cell r="C47" t="str">
            <v>NAGPUR</v>
          </cell>
        </row>
        <row r="48">
          <cell r="A48" t="str">
            <v>YEOTMAL</v>
          </cell>
          <cell r="B48" t="str">
            <v>MAHARASHTRA &amp; GOA</v>
          </cell>
          <cell r="C48" t="str">
            <v>NAGPUR</v>
          </cell>
        </row>
        <row r="49">
          <cell r="A49" t="str">
            <v>WARDHA</v>
          </cell>
          <cell r="B49" t="str">
            <v>MAHARASHTRA &amp; GOA</v>
          </cell>
          <cell r="C49" t="str">
            <v>NAGPUR</v>
          </cell>
        </row>
        <row r="50">
          <cell r="A50" t="str">
            <v>GONDIA</v>
          </cell>
          <cell r="B50" t="str">
            <v>MAHARASHTRA &amp; GOA</v>
          </cell>
          <cell r="C50" t="str">
            <v>NAGPUR</v>
          </cell>
        </row>
        <row r="51">
          <cell r="A51" t="str">
            <v>BHANDARA</v>
          </cell>
          <cell r="B51" t="str">
            <v>MAHARASHTRA &amp; GOA</v>
          </cell>
          <cell r="C51" t="str">
            <v>NAGPUR</v>
          </cell>
        </row>
        <row r="52">
          <cell r="A52" t="str">
            <v>HINGANGHAT</v>
          </cell>
          <cell r="B52" t="str">
            <v>MAHARASHTRA &amp; GOA</v>
          </cell>
          <cell r="C52" t="str">
            <v>NAGPUR</v>
          </cell>
        </row>
        <row r="53">
          <cell r="A53" t="str">
            <v>NASIK</v>
          </cell>
          <cell r="B53" t="str">
            <v>MAHARASHTRA &amp; GOA</v>
          </cell>
          <cell r="C53" t="str">
            <v>KALYAN</v>
          </cell>
        </row>
        <row r="54">
          <cell r="A54" t="str">
            <v>KALYAN</v>
          </cell>
          <cell r="B54" t="str">
            <v>MAHARASHTRA &amp; GOA</v>
          </cell>
          <cell r="C54" t="str">
            <v>KALYAN</v>
          </cell>
        </row>
        <row r="55">
          <cell r="A55" t="str">
            <v>JALGAON</v>
          </cell>
          <cell r="B55" t="str">
            <v>MAHARASHTRA &amp; GOA</v>
          </cell>
          <cell r="C55" t="str">
            <v>KALYAN</v>
          </cell>
        </row>
        <row r="56">
          <cell r="A56" t="str">
            <v>BASSEIN</v>
          </cell>
          <cell r="B56" t="str">
            <v>MAHARASHTRA &amp; GOA</v>
          </cell>
          <cell r="C56" t="str">
            <v>KALYAN</v>
          </cell>
        </row>
        <row r="57">
          <cell r="A57" t="str">
            <v>DHULE</v>
          </cell>
          <cell r="B57" t="str">
            <v>MAHARASHTRA &amp; GOA</v>
          </cell>
          <cell r="C57" t="str">
            <v>KALYAN</v>
          </cell>
        </row>
        <row r="58">
          <cell r="A58" t="str">
            <v>BHIWANDI</v>
          </cell>
          <cell r="B58" t="str">
            <v>MAHARASHTRA &amp; GOA</v>
          </cell>
          <cell r="C58" t="str">
            <v>KALYAN</v>
          </cell>
        </row>
        <row r="59">
          <cell r="A59" t="str">
            <v>BHUSAWAL</v>
          </cell>
          <cell r="B59" t="str">
            <v>MAHARASHTRA &amp; GOA</v>
          </cell>
          <cell r="C59" t="str">
            <v>KALYAN</v>
          </cell>
        </row>
        <row r="60">
          <cell r="A60" t="str">
            <v>NIPHAD</v>
          </cell>
          <cell r="B60" t="str">
            <v>MAHARASHTRA &amp; GOA</v>
          </cell>
          <cell r="C60" t="str">
            <v>KALYAN</v>
          </cell>
        </row>
        <row r="61">
          <cell r="A61" t="str">
            <v>PALGHAR</v>
          </cell>
          <cell r="B61" t="str">
            <v>MAHARASHTRA &amp; GOA</v>
          </cell>
          <cell r="C61" t="str">
            <v>KALYAN</v>
          </cell>
        </row>
        <row r="62">
          <cell r="A62" t="str">
            <v>MALEGAON</v>
          </cell>
          <cell r="B62" t="str">
            <v>MAHARASHTRA &amp; GOA</v>
          </cell>
          <cell r="C62" t="str">
            <v>KALYAN</v>
          </cell>
        </row>
        <row r="63">
          <cell r="A63" t="str">
            <v>Panaji(Goa)</v>
          </cell>
          <cell r="B63" t="str">
            <v>MAHARASHTRA &amp; GOA</v>
          </cell>
          <cell r="C63" t="str">
            <v>PANJIM</v>
          </cell>
        </row>
        <row r="64">
          <cell r="A64" t="str">
            <v>MARGAO</v>
          </cell>
          <cell r="B64" t="str">
            <v>MAHARASHTRA &amp; GOA</v>
          </cell>
          <cell r="C64" t="str">
            <v>PANJIM</v>
          </cell>
        </row>
        <row r="65">
          <cell r="A65" t="str">
            <v>PONDA</v>
          </cell>
          <cell r="B65" t="str">
            <v>MAHARASHTRA &amp; GOA</v>
          </cell>
          <cell r="C65" t="str">
            <v>PANJIM</v>
          </cell>
        </row>
        <row r="66">
          <cell r="A66" t="str">
            <v>CANACONA</v>
          </cell>
          <cell r="B66" t="str">
            <v>MAHARASHTRA &amp; GOA</v>
          </cell>
          <cell r="C66" t="str">
            <v>PANJIM</v>
          </cell>
        </row>
        <row r="67">
          <cell r="A67" t="str">
            <v>KOLHAPUR</v>
          </cell>
          <cell r="B67" t="str">
            <v>MAHARASHTRA &amp; GOA</v>
          </cell>
          <cell r="C67" t="str">
            <v>KOLHAPUR</v>
          </cell>
        </row>
        <row r="68">
          <cell r="A68" t="str">
            <v>SANGLI</v>
          </cell>
          <cell r="B68" t="str">
            <v>MAHARASHTRA &amp; GOA</v>
          </cell>
          <cell r="C68" t="str">
            <v>KOLHAPUR</v>
          </cell>
        </row>
        <row r="69">
          <cell r="A69" t="str">
            <v>SATARA</v>
          </cell>
          <cell r="B69" t="str">
            <v>MAHARASHTRA &amp; GOA</v>
          </cell>
          <cell r="C69" t="str">
            <v>KOLHAPUR</v>
          </cell>
        </row>
        <row r="70">
          <cell r="A70" t="str">
            <v>KARAD</v>
          </cell>
          <cell r="B70" t="str">
            <v>MAHARASHTRA &amp; GOA</v>
          </cell>
          <cell r="C70" t="str">
            <v>KOLHAPUR</v>
          </cell>
        </row>
        <row r="71">
          <cell r="A71" t="str">
            <v>Ichalkaranji</v>
          </cell>
          <cell r="B71" t="str">
            <v>MAHARASHTRA &amp; GOA</v>
          </cell>
          <cell r="C71" t="str">
            <v>KOLHAPUR</v>
          </cell>
        </row>
        <row r="72">
          <cell r="A72" t="str">
            <v>RATNAGIRI</v>
          </cell>
          <cell r="B72" t="str">
            <v>MAHARASHTRA &amp; GOA</v>
          </cell>
          <cell r="C72" t="str">
            <v>KOLHAPUR</v>
          </cell>
        </row>
        <row r="73">
          <cell r="A73" t="str">
            <v>CHIPLUN</v>
          </cell>
          <cell r="B73" t="str">
            <v>MAHARASHTRA &amp; GOA</v>
          </cell>
          <cell r="C73" t="str">
            <v>KOLHAPUR</v>
          </cell>
        </row>
        <row r="74">
          <cell r="A74" t="str">
            <v>TASGAON</v>
          </cell>
          <cell r="B74" t="str">
            <v>MAHARASHTRA &amp; GOA</v>
          </cell>
          <cell r="C74" t="str">
            <v>KOLHAPUR</v>
          </cell>
        </row>
        <row r="75">
          <cell r="A75" t="str">
            <v>ISLAMPUR</v>
          </cell>
          <cell r="B75" t="str">
            <v>MAHARASHTRA &amp; GOA</v>
          </cell>
          <cell r="C75" t="str">
            <v>KOLHAPUR</v>
          </cell>
        </row>
        <row r="76">
          <cell r="A76" t="str">
            <v>SHIROL(JALSINGPUR)</v>
          </cell>
          <cell r="B76" t="str">
            <v>MAHARASHTRA &amp; GOA</v>
          </cell>
          <cell r="C76" t="str">
            <v>KOLHAPUR</v>
          </cell>
        </row>
        <row r="77">
          <cell r="A77" t="str">
            <v>VITA</v>
          </cell>
          <cell r="B77" t="str">
            <v>MAHARASHTRA &amp; GOA</v>
          </cell>
          <cell r="C77" t="str">
            <v>KOLHAPUR</v>
          </cell>
        </row>
        <row r="78">
          <cell r="A78" t="str">
            <v>WAI</v>
          </cell>
          <cell r="B78" t="str">
            <v>MAHARASHTRA &amp; GOA</v>
          </cell>
          <cell r="C78" t="str">
            <v>KOLHAPUR</v>
          </cell>
        </row>
        <row r="79">
          <cell r="A79" t="str">
            <v>AURANGABAD</v>
          </cell>
          <cell r="B79" t="str">
            <v>MAHARASHTRA &amp; GOA</v>
          </cell>
          <cell r="C79" t="str">
            <v>AURANGABAD</v>
          </cell>
        </row>
        <row r="80">
          <cell r="A80" t="str">
            <v>AHMEDNAGAR</v>
          </cell>
          <cell r="B80" t="str">
            <v>MAHARASHTRA &amp; GOA</v>
          </cell>
          <cell r="C80" t="str">
            <v>AURANGABAD</v>
          </cell>
        </row>
        <row r="81">
          <cell r="A81" t="str">
            <v>NANDED</v>
          </cell>
          <cell r="B81" t="str">
            <v>MAHARASHTRA &amp; GOA</v>
          </cell>
          <cell r="C81" t="str">
            <v>AURANGABAD</v>
          </cell>
        </row>
        <row r="82">
          <cell r="A82" t="str">
            <v>LATUR</v>
          </cell>
          <cell r="B82" t="str">
            <v>MAHARASHTRA &amp; GOA</v>
          </cell>
          <cell r="C82" t="str">
            <v>AURANGABAD</v>
          </cell>
        </row>
        <row r="83">
          <cell r="A83" t="str">
            <v>JALNA</v>
          </cell>
          <cell r="B83" t="str">
            <v>MAHARASHTRA &amp; GOA</v>
          </cell>
          <cell r="C83" t="str">
            <v>AURANGABAD</v>
          </cell>
        </row>
        <row r="84">
          <cell r="A84" t="str">
            <v>KOPARAGON</v>
          </cell>
          <cell r="B84" t="str">
            <v>MAHARASHTRA &amp; GOA</v>
          </cell>
          <cell r="C84" t="str">
            <v>AURANGABAD</v>
          </cell>
        </row>
        <row r="85">
          <cell r="A85" t="str">
            <v>SHRI RAMPUR</v>
          </cell>
          <cell r="B85" t="str">
            <v>MAHARASHTRA &amp; GOA</v>
          </cell>
          <cell r="C85" t="str">
            <v>AURANGABAD</v>
          </cell>
        </row>
        <row r="86">
          <cell r="A86" t="str">
            <v>Bid</v>
          </cell>
          <cell r="B86" t="str">
            <v>MAHARASHTRA &amp; GOA</v>
          </cell>
          <cell r="C86" t="str">
            <v>AURANGABAD</v>
          </cell>
        </row>
        <row r="87">
          <cell r="A87" t="str">
            <v>JUNNAR</v>
          </cell>
          <cell r="B87" t="str">
            <v>MAHARASHTRA &amp; GOA</v>
          </cell>
          <cell r="C87" t="str">
            <v>AURANGABAD</v>
          </cell>
        </row>
        <row r="88">
          <cell r="A88" t="str">
            <v>SANGAMNER</v>
          </cell>
          <cell r="B88" t="str">
            <v>MAHARASHTRA &amp; GOA</v>
          </cell>
          <cell r="C88" t="str">
            <v>AURANGABAD</v>
          </cell>
        </row>
        <row r="89">
          <cell r="A89" t="str">
            <v>OSMANABAD</v>
          </cell>
          <cell r="B89" t="str">
            <v>MAHARASHTRA &amp; GOA</v>
          </cell>
          <cell r="C89" t="str">
            <v>AURANGABAD</v>
          </cell>
        </row>
        <row r="90">
          <cell r="A90" t="str">
            <v>RAHURI</v>
          </cell>
          <cell r="B90" t="str">
            <v>MAHARASHTRA &amp; GOA</v>
          </cell>
          <cell r="C90" t="str">
            <v>AURANGABAD</v>
          </cell>
        </row>
        <row r="91">
          <cell r="A91" t="str">
            <v>BARSI</v>
          </cell>
          <cell r="B91" t="str">
            <v>MAHARASHTRA &amp; GOA</v>
          </cell>
          <cell r="C91" t="str">
            <v>AURANGABAD</v>
          </cell>
        </row>
        <row r="92">
          <cell r="A92" t="str">
            <v>NEWASA</v>
          </cell>
          <cell r="B92" t="str">
            <v>MAHARASHTRA &amp; GOA</v>
          </cell>
          <cell r="C92" t="str">
            <v>AURANGABAD</v>
          </cell>
        </row>
        <row r="93">
          <cell r="A93">
            <v>61</v>
          </cell>
          <cell r="B93">
            <v>1</v>
          </cell>
          <cell r="C93">
            <v>6</v>
          </cell>
        </row>
        <row r="94">
          <cell r="A94" t="str">
            <v>CHENNAI</v>
          </cell>
          <cell r="B94" t="str">
            <v>TAMIL NADU</v>
          </cell>
          <cell r="C94" t="str">
            <v>CHENNAI</v>
          </cell>
        </row>
        <row r="95">
          <cell r="A95" t="str">
            <v>VELLORE</v>
          </cell>
          <cell r="B95" t="str">
            <v>TAMIL NADU</v>
          </cell>
          <cell r="C95" t="str">
            <v>CHENNAI</v>
          </cell>
        </row>
        <row r="96">
          <cell r="A96" t="str">
            <v>Kanchipuram</v>
          </cell>
          <cell r="B96" t="str">
            <v>TAMIL NADU</v>
          </cell>
          <cell r="C96" t="str">
            <v>CHENNAI</v>
          </cell>
        </row>
        <row r="97">
          <cell r="A97" t="str">
            <v>CHENGALPATTU</v>
          </cell>
          <cell r="B97" t="str">
            <v>TAMIL NADU</v>
          </cell>
          <cell r="C97" t="str">
            <v>CHENNAI</v>
          </cell>
        </row>
        <row r="98">
          <cell r="A98" t="str">
            <v>RANIPET</v>
          </cell>
          <cell r="B98" t="str">
            <v>TAMIL NADU</v>
          </cell>
          <cell r="C98" t="str">
            <v>CHENNAI</v>
          </cell>
        </row>
        <row r="99">
          <cell r="A99" t="str">
            <v>VANIYAMBADI</v>
          </cell>
          <cell r="B99" t="str">
            <v>TAMIL NADU</v>
          </cell>
          <cell r="C99" t="str">
            <v>CHENNAI</v>
          </cell>
        </row>
        <row r="100">
          <cell r="A100" t="str">
            <v>GUDIYATHAM</v>
          </cell>
          <cell r="B100" t="str">
            <v>TAMIL NADU</v>
          </cell>
          <cell r="C100" t="str">
            <v>CHENNAI</v>
          </cell>
        </row>
        <row r="101">
          <cell r="A101" t="str">
            <v>PONNERI</v>
          </cell>
          <cell r="B101" t="str">
            <v>TAMIL NADU</v>
          </cell>
          <cell r="C101" t="str">
            <v>CHENNAI</v>
          </cell>
        </row>
        <row r="102">
          <cell r="A102" t="str">
            <v>ARAKKONAM</v>
          </cell>
          <cell r="B102" t="str">
            <v>TAMIL NADU</v>
          </cell>
          <cell r="C102" t="str">
            <v>CHENNAI</v>
          </cell>
        </row>
        <row r="103">
          <cell r="A103" t="str">
            <v>TIRUVELLORE</v>
          </cell>
          <cell r="B103" t="str">
            <v>TAMIL NADU</v>
          </cell>
          <cell r="C103" t="str">
            <v>CHENNAI</v>
          </cell>
        </row>
        <row r="104">
          <cell r="A104" t="str">
            <v>ARNI</v>
          </cell>
          <cell r="B104" t="str">
            <v>TAMIL NADU</v>
          </cell>
          <cell r="C104" t="str">
            <v>CHENNAI</v>
          </cell>
        </row>
        <row r="105">
          <cell r="A105" t="str">
            <v>TIRUTTANI</v>
          </cell>
          <cell r="B105" t="str">
            <v>TAMIL NADU</v>
          </cell>
          <cell r="C105" t="str">
            <v>CHENNAI</v>
          </cell>
        </row>
        <row r="106">
          <cell r="A106" t="str">
            <v>SRIPERUMPUDUR</v>
          </cell>
          <cell r="B106" t="str">
            <v>TAMIL NADU</v>
          </cell>
          <cell r="C106" t="str">
            <v>CHENNAI</v>
          </cell>
        </row>
        <row r="107">
          <cell r="A107" t="str">
            <v>COIMBATORE</v>
          </cell>
          <cell r="B107" t="str">
            <v>TAMIL NADU</v>
          </cell>
          <cell r="C107" t="str">
            <v>COIMBATORE</v>
          </cell>
        </row>
        <row r="108">
          <cell r="A108" t="str">
            <v>TIRUPUR</v>
          </cell>
          <cell r="B108" t="str">
            <v>TAMIL NADU</v>
          </cell>
          <cell r="C108" t="str">
            <v>COIMBATORE</v>
          </cell>
        </row>
        <row r="109">
          <cell r="A109" t="str">
            <v>POLLACHI</v>
          </cell>
          <cell r="B109" t="str">
            <v>TAMIL NADU</v>
          </cell>
          <cell r="C109" t="str">
            <v>COIMBATORE</v>
          </cell>
        </row>
        <row r="110">
          <cell r="A110" t="str">
            <v>Ootacamund</v>
          </cell>
          <cell r="B110" t="str">
            <v>TAMIL NADU</v>
          </cell>
          <cell r="C110" t="str">
            <v>COIMBATORE</v>
          </cell>
        </row>
        <row r="111">
          <cell r="A111" t="str">
            <v>UDUMALPET</v>
          </cell>
          <cell r="B111" t="str">
            <v>TAMIL NADU</v>
          </cell>
          <cell r="C111" t="str">
            <v>COIMBATORE</v>
          </cell>
        </row>
        <row r="112">
          <cell r="A112" t="str">
            <v>METTUPALAYAM</v>
          </cell>
          <cell r="B112" t="str">
            <v>TAMIL NADU</v>
          </cell>
          <cell r="C112" t="str">
            <v>COIMBATORE</v>
          </cell>
        </row>
        <row r="113">
          <cell r="A113" t="str">
            <v>GOBICHETTIPALAYAM</v>
          </cell>
          <cell r="B113" t="str">
            <v>TAMIL NADU</v>
          </cell>
          <cell r="C113" t="str">
            <v>COIMBATORE</v>
          </cell>
        </row>
        <row r="114">
          <cell r="A114" t="str">
            <v>PERUNDURAI</v>
          </cell>
          <cell r="B114" t="str">
            <v>TAMIL NADU</v>
          </cell>
          <cell r="C114" t="str">
            <v>COIMBATORE</v>
          </cell>
        </row>
        <row r="115">
          <cell r="A115" t="str">
            <v>KANGAYAM</v>
          </cell>
          <cell r="B115" t="str">
            <v>TAMIL NADU</v>
          </cell>
          <cell r="C115" t="str">
            <v>COIMBATORE</v>
          </cell>
        </row>
        <row r="116">
          <cell r="A116" t="str">
            <v>PALLADUM</v>
          </cell>
          <cell r="B116" t="str">
            <v>TAMIL NADU</v>
          </cell>
          <cell r="C116" t="str">
            <v>COIMBATORE</v>
          </cell>
        </row>
        <row r="117">
          <cell r="A117" t="str">
            <v>AVANASHI</v>
          </cell>
          <cell r="B117" t="str">
            <v>TAMIL NADU</v>
          </cell>
          <cell r="C117" t="str">
            <v>COIMBATORE</v>
          </cell>
        </row>
        <row r="118">
          <cell r="A118" t="str">
            <v>DHARAMPURAM</v>
          </cell>
          <cell r="B118" t="str">
            <v>TAMIL NADU</v>
          </cell>
          <cell r="C118" t="str">
            <v>COIMBATORE</v>
          </cell>
        </row>
        <row r="119">
          <cell r="A119" t="str">
            <v>SATHIYAMANGALAM</v>
          </cell>
          <cell r="B119" t="str">
            <v>TAMIL NADU</v>
          </cell>
          <cell r="C119" t="str">
            <v>COIMBATORE</v>
          </cell>
        </row>
        <row r="120">
          <cell r="A120" t="str">
            <v>MADURAI</v>
          </cell>
          <cell r="B120" t="str">
            <v>TAMIL NADU</v>
          </cell>
          <cell r="C120" t="str">
            <v>MADURAI</v>
          </cell>
        </row>
        <row r="121">
          <cell r="A121" t="str">
            <v>Tirunelvelli</v>
          </cell>
          <cell r="B121" t="str">
            <v>TAMIL NADU</v>
          </cell>
          <cell r="C121" t="str">
            <v>MADURAI</v>
          </cell>
        </row>
        <row r="122">
          <cell r="A122" t="str">
            <v>TUTICORIN</v>
          </cell>
          <cell r="B122" t="str">
            <v>TAMIL NADU</v>
          </cell>
          <cell r="C122" t="str">
            <v>MADURAI</v>
          </cell>
        </row>
        <row r="123">
          <cell r="A123" t="str">
            <v>DINDIGUL</v>
          </cell>
          <cell r="B123" t="str">
            <v>TAMIL NADU</v>
          </cell>
          <cell r="C123" t="str">
            <v>MADURAI</v>
          </cell>
        </row>
        <row r="124">
          <cell r="A124" t="str">
            <v>Virudhanagar</v>
          </cell>
          <cell r="B124" t="str">
            <v>TAMIL NADU</v>
          </cell>
          <cell r="C124" t="str">
            <v>MADURAI</v>
          </cell>
        </row>
        <row r="125">
          <cell r="A125" t="str">
            <v>Nagarcoil</v>
          </cell>
          <cell r="B125" t="str">
            <v>TAMIL NADU</v>
          </cell>
          <cell r="C125" t="str">
            <v>MADURAI</v>
          </cell>
        </row>
        <row r="126">
          <cell r="A126" t="str">
            <v>RAJAPALAYAM</v>
          </cell>
          <cell r="B126" t="str">
            <v>TAMIL NADU</v>
          </cell>
          <cell r="C126" t="str">
            <v>MADURAI</v>
          </cell>
        </row>
        <row r="127">
          <cell r="A127" t="str">
            <v>KUZHITHURAI</v>
          </cell>
          <cell r="B127" t="str">
            <v>TAMIL NADU</v>
          </cell>
          <cell r="C127" t="str">
            <v>MADURAI</v>
          </cell>
        </row>
        <row r="128">
          <cell r="A128" t="str">
            <v>RAMANATHAPURAM</v>
          </cell>
          <cell r="B128" t="str">
            <v>TAMIL NADU</v>
          </cell>
          <cell r="C128" t="str">
            <v>MADURAI</v>
          </cell>
        </row>
        <row r="129">
          <cell r="A129" t="str">
            <v>KOVILPATTI</v>
          </cell>
          <cell r="B129" t="str">
            <v>TAMIL NADU</v>
          </cell>
          <cell r="C129" t="str">
            <v>MADURAI</v>
          </cell>
        </row>
        <row r="130">
          <cell r="A130" t="str">
            <v>PALANI</v>
          </cell>
          <cell r="B130" t="str">
            <v>TAMIL NADU</v>
          </cell>
          <cell r="C130" t="str">
            <v>MADURAI</v>
          </cell>
        </row>
        <row r="131">
          <cell r="A131" t="str">
            <v>THENI</v>
          </cell>
          <cell r="B131" t="str">
            <v>TAMIL NADU</v>
          </cell>
          <cell r="C131" t="str">
            <v>MADURAI</v>
          </cell>
        </row>
        <row r="132">
          <cell r="A132" t="str">
            <v>TENKASI</v>
          </cell>
          <cell r="B132" t="str">
            <v>TAMIL NADU</v>
          </cell>
          <cell r="C132" t="str">
            <v>MADURAI</v>
          </cell>
        </row>
        <row r="133">
          <cell r="A133" t="str">
            <v>ARUPPUKOTTAI</v>
          </cell>
          <cell r="B133" t="str">
            <v>TAMIL NADU</v>
          </cell>
          <cell r="C133" t="str">
            <v>MADURAI</v>
          </cell>
        </row>
        <row r="134">
          <cell r="A134" t="str">
            <v>SIVAGANGA</v>
          </cell>
          <cell r="B134" t="str">
            <v>TAMIL NADU</v>
          </cell>
          <cell r="C134" t="str">
            <v>MADURAI</v>
          </cell>
        </row>
        <row r="135">
          <cell r="A135" t="str">
            <v>PARAMAKUDI</v>
          </cell>
          <cell r="B135" t="str">
            <v>TAMIL NADU</v>
          </cell>
          <cell r="C135" t="str">
            <v>MADURAI</v>
          </cell>
        </row>
        <row r="136">
          <cell r="A136" t="str">
            <v>KAMBAM</v>
          </cell>
          <cell r="B136" t="str">
            <v>TAMIL NADU</v>
          </cell>
          <cell r="C136" t="str">
            <v>MADURAI</v>
          </cell>
        </row>
        <row r="137">
          <cell r="A137" t="str">
            <v>AMBASAMUDRAM</v>
          </cell>
          <cell r="B137" t="str">
            <v>TAMIL NADU</v>
          </cell>
          <cell r="C137" t="str">
            <v>MADURAI</v>
          </cell>
        </row>
        <row r="138">
          <cell r="A138" t="str">
            <v>VALLIYOOR</v>
          </cell>
          <cell r="B138" t="str">
            <v>TAMIL NADU</v>
          </cell>
          <cell r="C138" t="str">
            <v>MADURAI</v>
          </cell>
        </row>
        <row r="139">
          <cell r="A139" t="str">
            <v>DEVAKOTTAI</v>
          </cell>
          <cell r="B139" t="str">
            <v>TAMIL NADU</v>
          </cell>
          <cell r="C139" t="str">
            <v>MADURAI</v>
          </cell>
        </row>
        <row r="140">
          <cell r="A140" t="str">
            <v>THIRUMANGALAM</v>
          </cell>
          <cell r="B140" t="str">
            <v>TAMIL NADU</v>
          </cell>
          <cell r="C140" t="str">
            <v>MADURAI</v>
          </cell>
        </row>
        <row r="141">
          <cell r="A141" t="str">
            <v>SANKARAN KOIL</v>
          </cell>
          <cell r="B141" t="str">
            <v>TAMIL NADU</v>
          </cell>
          <cell r="C141" t="str">
            <v>MADURAI</v>
          </cell>
        </row>
        <row r="142">
          <cell r="A142" t="str">
            <v>TIRUCHENDUR</v>
          </cell>
          <cell r="B142" t="str">
            <v>TAMIL NADU</v>
          </cell>
          <cell r="C142" t="str">
            <v>MADURAI</v>
          </cell>
        </row>
        <row r="143">
          <cell r="A143" t="str">
            <v>ODDANCHATRAM</v>
          </cell>
          <cell r="B143" t="str">
            <v>TAMIL NADU</v>
          </cell>
          <cell r="C143" t="str">
            <v>MADURAI</v>
          </cell>
        </row>
        <row r="144">
          <cell r="A144" t="str">
            <v>SIVAKASI</v>
          </cell>
          <cell r="B144" t="str">
            <v>TAMIL NADU</v>
          </cell>
          <cell r="C144" t="str">
            <v>MADURAI</v>
          </cell>
        </row>
        <row r="145">
          <cell r="A145" t="str">
            <v>TRICHY</v>
          </cell>
          <cell r="B145" t="str">
            <v>TAMIL NADU</v>
          </cell>
          <cell r="C145" t="str">
            <v>TRICHY</v>
          </cell>
        </row>
        <row r="146">
          <cell r="A146" t="str">
            <v>THANJAVUR</v>
          </cell>
          <cell r="B146" t="str">
            <v>TAMIL NADU</v>
          </cell>
          <cell r="C146" t="str">
            <v>TRICHY</v>
          </cell>
        </row>
        <row r="147">
          <cell r="A147" t="str">
            <v>KUMBAKONAM</v>
          </cell>
          <cell r="B147" t="str">
            <v>TAMIL NADU</v>
          </cell>
          <cell r="C147" t="str">
            <v>TRICHY</v>
          </cell>
        </row>
        <row r="148">
          <cell r="A148" t="str">
            <v>KARAIKUDI</v>
          </cell>
          <cell r="B148" t="str">
            <v>TAMIL NADU</v>
          </cell>
          <cell r="C148" t="str">
            <v>TRICHY</v>
          </cell>
        </row>
        <row r="149">
          <cell r="A149" t="str">
            <v>PUDUKKOTTAI</v>
          </cell>
          <cell r="B149" t="str">
            <v>TAMIL NADU</v>
          </cell>
          <cell r="C149" t="str">
            <v>TRICHY</v>
          </cell>
        </row>
        <row r="150">
          <cell r="A150" t="str">
            <v>NAGAPATTINAM</v>
          </cell>
          <cell r="B150" t="str">
            <v>TAMIL NADU</v>
          </cell>
          <cell r="C150" t="str">
            <v>TRICHY</v>
          </cell>
        </row>
        <row r="151">
          <cell r="A151" t="str">
            <v>MAYILADUTHURAI</v>
          </cell>
          <cell r="B151" t="str">
            <v>TAMIL NADU</v>
          </cell>
          <cell r="C151" t="str">
            <v>TRICHY</v>
          </cell>
        </row>
        <row r="152">
          <cell r="A152" t="str">
            <v>KARAIKAL</v>
          </cell>
          <cell r="B152" t="str">
            <v>TAMIL NADU</v>
          </cell>
          <cell r="C152" t="str">
            <v>TRICHY</v>
          </cell>
        </row>
        <row r="153">
          <cell r="A153" t="str">
            <v>TIRUVARUR</v>
          </cell>
          <cell r="B153" t="str">
            <v>TAMIL NADU</v>
          </cell>
          <cell r="C153" t="str">
            <v>TRICHY</v>
          </cell>
        </row>
        <row r="154">
          <cell r="A154" t="str">
            <v>PAPANASAM</v>
          </cell>
          <cell r="B154" t="str">
            <v>TAMIL NADU</v>
          </cell>
          <cell r="C154" t="str">
            <v>TRICHY</v>
          </cell>
        </row>
        <row r="155">
          <cell r="A155" t="str">
            <v>MANNARGUDI</v>
          </cell>
          <cell r="B155" t="str">
            <v>TAMIL NADU</v>
          </cell>
          <cell r="C155" t="str">
            <v>TRICHY</v>
          </cell>
        </row>
        <row r="156">
          <cell r="A156" t="str">
            <v>PATTUKOTTAI</v>
          </cell>
          <cell r="B156" t="str">
            <v>TAMIL NADU</v>
          </cell>
          <cell r="C156" t="str">
            <v>TRICHY</v>
          </cell>
        </row>
        <row r="157">
          <cell r="A157" t="str">
            <v>ARIYALUR</v>
          </cell>
          <cell r="B157" t="str">
            <v>TAMIL NADU</v>
          </cell>
          <cell r="C157" t="str">
            <v>TRICHY</v>
          </cell>
        </row>
        <row r="158">
          <cell r="A158" t="str">
            <v>PERAMBALUR</v>
          </cell>
          <cell r="B158" t="str">
            <v>TAMIL NADU</v>
          </cell>
          <cell r="C158" t="str">
            <v>TRICHY</v>
          </cell>
        </row>
        <row r="159">
          <cell r="A159" t="str">
            <v>THIRURAIPOONDI</v>
          </cell>
          <cell r="B159" t="str">
            <v>TAMIL NADU</v>
          </cell>
          <cell r="C159" t="str">
            <v>TRICHY</v>
          </cell>
        </row>
        <row r="160">
          <cell r="A160" t="str">
            <v>SALEM</v>
          </cell>
          <cell r="B160" t="str">
            <v>TAMIL NADU</v>
          </cell>
          <cell r="C160" t="str">
            <v>SALEM</v>
          </cell>
        </row>
        <row r="161">
          <cell r="A161" t="str">
            <v>ERODE</v>
          </cell>
          <cell r="B161" t="str">
            <v>TAMIL NADU</v>
          </cell>
          <cell r="C161" t="str">
            <v>SALEM</v>
          </cell>
        </row>
        <row r="162">
          <cell r="A162" t="str">
            <v>KARUR</v>
          </cell>
          <cell r="B162" t="str">
            <v>TAMIL NADU</v>
          </cell>
          <cell r="C162" t="str">
            <v>SALEM</v>
          </cell>
        </row>
        <row r="163">
          <cell r="A163" t="str">
            <v>HOSUR</v>
          </cell>
          <cell r="B163" t="str">
            <v>TAMIL NADU</v>
          </cell>
          <cell r="C163" t="str">
            <v>SALEM</v>
          </cell>
        </row>
        <row r="164">
          <cell r="A164" t="str">
            <v>TIRUCHENGODE</v>
          </cell>
          <cell r="B164" t="str">
            <v>TAMIL NADU</v>
          </cell>
          <cell r="C164" t="str">
            <v>SALEM</v>
          </cell>
        </row>
        <row r="165">
          <cell r="A165" t="str">
            <v>NAMAKKAL</v>
          </cell>
          <cell r="B165" t="str">
            <v>TAMIL NADU</v>
          </cell>
          <cell r="C165" t="str">
            <v>SALEM</v>
          </cell>
        </row>
        <row r="166">
          <cell r="A166" t="str">
            <v>DHARMAPURI</v>
          </cell>
          <cell r="B166" t="str">
            <v>TAMIL NADU</v>
          </cell>
          <cell r="C166" t="str">
            <v>SALEM</v>
          </cell>
        </row>
        <row r="167">
          <cell r="A167" t="str">
            <v>BHAVANI</v>
          </cell>
          <cell r="B167" t="str">
            <v>TAMIL NADU</v>
          </cell>
          <cell r="C167" t="str">
            <v>SALEM</v>
          </cell>
        </row>
        <row r="168">
          <cell r="A168" t="str">
            <v>RASIPURAM</v>
          </cell>
          <cell r="B168" t="str">
            <v>TAMIL NADU</v>
          </cell>
          <cell r="C168" t="str">
            <v>SALEM</v>
          </cell>
        </row>
        <row r="169">
          <cell r="A169" t="str">
            <v>SANKAGIRI</v>
          </cell>
          <cell r="B169" t="str">
            <v>TAMIL NADU</v>
          </cell>
          <cell r="C169" t="str">
            <v>SALEM</v>
          </cell>
        </row>
        <row r="170">
          <cell r="A170" t="str">
            <v>ATTUR</v>
          </cell>
          <cell r="B170" t="str">
            <v>TAMIL NADU</v>
          </cell>
          <cell r="C170" t="str">
            <v>SALEM</v>
          </cell>
        </row>
        <row r="171">
          <cell r="A171" t="str">
            <v>KRISHNAGIRI</v>
          </cell>
          <cell r="B171" t="str">
            <v>TAMIL NADU</v>
          </cell>
          <cell r="C171" t="str">
            <v>SALEM</v>
          </cell>
        </row>
        <row r="172">
          <cell r="A172" t="str">
            <v>METTURDAM</v>
          </cell>
          <cell r="B172" t="str">
            <v>TAMIL NADU</v>
          </cell>
          <cell r="C172" t="str">
            <v>SALEM</v>
          </cell>
        </row>
        <row r="173">
          <cell r="A173" t="str">
            <v xml:space="preserve"> Tirupattur</v>
          </cell>
          <cell r="B173" t="str">
            <v>TAMIL NADU</v>
          </cell>
          <cell r="C173" t="str">
            <v>SALEM</v>
          </cell>
        </row>
        <row r="174">
          <cell r="A174" t="str">
            <v>VELUR</v>
          </cell>
          <cell r="B174" t="str">
            <v>TAMIL NADU</v>
          </cell>
          <cell r="C174" t="str">
            <v>SALEM</v>
          </cell>
        </row>
        <row r="175">
          <cell r="A175" t="str">
            <v>Pondhicherry</v>
          </cell>
          <cell r="B175" t="str">
            <v>TAMIL NADU</v>
          </cell>
          <cell r="C175" t="str">
            <v>PONDICHERRY</v>
          </cell>
        </row>
        <row r="176">
          <cell r="A176" t="str">
            <v>CUDDALORE</v>
          </cell>
          <cell r="B176" t="str">
            <v>TAMIL NADU</v>
          </cell>
          <cell r="C176" t="str">
            <v>PONDICHERRY</v>
          </cell>
        </row>
        <row r="177">
          <cell r="A177" t="str">
            <v>VILLUPURAM</v>
          </cell>
          <cell r="B177" t="str">
            <v>TAMIL NADU</v>
          </cell>
          <cell r="C177" t="str">
            <v>PONDICHERRY</v>
          </cell>
        </row>
        <row r="178">
          <cell r="A178" t="str">
            <v>CHIDAMBARAM</v>
          </cell>
          <cell r="B178" t="str">
            <v>TAMIL NADU</v>
          </cell>
          <cell r="C178" t="str">
            <v>PONDICHERRY</v>
          </cell>
        </row>
        <row r="179">
          <cell r="A179" t="str">
            <v>TIRUVANNAMALAI</v>
          </cell>
          <cell r="B179" t="str">
            <v>TAMIL NADU</v>
          </cell>
          <cell r="C179" t="str">
            <v>PONDICHERRY</v>
          </cell>
        </row>
        <row r="180">
          <cell r="A180" t="str">
            <v>TINDIVANAM</v>
          </cell>
          <cell r="B180" t="str">
            <v>TAMIL NADU</v>
          </cell>
          <cell r="C180" t="str">
            <v>PONDICHERRY</v>
          </cell>
        </row>
        <row r="181">
          <cell r="A181" t="str">
            <v>VIRUDHACHALAM</v>
          </cell>
          <cell r="B181" t="str">
            <v>TAMIL NADU</v>
          </cell>
          <cell r="C181" t="str">
            <v>PONDICHERRY</v>
          </cell>
        </row>
        <row r="182">
          <cell r="A182" t="str">
            <v>KALLKURICHI</v>
          </cell>
          <cell r="B182" t="str">
            <v>TAMIL NADU</v>
          </cell>
          <cell r="C182" t="str">
            <v>PONDICHERRY</v>
          </cell>
        </row>
        <row r="183">
          <cell r="A183">
            <v>89</v>
          </cell>
          <cell r="B183">
            <v>1</v>
          </cell>
          <cell r="C183">
            <v>6</v>
          </cell>
        </row>
        <row r="184">
          <cell r="A184" t="str">
            <v>MUMBAI</v>
          </cell>
          <cell r="B184" t="str">
            <v>MUMBAI</v>
          </cell>
          <cell r="C184" t="str">
            <v>MUMBAI</v>
          </cell>
        </row>
        <row r="185">
          <cell r="A185" t="str">
            <v>THURBE</v>
          </cell>
          <cell r="B185" t="str">
            <v>MUMBAI</v>
          </cell>
          <cell r="C185" t="str">
            <v>MUMBAI</v>
          </cell>
        </row>
        <row r="186">
          <cell r="A186">
            <v>2</v>
          </cell>
          <cell r="B186">
            <v>1</v>
          </cell>
          <cell r="C186">
            <v>1</v>
          </cell>
        </row>
        <row r="187">
          <cell r="A187" t="str">
            <v>HYDERABAD</v>
          </cell>
          <cell r="B187" t="str">
            <v>ANDHRA PRADESH</v>
          </cell>
          <cell r="C187" t="str">
            <v>HYDERABAD</v>
          </cell>
        </row>
        <row r="188">
          <cell r="A188" t="str">
            <v>SANGAREDDY</v>
          </cell>
          <cell r="B188" t="str">
            <v>ANDHRA PRADESH</v>
          </cell>
          <cell r="C188" t="str">
            <v>HYDERABAD</v>
          </cell>
        </row>
        <row r="189">
          <cell r="A189" t="str">
            <v>MEDCHAL</v>
          </cell>
          <cell r="B189" t="str">
            <v>ANDHRA PRADESH</v>
          </cell>
          <cell r="C189" t="str">
            <v>HYDERABAD</v>
          </cell>
        </row>
        <row r="190">
          <cell r="A190" t="str">
            <v>HYDERABAD (EAST) GHATKESWAR</v>
          </cell>
          <cell r="B190" t="str">
            <v>ANDHRA PRADESH</v>
          </cell>
          <cell r="C190" t="str">
            <v>HYDERABAD</v>
          </cell>
        </row>
        <row r="191">
          <cell r="A191" t="str">
            <v>ZAHIRABAD</v>
          </cell>
          <cell r="B191" t="str">
            <v>ANDHRA PRADESH</v>
          </cell>
          <cell r="C191" t="str">
            <v>HYDERABAD</v>
          </cell>
        </row>
        <row r="192">
          <cell r="A192" t="str">
            <v>BHONGIR</v>
          </cell>
          <cell r="B192" t="str">
            <v>ANDHRA PRADESH</v>
          </cell>
          <cell r="C192" t="str">
            <v>HYDERABAD</v>
          </cell>
        </row>
        <row r="193">
          <cell r="A193" t="str">
            <v>HYDERABAD (WEST) SHAMSHABAD</v>
          </cell>
          <cell r="B193" t="str">
            <v>ANDHRA PRADESH</v>
          </cell>
          <cell r="C193" t="str">
            <v>HYDERABAD</v>
          </cell>
        </row>
        <row r="194">
          <cell r="A194" t="str">
            <v>SHADNAGAR</v>
          </cell>
          <cell r="B194" t="str">
            <v>ANDHRA PRADESH</v>
          </cell>
          <cell r="C194" t="str">
            <v>HYDERABAD</v>
          </cell>
        </row>
        <row r="195">
          <cell r="A195" t="str">
            <v>VISAKHAPATNAM</v>
          </cell>
          <cell r="B195" t="str">
            <v>ANDHRA PRADESH</v>
          </cell>
          <cell r="C195" t="str">
            <v>VISAKHAPATNAM</v>
          </cell>
        </row>
        <row r="196">
          <cell r="A196" t="str">
            <v>KAKINADA</v>
          </cell>
          <cell r="B196" t="str">
            <v>ANDHRA PRADESH</v>
          </cell>
          <cell r="C196" t="str">
            <v>VISAKHAPATNAM</v>
          </cell>
        </row>
        <row r="197">
          <cell r="A197" t="str">
            <v>Rajmundry</v>
          </cell>
          <cell r="B197" t="str">
            <v>ANDHRA PRADESH</v>
          </cell>
          <cell r="C197" t="str">
            <v>VISAKHAPATNAM</v>
          </cell>
        </row>
        <row r="198">
          <cell r="A198" t="str">
            <v>BHIMAVARAM</v>
          </cell>
          <cell r="B198" t="str">
            <v>ANDHRA PRADESH</v>
          </cell>
          <cell r="C198" t="str">
            <v>VISAKHAPATNAM</v>
          </cell>
        </row>
        <row r="199">
          <cell r="A199" t="str">
            <v>Vijayanagaram</v>
          </cell>
          <cell r="B199" t="str">
            <v>ANDHRA PRADESH</v>
          </cell>
          <cell r="C199" t="str">
            <v>VISAKHAPATNAM</v>
          </cell>
        </row>
        <row r="200">
          <cell r="A200" t="str">
            <v>Srikakulum</v>
          </cell>
          <cell r="B200" t="str">
            <v>ANDHRA PRADESH</v>
          </cell>
          <cell r="C200" t="str">
            <v>VISAKHAPATNAM</v>
          </cell>
        </row>
        <row r="201">
          <cell r="A201" t="str">
            <v>TADEPALLIGUDEM</v>
          </cell>
          <cell r="B201" t="str">
            <v>ANDHRA PRADESH</v>
          </cell>
          <cell r="C201" t="str">
            <v>VISAKHAPATNAM</v>
          </cell>
        </row>
        <row r="202">
          <cell r="A202" t="str">
            <v>ANAKAPALLE</v>
          </cell>
          <cell r="B202" t="str">
            <v>ANDHRA PRADESH</v>
          </cell>
          <cell r="C202" t="str">
            <v>VISAKHAPATNAM</v>
          </cell>
        </row>
        <row r="203">
          <cell r="A203" t="str">
            <v>TANUKU</v>
          </cell>
          <cell r="B203" t="str">
            <v>ANDHRA PRADESH</v>
          </cell>
          <cell r="C203" t="str">
            <v>VISAKHAPATNAM</v>
          </cell>
        </row>
        <row r="204">
          <cell r="A204" t="str">
            <v>NARSAPUR(PALAKOLE)</v>
          </cell>
          <cell r="B204" t="str">
            <v>ANDHRA PRADESH</v>
          </cell>
          <cell r="C204" t="str">
            <v>VISAKHAPATNAM</v>
          </cell>
        </row>
        <row r="205">
          <cell r="A205" t="str">
            <v>AMALAPURAM</v>
          </cell>
          <cell r="B205" t="str">
            <v>ANDHRA PRADESH</v>
          </cell>
          <cell r="C205" t="str">
            <v>VISAKHAPATNAM</v>
          </cell>
        </row>
        <row r="206">
          <cell r="A206" t="str">
            <v>TUNI</v>
          </cell>
          <cell r="B206" t="str">
            <v>ANDHRA PRADESH</v>
          </cell>
          <cell r="C206" t="str">
            <v>VISAKHAPATNAM</v>
          </cell>
        </row>
        <row r="207">
          <cell r="A207" t="str">
            <v>MANDAPETA (RAVULAPALEM)</v>
          </cell>
          <cell r="B207" t="str">
            <v>ANDHRA PRADESH</v>
          </cell>
          <cell r="C207" t="str">
            <v>VISAKHAPATNAM</v>
          </cell>
        </row>
        <row r="208">
          <cell r="A208" t="str">
            <v>KAIKALURU</v>
          </cell>
          <cell r="B208" t="str">
            <v>ANDHRA PRADESH</v>
          </cell>
          <cell r="C208" t="str">
            <v>VISAKHAPATNAM</v>
          </cell>
        </row>
        <row r="209">
          <cell r="A209" t="str">
            <v>RAMACHANDRAPURAM</v>
          </cell>
          <cell r="B209" t="str">
            <v>ANDHRA PRADESH</v>
          </cell>
          <cell r="C209" t="str">
            <v>VISAKHAPATNAM</v>
          </cell>
        </row>
        <row r="210">
          <cell r="A210" t="str">
            <v>PEDDAPURAM</v>
          </cell>
          <cell r="B210" t="str">
            <v>ANDHRA PRADESH</v>
          </cell>
          <cell r="C210" t="str">
            <v>VISAKHAPATNAM</v>
          </cell>
        </row>
        <row r="211">
          <cell r="A211" t="str">
            <v>BHIMADOLE</v>
          </cell>
          <cell r="B211" t="str">
            <v>ANDHRA PRADESH</v>
          </cell>
          <cell r="C211" t="str">
            <v>VISAKHAPATNAM</v>
          </cell>
        </row>
        <row r="212">
          <cell r="A212" t="str">
            <v>TEKKALI(PALASA)</v>
          </cell>
          <cell r="B212" t="str">
            <v>ANDHRA PRADESH</v>
          </cell>
          <cell r="C212" t="str">
            <v>VISAKHAPATNAM</v>
          </cell>
        </row>
        <row r="213">
          <cell r="A213" t="str">
            <v>VIJAYAWADA</v>
          </cell>
          <cell r="B213" t="str">
            <v>ANDHRA PRADESH</v>
          </cell>
          <cell r="C213" t="str">
            <v>GUNTUR</v>
          </cell>
        </row>
        <row r="214">
          <cell r="A214" t="str">
            <v>GUNTUR</v>
          </cell>
          <cell r="B214" t="str">
            <v>ANDHRA PRADESH</v>
          </cell>
          <cell r="C214" t="str">
            <v>GUNTUR</v>
          </cell>
        </row>
        <row r="215">
          <cell r="A215" t="str">
            <v>KHAMMAM</v>
          </cell>
          <cell r="B215" t="str">
            <v>ANDHRA PRADESH</v>
          </cell>
          <cell r="C215" t="str">
            <v>GUNTUR</v>
          </cell>
        </row>
        <row r="216">
          <cell r="A216" t="str">
            <v>ELURU</v>
          </cell>
          <cell r="B216" t="str">
            <v>ANDHRA PRADESH</v>
          </cell>
          <cell r="C216" t="str">
            <v>GUNTUR</v>
          </cell>
        </row>
        <row r="217">
          <cell r="A217" t="str">
            <v>BANDAR  (MACHILIPATNAM)</v>
          </cell>
          <cell r="B217" t="str">
            <v>ANDHRA PRADESH</v>
          </cell>
          <cell r="C217" t="str">
            <v>GUNTUR</v>
          </cell>
        </row>
        <row r="218">
          <cell r="A218" t="str">
            <v>Tenalli</v>
          </cell>
          <cell r="B218" t="str">
            <v>ANDHRA PRADESH</v>
          </cell>
          <cell r="C218" t="str">
            <v>GUNTUR</v>
          </cell>
        </row>
        <row r="219">
          <cell r="A219" t="str">
            <v>NALGONDA</v>
          </cell>
          <cell r="B219" t="str">
            <v>ANDHRA PRADESH</v>
          </cell>
          <cell r="C219" t="str">
            <v>GUNTUR</v>
          </cell>
        </row>
        <row r="220">
          <cell r="A220" t="str">
            <v>GUDIVADA</v>
          </cell>
          <cell r="B220" t="str">
            <v>ANDHRA PRADESH</v>
          </cell>
          <cell r="C220" t="str">
            <v>GUNTUR</v>
          </cell>
        </row>
        <row r="221">
          <cell r="A221" t="str">
            <v>NARSARAOPET</v>
          </cell>
          <cell r="B221" t="str">
            <v>ANDHRA PRADESH</v>
          </cell>
          <cell r="C221" t="str">
            <v>GUNTUR</v>
          </cell>
        </row>
        <row r="222">
          <cell r="A222" t="str">
            <v>KOTHAGUDEM</v>
          </cell>
          <cell r="B222" t="str">
            <v>ANDHRA PRADESH</v>
          </cell>
          <cell r="C222" t="str">
            <v>GUNTUR</v>
          </cell>
        </row>
        <row r="223">
          <cell r="A223" t="str">
            <v>SURYAPET</v>
          </cell>
          <cell r="B223" t="str">
            <v>ANDHRA PRADESH</v>
          </cell>
          <cell r="C223" t="str">
            <v>GUNTUR</v>
          </cell>
        </row>
        <row r="224">
          <cell r="A224" t="str">
            <v>MIRYALGUDA</v>
          </cell>
          <cell r="B224" t="str">
            <v>ANDHRA PRADESH</v>
          </cell>
          <cell r="C224" t="str">
            <v>GUNTUR</v>
          </cell>
        </row>
        <row r="225">
          <cell r="A225" t="str">
            <v>VUYYURU</v>
          </cell>
          <cell r="B225" t="str">
            <v>ANDHRA PRADESH</v>
          </cell>
          <cell r="C225" t="str">
            <v>GUNTUR</v>
          </cell>
        </row>
        <row r="226">
          <cell r="A226" t="str">
            <v>MANGALAGIRI</v>
          </cell>
          <cell r="B226" t="str">
            <v>ANDHRA PRADESH</v>
          </cell>
          <cell r="C226" t="str">
            <v>GUNTUR</v>
          </cell>
        </row>
        <row r="227">
          <cell r="A227" t="str">
            <v>BAPATLA</v>
          </cell>
          <cell r="B227" t="str">
            <v>ANDHRA PRADESH</v>
          </cell>
          <cell r="C227" t="str">
            <v>GUNTUR</v>
          </cell>
        </row>
        <row r="228">
          <cell r="A228" t="str">
            <v>JAGGAYYAPET</v>
          </cell>
          <cell r="B228" t="str">
            <v>ANDHRA PRADESH</v>
          </cell>
          <cell r="C228" t="str">
            <v>GUNTUR</v>
          </cell>
        </row>
        <row r="229">
          <cell r="A229" t="str">
            <v>HAZURNAGAR</v>
          </cell>
          <cell r="B229" t="str">
            <v>ANDHRA PRADESH</v>
          </cell>
          <cell r="C229" t="str">
            <v>GUNTUR</v>
          </cell>
        </row>
        <row r="230">
          <cell r="A230" t="str">
            <v>NUZVIDU</v>
          </cell>
          <cell r="B230" t="str">
            <v>ANDHRA PRADESH</v>
          </cell>
          <cell r="C230" t="str">
            <v>GUNTUR</v>
          </cell>
        </row>
        <row r="231">
          <cell r="A231" t="str">
            <v>NANDIGAMA</v>
          </cell>
          <cell r="B231" t="str">
            <v>ANDHRA PRADESH</v>
          </cell>
          <cell r="C231" t="str">
            <v>GUNTUR</v>
          </cell>
        </row>
        <row r="232">
          <cell r="A232" t="str">
            <v>JANGAREDDYGUDEM</v>
          </cell>
          <cell r="B232" t="str">
            <v>ANDHRA PRADESH</v>
          </cell>
          <cell r="C232" t="str">
            <v>GUNTUR</v>
          </cell>
        </row>
        <row r="233">
          <cell r="A233" t="str">
            <v>SATTANEPALLI</v>
          </cell>
          <cell r="B233" t="str">
            <v>ANDHRA PRADESH</v>
          </cell>
          <cell r="C233" t="str">
            <v>GUNTUR</v>
          </cell>
        </row>
        <row r="234">
          <cell r="A234" t="str">
            <v>CHALLAPALLI</v>
          </cell>
          <cell r="B234" t="str">
            <v>ANDHRA PRADESH</v>
          </cell>
          <cell r="C234" t="str">
            <v>GUNTUR</v>
          </cell>
        </row>
        <row r="235">
          <cell r="A235" t="str">
            <v>REPALLE</v>
          </cell>
          <cell r="B235" t="str">
            <v>ANDHRA PRADESH</v>
          </cell>
          <cell r="C235" t="str">
            <v>GUNTUR</v>
          </cell>
        </row>
        <row r="236">
          <cell r="A236" t="str">
            <v>WARANGAL</v>
          </cell>
          <cell r="B236" t="str">
            <v>ANDHRA PRADESH</v>
          </cell>
          <cell r="C236" t="str">
            <v>WARANGAL</v>
          </cell>
        </row>
        <row r="237">
          <cell r="A237" t="str">
            <v>KARIMNAGAR</v>
          </cell>
          <cell r="B237" t="str">
            <v>ANDHRA PRADESH</v>
          </cell>
          <cell r="C237" t="str">
            <v>WARANGAL</v>
          </cell>
        </row>
        <row r="238">
          <cell r="A238" t="str">
            <v>Pedapalle</v>
          </cell>
          <cell r="B238" t="str">
            <v>ANDHRA PRADESH</v>
          </cell>
          <cell r="C238" t="str">
            <v>WARANGAL</v>
          </cell>
        </row>
        <row r="239">
          <cell r="A239" t="str">
            <v>Dichpalli</v>
          </cell>
          <cell r="B239" t="str">
            <v>ANDHRA PRADESH</v>
          </cell>
          <cell r="C239" t="str">
            <v>WARANGAL</v>
          </cell>
        </row>
        <row r="240">
          <cell r="A240" t="str">
            <v>ADILABAD</v>
          </cell>
          <cell r="B240" t="str">
            <v>ANDHRA PRADESH</v>
          </cell>
          <cell r="C240" t="str">
            <v>WARANGAL</v>
          </cell>
        </row>
        <row r="241">
          <cell r="A241" t="str">
            <v>SIDDIPET</v>
          </cell>
          <cell r="B241" t="str">
            <v>ANDHRA PRADESH</v>
          </cell>
          <cell r="C241" t="str">
            <v>WARANGAL</v>
          </cell>
        </row>
        <row r="242">
          <cell r="A242" t="str">
            <v>MANCHERIAL</v>
          </cell>
          <cell r="B242" t="str">
            <v>ANDHRA PRADESH</v>
          </cell>
          <cell r="C242" t="str">
            <v>WARANGAL</v>
          </cell>
        </row>
        <row r="243">
          <cell r="A243" t="str">
            <v>JAGTIAL</v>
          </cell>
          <cell r="B243" t="str">
            <v>ANDHRA PRADESH</v>
          </cell>
          <cell r="C243" t="str">
            <v>WARANGAL</v>
          </cell>
        </row>
        <row r="244">
          <cell r="A244" t="str">
            <v>NIRMAL</v>
          </cell>
          <cell r="B244" t="str">
            <v>ANDHRA PRADESH</v>
          </cell>
          <cell r="C244" t="str">
            <v>WARANGAL</v>
          </cell>
        </row>
        <row r="245">
          <cell r="A245" t="str">
            <v>KAMAREDDY</v>
          </cell>
          <cell r="B245" t="str">
            <v>ANDHRA PRADESH</v>
          </cell>
          <cell r="C245" t="str">
            <v>WARANGAL</v>
          </cell>
        </row>
        <row r="246">
          <cell r="A246" t="str">
            <v>ARMOOR</v>
          </cell>
          <cell r="B246" t="str">
            <v>ANDHRA PRADESH</v>
          </cell>
          <cell r="C246" t="str">
            <v>WARANGAL</v>
          </cell>
        </row>
        <row r="247">
          <cell r="A247" t="str">
            <v>JANGAON</v>
          </cell>
          <cell r="B247" t="str">
            <v>ANDHRA PRADESH</v>
          </cell>
          <cell r="C247" t="str">
            <v>WARANGAL</v>
          </cell>
        </row>
        <row r="248">
          <cell r="A248" t="str">
            <v>SIRCILLA</v>
          </cell>
          <cell r="B248" t="str">
            <v>ANDHRA PRADESH</v>
          </cell>
          <cell r="C248" t="str">
            <v>WARANGAL</v>
          </cell>
        </row>
        <row r="249">
          <cell r="A249" t="str">
            <v>BODHAN</v>
          </cell>
          <cell r="B249" t="str">
            <v>ANDHRA PRADESH</v>
          </cell>
          <cell r="C249" t="str">
            <v>WARANGAL</v>
          </cell>
        </row>
        <row r="250">
          <cell r="A250" t="str">
            <v>MEDAK</v>
          </cell>
          <cell r="B250" t="str">
            <v>ANDHRA PRADESH</v>
          </cell>
          <cell r="C250" t="str">
            <v>WARANGAL</v>
          </cell>
        </row>
        <row r="251">
          <cell r="A251" t="str">
            <v>METPALLI</v>
          </cell>
          <cell r="B251" t="str">
            <v>ANDHRA PRADESH</v>
          </cell>
          <cell r="C251" t="str">
            <v>WARANGAL</v>
          </cell>
        </row>
        <row r="252">
          <cell r="A252" t="str">
            <v>HUZURABAD</v>
          </cell>
          <cell r="B252" t="str">
            <v>ANDHRA PRADESH</v>
          </cell>
          <cell r="C252" t="str">
            <v>WARANGAL</v>
          </cell>
        </row>
        <row r="253">
          <cell r="A253" t="str">
            <v>Tirupati</v>
          </cell>
          <cell r="B253" t="str">
            <v>ANDHRA PRADESH</v>
          </cell>
          <cell r="C253" t="str">
            <v>NELLORE</v>
          </cell>
        </row>
        <row r="254">
          <cell r="A254" t="str">
            <v>NELLORE</v>
          </cell>
          <cell r="B254" t="str">
            <v>ANDHRA PRADESH</v>
          </cell>
          <cell r="C254" t="str">
            <v>NELLORE</v>
          </cell>
        </row>
        <row r="255">
          <cell r="A255" t="str">
            <v>CUDDAPAH</v>
          </cell>
          <cell r="B255" t="str">
            <v>ANDHRA PRADESH</v>
          </cell>
          <cell r="C255" t="str">
            <v>NELLORE</v>
          </cell>
        </row>
        <row r="256">
          <cell r="A256" t="str">
            <v>ONGOLE</v>
          </cell>
          <cell r="B256" t="str">
            <v>ANDHRA PRADESH</v>
          </cell>
          <cell r="C256" t="str">
            <v>NELLORE</v>
          </cell>
        </row>
        <row r="257">
          <cell r="A257" t="str">
            <v>CHITTOOR</v>
          </cell>
          <cell r="B257" t="str">
            <v>ANDHRA PRADESH</v>
          </cell>
          <cell r="C257" t="str">
            <v>NELLORE</v>
          </cell>
        </row>
        <row r="258">
          <cell r="A258" t="str">
            <v>PRODDATUR</v>
          </cell>
          <cell r="B258" t="str">
            <v>ANDHRA PRADESH</v>
          </cell>
          <cell r="C258" t="str">
            <v>NELLORE</v>
          </cell>
        </row>
        <row r="259">
          <cell r="A259" t="str">
            <v>CHIRALA</v>
          </cell>
          <cell r="B259" t="str">
            <v>ANDHRA PRADESH</v>
          </cell>
          <cell r="C259" t="str">
            <v>NELLORE</v>
          </cell>
        </row>
        <row r="260">
          <cell r="A260" t="str">
            <v>KAVALI</v>
          </cell>
          <cell r="B260" t="str">
            <v>ANDHRA PRADESH</v>
          </cell>
          <cell r="C260" t="str">
            <v>NELLORE</v>
          </cell>
        </row>
        <row r="261">
          <cell r="A261" t="str">
            <v>GUDUR</v>
          </cell>
          <cell r="B261" t="str">
            <v>ANDHRA PRADESH</v>
          </cell>
          <cell r="C261" t="str">
            <v>NELLORE</v>
          </cell>
        </row>
        <row r="262">
          <cell r="A262" t="str">
            <v>SRIKALAHASTHI</v>
          </cell>
          <cell r="B262" t="str">
            <v>ANDHRA PRADESH</v>
          </cell>
          <cell r="C262" t="str">
            <v>NELLORE</v>
          </cell>
        </row>
        <row r="263">
          <cell r="A263" t="str">
            <v>RAYACHOTI</v>
          </cell>
          <cell r="B263" t="str">
            <v>ANDHRA PRADESH</v>
          </cell>
          <cell r="C263" t="str">
            <v>NELLORE</v>
          </cell>
        </row>
        <row r="264">
          <cell r="A264" t="str">
            <v>KOVVUR (NIDADAVOLU)</v>
          </cell>
          <cell r="B264" t="str">
            <v>ANDHRA PRADESH</v>
          </cell>
          <cell r="C264" t="str">
            <v>NELLORE</v>
          </cell>
        </row>
        <row r="265">
          <cell r="A265" t="str">
            <v>PUTTURU</v>
          </cell>
          <cell r="B265" t="str">
            <v>ANDHRA PRADESH</v>
          </cell>
          <cell r="C265" t="str">
            <v>NELLORE</v>
          </cell>
        </row>
        <row r="266">
          <cell r="A266" t="str">
            <v>KOVVUR</v>
          </cell>
          <cell r="B266" t="str">
            <v>ANDHRA PRADESH</v>
          </cell>
          <cell r="C266" t="str">
            <v>NELLORE</v>
          </cell>
        </row>
        <row r="267">
          <cell r="A267" t="str">
            <v>SULLURPET</v>
          </cell>
          <cell r="B267" t="str">
            <v>ANDHRA PRADESH</v>
          </cell>
          <cell r="C267" t="str">
            <v>NELLORE</v>
          </cell>
        </row>
        <row r="268">
          <cell r="A268" t="str">
            <v>KUPPAM</v>
          </cell>
          <cell r="B268" t="str">
            <v>ANDHRA PRADESH</v>
          </cell>
          <cell r="C268" t="str">
            <v>NELLORE</v>
          </cell>
        </row>
        <row r="269">
          <cell r="A269" t="str">
            <v>KURNOOL</v>
          </cell>
          <cell r="B269" t="str">
            <v>ANDHRA PRADESH</v>
          </cell>
          <cell r="C269" t="str">
            <v>KURNOOL</v>
          </cell>
        </row>
        <row r="270">
          <cell r="A270" t="str">
            <v>Anantpur</v>
          </cell>
          <cell r="B270" t="str">
            <v>ANDHRA PRADESH</v>
          </cell>
          <cell r="C270" t="str">
            <v>KURNOOL</v>
          </cell>
        </row>
        <row r="271">
          <cell r="A271" t="str">
            <v xml:space="preserve">Mehboobnagar </v>
          </cell>
          <cell r="B271" t="str">
            <v>ANDHRA PRADESH</v>
          </cell>
          <cell r="C271" t="str">
            <v>KURNOOL</v>
          </cell>
        </row>
        <row r="272">
          <cell r="A272" t="str">
            <v>NANDYAL</v>
          </cell>
          <cell r="B272" t="str">
            <v>ANDHRA PRADESH</v>
          </cell>
          <cell r="C272" t="str">
            <v>KURNOOL</v>
          </cell>
        </row>
        <row r="273">
          <cell r="A273" t="str">
            <v>HINDUPURAM</v>
          </cell>
          <cell r="B273" t="str">
            <v>ANDHRA PRADESH</v>
          </cell>
          <cell r="C273" t="str">
            <v>KURNOOL</v>
          </cell>
        </row>
        <row r="274">
          <cell r="A274" t="str">
            <v>GOOTY(GUNTAKAL)</v>
          </cell>
          <cell r="B274" t="str">
            <v>ANDHRA PRADESH</v>
          </cell>
          <cell r="C274" t="str">
            <v>KURNOOL</v>
          </cell>
        </row>
        <row r="275">
          <cell r="A275" t="str">
            <v>TADIPATRI</v>
          </cell>
          <cell r="B275" t="str">
            <v>ANDHRA PRADESH</v>
          </cell>
          <cell r="C275" t="str">
            <v>KURNOOL</v>
          </cell>
        </row>
        <row r="276">
          <cell r="A276" t="str">
            <v>DHARMAVARAM</v>
          </cell>
          <cell r="B276" t="str">
            <v>ANDHRA PRADESH</v>
          </cell>
          <cell r="C276" t="str">
            <v>KURNOOL</v>
          </cell>
        </row>
        <row r="277">
          <cell r="A277" t="str">
            <v>WANAPARTHY</v>
          </cell>
          <cell r="B277" t="str">
            <v>ANDHRA PRADESH</v>
          </cell>
          <cell r="C277" t="str">
            <v>KURNOOL</v>
          </cell>
        </row>
        <row r="278">
          <cell r="A278" t="str">
            <v>DRONACHALAM</v>
          </cell>
          <cell r="B278" t="str">
            <v>ANDHRA PRADESH</v>
          </cell>
          <cell r="C278" t="str">
            <v>KURNOOL</v>
          </cell>
        </row>
        <row r="279">
          <cell r="A279">
            <v>92</v>
          </cell>
          <cell r="B279">
            <v>1</v>
          </cell>
          <cell r="C279">
            <v>6</v>
          </cell>
        </row>
        <row r="280">
          <cell r="A280" t="str">
            <v>Ahmedabad</v>
          </cell>
          <cell r="B280" t="str">
            <v>GUJARAT</v>
          </cell>
          <cell r="C280" t="str">
            <v xml:space="preserve">AHMEDABAD </v>
          </cell>
        </row>
        <row r="281">
          <cell r="A281" t="str">
            <v>Gandhinagar</v>
          </cell>
          <cell r="B281" t="str">
            <v>GUJARAT</v>
          </cell>
          <cell r="C281" t="str">
            <v xml:space="preserve">AHMEDABAD </v>
          </cell>
        </row>
        <row r="282">
          <cell r="A282" t="str">
            <v>MEHSANA</v>
          </cell>
          <cell r="B282" t="str">
            <v>GUJARAT</v>
          </cell>
          <cell r="C282" t="str">
            <v xml:space="preserve">AHMEDABAD </v>
          </cell>
        </row>
        <row r="283">
          <cell r="A283" t="str">
            <v>PALANPUR</v>
          </cell>
          <cell r="B283" t="str">
            <v>GUJARAT</v>
          </cell>
          <cell r="C283" t="str">
            <v xml:space="preserve">AHMEDABAD </v>
          </cell>
        </row>
        <row r="284">
          <cell r="A284" t="str">
            <v>HIMMATNAGAR</v>
          </cell>
          <cell r="B284" t="str">
            <v>GUJARAT</v>
          </cell>
          <cell r="C284" t="str">
            <v xml:space="preserve">AHMEDABAD </v>
          </cell>
        </row>
        <row r="285">
          <cell r="A285" t="str">
            <v>PATAN</v>
          </cell>
          <cell r="B285" t="str">
            <v>GUJARAT</v>
          </cell>
          <cell r="C285" t="str">
            <v xml:space="preserve">AHMEDABAD </v>
          </cell>
        </row>
        <row r="286">
          <cell r="A286" t="str">
            <v>VISNAGAR</v>
          </cell>
          <cell r="B286" t="str">
            <v>GUJARAT</v>
          </cell>
          <cell r="C286" t="str">
            <v xml:space="preserve">AHMEDABAD </v>
          </cell>
        </row>
        <row r="287">
          <cell r="A287" t="str">
            <v>KALOL</v>
          </cell>
          <cell r="B287" t="str">
            <v>GUJARAT</v>
          </cell>
          <cell r="C287" t="str">
            <v xml:space="preserve">AHMEDABAD </v>
          </cell>
        </row>
        <row r="288">
          <cell r="A288" t="str">
            <v>SIDHPUR</v>
          </cell>
          <cell r="B288" t="str">
            <v>GUJARAT</v>
          </cell>
          <cell r="C288" t="str">
            <v xml:space="preserve">AHMEDABAD </v>
          </cell>
        </row>
        <row r="289">
          <cell r="A289" t="str">
            <v>MODASA</v>
          </cell>
          <cell r="B289" t="str">
            <v>GUJARAT</v>
          </cell>
          <cell r="C289" t="str">
            <v xml:space="preserve">AHMEDABAD </v>
          </cell>
        </row>
        <row r="290">
          <cell r="A290" t="str">
            <v>DHOLKA</v>
          </cell>
          <cell r="B290" t="str">
            <v>GUJARAT</v>
          </cell>
          <cell r="C290" t="str">
            <v xml:space="preserve">AHMEDABAD </v>
          </cell>
        </row>
        <row r="291">
          <cell r="A291" t="str">
            <v>IDAR</v>
          </cell>
          <cell r="B291" t="str">
            <v>GUJARAT</v>
          </cell>
          <cell r="C291" t="str">
            <v xml:space="preserve">AHMEDABAD </v>
          </cell>
        </row>
        <row r="292">
          <cell r="A292" t="str">
            <v>VIJAPUR</v>
          </cell>
          <cell r="B292" t="str">
            <v>GUJARAT</v>
          </cell>
          <cell r="C292" t="str">
            <v xml:space="preserve">AHMEDABAD </v>
          </cell>
        </row>
        <row r="293">
          <cell r="A293" t="str">
            <v>SANAND</v>
          </cell>
          <cell r="B293" t="str">
            <v>GUJARAT</v>
          </cell>
          <cell r="C293" t="str">
            <v xml:space="preserve">AHMEDABAD </v>
          </cell>
        </row>
        <row r="294">
          <cell r="A294" t="str">
            <v>DEESA</v>
          </cell>
          <cell r="B294" t="str">
            <v>GUJARAT</v>
          </cell>
          <cell r="C294" t="str">
            <v xml:space="preserve">AHMEDABAD </v>
          </cell>
        </row>
        <row r="295">
          <cell r="A295" t="str">
            <v>SURAT</v>
          </cell>
          <cell r="B295" t="str">
            <v>GUJARAT</v>
          </cell>
          <cell r="C295" t="str">
            <v>SURAT</v>
          </cell>
        </row>
        <row r="296">
          <cell r="A296" t="str">
            <v>BHARUCH</v>
          </cell>
          <cell r="B296" t="str">
            <v>GUJARAT</v>
          </cell>
          <cell r="C296" t="str">
            <v>SURAT</v>
          </cell>
        </row>
        <row r="297">
          <cell r="A297" t="str">
            <v>ANKLESHWAR</v>
          </cell>
          <cell r="B297" t="str">
            <v>GUJARAT</v>
          </cell>
          <cell r="C297" t="str">
            <v>SURAT</v>
          </cell>
        </row>
        <row r="298">
          <cell r="A298" t="str">
            <v>NAVSARI</v>
          </cell>
          <cell r="B298" t="str">
            <v>GUJARAT</v>
          </cell>
          <cell r="C298" t="str">
            <v>SURAT</v>
          </cell>
        </row>
        <row r="299">
          <cell r="A299" t="str">
            <v>VAPI</v>
          </cell>
          <cell r="B299" t="str">
            <v>GUJARAT</v>
          </cell>
          <cell r="C299" t="str">
            <v>SURAT</v>
          </cell>
        </row>
        <row r="300">
          <cell r="A300" t="str">
            <v>VALSAD</v>
          </cell>
          <cell r="B300" t="str">
            <v>GUJARAT</v>
          </cell>
          <cell r="C300" t="str">
            <v>SURAT</v>
          </cell>
        </row>
        <row r="301">
          <cell r="A301" t="str">
            <v>BILLIMORA</v>
          </cell>
          <cell r="B301" t="str">
            <v>GUJARAT</v>
          </cell>
          <cell r="C301" t="str">
            <v>SURAT</v>
          </cell>
        </row>
        <row r="302">
          <cell r="A302" t="str">
            <v>BARDOLI</v>
          </cell>
          <cell r="B302" t="str">
            <v>GUJARAT</v>
          </cell>
          <cell r="C302" t="str">
            <v>SURAT</v>
          </cell>
        </row>
        <row r="303">
          <cell r="A303" t="str">
            <v>SAYAN</v>
          </cell>
          <cell r="B303" t="str">
            <v>GUJARAT</v>
          </cell>
          <cell r="C303" t="str">
            <v>SURAT</v>
          </cell>
        </row>
        <row r="304">
          <cell r="A304" t="str">
            <v>VADODARA</v>
          </cell>
          <cell r="B304" t="str">
            <v>GUJARAT</v>
          </cell>
          <cell r="C304" t="str">
            <v>VADODARA</v>
          </cell>
        </row>
        <row r="305">
          <cell r="A305" t="str">
            <v>ANAND</v>
          </cell>
          <cell r="B305" t="str">
            <v>GUJARAT</v>
          </cell>
          <cell r="C305" t="str">
            <v>VADODARA</v>
          </cell>
        </row>
        <row r="306">
          <cell r="A306" t="str">
            <v>NADIAD</v>
          </cell>
          <cell r="B306" t="str">
            <v>GUJARAT</v>
          </cell>
          <cell r="C306" t="str">
            <v>VADODARA</v>
          </cell>
        </row>
        <row r="307">
          <cell r="A307" t="str">
            <v>GODHRA</v>
          </cell>
          <cell r="B307" t="str">
            <v>GUJARAT</v>
          </cell>
          <cell r="C307" t="str">
            <v>VADODARA</v>
          </cell>
        </row>
        <row r="308">
          <cell r="A308" t="str">
            <v>DAHOD</v>
          </cell>
          <cell r="B308" t="str">
            <v>GUJARAT</v>
          </cell>
          <cell r="C308" t="str">
            <v>VADODARA</v>
          </cell>
        </row>
        <row r="309">
          <cell r="A309" t="str">
            <v>PADRA</v>
          </cell>
          <cell r="B309" t="str">
            <v>GUJARAT</v>
          </cell>
          <cell r="C309" t="str">
            <v>VADODARA</v>
          </cell>
        </row>
        <row r="310">
          <cell r="A310" t="str">
            <v>BORSAD</v>
          </cell>
          <cell r="B310" t="str">
            <v>GUJARAT</v>
          </cell>
          <cell r="C310" t="str">
            <v>VADODARA</v>
          </cell>
        </row>
        <row r="311">
          <cell r="A311" t="str">
            <v>HALOL</v>
          </cell>
          <cell r="B311" t="str">
            <v>GUJARAT</v>
          </cell>
          <cell r="C311" t="str">
            <v>VADODARA</v>
          </cell>
        </row>
        <row r="312">
          <cell r="A312" t="str">
            <v>MEHMDABAD [KHEDA]</v>
          </cell>
          <cell r="B312" t="str">
            <v>GUJARAT</v>
          </cell>
          <cell r="C312" t="str">
            <v>VADODARA</v>
          </cell>
        </row>
        <row r="313">
          <cell r="A313" t="str">
            <v>DABHOI</v>
          </cell>
          <cell r="B313" t="str">
            <v>GUJARAT</v>
          </cell>
          <cell r="C313" t="str">
            <v>VADODARA</v>
          </cell>
        </row>
        <row r="314">
          <cell r="A314" t="str">
            <v>SOJITRA [PETLAD]</v>
          </cell>
          <cell r="B314" t="str">
            <v>GUJARAT</v>
          </cell>
          <cell r="C314" t="str">
            <v>VADODARA</v>
          </cell>
        </row>
        <row r="315">
          <cell r="A315" t="str">
            <v>MIYAGAM</v>
          </cell>
          <cell r="B315" t="str">
            <v>GUJARAT</v>
          </cell>
          <cell r="C315" t="str">
            <v>VADODARA</v>
          </cell>
        </row>
        <row r="316">
          <cell r="A316" t="str">
            <v>RAJKOT</v>
          </cell>
          <cell r="B316" t="str">
            <v>GUJARAT</v>
          </cell>
          <cell r="C316" t="str">
            <v>RAJKOT</v>
          </cell>
        </row>
        <row r="317">
          <cell r="A317" t="str">
            <v>BHAVNAGAR</v>
          </cell>
          <cell r="B317" t="str">
            <v>GUJARAT</v>
          </cell>
          <cell r="C317" t="str">
            <v>RAJKOT</v>
          </cell>
        </row>
        <row r="318">
          <cell r="A318" t="str">
            <v>JAMNAGAR</v>
          </cell>
          <cell r="B318" t="str">
            <v>GUJARAT</v>
          </cell>
          <cell r="C318" t="str">
            <v>RAJKOT</v>
          </cell>
        </row>
        <row r="319">
          <cell r="A319" t="str">
            <v>Junagarh</v>
          </cell>
          <cell r="B319" t="str">
            <v>GUJARAT</v>
          </cell>
          <cell r="C319" t="str">
            <v>RAJKOT</v>
          </cell>
        </row>
        <row r="320">
          <cell r="A320" t="str">
            <v>BHUJ</v>
          </cell>
          <cell r="B320" t="str">
            <v>GUJARAT</v>
          </cell>
          <cell r="C320" t="str">
            <v>RAJKOT</v>
          </cell>
        </row>
        <row r="321">
          <cell r="A321" t="str">
            <v>GANDHIDHAM</v>
          </cell>
          <cell r="B321" t="str">
            <v>GUJARAT</v>
          </cell>
          <cell r="C321" t="str">
            <v>RAJKOT</v>
          </cell>
        </row>
        <row r="322">
          <cell r="A322" t="str">
            <v>PORBANDER</v>
          </cell>
          <cell r="B322" t="str">
            <v>GUJARAT</v>
          </cell>
          <cell r="C322" t="str">
            <v>RAJKOT</v>
          </cell>
        </row>
        <row r="323">
          <cell r="A323" t="str">
            <v>SURENDRANAGAR</v>
          </cell>
          <cell r="B323" t="str">
            <v>GUJARAT</v>
          </cell>
          <cell r="C323" t="str">
            <v>RAJKOT</v>
          </cell>
        </row>
        <row r="324">
          <cell r="A324" t="str">
            <v>AMRELI</v>
          </cell>
          <cell r="B324" t="str">
            <v>GUJARAT</v>
          </cell>
          <cell r="C324" t="str">
            <v>RAJKOT</v>
          </cell>
        </row>
        <row r="325">
          <cell r="A325" t="str">
            <v>MORVI</v>
          </cell>
          <cell r="B325" t="str">
            <v>GUJARAT</v>
          </cell>
          <cell r="C325" t="str">
            <v>RAJKOT</v>
          </cell>
        </row>
        <row r="326">
          <cell r="A326" t="str">
            <v>JETPUR</v>
          </cell>
          <cell r="B326" t="str">
            <v>GUJARAT</v>
          </cell>
          <cell r="C326" t="str">
            <v>RAJKOT</v>
          </cell>
        </row>
        <row r="327">
          <cell r="A327" t="str">
            <v>DHORAJI</v>
          </cell>
          <cell r="B327" t="str">
            <v>GUJARAT</v>
          </cell>
          <cell r="C327" t="str">
            <v>RAJKOT</v>
          </cell>
        </row>
        <row r="328">
          <cell r="A328" t="str">
            <v>SIHOR</v>
          </cell>
          <cell r="B328" t="str">
            <v>GUJARAT</v>
          </cell>
          <cell r="C328" t="str">
            <v>RAJKOT</v>
          </cell>
        </row>
        <row r="329">
          <cell r="A329" t="str">
            <v>KHAMBHALIA</v>
          </cell>
          <cell r="B329" t="str">
            <v>GUJARAT</v>
          </cell>
          <cell r="C329" t="str">
            <v>RAJKOT</v>
          </cell>
        </row>
        <row r="330">
          <cell r="A330" t="str">
            <v>UPLETA</v>
          </cell>
          <cell r="B330" t="str">
            <v>GUJARAT</v>
          </cell>
          <cell r="C330" t="str">
            <v>RAJKOT</v>
          </cell>
        </row>
        <row r="331">
          <cell r="A331" t="str">
            <v>BOTAD</v>
          </cell>
          <cell r="B331" t="str">
            <v>GUJARAT</v>
          </cell>
          <cell r="C331" t="str">
            <v>RAJKOT</v>
          </cell>
        </row>
        <row r="332">
          <cell r="A332" t="str">
            <v>KESHOD</v>
          </cell>
          <cell r="B332" t="str">
            <v>GUJARAT</v>
          </cell>
          <cell r="C332" t="str">
            <v>RAJKOT</v>
          </cell>
        </row>
        <row r="333">
          <cell r="A333" t="str">
            <v>LIMBDI</v>
          </cell>
          <cell r="B333" t="str">
            <v>GUJARAT</v>
          </cell>
          <cell r="C333" t="str">
            <v>RAJKOT</v>
          </cell>
        </row>
        <row r="334">
          <cell r="A334">
            <v>54</v>
          </cell>
          <cell r="B334">
            <v>1</v>
          </cell>
          <cell r="C334">
            <v>4</v>
          </cell>
        </row>
        <row r="335">
          <cell r="A335" t="str">
            <v>LUCKNOW</v>
          </cell>
          <cell r="B335" t="str">
            <v>UTTAR PRADESH (E) &amp; (W)</v>
          </cell>
          <cell r="C335" t="str">
            <v>LUCKNOW</v>
          </cell>
        </row>
        <row r="336">
          <cell r="A336" t="str">
            <v>GORAKHPUR</v>
          </cell>
          <cell r="B336" t="str">
            <v>UTTAR PRADESH (E) &amp; (W)</v>
          </cell>
          <cell r="C336" t="str">
            <v>LUCKNOW</v>
          </cell>
        </row>
        <row r="337">
          <cell r="A337" t="str">
            <v>FAIZABAD</v>
          </cell>
          <cell r="B337" t="str">
            <v>UTTAR PRADESH (E) &amp; (W)</v>
          </cell>
          <cell r="C337" t="str">
            <v>LUCKNOW</v>
          </cell>
        </row>
        <row r="338">
          <cell r="A338" t="str">
            <v>BARABANKI</v>
          </cell>
          <cell r="B338" t="str">
            <v>UTTAR PRADESH (E) &amp; (W)</v>
          </cell>
          <cell r="C338" t="str">
            <v>LUCKNOW</v>
          </cell>
        </row>
        <row r="339">
          <cell r="A339" t="str">
            <v>BASTI</v>
          </cell>
          <cell r="B339" t="str">
            <v>UTTAR PRADESH (E) &amp; (W)</v>
          </cell>
          <cell r="C339" t="str">
            <v>LUCKNOW</v>
          </cell>
        </row>
        <row r="340">
          <cell r="A340" t="str">
            <v>SITAPUR</v>
          </cell>
          <cell r="B340" t="str">
            <v>UTTAR PRADESH (E) &amp; (W)</v>
          </cell>
          <cell r="C340" t="str">
            <v>LUCKNOW</v>
          </cell>
        </row>
        <row r="341">
          <cell r="A341" t="str">
            <v>SHAHJAHANPUR</v>
          </cell>
          <cell r="B341" t="str">
            <v>UTTAR PRADESH (E) &amp; (W)</v>
          </cell>
          <cell r="C341" t="str">
            <v>LUCKNOW</v>
          </cell>
        </row>
        <row r="342">
          <cell r="A342" t="str">
            <v>KANPUR</v>
          </cell>
          <cell r="B342" t="str">
            <v>UTTAR PRADESH (E) &amp; (W)</v>
          </cell>
          <cell r="C342" t="str">
            <v>KANPUR</v>
          </cell>
        </row>
        <row r="343">
          <cell r="A343" t="str">
            <v>UNNAO</v>
          </cell>
          <cell r="B343" t="str">
            <v>UTTAR PRADESH (E) &amp; (W)</v>
          </cell>
          <cell r="C343" t="str">
            <v>KANPUR</v>
          </cell>
        </row>
        <row r="344">
          <cell r="A344" t="str">
            <v>RAIBAREILLY</v>
          </cell>
          <cell r="B344" t="str">
            <v>UTTAR PRADESH (E) &amp; (W)</v>
          </cell>
          <cell r="C344" t="str">
            <v>KANPUR</v>
          </cell>
        </row>
        <row r="345">
          <cell r="A345" t="str">
            <v>Fathehpur</v>
          </cell>
          <cell r="B345" t="str">
            <v>UTTAR PRADESH (E) &amp; (W)</v>
          </cell>
          <cell r="C345" t="str">
            <v>KANPUR</v>
          </cell>
        </row>
        <row r="346">
          <cell r="A346" t="str">
            <v>AGRA</v>
          </cell>
          <cell r="B346" t="str">
            <v>UTTAR PRADESH (E) &amp; (W)</v>
          </cell>
          <cell r="C346" t="str">
            <v>AGRA</v>
          </cell>
        </row>
        <row r="347">
          <cell r="A347" t="str">
            <v>ALIGARH</v>
          </cell>
          <cell r="B347" t="str">
            <v>UTTAR PRADESH (E) &amp; (W)</v>
          </cell>
          <cell r="C347" t="str">
            <v>AGRA</v>
          </cell>
        </row>
        <row r="348">
          <cell r="A348" t="str">
            <v>MATHURA</v>
          </cell>
          <cell r="B348" t="str">
            <v>UTTAR PRADESH (E) &amp; (W)</v>
          </cell>
          <cell r="C348" t="str">
            <v>AGRA</v>
          </cell>
        </row>
        <row r="349">
          <cell r="A349" t="str">
            <v>HATHRAS</v>
          </cell>
          <cell r="B349" t="str">
            <v>UTTAR PRADESH (E) &amp; (W)</v>
          </cell>
          <cell r="C349" t="str">
            <v>AGRA</v>
          </cell>
        </row>
        <row r="350">
          <cell r="A350" t="str">
            <v>CHHATA(KOSIKALAN)</v>
          </cell>
          <cell r="B350" t="str">
            <v>UTTAR PRADESH (E) &amp; (W)</v>
          </cell>
          <cell r="C350" t="str">
            <v>AGRA</v>
          </cell>
        </row>
        <row r="351">
          <cell r="A351" t="str">
            <v>ETAH</v>
          </cell>
          <cell r="B351" t="str">
            <v>UTTAR PRADESH (E) &amp; (W)</v>
          </cell>
          <cell r="C351" t="str">
            <v>AGRA</v>
          </cell>
        </row>
        <row r="352">
          <cell r="A352" t="str">
            <v>MEERUT</v>
          </cell>
          <cell r="B352" t="str">
            <v>UTTAR PRADESH (E) &amp; (W)</v>
          </cell>
          <cell r="C352" t="str">
            <v>MEERUT</v>
          </cell>
        </row>
        <row r="353">
          <cell r="A353" t="str">
            <v>BAREILLY</v>
          </cell>
          <cell r="B353" t="str">
            <v>UTTAR PRADESH (E) &amp; (W)</v>
          </cell>
          <cell r="C353" t="str">
            <v>MEERUT</v>
          </cell>
        </row>
        <row r="354">
          <cell r="A354" t="str">
            <v>Muzaffarnagar</v>
          </cell>
          <cell r="B354" t="str">
            <v>UTTAR PRADESH (E) &amp; (W)</v>
          </cell>
          <cell r="C354" t="str">
            <v>MEERUT</v>
          </cell>
        </row>
        <row r="355">
          <cell r="A355" t="str">
            <v>Muradabad</v>
          </cell>
          <cell r="B355" t="str">
            <v>UTTAR PRADESH (E) &amp; (W)</v>
          </cell>
          <cell r="C355" t="str">
            <v>MEERUT</v>
          </cell>
        </row>
        <row r="356">
          <cell r="A356" t="str">
            <v>HAPUR</v>
          </cell>
          <cell r="B356" t="str">
            <v>UTTAR PRADESH (E) &amp; (W)</v>
          </cell>
          <cell r="C356" t="str">
            <v>MEERUT</v>
          </cell>
        </row>
        <row r="357">
          <cell r="A357" t="str">
            <v>BULANDSHAHR</v>
          </cell>
          <cell r="B357" t="str">
            <v>UTTAR PRADESH (E) &amp; (W)</v>
          </cell>
          <cell r="C357" t="str">
            <v>MEERUT</v>
          </cell>
        </row>
        <row r="358">
          <cell r="A358" t="str">
            <v>RAMPUR</v>
          </cell>
          <cell r="B358" t="str">
            <v>UTTAR PRADESH (E) &amp; (W)</v>
          </cell>
          <cell r="C358" t="str">
            <v>MEERUT</v>
          </cell>
        </row>
        <row r="359">
          <cell r="A359" t="str">
            <v>JANSATH(KHATAULI)</v>
          </cell>
          <cell r="B359" t="str">
            <v>UTTAR PRADESH (E) &amp; (W)</v>
          </cell>
          <cell r="C359" t="str">
            <v>MEERUT</v>
          </cell>
        </row>
        <row r="360">
          <cell r="A360" t="str">
            <v>AMROHA</v>
          </cell>
          <cell r="B360" t="str">
            <v>UTTAR PRADESH (E) &amp; (W)</v>
          </cell>
          <cell r="C360" t="str">
            <v>MEERUT</v>
          </cell>
        </row>
        <row r="361">
          <cell r="A361" t="str">
            <v>DEHRADUN</v>
          </cell>
          <cell r="B361" t="str">
            <v>UTTAR PRADESH (E) &amp; (W)</v>
          </cell>
          <cell r="C361" t="str">
            <v>DEDRADUN</v>
          </cell>
        </row>
        <row r="362">
          <cell r="A362" t="str">
            <v>SAHARANPUR</v>
          </cell>
          <cell r="B362" t="str">
            <v>UTTAR PRADESH (E) &amp; (W)</v>
          </cell>
          <cell r="C362" t="str">
            <v>DEDRADUN</v>
          </cell>
        </row>
        <row r="363">
          <cell r="A363" t="str">
            <v>ROORKEE-II(HARDWAR)</v>
          </cell>
          <cell r="B363" t="str">
            <v>UTTAR PRADESH (E) &amp; (W)</v>
          </cell>
          <cell r="C363" t="str">
            <v>DEDRADUN</v>
          </cell>
        </row>
        <row r="364">
          <cell r="A364" t="str">
            <v>ROORKEE-I</v>
          </cell>
          <cell r="B364" t="str">
            <v>UTTAR PRADESH (E) &amp; (W)</v>
          </cell>
          <cell r="C364" t="str">
            <v>DEDRADUN</v>
          </cell>
        </row>
        <row r="365">
          <cell r="A365" t="str">
            <v>DEOBAND</v>
          </cell>
          <cell r="B365" t="str">
            <v>UTTAR PRADESH (E) &amp; (W)</v>
          </cell>
          <cell r="C365" t="str">
            <v>DEDRADUN</v>
          </cell>
        </row>
        <row r="366">
          <cell r="A366" t="str">
            <v>VARANASI</v>
          </cell>
          <cell r="B366" t="str">
            <v>UTTAR PRADESH (E) &amp; (W)</v>
          </cell>
          <cell r="C366" t="str">
            <v>ALLAHABAD</v>
          </cell>
        </row>
        <row r="367">
          <cell r="A367" t="str">
            <v>ALLAHABAD</v>
          </cell>
          <cell r="B367" t="str">
            <v>UTTAR PRADESH (E) &amp; (W)</v>
          </cell>
          <cell r="C367" t="str">
            <v>ALLAHABAD</v>
          </cell>
        </row>
        <row r="368">
          <cell r="A368" t="str">
            <v>AZAMGARH</v>
          </cell>
          <cell r="B368" t="str">
            <v>UTTAR PRADESH (E) &amp; (W)</v>
          </cell>
          <cell r="C368" t="str">
            <v>ALLAHABAD</v>
          </cell>
        </row>
        <row r="369">
          <cell r="A369" t="str">
            <v>BHADOHI</v>
          </cell>
          <cell r="B369" t="str">
            <v>UTTAR PRADESH (E) &amp; (W)</v>
          </cell>
          <cell r="C369" t="str">
            <v>ALLAHABAD</v>
          </cell>
        </row>
        <row r="370">
          <cell r="A370" t="str">
            <v>JAUNPUR</v>
          </cell>
          <cell r="B370" t="str">
            <v>UTTAR PRADESH (E) &amp; (W)</v>
          </cell>
          <cell r="C370" t="str">
            <v>ALLAHABAD</v>
          </cell>
        </row>
        <row r="371">
          <cell r="A371" t="str">
            <v>Mirzapur-I(Mirzapur)</v>
          </cell>
          <cell r="B371" t="str">
            <v>UTTAR PRADESH (E) &amp; (W)</v>
          </cell>
          <cell r="C371" t="str">
            <v>ALLAHABAD</v>
          </cell>
        </row>
        <row r="372">
          <cell r="A372" t="str">
            <v>CHANDAULI(MUGALSARAI)</v>
          </cell>
          <cell r="B372" t="str">
            <v>UTTAR PRADESH (E) &amp; (W)</v>
          </cell>
          <cell r="C372" t="str">
            <v>ALLAHABAD</v>
          </cell>
        </row>
        <row r="373">
          <cell r="A373" t="str">
            <v>GHAZIPUR</v>
          </cell>
          <cell r="B373" t="str">
            <v>UTTAR PRADESH (E) &amp; (W)</v>
          </cell>
          <cell r="C373" t="str">
            <v>ALLAHABAD</v>
          </cell>
        </row>
        <row r="374">
          <cell r="A374">
            <v>39</v>
          </cell>
          <cell r="B374">
            <v>1</v>
          </cell>
          <cell r="C374">
            <v>6</v>
          </cell>
        </row>
        <row r="375">
          <cell r="A375" t="str">
            <v>Bangalore</v>
          </cell>
          <cell r="B375" t="str">
            <v>KARNATAKA</v>
          </cell>
          <cell r="C375" t="str">
            <v>BANGALORE</v>
          </cell>
        </row>
        <row r="376">
          <cell r="A376" t="str">
            <v>TUMKUR</v>
          </cell>
          <cell r="B376" t="str">
            <v>KARNATAKA</v>
          </cell>
          <cell r="C376" t="str">
            <v>BANGALORE</v>
          </cell>
        </row>
        <row r="377">
          <cell r="A377" t="str">
            <v>BANGARPET</v>
          </cell>
          <cell r="B377" t="str">
            <v>KARNATAKA</v>
          </cell>
          <cell r="C377" t="str">
            <v>BANGALORE</v>
          </cell>
        </row>
        <row r="378">
          <cell r="A378" t="str">
            <v>Kollar</v>
          </cell>
          <cell r="B378" t="str">
            <v>KARNATAKA</v>
          </cell>
          <cell r="C378" t="str">
            <v>BANGALORE</v>
          </cell>
        </row>
        <row r="379">
          <cell r="A379" t="str">
            <v>CHIKKABALLAPUR</v>
          </cell>
          <cell r="B379" t="str">
            <v>KARNATAKA</v>
          </cell>
          <cell r="C379" t="str">
            <v>BANGALORE</v>
          </cell>
        </row>
        <row r="380">
          <cell r="A380" t="str">
            <v>NELAMANGALA</v>
          </cell>
          <cell r="B380" t="str">
            <v>KARNATAKA</v>
          </cell>
          <cell r="C380" t="str">
            <v>BANGALORE</v>
          </cell>
        </row>
        <row r="381">
          <cell r="A381" t="str">
            <v>DODDABALLAPUR</v>
          </cell>
          <cell r="B381" t="str">
            <v>KARNATAKA</v>
          </cell>
          <cell r="C381" t="str">
            <v>BANGALORE</v>
          </cell>
        </row>
        <row r="382">
          <cell r="A382" t="str">
            <v>CHANNAPATNA</v>
          </cell>
          <cell r="B382" t="str">
            <v>KARNATAKA</v>
          </cell>
          <cell r="C382" t="str">
            <v>BANGALORE</v>
          </cell>
        </row>
        <row r="383">
          <cell r="A383" t="str">
            <v>GOWRIBIDANUR</v>
          </cell>
          <cell r="B383" t="str">
            <v>KARNATAKA</v>
          </cell>
          <cell r="C383" t="str">
            <v>BANGALORE</v>
          </cell>
        </row>
        <row r="384">
          <cell r="A384" t="str">
            <v>HOSAKOTE</v>
          </cell>
          <cell r="B384" t="str">
            <v>KARNATAKA</v>
          </cell>
          <cell r="C384" t="str">
            <v>BANGALORE</v>
          </cell>
        </row>
        <row r="385">
          <cell r="A385" t="str">
            <v>KANAKAPURA</v>
          </cell>
          <cell r="B385" t="str">
            <v>KARNATAKA</v>
          </cell>
          <cell r="C385" t="str">
            <v>BANGALORE</v>
          </cell>
        </row>
        <row r="386">
          <cell r="A386" t="str">
            <v>TIPTUR</v>
          </cell>
          <cell r="B386" t="str">
            <v>KARNATAKA</v>
          </cell>
          <cell r="C386" t="str">
            <v>BANGALORE</v>
          </cell>
        </row>
        <row r="387">
          <cell r="A387" t="str">
            <v>ARSIKERE</v>
          </cell>
          <cell r="B387" t="str">
            <v>KARNATAKA</v>
          </cell>
          <cell r="C387" t="str">
            <v>BANGALORE</v>
          </cell>
        </row>
        <row r="388">
          <cell r="A388" t="str">
            <v>ANEKAL</v>
          </cell>
          <cell r="B388" t="str">
            <v>KARNATAKA</v>
          </cell>
          <cell r="C388" t="str">
            <v>BANGALORE</v>
          </cell>
        </row>
        <row r="389">
          <cell r="A389" t="str">
            <v>HUBLI</v>
          </cell>
          <cell r="B389" t="str">
            <v>KARNATAKA</v>
          </cell>
          <cell r="C389" t="str">
            <v>BELGAUM</v>
          </cell>
        </row>
        <row r="390">
          <cell r="A390" t="str">
            <v>BELGAUM</v>
          </cell>
          <cell r="B390" t="str">
            <v>KARNATAKA</v>
          </cell>
          <cell r="C390" t="str">
            <v>BELGAUM</v>
          </cell>
        </row>
        <row r="391">
          <cell r="A391" t="str">
            <v>GULBARGA</v>
          </cell>
          <cell r="B391" t="str">
            <v>KARNATAKA</v>
          </cell>
          <cell r="C391" t="str">
            <v>BELGAUM</v>
          </cell>
        </row>
        <row r="392">
          <cell r="A392" t="str">
            <v>BIJAPUR</v>
          </cell>
          <cell r="B392" t="str">
            <v>KARNATAKA</v>
          </cell>
          <cell r="C392" t="str">
            <v>BELGAUM</v>
          </cell>
        </row>
        <row r="393">
          <cell r="A393" t="str">
            <v>BELLARY</v>
          </cell>
          <cell r="B393" t="str">
            <v>KARNATAKA</v>
          </cell>
          <cell r="C393" t="str">
            <v>BELGAUM</v>
          </cell>
        </row>
        <row r="394">
          <cell r="A394" t="str">
            <v>RAICHUR</v>
          </cell>
          <cell r="B394" t="str">
            <v>KARNATAKA</v>
          </cell>
          <cell r="C394" t="str">
            <v>BELGAUM</v>
          </cell>
        </row>
        <row r="395">
          <cell r="A395" t="str">
            <v>GADAG</v>
          </cell>
          <cell r="B395" t="str">
            <v>KARNATAKA</v>
          </cell>
          <cell r="C395" t="str">
            <v>BELGAUM</v>
          </cell>
        </row>
        <row r="396">
          <cell r="A396" t="str">
            <v>HOSPET</v>
          </cell>
          <cell r="B396" t="str">
            <v>KARNATAKA</v>
          </cell>
          <cell r="C396" t="str">
            <v>BELGAUM</v>
          </cell>
        </row>
        <row r="397">
          <cell r="A397" t="str">
            <v>BIDAR</v>
          </cell>
          <cell r="B397" t="str">
            <v>KARNATAKA</v>
          </cell>
          <cell r="C397" t="str">
            <v>BELGAUM</v>
          </cell>
        </row>
        <row r="398">
          <cell r="A398" t="str">
            <v>BAGALKOT</v>
          </cell>
          <cell r="B398" t="str">
            <v>KARNATAKA</v>
          </cell>
          <cell r="C398" t="str">
            <v>BELGAUM</v>
          </cell>
        </row>
        <row r="399">
          <cell r="A399" t="str">
            <v>GOKAK</v>
          </cell>
          <cell r="B399" t="str">
            <v>KARNATAKA</v>
          </cell>
          <cell r="C399" t="str">
            <v>BELGAUM</v>
          </cell>
        </row>
        <row r="400">
          <cell r="A400" t="str">
            <v>HAVERI</v>
          </cell>
          <cell r="B400" t="str">
            <v>KARNATAKA</v>
          </cell>
          <cell r="C400" t="str">
            <v>BELGAUM</v>
          </cell>
        </row>
        <row r="401">
          <cell r="A401" t="str">
            <v>KOPPAL</v>
          </cell>
          <cell r="B401" t="str">
            <v>KARNATAKA</v>
          </cell>
          <cell r="C401" t="str">
            <v>BELGAUM</v>
          </cell>
        </row>
        <row r="402">
          <cell r="A402" t="str">
            <v>MYSORE</v>
          </cell>
          <cell r="B402" t="str">
            <v>KARNATAKA</v>
          </cell>
          <cell r="C402" t="str">
            <v>MYSORE</v>
          </cell>
        </row>
        <row r="403">
          <cell r="A403" t="str">
            <v>MANDYA</v>
          </cell>
          <cell r="B403" t="str">
            <v>KARNATAKA</v>
          </cell>
          <cell r="C403" t="str">
            <v>MYSORE</v>
          </cell>
        </row>
        <row r="404">
          <cell r="A404" t="str">
            <v>HASSAN</v>
          </cell>
          <cell r="B404" t="str">
            <v>KARNATAKA</v>
          </cell>
          <cell r="C404" t="str">
            <v>MYSORE</v>
          </cell>
        </row>
        <row r="405">
          <cell r="A405" t="str">
            <v>Chikmangalur</v>
          </cell>
          <cell r="B405" t="str">
            <v>KARNATAKA</v>
          </cell>
          <cell r="C405" t="str">
            <v>MYSORE</v>
          </cell>
        </row>
        <row r="406">
          <cell r="A406" t="str">
            <v>NANJANGUD</v>
          </cell>
          <cell r="B406" t="str">
            <v>KARNATAKA</v>
          </cell>
          <cell r="C406" t="str">
            <v>MYSORE</v>
          </cell>
        </row>
        <row r="407">
          <cell r="A407" t="str">
            <v>SULLIA</v>
          </cell>
          <cell r="B407" t="str">
            <v>KARNATAKA</v>
          </cell>
          <cell r="C407" t="str">
            <v>MYSORE</v>
          </cell>
        </row>
        <row r="408">
          <cell r="A408" t="str">
            <v>SAKLESHPUR</v>
          </cell>
          <cell r="B408" t="str">
            <v>KARNATAKA</v>
          </cell>
          <cell r="C408" t="str">
            <v>MYSORE</v>
          </cell>
        </row>
        <row r="409">
          <cell r="A409" t="str">
            <v>MANGALORE</v>
          </cell>
          <cell r="B409" t="str">
            <v>KARNATAKA</v>
          </cell>
          <cell r="C409" t="str">
            <v>MANGALORE</v>
          </cell>
        </row>
        <row r="410">
          <cell r="A410" t="str">
            <v>Devnagere</v>
          </cell>
          <cell r="B410" t="str">
            <v>KARNATAKA</v>
          </cell>
          <cell r="C410" t="str">
            <v>MANGALORE</v>
          </cell>
        </row>
        <row r="411">
          <cell r="A411" t="str">
            <v>SHIMOGA</v>
          </cell>
          <cell r="B411" t="str">
            <v>KARNATAKA</v>
          </cell>
          <cell r="C411" t="str">
            <v>MANGALORE</v>
          </cell>
        </row>
        <row r="412">
          <cell r="A412" t="str">
            <v>CHITRADURGA</v>
          </cell>
          <cell r="B412" t="str">
            <v>KARNATAKA</v>
          </cell>
          <cell r="C412" t="str">
            <v>MANGALORE</v>
          </cell>
        </row>
        <row r="413">
          <cell r="A413" t="str">
            <v>UDUPI</v>
          </cell>
          <cell r="B413" t="str">
            <v>KARNATAKA</v>
          </cell>
          <cell r="C413" t="str">
            <v>MANGALORE</v>
          </cell>
        </row>
        <row r="414">
          <cell r="A414" t="str">
            <v>BHADRAVATI</v>
          </cell>
          <cell r="B414" t="str">
            <v>KARNATAKA</v>
          </cell>
          <cell r="C414" t="str">
            <v>MANGALORE</v>
          </cell>
        </row>
        <row r="415">
          <cell r="A415" t="str">
            <v>PUTTUR</v>
          </cell>
          <cell r="B415" t="str">
            <v>KARNATAKA</v>
          </cell>
          <cell r="C415" t="str">
            <v>MANGALORE</v>
          </cell>
        </row>
        <row r="416">
          <cell r="A416" t="str">
            <v>KARWAR</v>
          </cell>
          <cell r="B416" t="str">
            <v>KARNATAKA</v>
          </cell>
          <cell r="C416" t="str">
            <v>MANGALORE</v>
          </cell>
        </row>
        <row r="417">
          <cell r="A417" t="str">
            <v>BHATKAL</v>
          </cell>
          <cell r="B417" t="str">
            <v>KARNATAKA</v>
          </cell>
          <cell r="C417" t="str">
            <v>MANGALORE</v>
          </cell>
        </row>
        <row r="418">
          <cell r="A418" t="str">
            <v>KUNDAPUR</v>
          </cell>
          <cell r="B418" t="str">
            <v>KARNATAKA</v>
          </cell>
          <cell r="C418" t="str">
            <v>MANGALORE</v>
          </cell>
        </row>
        <row r="419">
          <cell r="A419" t="str">
            <v>KARKALA</v>
          </cell>
          <cell r="B419" t="str">
            <v>KARNATAKA</v>
          </cell>
          <cell r="C419" t="str">
            <v>MANGALORE</v>
          </cell>
        </row>
        <row r="420">
          <cell r="A420" t="str">
            <v>BANTWAL</v>
          </cell>
          <cell r="B420" t="str">
            <v>KARNATAKA</v>
          </cell>
          <cell r="C420" t="str">
            <v>MANGALORE</v>
          </cell>
        </row>
        <row r="421">
          <cell r="A421" t="str">
            <v>KUMTA</v>
          </cell>
          <cell r="B421" t="str">
            <v>KARNATAKA</v>
          </cell>
          <cell r="C421" t="str">
            <v>MANGALORE</v>
          </cell>
        </row>
        <row r="422">
          <cell r="A422">
            <v>47</v>
          </cell>
          <cell r="B422">
            <v>1</v>
          </cell>
          <cell r="C422">
            <v>4</v>
          </cell>
        </row>
        <row r="423">
          <cell r="A423" t="str">
            <v>CHANDIGARH</v>
          </cell>
          <cell r="B423" t="str">
            <v>PUNJAB / HARYANA / HP</v>
          </cell>
          <cell r="C423" t="str">
            <v>CHANDIGARH</v>
          </cell>
        </row>
        <row r="424">
          <cell r="A424" t="str">
            <v>LUDHIANA</v>
          </cell>
          <cell r="B424" t="str">
            <v>PUNJAB / HARYANA / HP</v>
          </cell>
          <cell r="C424" t="str">
            <v>CHANDIGARH</v>
          </cell>
        </row>
        <row r="425">
          <cell r="A425" t="str">
            <v>PATIALA</v>
          </cell>
          <cell r="B425" t="str">
            <v>PUNJAB / HARYANA / HP</v>
          </cell>
          <cell r="C425" t="str">
            <v>CHANDIGARH</v>
          </cell>
        </row>
        <row r="426">
          <cell r="A426" t="str">
            <v>MALERKOTLA</v>
          </cell>
          <cell r="B426" t="str">
            <v>PUNJAB / HARYANA / HP</v>
          </cell>
          <cell r="C426" t="str">
            <v>CHANDIGARH</v>
          </cell>
        </row>
        <row r="427">
          <cell r="A427" t="str">
            <v>BARNALA</v>
          </cell>
          <cell r="B427" t="str">
            <v>PUNJAB / HARYANA / HP</v>
          </cell>
          <cell r="C427" t="str">
            <v>CHANDIGARH</v>
          </cell>
        </row>
        <row r="428">
          <cell r="A428" t="str">
            <v>NAWANSHAHAR</v>
          </cell>
          <cell r="B428" t="str">
            <v>PUNJAB / HARYANA / HP</v>
          </cell>
          <cell r="C428" t="str">
            <v>CHANDIGARH</v>
          </cell>
        </row>
        <row r="429">
          <cell r="A429" t="str">
            <v>PHILLAUR</v>
          </cell>
          <cell r="B429" t="str">
            <v>PUNJAB / HARYANA / HP</v>
          </cell>
          <cell r="C429" t="str">
            <v>CHANDIGARH</v>
          </cell>
        </row>
        <row r="430">
          <cell r="A430" t="str">
            <v>NABHA</v>
          </cell>
          <cell r="B430" t="str">
            <v>PUNJAB / HARYANA / HP</v>
          </cell>
          <cell r="C430" t="str">
            <v>CHANDIGARH</v>
          </cell>
        </row>
        <row r="431">
          <cell r="A431" t="str">
            <v>SANGRUR</v>
          </cell>
          <cell r="B431" t="str">
            <v>PUNJAB / HARYANA / HP</v>
          </cell>
          <cell r="C431" t="str">
            <v>CHANDIGARH</v>
          </cell>
        </row>
        <row r="432">
          <cell r="A432" t="str">
            <v>RAJPURA</v>
          </cell>
          <cell r="B432" t="str">
            <v>PUNJAB / HARYANA / HP</v>
          </cell>
          <cell r="C432" t="str">
            <v>CHANDIGARH</v>
          </cell>
        </row>
        <row r="433">
          <cell r="A433" t="str">
            <v>SUNAM</v>
          </cell>
          <cell r="B433" t="str">
            <v>PUNJAB / HARYANA / HP</v>
          </cell>
          <cell r="C433" t="str">
            <v>CHANDIGARH</v>
          </cell>
        </row>
        <row r="434">
          <cell r="A434" t="str">
            <v>SAMRALA</v>
          </cell>
          <cell r="B434" t="str">
            <v>PUNJAB / HARYANA / HP</v>
          </cell>
          <cell r="C434" t="str">
            <v>CHANDIGARH</v>
          </cell>
        </row>
        <row r="435">
          <cell r="A435" t="str">
            <v>SARHIND</v>
          </cell>
          <cell r="B435" t="str">
            <v>PUNJAB / HARYANA / HP</v>
          </cell>
          <cell r="C435" t="str">
            <v>CHANDIGARH</v>
          </cell>
        </row>
        <row r="436">
          <cell r="A436" t="str">
            <v>KALKA</v>
          </cell>
          <cell r="B436" t="str">
            <v>PUNJAB / HARYANA / HP</v>
          </cell>
          <cell r="C436" t="str">
            <v>CHANDIGARH</v>
          </cell>
        </row>
        <row r="437">
          <cell r="A437" t="str">
            <v>ROPAR</v>
          </cell>
          <cell r="B437" t="str">
            <v>PUNJAB / HARYANA / HP</v>
          </cell>
          <cell r="C437" t="str">
            <v>CHANDIGARH</v>
          </cell>
        </row>
        <row r="438">
          <cell r="A438" t="str">
            <v>KHARAR</v>
          </cell>
          <cell r="B438" t="str">
            <v>PUNJAB / HARYANA / HP</v>
          </cell>
          <cell r="C438" t="str">
            <v>CHANDIGARH</v>
          </cell>
        </row>
        <row r="439">
          <cell r="A439" t="str">
            <v>JALLANDHAR</v>
          </cell>
          <cell r="B439" t="str">
            <v>PUNJAB / HARYANA / HP</v>
          </cell>
          <cell r="C439" t="str">
            <v>JALLANDHAR</v>
          </cell>
        </row>
        <row r="440">
          <cell r="A440" t="str">
            <v>AMRITSAR</v>
          </cell>
          <cell r="B440" t="str">
            <v>PUNJAB / HARYANA / HP</v>
          </cell>
          <cell r="C440" t="str">
            <v>JALLANDHAR</v>
          </cell>
        </row>
        <row r="441">
          <cell r="A441" t="str">
            <v>HOSHIARPUR</v>
          </cell>
          <cell r="B441" t="str">
            <v>PUNJAB / HARYANA / HP</v>
          </cell>
          <cell r="C441" t="str">
            <v>JALLANDHAR</v>
          </cell>
        </row>
        <row r="442">
          <cell r="A442" t="str">
            <v>PATHANKOT</v>
          </cell>
          <cell r="B442" t="str">
            <v>PUNJAB / HARYANA / HP</v>
          </cell>
          <cell r="C442" t="str">
            <v>JALLANDHAR</v>
          </cell>
        </row>
        <row r="443">
          <cell r="A443" t="str">
            <v>BATALA</v>
          </cell>
          <cell r="B443" t="str">
            <v>PUNJAB / HARYANA / HP</v>
          </cell>
          <cell r="C443" t="str">
            <v>JALLANDHAR</v>
          </cell>
        </row>
        <row r="444">
          <cell r="A444" t="str">
            <v>GURDASPUR</v>
          </cell>
          <cell r="B444" t="str">
            <v>PUNJAB / HARYANA / HP</v>
          </cell>
          <cell r="C444" t="str">
            <v>JALLANDHAR</v>
          </cell>
        </row>
        <row r="445">
          <cell r="A445" t="str">
            <v>PHAGWARA</v>
          </cell>
          <cell r="B445" t="str">
            <v>PUNJAB / HARYANA / HP</v>
          </cell>
          <cell r="C445" t="str">
            <v>JALLANDHAR</v>
          </cell>
        </row>
        <row r="446">
          <cell r="A446" t="str">
            <v>KAPURTHALA</v>
          </cell>
          <cell r="B446" t="str">
            <v>PUNJAB / HARYANA / HP</v>
          </cell>
          <cell r="C446" t="str">
            <v>JALLANDHAR</v>
          </cell>
        </row>
        <row r="447">
          <cell r="A447" t="str">
            <v>TARAN TARAN</v>
          </cell>
          <cell r="B447" t="str">
            <v>PUNJAB / HARYANA / HP</v>
          </cell>
          <cell r="C447" t="str">
            <v>JALLANDHAR</v>
          </cell>
        </row>
        <row r="448">
          <cell r="A448" t="str">
            <v>PANIPAT</v>
          </cell>
          <cell r="B448" t="str">
            <v>PUNJAB / HARYANA / HP</v>
          </cell>
          <cell r="C448" t="str">
            <v>AMBALA</v>
          </cell>
        </row>
        <row r="449">
          <cell r="A449" t="str">
            <v>AMBALA</v>
          </cell>
          <cell r="B449" t="str">
            <v>PUNJAB / HARYANA / HP</v>
          </cell>
          <cell r="C449" t="str">
            <v>AMBALA</v>
          </cell>
        </row>
        <row r="450">
          <cell r="A450" t="str">
            <v>KARNAL</v>
          </cell>
          <cell r="B450" t="str">
            <v>PUNJAB / HARYANA / HP</v>
          </cell>
          <cell r="C450" t="str">
            <v>AMBALA</v>
          </cell>
        </row>
        <row r="451">
          <cell r="A451" t="str">
            <v>KURUKSHETRA</v>
          </cell>
          <cell r="B451" t="str">
            <v>PUNJAB / HARYANA / HP</v>
          </cell>
          <cell r="C451" t="str">
            <v>AMBALA</v>
          </cell>
        </row>
        <row r="452">
          <cell r="A452" t="str">
            <v>JAGADHARI</v>
          </cell>
          <cell r="B452" t="str">
            <v>PUNJAB / HARYANA / HP</v>
          </cell>
          <cell r="C452" t="str">
            <v>AMBALA</v>
          </cell>
        </row>
        <row r="453">
          <cell r="A453" t="str">
            <v>KAITHAL</v>
          </cell>
          <cell r="B453" t="str">
            <v>PUNJAB / HARYANA / HP</v>
          </cell>
          <cell r="C453" t="str">
            <v>AMBALA</v>
          </cell>
        </row>
        <row r="454">
          <cell r="A454" t="str">
            <v>NARAINGARH</v>
          </cell>
          <cell r="B454" t="str">
            <v>PUNJAB / HARYANA / HP</v>
          </cell>
          <cell r="C454" t="str">
            <v>AMBALA</v>
          </cell>
        </row>
        <row r="455">
          <cell r="A455" t="str">
            <v>CHHACHRAULI</v>
          </cell>
          <cell r="B455" t="str">
            <v>PUNJAB / HARYANA / HP</v>
          </cell>
          <cell r="C455" t="str">
            <v>AMBALA</v>
          </cell>
        </row>
        <row r="456">
          <cell r="A456" t="str">
            <v>NILOKHERI</v>
          </cell>
          <cell r="B456" t="str">
            <v>PUNJAB / HARYANA / HP</v>
          </cell>
          <cell r="C456" t="str">
            <v>AMBALA</v>
          </cell>
        </row>
        <row r="457">
          <cell r="A457" t="str">
            <v>BARARA</v>
          </cell>
          <cell r="B457" t="str">
            <v>PUNJAB / HARYANA / HP</v>
          </cell>
          <cell r="C457" t="str">
            <v>AMBALA</v>
          </cell>
        </row>
        <row r="458">
          <cell r="A458" t="str">
            <v>Simla</v>
          </cell>
          <cell r="B458" t="str">
            <v>PUNJAB / HARYANA / HP</v>
          </cell>
          <cell r="C458" t="str">
            <v>SHIMLA</v>
          </cell>
        </row>
        <row r="459">
          <cell r="A459" t="str">
            <v>SOLAN</v>
          </cell>
          <cell r="B459" t="str">
            <v>PUNJAB / HARYANA / HP</v>
          </cell>
          <cell r="C459" t="str">
            <v>SHIMLA</v>
          </cell>
        </row>
        <row r="460">
          <cell r="A460" t="str">
            <v>SRIGANGANAGAR</v>
          </cell>
          <cell r="B460" t="str">
            <v>PUNJAB / HARYANA / HP</v>
          </cell>
          <cell r="C460" t="str">
            <v>BHATINDA</v>
          </cell>
        </row>
        <row r="461">
          <cell r="A461" t="str">
            <v>BHATINDA</v>
          </cell>
          <cell r="B461" t="str">
            <v>PUNJAB / HARYANA / HP</v>
          </cell>
          <cell r="C461" t="str">
            <v>BHATINDA</v>
          </cell>
        </row>
        <row r="462">
          <cell r="A462" t="str">
            <v>MOGA</v>
          </cell>
          <cell r="B462" t="str">
            <v>PUNJAB / HARYANA / HP</v>
          </cell>
          <cell r="C462" t="str">
            <v>BHATINDA</v>
          </cell>
        </row>
        <row r="463">
          <cell r="A463" t="str">
            <v>FEROZEPUR</v>
          </cell>
          <cell r="B463" t="str">
            <v>PUNJAB / HARYANA / HP</v>
          </cell>
          <cell r="C463" t="str">
            <v>BHATINDA</v>
          </cell>
        </row>
        <row r="464">
          <cell r="A464" t="str">
            <v>MALAUT</v>
          </cell>
          <cell r="B464" t="str">
            <v>PUNJAB / HARYANA / HP</v>
          </cell>
          <cell r="C464" t="str">
            <v>BHATINDA</v>
          </cell>
        </row>
        <row r="465">
          <cell r="A465" t="str">
            <v>ABOHAR</v>
          </cell>
          <cell r="B465" t="str">
            <v>PUNJAB / HARYANA / HP</v>
          </cell>
          <cell r="C465" t="str">
            <v>BHATINDA</v>
          </cell>
        </row>
        <row r="466">
          <cell r="A466" t="str">
            <v>KOTKAPURA</v>
          </cell>
          <cell r="B466" t="str">
            <v>PUNJAB / HARYANA / HP</v>
          </cell>
          <cell r="C466" t="str">
            <v>BHATINDA</v>
          </cell>
        </row>
        <row r="467">
          <cell r="A467" t="str">
            <v>FARIDAKOT</v>
          </cell>
          <cell r="B467" t="str">
            <v>PUNJAB / HARYANA / HP</v>
          </cell>
          <cell r="C467" t="str">
            <v>BHATINDA</v>
          </cell>
        </row>
        <row r="468">
          <cell r="A468" t="str">
            <v>ZIRA</v>
          </cell>
          <cell r="B468" t="str">
            <v>PUNJAB / HARYANA / HP</v>
          </cell>
          <cell r="C468" t="str">
            <v>BHATINDA</v>
          </cell>
        </row>
        <row r="469">
          <cell r="A469" t="str">
            <v>RAMAN</v>
          </cell>
          <cell r="B469" t="str">
            <v>PUNJAB / HARYANA / HP</v>
          </cell>
          <cell r="C469" t="str">
            <v>BHATINDA</v>
          </cell>
        </row>
        <row r="470">
          <cell r="A470" t="str">
            <v xml:space="preserve">Rohtak </v>
          </cell>
          <cell r="B470" t="str">
            <v>PUNJAB / HARYANA / HP</v>
          </cell>
          <cell r="C470" t="str">
            <v>SONIPAT</v>
          </cell>
        </row>
        <row r="471">
          <cell r="A471" t="str">
            <v>SONIPAT</v>
          </cell>
          <cell r="B471" t="str">
            <v>PUNJAB / HARYANA / HP</v>
          </cell>
          <cell r="C471" t="str">
            <v>SONIPAT</v>
          </cell>
        </row>
        <row r="472">
          <cell r="A472" t="str">
            <v>HISSAR</v>
          </cell>
          <cell r="B472" t="str">
            <v>PUNJAB / HARYANA / HP</v>
          </cell>
          <cell r="C472" t="str">
            <v>SONIPAT</v>
          </cell>
        </row>
        <row r="473">
          <cell r="A473" t="str">
            <v>SIRSA</v>
          </cell>
          <cell r="B473" t="str">
            <v>PUNJAB / HARYANA / HP</v>
          </cell>
          <cell r="C473" t="str">
            <v>SONIPAT</v>
          </cell>
        </row>
        <row r="474">
          <cell r="A474" t="str">
            <v>JIND</v>
          </cell>
          <cell r="B474" t="str">
            <v>PUNJAB / HARYANA / HP</v>
          </cell>
          <cell r="C474" t="str">
            <v>SONIPAT</v>
          </cell>
        </row>
        <row r="475">
          <cell r="A475" t="str">
            <v>BHIWANI</v>
          </cell>
          <cell r="B475" t="str">
            <v>PUNJAB / HARYANA / HP</v>
          </cell>
          <cell r="C475" t="str">
            <v>SONIPAT</v>
          </cell>
        </row>
        <row r="476">
          <cell r="A476" t="str">
            <v>BAHADURGARH</v>
          </cell>
          <cell r="B476" t="str">
            <v>PUNJAB / HARYANA / HP</v>
          </cell>
          <cell r="C476" t="str">
            <v>SONIPAT</v>
          </cell>
        </row>
        <row r="477">
          <cell r="A477" t="str">
            <v>FATEHABAD</v>
          </cell>
          <cell r="B477" t="str">
            <v>PUNJAB / HARYANA / HP</v>
          </cell>
          <cell r="C477" t="str">
            <v>SONIPAT</v>
          </cell>
        </row>
        <row r="478">
          <cell r="A478" t="str">
            <v>HANSI</v>
          </cell>
          <cell r="B478" t="str">
            <v>PUNJAB / HARYANA / HP</v>
          </cell>
          <cell r="C478" t="str">
            <v>SONIPAT</v>
          </cell>
        </row>
        <row r="479">
          <cell r="A479" t="str">
            <v>JHAJJAR</v>
          </cell>
          <cell r="B479" t="str">
            <v>PUNJAB / HARYANA / HP</v>
          </cell>
          <cell r="C479" t="str">
            <v>SONIPAT</v>
          </cell>
        </row>
        <row r="480">
          <cell r="A480" t="str">
            <v>GOHANA</v>
          </cell>
          <cell r="B480" t="str">
            <v>PUNJAB / HARYANA / HP</v>
          </cell>
          <cell r="C480" t="str">
            <v>SONIPAT</v>
          </cell>
        </row>
        <row r="481">
          <cell r="A481" t="str">
            <v>NARNAUL</v>
          </cell>
          <cell r="B481" t="str">
            <v>PUNJAB / HARYANA / HP</v>
          </cell>
          <cell r="C481" t="str">
            <v>SONIPAT</v>
          </cell>
        </row>
        <row r="482">
          <cell r="A482" t="str">
            <v>DABWALI</v>
          </cell>
          <cell r="B482" t="str">
            <v>PUNJAB / HARYANA / HP</v>
          </cell>
          <cell r="C482" t="str">
            <v>SONIPAT</v>
          </cell>
        </row>
        <row r="483">
          <cell r="A483" t="str">
            <v>CHARKHIDADRI</v>
          </cell>
          <cell r="B483" t="str">
            <v>PUNJAB / HARYANA / HP</v>
          </cell>
          <cell r="C483" t="str">
            <v>SONIPAT</v>
          </cell>
        </row>
        <row r="484">
          <cell r="A484">
            <v>61</v>
          </cell>
          <cell r="B484">
            <v>1</v>
          </cell>
          <cell r="C484">
            <v>6</v>
          </cell>
        </row>
        <row r="485">
          <cell r="A485" t="str">
            <v>Calcutta</v>
          </cell>
          <cell r="B485" t="str">
            <v>WEST BENGAL / BIHAR</v>
          </cell>
          <cell r="C485" t="str">
            <v>KOLKATA</v>
          </cell>
        </row>
        <row r="486">
          <cell r="A486" t="str">
            <v>KHARAGPUR</v>
          </cell>
          <cell r="B486" t="str">
            <v>WEST BENGAL / BIHAR</v>
          </cell>
          <cell r="C486" t="str">
            <v>KOLKATA</v>
          </cell>
        </row>
        <row r="487">
          <cell r="A487" t="str">
            <v>HALDIA</v>
          </cell>
          <cell r="B487" t="str">
            <v>WEST BENGAL / BIHAR</v>
          </cell>
          <cell r="C487" t="str">
            <v>KOLKATA</v>
          </cell>
        </row>
        <row r="488">
          <cell r="A488" t="str">
            <v>HABRA</v>
          </cell>
          <cell r="B488" t="str">
            <v>WEST BENGAL / BIHAR</v>
          </cell>
          <cell r="C488" t="str">
            <v>KOLKATA</v>
          </cell>
        </row>
        <row r="489">
          <cell r="A489" t="str">
            <v>BASIRHAT</v>
          </cell>
          <cell r="B489" t="str">
            <v>WEST BENGAL / BIHAR</v>
          </cell>
          <cell r="C489" t="str">
            <v>KOLKATA</v>
          </cell>
        </row>
        <row r="490">
          <cell r="A490" t="str">
            <v>TAMLUK</v>
          </cell>
          <cell r="B490" t="str">
            <v>WEST BENGAL / BIHAR</v>
          </cell>
          <cell r="C490" t="str">
            <v>KOLKATA</v>
          </cell>
        </row>
        <row r="491">
          <cell r="A491" t="str">
            <v>PATNA</v>
          </cell>
          <cell r="B491" t="str">
            <v>WEST BENGAL / BIHAR</v>
          </cell>
          <cell r="C491" t="str">
            <v>PATNA</v>
          </cell>
        </row>
        <row r="492">
          <cell r="A492" t="str">
            <v>MUZAFFARPUR</v>
          </cell>
          <cell r="B492" t="str">
            <v>WEST BENGAL / BIHAR</v>
          </cell>
          <cell r="C492" t="str">
            <v>PATNA</v>
          </cell>
        </row>
        <row r="493">
          <cell r="A493" t="str">
            <v>Dharbhanga</v>
          </cell>
          <cell r="B493" t="str">
            <v>WEST BENGAL / BIHAR</v>
          </cell>
          <cell r="C493" t="str">
            <v>PATNA</v>
          </cell>
        </row>
        <row r="494">
          <cell r="A494" t="str">
            <v>BIHARSHARIF</v>
          </cell>
          <cell r="B494" t="str">
            <v>WEST BENGAL / BIHAR</v>
          </cell>
          <cell r="C494" t="str">
            <v>PATNA</v>
          </cell>
        </row>
        <row r="495">
          <cell r="A495" t="str">
            <v>ARRAH</v>
          </cell>
          <cell r="B495" t="str">
            <v>WEST BENGAL / BIHAR</v>
          </cell>
          <cell r="C495" t="str">
            <v>PATNA</v>
          </cell>
        </row>
        <row r="496">
          <cell r="A496" t="str">
            <v>DANAPUR</v>
          </cell>
          <cell r="B496" t="str">
            <v>WEST BENGAL / BIHAR</v>
          </cell>
          <cell r="C496" t="str">
            <v>PATNA</v>
          </cell>
        </row>
        <row r="497">
          <cell r="A497" t="str">
            <v>NAWADA</v>
          </cell>
          <cell r="B497" t="str">
            <v>WEST BENGAL / BIHAR</v>
          </cell>
          <cell r="C497" t="str">
            <v>PATNA</v>
          </cell>
        </row>
        <row r="498">
          <cell r="A498" t="str">
            <v>ASANSOL</v>
          </cell>
          <cell r="B498" t="str">
            <v>WEST BENGAL / BIHAR</v>
          </cell>
          <cell r="C498" t="str">
            <v>ASANSOL</v>
          </cell>
        </row>
        <row r="499">
          <cell r="A499" t="str">
            <v>DURGAPUR</v>
          </cell>
          <cell r="B499" t="str">
            <v>WEST BENGAL / BIHAR</v>
          </cell>
          <cell r="C499" t="str">
            <v>ASANSOL</v>
          </cell>
        </row>
        <row r="500">
          <cell r="A500" t="str">
            <v>BURDWAN</v>
          </cell>
          <cell r="B500" t="str">
            <v>WEST BENGAL / BIHAR</v>
          </cell>
          <cell r="C500" t="str">
            <v>ASANSOL</v>
          </cell>
        </row>
        <row r="501">
          <cell r="A501" t="str">
            <v>Berhampur</v>
          </cell>
          <cell r="B501" t="str">
            <v>WEST BENGAL / BIHAR</v>
          </cell>
          <cell r="C501" t="str">
            <v>ASANSOL</v>
          </cell>
        </row>
        <row r="502">
          <cell r="A502" t="str">
            <v>Krishnanagar</v>
          </cell>
          <cell r="B502" t="str">
            <v>WEST BENGAL / BIHAR</v>
          </cell>
          <cell r="C502" t="str">
            <v>ASANSOL</v>
          </cell>
        </row>
        <row r="503">
          <cell r="A503" t="str">
            <v>RANAGHAT</v>
          </cell>
          <cell r="B503" t="str">
            <v>WEST BENGAL / BIHAR</v>
          </cell>
          <cell r="C503" t="str">
            <v>ASANSOL</v>
          </cell>
        </row>
        <row r="504">
          <cell r="A504" t="str">
            <v>BONGOAN</v>
          </cell>
          <cell r="B504" t="str">
            <v>WEST BENGAL / BIHAR</v>
          </cell>
          <cell r="C504" t="str">
            <v>ASANSOL</v>
          </cell>
        </row>
        <row r="505">
          <cell r="A505" t="str">
            <v>BOLPUR</v>
          </cell>
          <cell r="B505" t="str">
            <v>WEST BENGAL / BIHAR</v>
          </cell>
          <cell r="C505" t="str">
            <v>ASANSOL</v>
          </cell>
        </row>
        <row r="506">
          <cell r="A506" t="str">
            <v>KATWA</v>
          </cell>
          <cell r="B506" t="str">
            <v>WEST BENGAL / BIHAR</v>
          </cell>
          <cell r="C506" t="str">
            <v>ASANSOL</v>
          </cell>
        </row>
        <row r="507">
          <cell r="A507" t="str">
            <v>RANCHI</v>
          </cell>
          <cell r="B507" t="str">
            <v>WEST BENGAL / BIHAR</v>
          </cell>
          <cell r="C507" t="str">
            <v>RANCHI</v>
          </cell>
        </row>
        <row r="508">
          <cell r="A508" t="str">
            <v>JAMSHEDPUR</v>
          </cell>
          <cell r="B508" t="str">
            <v>WEST BENGAL / BIHAR</v>
          </cell>
          <cell r="C508" t="str">
            <v>RANCHI</v>
          </cell>
        </row>
        <row r="509">
          <cell r="A509" t="str">
            <v>DHANBAD</v>
          </cell>
          <cell r="B509" t="str">
            <v>WEST BENGAL / BIHAR</v>
          </cell>
          <cell r="C509" t="str">
            <v>RANCHI</v>
          </cell>
        </row>
        <row r="510">
          <cell r="A510" t="str">
            <v>BOKARO</v>
          </cell>
          <cell r="B510" t="str">
            <v>WEST BENGAL / BIHAR</v>
          </cell>
          <cell r="C510" t="str">
            <v>RANCHI</v>
          </cell>
        </row>
        <row r="511">
          <cell r="A511">
            <v>26</v>
          </cell>
          <cell r="B511">
            <v>1</v>
          </cell>
          <cell r="C511">
            <v>4</v>
          </cell>
        </row>
        <row r="512">
          <cell r="A512" t="str">
            <v>INDORE</v>
          </cell>
          <cell r="B512" t="str">
            <v>MADHYA PRADESH / ORISSA</v>
          </cell>
          <cell r="C512" t="str">
            <v>INDORE</v>
          </cell>
        </row>
        <row r="513">
          <cell r="A513" t="str">
            <v>UJJAIN</v>
          </cell>
          <cell r="B513" t="str">
            <v>MADHYA PRADESH / ORISSA</v>
          </cell>
          <cell r="C513" t="str">
            <v>INDORE</v>
          </cell>
        </row>
        <row r="514">
          <cell r="A514" t="str">
            <v>RATLAM</v>
          </cell>
          <cell r="B514" t="str">
            <v>MADHYA PRADESH / ORISSA</v>
          </cell>
          <cell r="C514" t="str">
            <v>INDORE</v>
          </cell>
        </row>
        <row r="515">
          <cell r="A515" t="str">
            <v>DEWAS</v>
          </cell>
          <cell r="B515" t="str">
            <v>MADHYA PRADESH / ORISSA</v>
          </cell>
          <cell r="C515" t="str">
            <v>INDORE</v>
          </cell>
        </row>
        <row r="516">
          <cell r="A516" t="str">
            <v>MANDSAUR</v>
          </cell>
          <cell r="B516" t="str">
            <v>MADHYA PRADESH / ORISSA</v>
          </cell>
          <cell r="C516" t="str">
            <v>INDORE</v>
          </cell>
        </row>
        <row r="517">
          <cell r="A517" t="str">
            <v>NEEMUCH</v>
          </cell>
          <cell r="B517" t="str">
            <v>MADHYA PRADESH / ORISSA</v>
          </cell>
          <cell r="C517" t="str">
            <v>INDORE</v>
          </cell>
        </row>
        <row r="518">
          <cell r="A518" t="str">
            <v>DHAR</v>
          </cell>
          <cell r="B518" t="str">
            <v>MADHYA PRADESH / ORISSA</v>
          </cell>
          <cell r="C518" t="str">
            <v>INDORE</v>
          </cell>
        </row>
        <row r="519">
          <cell r="A519" t="str">
            <v>MHOW</v>
          </cell>
          <cell r="B519" t="str">
            <v>MADHYA PRADESH / ORISSA</v>
          </cell>
          <cell r="C519" t="str">
            <v>INDORE</v>
          </cell>
        </row>
        <row r="520">
          <cell r="A520" t="str">
            <v>JAORA</v>
          </cell>
          <cell r="B520" t="str">
            <v>MADHYA PRADESH / ORISSA</v>
          </cell>
          <cell r="C520" t="str">
            <v>INDORE</v>
          </cell>
        </row>
        <row r="521">
          <cell r="A521" t="str">
            <v>BHOPAL</v>
          </cell>
          <cell r="B521" t="str">
            <v>MADHYA PRADESH / ORISSA</v>
          </cell>
          <cell r="C521" t="str">
            <v>BHOPAL</v>
          </cell>
        </row>
        <row r="522">
          <cell r="A522" t="str">
            <v>ITARSI</v>
          </cell>
          <cell r="B522" t="str">
            <v>MADHYA PRADESH / ORISSA</v>
          </cell>
          <cell r="C522" t="str">
            <v>BHOPAL</v>
          </cell>
        </row>
        <row r="523">
          <cell r="A523" t="str">
            <v>SEHORE</v>
          </cell>
          <cell r="B523" t="str">
            <v>MADHYA PRADESH / ORISSA</v>
          </cell>
          <cell r="C523" t="str">
            <v>BHOPAL</v>
          </cell>
        </row>
        <row r="524">
          <cell r="A524" t="str">
            <v xml:space="preserve">Betul </v>
          </cell>
          <cell r="B524" t="str">
            <v>MADHYA PRADESH / ORISSA</v>
          </cell>
          <cell r="C524" t="str">
            <v>BHOPAL</v>
          </cell>
        </row>
        <row r="525">
          <cell r="A525" t="str">
            <v>BHUBANESHWAR</v>
          </cell>
          <cell r="B525" t="str">
            <v>MADHYA PRADESH / ORISSA</v>
          </cell>
          <cell r="C525" t="str">
            <v>BHUBANESWAR</v>
          </cell>
        </row>
        <row r="526">
          <cell r="A526" t="str">
            <v>CUTTACK</v>
          </cell>
          <cell r="B526" t="str">
            <v>MADHYA PRADESH / ORISSA</v>
          </cell>
          <cell r="C526" t="str">
            <v>BHUBANESWAR</v>
          </cell>
        </row>
        <row r="527">
          <cell r="A527" t="str">
            <v>Berhmpur</v>
          </cell>
          <cell r="B527" t="str">
            <v>MADHYA PRADESH / ORISSA</v>
          </cell>
          <cell r="C527" t="str">
            <v>BHUBANESWAR</v>
          </cell>
        </row>
        <row r="528">
          <cell r="A528" t="str">
            <v>BALASORE</v>
          </cell>
          <cell r="B528" t="str">
            <v>MADHYA PRADESH / ORISSA</v>
          </cell>
          <cell r="C528" t="str">
            <v>BHUBANESWAR</v>
          </cell>
        </row>
        <row r="529">
          <cell r="A529" t="str">
            <v>ANUGUL</v>
          </cell>
          <cell r="B529" t="str">
            <v>MADHYA PRADESH / ORISSA</v>
          </cell>
          <cell r="C529" t="str">
            <v>BHUBANESWAR</v>
          </cell>
        </row>
        <row r="530">
          <cell r="A530" t="str">
            <v>CHHATRAPUR</v>
          </cell>
          <cell r="B530" t="str">
            <v>MADHYA PRADESH / ORISSA</v>
          </cell>
          <cell r="C530" t="str">
            <v>BHUBANESWAR</v>
          </cell>
        </row>
        <row r="531">
          <cell r="A531" t="str">
            <v>BHADRAK</v>
          </cell>
          <cell r="B531" t="str">
            <v>MADHYA PRADESH / ORISSA</v>
          </cell>
          <cell r="C531" t="str">
            <v>BHUBANESWAR</v>
          </cell>
        </row>
        <row r="532">
          <cell r="A532" t="str">
            <v>DHENKANAL</v>
          </cell>
          <cell r="B532" t="str">
            <v>MADHYA PRADESH / ORISSA</v>
          </cell>
          <cell r="C532" t="str">
            <v>BHUBANESWAR</v>
          </cell>
        </row>
        <row r="533">
          <cell r="A533" t="str">
            <v>BARIPADA</v>
          </cell>
          <cell r="B533" t="str">
            <v>MADHYA PRADESH / ORISSA</v>
          </cell>
          <cell r="C533" t="str">
            <v>BHUBANESWAR</v>
          </cell>
        </row>
        <row r="534">
          <cell r="A534" t="str">
            <v>KHURDA</v>
          </cell>
          <cell r="B534" t="str">
            <v>MADHYA PRADESH / ORISSA</v>
          </cell>
          <cell r="C534" t="str">
            <v>BHUBANESWAR</v>
          </cell>
        </row>
        <row r="535">
          <cell r="A535" t="str">
            <v>JAGAPUR ROAD</v>
          </cell>
          <cell r="B535" t="str">
            <v>MADHYA PRADESH / ORISSA</v>
          </cell>
          <cell r="C535" t="str">
            <v>BHUBANESWAR</v>
          </cell>
        </row>
        <row r="536">
          <cell r="A536" t="str">
            <v>SORO</v>
          </cell>
          <cell r="B536" t="str">
            <v>MADHYA PRADESH / ORISSA</v>
          </cell>
          <cell r="C536" t="str">
            <v>BHUBANESWAR</v>
          </cell>
        </row>
        <row r="537">
          <cell r="A537" t="str">
            <v>JAGAPUR TOWN</v>
          </cell>
          <cell r="B537" t="str">
            <v>MADHYA PRADESH / ORISSA</v>
          </cell>
          <cell r="C537" t="str">
            <v>BHUBANESWAR</v>
          </cell>
        </row>
        <row r="538">
          <cell r="A538" t="str">
            <v>DHANMANDAL</v>
          </cell>
          <cell r="B538" t="str">
            <v>MADHYA PRADESH / ORISSA</v>
          </cell>
          <cell r="C538" t="str">
            <v>BHUBANESWAR</v>
          </cell>
        </row>
        <row r="539">
          <cell r="A539" t="str">
            <v>JABALPUR</v>
          </cell>
          <cell r="B539" t="str">
            <v>MADHYA PRADESH / ORISSA</v>
          </cell>
          <cell r="C539" t="str">
            <v>JABALPUR</v>
          </cell>
        </row>
        <row r="540">
          <cell r="A540" t="str">
            <v>KATNI</v>
          </cell>
          <cell r="B540" t="str">
            <v>MADHYA PRADESH / ORISSA</v>
          </cell>
          <cell r="C540" t="str">
            <v>JABALPUR</v>
          </cell>
        </row>
        <row r="541">
          <cell r="A541" t="str">
            <v>SAGAR</v>
          </cell>
          <cell r="B541" t="str">
            <v>MADHYA PRADESH / ORISSA</v>
          </cell>
          <cell r="C541" t="str">
            <v>JABALPUR</v>
          </cell>
        </row>
        <row r="542">
          <cell r="A542" t="str">
            <v>SATNA</v>
          </cell>
          <cell r="B542" t="str">
            <v>MADHYA PRADESH / ORISSA</v>
          </cell>
          <cell r="C542" t="str">
            <v>JABALPUR</v>
          </cell>
        </row>
        <row r="543">
          <cell r="A543" t="str">
            <v>Chindwara</v>
          </cell>
          <cell r="B543" t="str">
            <v>MADHYA PRADESH / ORISSA</v>
          </cell>
          <cell r="C543" t="str">
            <v>JABALPUR</v>
          </cell>
        </row>
        <row r="544">
          <cell r="A544" t="str">
            <v>REWA</v>
          </cell>
          <cell r="B544" t="str">
            <v>MADHYA PRADESH / ORISSA</v>
          </cell>
          <cell r="C544" t="str">
            <v>JABALPUR</v>
          </cell>
        </row>
        <row r="545">
          <cell r="A545" t="str">
            <v>BALAGHAT</v>
          </cell>
          <cell r="B545" t="str">
            <v>MADHYA PRADESH / ORISSA</v>
          </cell>
          <cell r="C545" t="str">
            <v>JABALPUR</v>
          </cell>
        </row>
        <row r="546">
          <cell r="A546" t="str">
            <v>RAIPUR</v>
          </cell>
          <cell r="B546" t="str">
            <v>MADHYA PRADESH / ORISSA</v>
          </cell>
          <cell r="C546" t="str">
            <v>RAIPUR</v>
          </cell>
        </row>
        <row r="547">
          <cell r="A547" t="str">
            <v>DURG</v>
          </cell>
          <cell r="B547" t="str">
            <v>MADHYA PRADESH / ORISSA</v>
          </cell>
          <cell r="C547" t="str">
            <v>RAIPUR</v>
          </cell>
        </row>
        <row r="548">
          <cell r="A548" t="str">
            <v>BILASPUR</v>
          </cell>
          <cell r="B548" t="str">
            <v>MADHYA PRADESH / ORISSA</v>
          </cell>
          <cell r="C548" t="str">
            <v>RAIPUR</v>
          </cell>
        </row>
        <row r="549">
          <cell r="A549" t="str">
            <v>RAJNANDGAON</v>
          </cell>
          <cell r="B549" t="str">
            <v>MADHYA PRADESH / ORISSA</v>
          </cell>
          <cell r="C549" t="str">
            <v>RAIPUR</v>
          </cell>
        </row>
        <row r="550">
          <cell r="A550" t="str">
            <v>RAIGARH</v>
          </cell>
          <cell r="B550" t="str">
            <v>MADHYA PRADESH / ORISSA</v>
          </cell>
          <cell r="C550" t="str">
            <v>RAIPUR</v>
          </cell>
        </row>
        <row r="551">
          <cell r="A551" t="str">
            <v>GWALIOR</v>
          </cell>
          <cell r="B551" t="str">
            <v>MADHYA PRADESH / ORISSA</v>
          </cell>
          <cell r="C551" t="str">
            <v>GWALIOR</v>
          </cell>
        </row>
        <row r="552">
          <cell r="A552" t="str">
            <v>MORENA</v>
          </cell>
          <cell r="B552" t="str">
            <v>MADHYA PRADESH / ORISSA</v>
          </cell>
          <cell r="C552" t="str">
            <v>GWALIOR</v>
          </cell>
        </row>
        <row r="553">
          <cell r="A553" t="str">
            <v>GUNA</v>
          </cell>
          <cell r="B553" t="str">
            <v>MADHYA PRADESH / ORISSA</v>
          </cell>
          <cell r="C553" t="str">
            <v>GWALIOR</v>
          </cell>
        </row>
        <row r="554">
          <cell r="A554" t="str">
            <v>SHIVPURI</v>
          </cell>
          <cell r="B554" t="str">
            <v>MADHYA PRADESH / ORISSA</v>
          </cell>
          <cell r="C554" t="str">
            <v>GWALIOR</v>
          </cell>
        </row>
        <row r="555">
          <cell r="A555" t="str">
            <v>ROURKELA</v>
          </cell>
          <cell r="B555" t="str">
            <v>MADHYA PRADESH / ORISSA</v>
          </cell>
          <cell r="C555" t="str">
            <v>ROURKELA</v>
          </cell>
        </row>
        <row r="556">
          <cell r="A556" t="str">
            <v>SAMBALPUR</v>
          </cell>
          <cell r="B556" t="str">
            <v>MADHYA PRADESH / ORISSA</v>
          </cell>
          <cell r="C556" t="str">
            <v>ROURKELA</v>
          </cell>
        </row>
        <row r="557">
          <cell r="A557" t="str">
            <v>BARGARH</v>
          </cell>
          <cell r="B557" t="str">
            <v>MADHYA PRADESH / ORISSA</v>
          </cell>
          <cell r="C557" t="str">
            <v>ROURKELA</v>
          </cell>
        </row>
        <row r="558">
          <cell r="A558">
            <v>46</v>
          </cell>
          <cell r="B558">
            <v>1</v>
          </cell>
          <cell r="C558">
            <v>7</v>
          </cell>
        </row>
        <row r="559">
          <cell r="A559" t="str">
            <v>Trivendrum</v>
          </cell>
          <cell r="B559" t="str">
            <v>KERALA</v>
          </cell>
          <cell r="C559" t="str">
            <v>TRIVANDRUM</v>
          </cell>
        </row>
        <row r="560">
          <cell r="A560" t="str">
            <v>QUILON</v>
          </cell>
          <cell r="B560" t="str">
            <v>KERALA</v>
          </cell>
          <cell r="C560" t="str">
            <v>TRIVANDRUM</v>
          </cell>
        </row>
        <row r="561">
          <cell r="A561" t="str">
            <v>MAVELIKKARA</v>
          </cell>
          <cell r="B561" t="str">
            <v>KERALA</v>
          </cell>
          <cell r="C561" t="str">
            <v>TRIVANDRUM</v>
          </cell>
        </row>
        <row r="562">
          <cell r="A562" t="str">
            <v>Allepy</v>
          </cell>
          <cell r="B562" t="str">
            <v>KERALA</v>
          </cell>
          <cell r="C562" t="str">
            <v>TRIVANDRUM</v>
          </cell>
        </row>
        <row r="563">
          <cell r="A563" t="str">
            <v xml:space="preserve">Tiruvalla </v>
          </cell>
          <cell r="B563" t="str">
            <v>KERALA</v>
          </cell>
          <cell r="C563" t="str">
            <v>TRIVANDRUM</v>
          </cell>
        </row>
        <row r="564">
          <cell r="A564" t="str">
            <v>PATHANAMTHITTA</v>
          </cell>
          <cell r="B564" t="str">
            <v>KERALA</v>
          </cell>
          <cell r="C564" t="str">
            <v>TRIVANDRUM</v>
          </cell>
        </row>
        <row r="565">
          <cell r="A565" t="str">
            <v>ATTINGAL</v>
          </cell>
          <cell r="B565" t="str">
            <v>KERALA</v>
          </cell>
          <cell r="C565" t="str">
            <v>TRIVANDRUM</v>
          </cell>
        </row>
        <row r="566">
          <cell r="A566" t="str">
            <v>SHERTALLAI</v>
          </cell>
          <cell r="B566" t="str">
            <v>KERALA</v>
          </cell>
          <cell r="C566" t="str">
            <v>TRIVANDRUM</v>
          </cell>
        </row>
        <row r="567">
          <cell r="A567" t="str">
            <v>KARUNAGAPALLY</v>
          </cell>
          <cell r="B567" t="str">
            <v>KERALA</v>
          </cell>
          <cell r="C567" t="str">
            <v>TRIVANDRUM</v>
          </cell>
        </row>
        <row r="568">
          <cell r="A568" t="str">
            <v>ADOOR</v>
          </cell>
          <cell r="B568" t="str">
            <v>KERALA</v>
          </cell>
          <cell r="C568" t="str">
            <v>TRIVANDRUM</v>
          </cell>
        </row>
        <row r="569">
          <cell r="A569" t="str">
            <v>RANNI</v>
          </cell>
          <cell r="B569" t="str">
            <v>KERALA</v>
          </cell>
          <cell r="C569" t="str">
            <v>TRIVANDRUM</v>
          </cell>
        </row>
        <row r="570">
          <cell r="A570" t="str">
            <v>PUNALUR</v>
          </cell>
          <cell r="B570" t="str">
            <v>KERALA</v>
          </cell>
          <cell r="C570" t="str">
            <v>TRIVANDRUM</v>
          </cell>
        </row>
        <row r="571">
          <cell r="A571" t="str">
            <v>NEDUMANDAD</v>
          </cell>
          <cell r="B571" t="str">
            <v>KERALA</v>
          </cell>
          <cell r="C571" t="str">
            <v>TRIVANDRUM</v>
          </cell>
        </row>
        <row r="572">
          <cell r="A572" t="str">
            <v>ERNAKULAM</v>
          </cell>
          <cell r="B572" t="str">
            <v>KERALA</v>
          </cell>
          <cell r="C572" t="str">
            <v>ERNAKULAM</v>
          </cell>
        </row>
        <row r="573">
          <cell r="A573" t="str">
            <v>Thrissur</v>
          </cell>
          <cell r="B573" t="str">
            <v>KERALA</v>
          </cell>
          <cell r="C573" t="str">
            <v>ERNAKULAM</v>
          </cell>
        </row>
        <row r="574">
          <cell r="A574" t="str">
            <v>Palaghat</v>
          </cell>
          <cell r="B574" t="str">
            <v>KERALA</v>
          </cell>
          <cell r="C574" t="str">
            <v>ERNAKULAM</v>
          </cell>
        </row>
        <row r="575">
          <cell r="A575" t="str">
            <v>KOTTAYAM</v>
          </cell>
          <cell r="B575" t="str">
            <v>KERALA</v>
          </cell>
          <cell r="C575" t="str">
            <v>ERNAKULAM</v>
          </cell>
        </row>
        <row r="576">
          <cell r="A576" t="str">
            <v>MUVATTUPUZHA</v>
          </cell>
          <cell r="B576" t="str">
            <v>KERALA</v>
          </cell>
          <cell r="C576" t="str">
            <v>ERNAKULAM</v>
          </cell>
        </row>
        <row r="577">
          <cell r="A577" t="str">
            <v>IRINJALAKUDA</v>
          </cell>
          <cell r="B577" t="str">
            <v>KERALA</v>
          </cell>
          <cell r="C577" t="str">
            <v>ERNAKULAM</v>
          </cell>
        </row>
        <row r="578">
          <cell r="A578" t="str">
            <v>THODUPUZHA</v>
          </cell>
          <cell r="B578" t="str">
            <v>KERALA</v>
          </cell>
          <cell r="C578" t="str">
            <v>ERNAKULAM</v>
          </cell>
        </row>
        <row r="579">
          <cell r="A579" t="str">
            <v>PALAI</v>
          </cell>
          <cell r="B579" t="str">
            <v>KERALA</v>
          </cell>
          <cell r="C579" t="str">
            <v>ERNAKULAM</v>
          </cell>
        </row>
        <row r="580">
          <cell r="A580" t="str">
            <v>KUNNAMKULAM</v>
          </cell>
          <cell r="B580" t="str">
            <v>KERALA</v>
          </cell>
          <cell r="C580" t="str">
            <v>ERNAKULAM</v>
          </cell>
        </row>
        <row r="581">
          <cell r="A581" t="str">
            <v>KANJIRAPALLY</v>
          </cell>
          <cell r="B581" t="str">
            <v>KERALA</v>
          </cell>
          <cell r="C581" t="str">
            <v>ERNAKULAM</v>
          </cell>
        </row>
        <row r="582">
          <cell r="A582" t="str">
            <v>VAIKOM</v>
          </cell>
          <cell r="B582" t="str">
            <v>KERALA</v>
          </cell>
          <cell r="C582" t="str">
            <v>ERNAKULAM</v>
          </cell>
        </row>
        <row r="583">
          <cell r="A583" t="str">
            <v>VADAKKANCHERY</v>
          </cell>
          <cell r="B583" t="str">
            <v>KERALA</v>
          </cell>
          <cell r="C583" t="str">
            <v>ERNAKULAM</v>
          </cell>
        </row>
        <row r="584">
          <cell r="A584" t="str">
            <v xml:space="preserve">Kozikode </v>
          </cell>
          <cell r="B584" t="str">
            <v>KERALA</v>
          </cell>
          <cell r="C584" t="str">
            <v>KOZHIKODE</v>
          </cell>
        </row>
        <row r="585">
          <cell r="A585" t="str">
            <v>Kannur</v>
          </cell>
          <cell r="B585" t="str">
            <v>KERALA</v>
          </cell>
          <cell r="C585" t="str">
            <v>KOZHIKODE</v>
          </cell>
        </row>
        <row r="586">
          <cell r="A586" t="str">
            <v>MANJERI</v>
          </cell>
          <cell r="B586" t="str">
            <v>KERALA</v>
          </cell>
          <cell r="C586" t="str">
            <v>KOZHIKODE</v>
          </cell>
        </row>
        <row r="587">
          <cell r="A587" t="str">
            <v>TIRUR</v>
          </cell>
          <cell r="B587" t="str">
            <v>KERALA</v>
          </cell>
          <cell r="C587" t="str">
            <v>KOZHIKODE</v>
          </cell>
        </row>
        <row r="588">
          <cell r="A588" t="str">
            <v>BADAGARA</v>
          </cell>
          <cell r="B588" t="str">
            <v>KERALA</v>
          </cell>
          <cell r="C588" t="str">
            <v>KOZHIKODE</v>
          </cell>
        </row>
        <row r="589">
          <cell r="A589" t="str">
            <v>KASARGODE</v>
          </cell>
          <cell r="B589" t="str">
            <v>KERALA</v>
          </cell>
          <cell r="C589" t="str">
            <v>KOZHIKODE</v>
          </cell>
        </row>
        <row r="590">
          <cell r="A590" t="str">
            <v>TELLICHERRY</v>
          </cell>
          <cell r="B590" t="str">
            <v>KERALA</v>
          </cell>
          <cell r="C590" t="str">
            <v>KOZHIKODE</v>
          </cell>
        </row>
        <row r="591">
          <cell r="A591" t="str">
            <v>KANHANGAD</v>
          </cell>
          <cell r="B591" t="str">
            <v>KERALA</v>
          </cell>
          <cell r="C591" t="str">
            <v>KOZHIKODE</v>
          </cell>
        </row>
        <row r="592">
          <cell r="A592" t="str">
            <v>PAYYANNUR</v>
          </cell>
          <cell r="B592" t="str">
            <v>KERALA</v>
          </cell>
          <cell r="C592" t="str">
            <v>KOZHIKODE</v>
          </cell>
        </row>
        <row r="593">
          <cell r="A593" t="str">
            <v>PERINTHALMANNA</v>
          </cell>
          <cell r="B593" t="str">
            <v>KERALA</v>
          </cell>
          <cell r="C593" t="str">
            <v>KOZHIKODE</v>
          </cell>
        </row>
        <row r="594">
          <cell r="A594" t="str">
            <v>TALIPARAMBA</v>
          </cell>
          <cell r="B594" t="str">
            <v>KERALA</v>
          </cell>
          <cell r="C594" t="str">
            <v>KOZHIKODE</v>
          </cell>
        </row>
        <row r="595">
          <cell r="A595" t="str">
            <v>KALPETTA</v>
          </cell>
          <cell r="B595" t="str">
            <v>KERALA</v>
          </cell>
          <cell r="C595" t="str">
            <v>KOZHIKODE</v>
          </cell>
        </row>
        <row r="596">
          <cell r="A596" t="str">
            <v>NILAMBUR</v>
          </cell>
          <cell r="B596" t="str">
            <v>KERALA</v>
          </cell>
          <cell r="C596" t="str">
            <v>KOZHIKODE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report"/>
      <sheetName val="for report"/>
      <sheetName val="RF"/>
      <sheetName val="RM"/>
      <sheetName val="SHP"/>
      <sheetName val="Master"/>
      <sheetName val="Cash bank on VD"/>
      <sheetName val="PL"/>
      <sheetName val="BS"/>
      <sheetName val="Dep"/>
      <sheetName val="Assumptions"/>
      <sheetName val="VD"/>
      <sheetName val="Index"/>
      <sheetName val="Assum"/>
      <sheetName val="Summary"/>
      <sheetName val="EBITDA annual"/>
      <sheetName val="PNL monthwise projections"/>
      <sheetName val="Cash Flow Monthwise Projections"/>
      <sheetName val="WACC"/>
      <sheetName val="DCF"/>
    </sheetNames>
    <sheetDataSet>
      <sheetData sheetId="0">
        <row r="12">
          <cell r="E12">
            <v>1651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E8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O RECONCILIATION"/>
      <sheetName val="EXPENDITURE CYCLE"/>
      <sheetName val="DESIGN TAB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O RECONCILIATION"/>
      <sheetName val="EXPENDITURE CYCLE"/>
      <sheetName val="DESIGN TAB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ra"/>
      <sheetName val="Simulator Consolidated"/>
      <sheetName val="Simulator Detail"/>
      <sheetName val="Matlab"/>
      <sheetName val="Mentor Graphics"/>
      <sheetName val="Matrix-X"/>
      <sheetName val="Grand Total"/>
      <sheetName val="Tools"/>
      <sheetName val="Power Hawk"/>
      <sheetName val="Cash"/>
      <sheetName val="Sales Inv"/>
      <sheetName val="lov-COAct"/>
      <sheetName val="lov-cspl"/>
    </sheetNames>
    <sheetDataSet>
      <sheetData sheetId="0" refreshError="1"/>
      <sheetData sheetId="1"/>
      <sheetData sheetId="2">
        <row r="1">
          <cell r="K1">
            <v>49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hs-swap "/>
      <sheetName val="dhs-XTL"/>
      <sheetName val="dhs-XIUS"/>
      <sheetName val="XTL revenue"/>
      <sheetName val="Assumptions"/>
      <sheetName val="P &amp; L"/>
      <sheetName val="Income Tax "/>
      <sheetName val="Revenue Expenses"/>
      <sheetName val="Depreciation Books"/>
      <sheetName val="Balance Sheet"/>
      <sheetName val="Project cost"/>
      <sheetName val="Means of Finance"/>
      <sheetName val="HARDWARE"/>
      <sheetName val="SOFTWARE"/>
      <sheetName val="STATISTICS"/>
      <sheetName val="SUMMARY OF TELECOM REVENUES"/>
      <sheetName val="Maharashta BPL"/>
      <sheetName val="TN BPL"/>
      <sheetName val="KERALA BPL"/>
      <sheetName val="KARNATAKA - SPICE "/>
      <sheetName val="PUNJAB SPICE"/>
      <sheetName val="AP BATATA"/>
      <sheetName val="GUJARAT BATATA"/>
      <sheetName val="MP BATATA"/>
      <sheetName val="MAHARASHTRA BATATA"/>
      <sheetName val="NEW DELHI ORANGE"/>
      <sheetName val="MUMBAI ORANGE"/>
      <sheetName val="KOLKATA ORANGE"/>
      <sheetName val="GUJARAT ORANGE"/>
      <sheetName val="CHENNAI RPG"/>
      <sheetName val="KOLKATA Spice-airtel"/>
      <sheetName val="RAJASTHAN HEXACOM"/>
      <sheetName val="HARYANA ESCOTEL"/>
      <sheetName val="KERALA ESCOTEL"/>
      <sheetName val="UP WEST ESCOTEL"/>
      <sheetName val="Depreciation Tax"/>
      <sheetName val="Capex"/>
      <sheetName val="Cashflow"/>
      <sheetName val="Dividneds"/>
      <sheetName val="Term Loans"/>
      <sheetName val="out roaming distribution"/>
      <sheetName val="Mumbai BPL"/>
      <sheetName val="BARODA OFFICE - PETTY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"/>
      <sheetName val="JJ"/>
      <sheetName val="KM"/>
      <sheetName val="HS"/>
      <sheetName val="JU"/>
      <sheetName val="AP"/>
      <sheetName val="PR"/>
      <sheetName val="LJ 1"/>
      <sheetName val="LJ 2"/>
      <sheetName val="AS"/>
      <sheetName val="HK"/>
      <sheetName val="Toll-I summary"/>
      <sheetName val="Sensitivity Analysis-II"/>
      <sheetName val="Assumption-II"/>
      <sheetName val="Phasing-II"/>
      <sheetName val="Toll-II-old"/>
      <sheetName val="Sheet2"/>
      <sheetName val="Tax"/>
      <sheetName val="KK stretch"/>
      <sheetName val="Toll-II-Summary"/>
      <sheetName val="DSCR - II"/>
      <sheetName val="Financials- II"/>
      <sheetName val="Operation Working-II"/>
      <sheetName val="Operation Working-II-old"/>
      <sheetName val="Depreciat-I"/>
      <sheetName val="Debt-I"/>
      <sheetName val="Financials-I"/>
      <sheetName val="Consol- I &amp; II"/>
      <sheetName val="Indic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替"/>
      <sheetName val="EQ海外"/>
      <sheetName val="海外WORK"/>
    </sheetNames>
    <sheetDataSet>
      <sheetData sheetId="0"/>
      <sheetData sheetId="1"/>
      <sheetData sheetId="2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替"/>
      <sheetName val="EQ海外"/>
      <sheetName val="海外WORK"/>
    </sheetNames>
    <sheetDataSet>
      <sheetData sheetId="0"/>
      <sheetData sheetId="1"/>
      <sheetData sheetId="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SCurve-Total"/>
      <sheetName val="RLG"/>
      <sheetName val="BND"/>
      <sheetName val="CD"/>
      <sheetName val="SC-RH"/>
      <sheetName val="SC-RK"/>
      <sheetName val="BSN"/>
      <sheetName val="HUD"/>
      <sheetName val="JP"/>
      <sheetName val="JPexclRL"/>
      <sheetName val="JP-RL"/>
      <sheetName val="RMS"/>
      <sheetName val="MDM-TOTAL"/>
      <sheetName val="MDM-RF "/>
      <sheetName val="MDM-RW"/>
      <sheetName val="PBMR"/>
      <sheetName val="BSD"/>
      <sheetName val="ROSData"/>
      <sheetName val="Input"/>
      <sheetName val="COKER S CURVE"/>
      <sheetName val="Sheet1"/>
      <sheetName val="commodity curve COKER"/>
      <sheetName val="front anal cdu"/>
      <sheetName val="piping status cdu"/>
      <sheetName val="mtrl constraints cdu_vdu"/>
      <sheetName val="bal eqpt instts"/>
      <sheetName val="other PCOs"/>
      <sheetName val="MDM-RF_"/>
      <sheetName val="COKER_S_CURVE"/>
      <sheetName val="commodity_curve_COKER"/>
      <sheetName val="front_anal_cdu"/>
      <sheetName val="piping_status_cdu"/>
      <sheetName val="mtrl_constraints_cdu_vdu"/>
      <sheetName val="bal_eqpt_instts"/>
      <sheetName val="other_PCOs"/>
      <sheetName val="MDM-RF_1"/>
      <sheetName val="COKER_S_CURVE1"/>
      <sheetName val="commodity_curve_COKER1"/>
      <sheetName val="front_anal_cdu1"/>
      <sheetName val="piping_status_cdu1"/>
      <sheetName val="mtrl_constraints_cdu_vdu1"/>
      <sheetName val="bal_eqpt_instts1"/>
      <sheetName val="other_PCOs1"/>
      <sheetName val="MDM-RF_2"/>
      <sheetName val="COKER_S_CURVE2"/>
      <sheetName val="commodity_curve_COKER2"/>
      <sheetName val="front_anal_cdu2"/>
      <sheetName val="piping_status_cdu2"/>
      <sheetName val="mtrl_constraints_cdu_vdu2"/>
      <sheetName val="bal_eqpt_instts2"/>
      <sheetName val="other_PCOs2"/>
      <sheetName val="MDM-RF_3"/>
      <sheetName val="COKER_S_CURVE3"/>
      <sheetName val="commodity_curve_COKER3"/>
      <sheetName val="front_anal_cdu3"/>
      <sheetName val="piping_status_cdu3"/>
      <sheetName val="mtrl_constraints_cdu_vdu3"/>
      <sheetName val="bal_eqpt_instts3"/>
      <sheetName val="other_PCOs3"/>
      <sheetName val="Contract Value summary"/>
      <sheetName val="assumptions"/>
      <sheetName val="Project ODC_NDEU"/>
      <sheetName val="Const QMS Dash Board"/>
      <sheetName val="DETAIL SHEET"/>
      <sheetName val="NLD - Assum"/>
      <sheetName val="Capex-fixed"/>
      <sheetName val="Assmpns"/>
      <sheetName val="oresreqsum"/>
      <sheetName val="factors"/>
      <sheetName val="Level 0"/>
      <sheetName val="Acc_10.5"/>
      <sheetName val="Project_ODC_NDEU"/>
      <sheetName val="Const_QMS_Dash_Board"/>
      <sheetName val="DETAIL_SHEET"/>
      <sheetName val="NLD_-_Assum"/>
      <sheetName val="Level_0"/>
      <sheetName val="Acc_10_5"/>
      <sheetName val="R2"/>
      <sheetName val="DETAIL_SHEET1"/>
      <sheetName val="NLD_-_Assum1"/>
      <sheetName val="Project_ODC_NDEU1"/>
      <sheetName val="Level_01"/>
      <sheetName val="Acc_10_51"/>
      <sheetName val="Const_QMS_Dash_Board1"/>
      <sheetName val="DETAIL_SHEET2"/>
      <sheetName val="NLD_-_Assum2"/>
      <sheetName val="Project_ODC_NDEU2"/>
      <sheetName val="Level_02"/>
      <sheetName val="Acc_10_52"/>
      <sheetName val="Const_QMS_Dash_Board2"/>
      <sheetName val="MDM-RF_4"/>
      <sheetName val="COKER_S_CURVE4"/>
      <sheetName val="commodity_curve_COKER4"/>
      <sheetName val="front_anal_cdu4"/>
      <sheetName val="piping_status_cdu4"/>
      <sheetName val="mtrl_constraints_cdu_vdu4"/>
      <sheetName val="bal_eqpt_instts4"/>
      <sheetName val="other_PCOs4"/>
      <sheetName val="DETAIL_SHEET3"/>
      <sheetName val="NLD_-_Assum3"/>
      <sheetName val="Project_ODC_NDEU3"/>
      <sheetName val="Level_03"/>
      <sheetName val="Acc_10_53"/>
      <sheetName val="Const_QMS_Dash_Board3"/>
      <sheetName val="Cover"/>
      <sheetName val="Rates Basic"/>
      <sheetName val="fco"/>
      <sheetName val="PARTY"/>
      <sheetName val="prg"/>
      <sheetName val="prod"/>
      <sheetName val="Sheet2"/>
      <sheetName val="CRUDE UPDATE"/>
      <sheetName val="TB9899"/>
      <sheetName val="PostOrdStat"/>
      <sheetName val="MDM-RF_6"/>
      <sheetName val="COKER_S_CURVE6"/>
      <sheetName val="commodity_curve_COKER6"/>
      <sheetName val="front_anal_cdu6"/>
      <sheetName val="piping_status_cdu6"/>
      <sheetName val="mtrl_constraints_cdu_vdu6"/>
      <sheetName val="bal_eqpt_instts6"/>
      <sheetName val="other_PCOs6"/>
      <sheetName val="DETAIL_SHEET5"/>
      <sheetName val="NLD_-_Assum5"/>
      <sheetName val="Project_ODC_NDEU5"/>
      <sheetName val="Level_05"/>
      <sheetName val="Acc_10_55"/>
      <sheetName val="Const_QMS_Dash_Board5"/>
      <sheetName val="MDM-RF_5"/>
      <sheetName val="COKER_S_CURVE5"/>
      <sheetName val="commodity_curve_COKER5"/>
      <sheetName val="front_anal_cdu5"/>
      <sheetName val="piping_status_cdu5"/>
      <sheetName val="mtrl_constraints_cdu_vdu5"/>
      <sheetName val="bal_eqpt_instts5"/>
      <sheetName val="other_PCOs5"/>
      <sheetName val="DETAIL_SHEET4"/>
      <sheetName val="NLD_-_Assum4"/>
      <sheetName val="Project_ODC_NDEU4"/>
      <sheetName val="Level_04"/>
      <sheetName val="Acc_10_54"/>
      <sheetName val="Const_QMS_Dash_Board4"/>
      <sheetName val="Calculation Master"/>
      <sheetName val="Michael Magliato"/>
      <sheetName val="Variables"/>
      <sheetName val="Manpower"/>
      <sheetName val="Parameter"/>
      <sheetName val="3MLKQ"/>
      <sheetName val="INFO"/>
      <sheetName val="NOTES "/>
      <sheetName val="TBAL9697 -group wise  sdpl"/>
      <sheetName val="Config"/>
      <sheetName val="Break Dw"/>
      <sheetName val="Profit and Loss"/>
      <sheetName val="IPO"/>
      <sheetName val="DPR MP"/>
      <sheetName val="Ph-2 Hold"/>
      <sheetName val="SUMMARY"/>
      <sheetName val="no front"/>
      <sheetName val="PH-2 NO and Less front"/>
      <sheetName val="FOREST ISSUE"/>
      <sheetName val="dpr stl"/>
      <sheetName val="ecc_res"/>
      <sheetName val="Consolidation Units "/>
      <sheetName val="Contract_Value_summary"/>
      <sheetName val="Calculation_Master"/>
      <sheetName val="Michael_Magliato"/>
      <sheetName val="Consolidation_Units_"/>
      <sheetName val="Factor -local"/>
      <sheetName val="Factor- cables"/>
      <sheetName val="Contract_Value_summary1"/>
      <sheetName val="Calculation_Master1"/>
      <sheetName val="Michael_Magliato1"/>
      <sheetName val="Consolidation_Units_1"/>
      <sheetName val="Contract_Value_summary2"/>
      <sheetName val="Calculation_Master2"/>
      <sheetName val="Michael_Magliato2"/>
      <sheetName val="Consolidation_Units_2"/>
      <sheetName val="MDM-RF_7"/>
      <sheetName val="COKER_S_CURVE7"/>
      <sheetName val="commodity_curve_COKER7"/>
      <sheetName val="front_anal_cdu7"/>
      <sheetName val="piping_status_cdu7"/>
      <sheetName val="mtrl_constraints_cdu_vdu7"/>
      <sheetName val="bal_eqpt_instts7"/>
      <sheetName val="other_PCOs7"/>
      <sheetName val="Contract_Value_summary3"/>
      <sheetName val="Calculation_Master3"/>
      <sheetName val="Michael_Magliato3"/>
      <sheetName val="Consolidation_Units_3"/>
      <sheetName val="MDM-RF_8"/>
      <sheetName val="COKER_S_CURVE8"/>
      <sheetName val="commodity_curve_COKER8"/>
      <sheetName val="front_anal_cdu8"/>
      <sheetName val="piping_status_cdu8"/>
      <sheetName val="mtrl_constraints_cdu_vdu8"/>
      <sheetName val="bal_eqpt_instts8"/>
      <sheetName val="other_PCOs8"/>
      <sheetName val="Contract_Value_summary4"/>
      <sheetName val="Calculation_Master4"/>
      <sheetName val="Michael_Magliato4"/>
      <sheetName val="Consolidation_Units_4"/>
      <sheetName val="CodeList"/>
      <sheetName val="summary CF"/>
      <sheetName val="MDM-RF_9"/>
      <sheetName val="COKER_S_CURVE9"/>
      <sheetName val="commodity_curve_COKER9"/>
      <sheetName val="front_anal_cdu9"/>
      <sheetName val="piping_status_cdu9"/>
      <sheetName val="mtrl_constraints_cdu_vdu9"/>
      <sheetName val="bal_eqpt_instts9"/>
      <sheetName val="other_PCOs9"/>
      <sheetName val="Contract_Value_summary5"/>
      <sheetName val="Calculation_Master5"/>
      <sheetName val="Michael_Magliato5"/>
      <sheetName val="Consolidation_Units_5"/>
      <sheetName val="MDM-RF_10"/>
      <sheetName val="COKER_S_CURVE10"/>
      <sheetName val="commodity_curve_COKER10"/>
      <sheetName val="front_anal_cdu10"/>
      <sheetName val="piping_status_cdu10"/>
      <sheetName val="mtrl_constraints_cdu_vdu10"/>
      <sheetName val="bal_eqpt_instts10"/>
      <sheetName val="other_PCOs10"/>
      <sheetName val="Contract_Value_summary6"/>
      <sheetName val="Calculation_Master6"/>
      <sheetName val="Michael_Magliato6"/>
      <sheetName val="Consolidation_Units_6"/>
      <sheetName val="Factor_-local"/>
      <sheetName val="Factor-_cables"/>
      <sheetName val="summary_CF"/>
      <sheetName val="MDM-RF_11"/>
      <sheetName val="COKER_S_CURVE11"/>
      <sheetName val="commodity_curve_COKER11"/>
      <sheetName val="front_anal_cdu11"/>
      <sheetName val="piping_status_cdu11"/>
      <sheetName val="mtrl_constraints_cdu_vdu11"/>
      <sheetName val="bal_eqpt_instts11"/>
      <sheetName val="other_PCOs11"/>
      <sheetName val="Contract_Value_summary7"/>
      <sheetName val="Calculation_Master7"/>
      <sheetName val="Michael_Magliato7"/>
      <sheetName val="Consolidation_Units_7"/>
      <sheetName val="Factor_-local1"/>
      <sheetName val="Factor-_cables1"/>
      <sheetName val="summary_CF1"/>
      <sheetName val="MDM-RF_12"/>
      <sheetName val="COKER_S_CURVE12"/>
      <sheetName val="commodity_curve_COKER12"/>
      <sheetName val="front_anal_cdu12"/>
      <sheetName val="piping_status_cdu12"/>
      <sheetName val="mtrl_constraints_cdu_vdu12"/>
      <sheetName val="bal_eqpt_instts12"/>
      <sheetName val="other_PCOs12"/>
      <sheetName val="Contract_Value_summary8"/>
      <sheetName val="Calculation_Master8"/>
      <sheetName val="Michael_Magliato8"/>
      <sheetName val="Consolidation_Units_8"/>
      <sheetName val="Factor_-local2"/>
      <sheetName val="Factor-_cables2"/>
      <sheetName val="summary_CF2"/>
      <sheetName val="MDM-RF_13"/>
      <sheetName val="COKER_S_CURVE13"/>
      <sheetName val="commodity_curve_COKER13"/>
      <sheetName val="front_anal_cdu13"/>
      <sheetName val="piping_status_cdu13"/>
      <sheetName val="mtrl_constraints_cdu_vdu13"/>
      <sheetName val="bal_eqpt_instts13"/>
      <sheetName val="other_PCOs13"/>
      <sheetName val="Contract_Value_summary9"/>
      <sheetName val="Calculation_Master9"/>
      <sheetName val="Michael_Magliato9"/>
      <sheetName val="Consolidation_Units_9"/>
      <sheetName val="Factor_-local3"/>
      <sheetName val="Factor-_cables3"/>
      <sheetName val="summary_CF3"/>
      <sheetName val="IT Category Codes"/>
      <sheetName val="TAX INCOME"/>
      <sheetName val="PE charts 2007"/>
      <sheetName val="EV EBITDA"/>
      <sheetName val="MDM-RF_14"/>
      <sheetName val="COKER_S_CURVE14"/>
      <sheetName val="commodity_curve_COKER14"/>
      <sheetName val="front_anal_cdu14"/>
      <sheetName val="piping_status_cdu14"/>
      <sheetName val="mtrl_constraints_cdu_vdu14"/>
      <sheetName val="bal_eqpt_instts14"/>
      <sheetName val="other_PCOs14"/>
      <sheetName val="Contract_Value_summary10"/>
      <sheetName val="Calculation_Master10"/>
      <sheetName val="Michael_Magliato10"/>
      <sheetName val="Consolidation_Units_10"/>
      <sheetName val="Factor_-local4"/>
      <sheetName val="Factor-_cables4"/>
      <sheetName val="summary_CF4"/>
      <sheetName val="Joseph"/>
      <sheetName val="Civil Works"/>
      <sheetName val="80G"/>
      <sheetName val="Project_ODC_NDEU6"/>
      <sheetName val="Const_QMS_Dash_Board6"/>
      <sheetName val="DETAIL_SHEET6"/>
      <sheetName val="NLD_-_Assum6"/>
      <sheetName val="Level_06"/>
      <sheetName val="Acc_10_56"/>
      <sheetName val="Rates_Basic"/>
      <sheetName val="CRUDE_UPDATE"/>
      <sheetName val="NOTES_"/>
      <sheetName val="TBAL9697_-group_wise__sdpl"/>
      <sheetName val="Break_Dw"/>
      <sheetName val="Profit_and_Loss"/>
      <sheetName val="DPR_MP"/>
      <sheetName val="Ph-2_Hold"/>
      <sheetName val="no_front"/>
      <sheetName val="PH-2_NO_and_Less_front"/>
      <sheetName val="FOREST_ISSUE"/>
      <sheetName val="dpr_stl"/>
      <sheetName val="COSTMAR"/>
      <sheetName val="Title"/>
      <sheetName val="Exchange Rates"/>
      <sheetName val="Casecompannual"/>
      <sheetName val="Account Scores"/>
      <sheetName val="Operating Statistics"/>
      <sheetName val="Profile"/>
      <sheetName val="GS-DCF"/>
      <sheetName val="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Circles-26GHz"/>
      <sheetName val="Summary_26GHz"/>
      <sheetName val="Planning Tool + RF Opt"/>
      <sheetName val="Unit_Models"/>
      <sheetName val="factors"/>
      <sheetName val="All Circles-10.5"/>
      <sheetName val="Summary_10.5"/>
      <sheetName val="Tools&amp;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C3">
            <v>0.6</v>
          </cell>
        </row>
        <row r="4">
          <cell r="C4">
            <v>0.4</v>
          </cell>
        </row>
        <row r="6">
          <cell r="C6">
            <v>1.8554889999999999</v>
          </cell>
        </row>
        <row r="7">
          <cell r="C7">
            <v>1.2225605599999998</v>
          </cell>
        </row>
        <row r="8">
          <cell r="C8">
            <v>1.2831997500000001</v>
          </cell>
        </row>
        <row r="12">
          <cell r="C12">
            <v>42.35</v>
          </cell>
        </row>
        <row r="13">
          <cell r="C13">
            <v>48.5</v>
          </cell>
        </row>
        <row r="23">
          <cell r="C23">
            <v>0.75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Reset-Module"/>
      <sheetName val="Hide-Module"/>
      <sheetName val="ruSure-Module"/>
      <sheetName val="Print Module"/>
      <sheetName val="cop"/>
      <sheetName val="TB9899"/>
      <sheetName val="Capital_by_Years_Valuation"/>
      <sheetName val="ReportsParameters"/>
      <sheetName val="Nopat_by_Years_Valuation"/>
      <sheetName val="Data"/>
      <sheetName val="factors"/>
      <sheetName val="COA_20040726"/>
      <sheetName val="PARTY"/>
      <sheetName val="prg"/>
      <sheetName val="prod"/>
      <sheetName val="CF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Forecast_Input"/>
      <sheetName val="HI-TARGE"/>
      <sheetName val="Copy of AAsamtel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USER"/>
      <sheetName val="inc rec"/>
      <sheetName val="inc_rec"/>
      <sheetName val="oresreqsum"/>
      <sheetName val="TB"/>
      <sheetName val="INV"/>
      <sheetName val="coa_ramco_168"/>
      <sheetName val="CBDGT979"/>
      <sheetName val="TGT"/>
      <sheetName val="HP Inv"/>
      <sheetName val="discounts_XP140"/>
      <sheetName val="LOB_TABLE"/>
      <sheetName val="Hid_x0000__x0000_odule"/>
      <sheetName val="Parameters"/>
      <sheetName val="Timeoffice"/>
      <sheetName val="Int - Cum02"/>
      <sheetName val="SALE&amp;COST"/>
      <sheetName val="Variables"/>
      <sheetName val="index"/>
      <sheetName val="Total Machine Cost"/>
      <sheetName val="PE CHARGES"/>
      <sheetName val="Copy_of_AAsamtel"/>
      <sheetName val="Total_Machine_Cost"/>
      <sheetName val="PE_CHARGES"/>
      <sheetName val="FLASH"/>
      <sheetName val="FORM-16"/>
      <sheetName val="sdrs_mar"/>
      <sheetName val="Input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opy_of_AAsamtel1"/>
      <sheetName val="inc_rec1"/>
      <sheetName val="Total_Machine_Cost1"/>
      <sheetName val="PE_CHARGES1"/>
      <sheetName val="HP_Inv"/>
      <sheetName val="Hidodule"/>
      <sheetName val="Int_-_Cum02"/>
      <sheetName val="Cancel &amp; Rollover"/>
      <sheetName val="Report"/>
      <sheetName val="Cancel_&amp;_Rollover"/>
      <sheetName val="MODEL"/>
      <sheetName val="Investment"/>
      <sheetName val="tbc"/>
      <sheetName val="Controls"/>
      <sheetName val="Print Controls"/>
      <sheetName val="SAP code"/>
      <sheetName val="Hid_x005f_x0000__x005f_x0000_odule"/>
      <sheetName val="SOLUT001"/>
      <sheetName val="#REF!"/>
      <sheetName val="Hid_x005f_x005f_x005f_x0000__x005f_x005f_x005f_x0000_od"/>
      <sheetName val="Assum SG&amp;A-ROW"/>
      <sheetName val="Assumptions US-Rev"/>
      <sheetName val="Hid"/>
      <sheetName val="Options"/>
      <sheetName val="Financials Forecast"/>
      <sheetName val="Admin &amp; Assumptions"/>
      <sheetName val="Print Tables - Financials"/>
      <sheetName val="Recast of Comparable P&amp;L's "/>
      <sheetName val="Market Demand Forecast"/>
      <sheetName val="Market Print Tables"/>
      <sheetName val="Bathinda"/>
      <sheetName val="export-PM"/>
      <sheetName val="export-TN"/>
      <sheetName val="himachal"/>
      <sheetName val="ludhiana"/>
      <sheetName val="orissa"/>
      <sheetName val="PM"/>
      <sheetName val="Power &amp; Fuel(SMS)"/>
      <sheetName val="MFG"/>
      <sheetName val="Box"/>
      <sheetName val="Platforms"/>
      <sheetName val="b"/>
      <sheetName val="Assumptions"/>
      <sheetName val="SUB SCHEDULE"/>
      <sheetName val="raw data"/>
      <sheetName val="Sheet1"/>
      <sheetName val="Financial Summary-MGMT Case"/>
      <sheetName val="combnd 08 09"/>
      <sheetName val="Assum"/>
      <sheetName val="WCAP"/>
    </sheetNames>
    <sheetDataSet>
      <sheetData sheetId="0" refreshError="1"/>
      <sheetData sheetId="1" refreshError="1">
        <row r="4">
          <cell r="A4">
            <v>8</v>
          </cell>
        </row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Tariff"/>
      <sheetName val="Gen"/>
      <sheetName val="Financials (2)"/>
      <sheetName val="Historical"/>
      <sheetName val="Working Capital RK"/>
      <sheetName val="Depreciation Schedule"/>
      <sheetName val="RK Debt"/>
      <sheetName val="WACC RK"/>
      <sheetName val="EV"/>
      <sheetName val="Financials"/>
      <sheetName val="Dep"/>
      <sheetName val="WC"/>
      <sheetName val="Debt"/>
      <sheetName val="Os"/>
      <sheetName val="CMA"/>
      <sheetName val="Operating Statement"/>
      <sheetName val="Balance Sheet"/>
      <sheetName val="Additional Information"/>
      <sheetName val="Sheet1"/>
      <sheetName val="Valuation Summary "/>
    </sheetNames>
    <sheetDataSet>
      <sheetData sheetId="0">
        <row r="147">
          <cell r="B147">
            <v>10000000</v>
          </cell>
        </row>
        <row r="148">
          <cell r="B148">
            <v>100000</v>
          </cell>
        </row>
        <row r="149">
          <cell r="B149">
            <v>1000000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5">
          <cell r="D45"/>
          <cell r="E45"/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05_Group"/>
      <sheetName val="Group Companies"/>
      <sheetName val="Sheet4"/>
      <sheetName val="Final_JVs"/>
      <sheetName val="Sheet1"/>
      <sheetName val="Lrnet_Inftch"/>
      <sheetName val="NKEL"/>
      <sheetName val="CTNL"/>
      <sheetName val="Sheet2"/>
      <sheetName val="IETS"/>
      <sheetName val="Finvest"/>
      <sheetName val="Unbooked PSI"/>
      <sheetName val="IIL(Associate)"/>
      <sheetName val="InvstSmrt"/>
      <sheetName val="IIML"/>
      <sheetName val="gtricl"/>
      <sheetName val="Asso_Prof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05_Group"/>
      <sheetName val="Group Companies"/>
      <sheetName val="Sheet4"/>
      <sheetName val="Final_JVs"/>
      <sheetName val="Sheet1"/>
      <sheetName val="Lrnet_Inftch"/>
      <sheetName val="NKEL"/>
      <sheetName val="CTNL"/>
      <sheetName val="Sheet2"/>
      <sheetName val="IETS"/>
      <sheetName val="Finvest"/>
      <sheetName val="Unbooked PSI"/>
      <sheetName val="IIL(Associate)"/>
      <sheetName val="InvstSmrt"/>
      <sheetName val="IIML"/>
      <sheetName val="gtricl"/>
      <sheetName val="Asso_Prof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"/>
      <sheetName val="Input"/>
      <sheetName val="Part ABC"/>
      <sheetName val="Part D"/>
      <sheetName val="Part F"/>
      <sheetName val="Part EGHI"/>
      <sheetName val="Part J"/>
      <sheetName val="Bac-up Part D"/>
      <sheetName val="Back up Part  E"/>
      <sheetName val="Backup Part F"/>
      <sheetName val="Backup Part G"/>
      <sheetName val="Backup Part I"/>
      <sheetName val="Cr Expo - Reco"/>
      <sheetName val="Drs REco"/>
      <sheetName val="Unquoted investments"/>
      <sheetName val="Sub Debt Maturity"/>
      <sheetName val="Trends"/>
      <sheetName val="fixed asset work"/>
      <sheetName val="Sheet1"/>
      <sheetName val="---"/>
      <sheetName val="Summar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ies"/>
      <sheetName val="Macros"/>
      <sheetName val="Indicators"/>
      <sheetName val="Assum"/>
      <sheetName val="PC"/>
      <sheetName val="Sheet3"/>
      <sheetName val="Capex Phasing &amp; financing"/>
      <sheetName val="LC Drawdown"/>
      <sheetName val="Capex Phasing &amp; Fin-RE"/>
      <sheetName val="Addl Capex &amp; Debt"/>
      <sheetName val="TrafficRev"/>
      <sheetName val="CDM"/>
      <sheetName val="RE-Revenue"/>
      <sheetName val="Sheet2"/>
      <sheetName val="Opex"/>
      <sheetName val="FA Schedule"/>
      <sheetName val="Deprn"/>
      <sheetName val="ITDeprn"/>
      <sheetName val="Tax"/>
      <sheetName val="P&amp;L"/>
      <sheetName val="Cash Flow"/>
      <sheetName val="BS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"/>
      <sheetName val="Input"/>
      <sheetName val="Part ABC"/>
      <sheetName val="Part D"/>
      <sheetName val="Part F"/>
      <sheetName val="Part EGHI"/>
      <sheetName val="Part J"/>
      <sheetName val="Bac-up Part D"/>
      <sheetName val="Back up Part  E"/>
      <sheetName val="Backup Part F"/>
      <sheetName val="Backup Part G"/>
      <sheetName val="Backup Part I"/>
      <sheetName val="Cr Expo - Reco"/>
      <sheetName val="Drs REco"/>
      <sheetName val="Unquoted investments"/>
      <sheetName val="Sub Debt Maturity"/>
      <sheetName val="Trends"/>
      <sheetName val="fixed asset work"/>
      <sheetName val="Sheet1"/>
      <sheetName val="---"/>
      <sheetName val="Summar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kks vs. records (2)"/>
      <sheetName val="Bokks vs. records"/>
      <sheetName val="Service tax payments"/>
      <sheetName val="Interest - Corporation bank"/>
      <sheetName val="ICICI &amp; TMBL interest"/>
      <sheetName val="Gratuity"/>
      <sheetName val="Bonus"/>
      <sheetName val="PL-paid (given by Bodena Sir)"/>
      <sheetName val="PL"/>
      <sheetName val="bodenna-sales-2008"/>
      <sheetName val="tower"/>
      <sheetName val="Lookups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J4">
            <v>3997594.5</v>
          </cell>
        </row>
        <row r="5">
          <cell r="J5">
            <v>115583</v>
          </cell>
        </row>
        <row r="6">
          <cell r="J6">
            <v>1406509</v>
          </cell>
        </row>
        <row r="7">
          <cell r="J7">
            <v>373421</v>
          </cell>
        </row>
        <row r="8">
          <cell r="J8">
            <v>353</v>
          </cell>
        </row>
        <row r="9">
          <cell r="J9">
            <v>487661.6</v>
          </cell>
        </row>
        <row r="10">
          <cell r="J10">
            <v>100486</v>
          </cell>
        </row>
        <row r="11">
          <cell r="J11">
            <v>101264</v>
          </cell>
        </row>
        <row r="12">
          <cell r="J12">
            <v>102452</v>
          </cell>
        </row>
        <row r="13">
          <cell r="J13">
            <v>226073</v>
          </cell>
        </row>
        <row r="14">
          <cell r="J14">
            <v>388300</v>
          </cell>
        </row>
        <row r="15">
          <cell r="J15">
            <v>-190906</v>
          </cell>
        </row>
        <row r="16">
          <cell r="J16">
            <v>53710</v>
          </cell>
        </row>
        <row r="17">
          <cell r="J17">
            <v>14267</v>
          </cell>
        </row>
        <row r="18">
          <cell r="J18">
            <v>40701</v>
          </cell>
        </row>
        <row r="19">
          <cell r="J19">
            <v>131757</v>
          </cell>
        </row>
        <row r="20">
          <cell r="J20">
            <v>56242</v>
          </cell>
        </row>
        <row r="21">
          <cell r="J21">
            <v>14939</v>
          </cell>
        </row>
        <row r="22">
          <cell r="J22">
            <v>42621</v>
          </cell>
        </row>
        <row r="23">
          <cell r="J23">
            <v>137969</v>
          </cell>
        </row>
        <row r="24">
          <cell r="J24">
            <v>104885</v>
          </cell>
        </row>
        <row r="25">
          <cell r="J25">
            <v>97021</v>
          </cell>
        </row>
        <row r="26">
          <cell r="J26">
            <v>93163</v>
          </cell>
        </row>
        <row r="27">
          <cell r="J27">
            <v>97766</v>
          </cell>
        </row>
        <row r="28">
          <cell r="J28">
            <v>90553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s"/>
      <sheetName val="Summary"/>
      <sheetName val="Main Sheet"/>
      <sheetName val="VRXP"/>
      <sheetName val="V.Ins"/>
      <sheetName val="Sw"/>
      <sheetName val="Rent others"/>
      <sheetName val="Rent Guest House Actual"/>
      <sheetName val="Int. on HP"/>
      <sheetName val="Fuel Charges"/>
      <sheetName val="Subscription"/>
      <sheetName val="Entertainment"/>
      <sheetName val="SIE Admin &amp; Corp"/>
      <sheetName val="4219020-SIE Advert"/>
      <sheetName val="4219021-SIE P&amp;S"/>
      <sheetName val="Dont Alter"/>
      <sheetName val="Sheet1"/>
      <sheetName val="Fbt SANDEEP"/>
      <sheetName val="inve"/>
      <sheetName val="Financials New format"/>
      <sheetName val="Financials"/>
      <sheetName val="Revised Sch VI BS"/>
      <sheetName val="Revised Sch VI BS Notes"/>
      <sheetName val="Revised Sch VI PNL"/>
      <sheetName val="Revised Sch VI PNL Notes"/>
      <sheetName val="BS"/>
      <sheetName val="BS detailed"/>
      <sheetName val="P&amp;L"/>
      <sheetName val="Cash flow"/>
      <sheetName val="P&amp;L detailed"/>
      <sheetName val="Sch 01"/>
      <sheetName val="Schedule 02"/>
      <sheetName val="Sche 02"/>
      <sheetName val="Sch 02"/>
      <sheetName val="Sch 03 &amp; 04"/>
      <sheetName val="Sch 05"/>
      <sheetName val="Sche 06"/>
      <sheetName val="Sch 07, 08 &amp; 09 "/>
      <sheetName val="Sched 06"/>
      <sheetName val="Sch 10, 11 &amp; 12"/>
      <sheetName val="Sch 13 &amp; 14"/>
      <sheetName val="Sch 15 &amp; 16"/>
      <sheetName val="Sch 17, 18 &amp; 19"/>
      <sheetName val="SignatoriesR"/>
      <sheetName val="Signatories"/>
      <sheetName val="SEBI"/>
      <sheetName val="Other-details"/>
      <sheetName val="SEBI-EXTRA"/>
      <sheetName val="Other-details-HFM"/>
      <sheetName val="ICICI &amp; TMBL interest"/>
      <sheetName val="Base Dump FAR"/>
      <sheetName val="Inter Co Balances"/>
      <sheetName val="coa_ramco_168"/>
      <sheetName val="Primero Tower Budget"/>
      <sheetName val="Ref"/>
      <sheetName val="Grouping"/>
      <sheetName val="Determination of Threshold"/>
      <sheetName val="GL DUMP NEW"/>
      <sheetName val="McKAnalyst"/>
      <sheetName val="sch"/>
      <sheetName val="Activity Codes"/>
      <sheetName val="Assumptions"/>
      <sheetName val="FFM"/>
      <sheetName val="BS-203"/>
      <sheetName val="bed"/>
    </sheetNames>
    <sheetDataSet>
      <sheetData sheetId="0"/>
      <sheetData sheetId="1">
        <row r="3">
          <cell r="B3" t="str">
            <v>Conference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B3">
            <v>0</v>
          </cell>
        </row>
      </sheetData>
      <sheetData sheetId="8"/>
      <sheetData sheetId="9"/>
      <sheetData sheetId="10">
        <row r="2">
          <cell r="D2">
            <v>2090</v>
          </cell>
        </row>
        <row r="3">
          <cell r="D3">
            <v>10658</v>
          </cell>
        </row>
        <row r="4">
          <cell r="D4">
            <v>414</v>
          </cell>
        </row>
        <row r="5">
          <cell r="D5">
            <v>5000</v>
          </cell>
        </row>
        <row r="6">
          <cell r="D6">
            <v>3274.12</v>
          </cell>
        </row>
        <row r="7">
          <cell r="D7">
            <v>1515</v>
          </cell>
        </row>
        <row r="8">
          <cell r="D8">
            <v>2080.86</v>
          </cell>
        </row>
        <row r="9">
          <cell r="D9">
            <v>110</v>
          </cell>
        </row>
        <row r="10">
          <cell r="D10">
            <v>1650</v>
          </cell>
        </row>
        <row r="11">
          <cell r="D11">
            <v>20000</v>
          </cell>
        </row>
        <row r="12">
          <cell r="D12">
            <v>89888</v>
          </cell>
        </row>
        <row r="13">
          <cell r="D13">
            <v>70000</v>
          </cell>
        </row>
        <row r="14">
          <cell r="D14">
            <v>1150</v>
          </cell>
        </row>
        <row r="15">
          <cell r="D15">
            <v>3160.35</v>
          </cell>
        </row>
        <row r="16">
          <cell r="D16">
            <v>11242</v>
          </cell>
        </row>
        <row r="17">
          <cell r="D17">
            <v>1200</v>
          </cell>
        </row>
        <row r="18">
          <cell r="D18">
            <v>581</v>
          </cell>
        </row>
        <row r="19">
          <cell r="D19">
            <v>60</v>
          </cell>
        </row>
        <row r="20">
          <cell r="D20">
            <v>180</v>
          </cell>
        </row>
        <row r="21">
          <cell r="D21">
            <v>380</v>
          </cell>
        </row>
        <row r="22">
          <cell r="D22">
            <v>4000</v>
          </cell>
        </row>
        <row r="23">
          <cell r="D23">
            <v>1070</v>
          </cell>
        </row>
        <row r="24">
          <cell r="D24">
            <v>4993000</v>
          </cell>
        </row>
        <row r="25">
          <cell r="D25">
            <v>1500000</v>
          </cell>
        </row>
        <row r="26">
          <cell r="D26">
            <v>1714000</v>
          </cell>
        </row>
        <row r="27">
          <cell r="D27">
            <v>1870130</v>
          </cell>
        </row>
        <row r="28">
          <cell r="D28">
            <v>-4993000</v>
          </cell>
        </row>
        <row r="29">
          <cell r="D29">
            <v>1403500</v>
          </cell>
        </row>
        <row r="30">
          <cell r="D30">
            <v>1247580</v>
          </cell>
        </row>
        <row r="31">
          <cell r="D31">
            <v>623800</v>
          </cell>
        </row>
        <row r="32">
          <cell r="D32">
            <v>155800</v>
          </cell>
        </row>
        <row r="33">
          <cell r="D33">
            <v>-10000</v>
          </cell>
        </row>
        <row r="34">
          <cell r="D34">
            <v>4993000</v>
          </cell>
        </row>
        <row r="35">
          <cell r="D35">
            <v>-1500000</v>
          </cell>
        </row>
        <row r="36">
          <cell r="D36">
            <v>-11997810</v>
          </cell>
        </row>
        <row r="37">
          <cell r="D37">
            <v>-1539610</v>
          </cell>
        </row>
        <row r="38">
          <cell r="D38">
            <v>-1679854</v>
          </cell>
        </row>
        <row r="39">
          <cell r="D39">
            <v>-1260702</v>
          </cell>
        </row>
        <row r="40">
          <cell r="D40">
            <v>-560332</v>
          </cell>
        </row>
        <row r="41">
          <cell r="D41">
            <v>-1120646</v>
          </cell>
        </row>
        <row r="42">
          <cell r="D42">
            <v>-4484990</v>
          </cell>
        </row>
        <row r="43">
          <cell r="D43">
            <v>-130966</v>
          </cell>
        </row>
        <row r="44">
          <cell r="D44">
            <v>1500000</v>
          </cell>
        </row>
        <row r="45">
          <cell r="D45">
            <v>405</v>
          </cell>
        </row>
        <row r="46">
          <cell r="D46">
            <v>55000</v>
          </cell>
        </row>
        <row r="47">
          <cell r="D47">
            <v>240</v>
          </cell>
        </row>
        <row r="48">
          <cell r="D48">
            <v>130</v>
          </cell>
        </row>
        <row r="49">
          <cell r="D49">
            <v>3371</v>
          </cell>
        </row>
        <row r="50">
          <cell r="D50">
            <v>60</v>
          </cell>
        </row>
        <row r="51">
          <cell r="D51">
            <v>100</v>
          </cell>
        </row>
        <row r="52">
          <cell r="D52">
            <v>5282850</v>
          </cell>
        </row>
        <row r="53">
          <cell r="D53">
            <v>7717150</v>
          </cell>
        </row>
        <row r="54">
          <cell r="D54">
            <v>-1002190</v>
          </cell>
        </row>
        <row r="55">
          <cell r="D55">
            <v>-60</v>
          </cell>
        </row>
        <row r="56">
          <cell r="D56">
            <v>500</v>
          </cell>
        </row>
        <row r="57">
          <cell r="D57">
            <v>2078</v>
          </cell>
        </row>
        <row r="58">
          <cell r="D58">
            <v>210</v>
          </cell>
        </row>
        <row r="59">
          <cell r="D59">
            <v>300</v>
          </cell>
        </row>
        <row r="60">
          <cell r="D60">
            <v>150</v>
          </cell>
        </row>
        <row r="61">
          <cell r="D61">
            <v>300</v>
          </cell>
        </row>
        <row r="62">
          <cell r="D62">
            <v>204</v>
          </cell>
        </row>
        <row r="63">
          <cell r="D63">
            <v>103</v>
          </cell>
        </row>
        <row r="64">
          <cell r="D64">
            <v>112700</v>
          </cell>
        </row>
        <row r="65">
          <cell r="D65">
            <v>700</v>
          </cell>
        </row>
        <row r="66">
          <cell r="D66">
            <v>1040</v>
          </cell>
        </row>
        <row r="67">
          <cell r="D67">
            <v>105</v>
          </cell>
        </row>
        <row r="68">
          <cell r="D68">
            <v>1515</v>
          </cell>
        </row>
        <row r="69">
          <cell r="D69">
            <v>600</v>
          </cell>
        </row>
        <row r="70">
          <cell r="D70">
            <v>2000</v>
          </cell>
        </row>
        <row r="71">
          <cell r="D71">
            <v>11633</v>
          </cell>
        </row>
        <row r="72">
          <cell r="D72">
            <v>45660</v>
          </cell>
        </row>
        <row r="73">
          <cell r="D73">
            <v>-11633</v>
          </cell>
        </row>
        <row r="74">
          <cell r="D74">
            <v>-45660</v>
          </cell>
        </row>
        <row r="75">
          <cell r="D75">
            <v>1500</v>
          </cell>
        </row>
        <row r="76">
          <cell r="D76">
            <v>750</v>
          </cell>
        </row>
        <row r="77">
          <cell r="D77">
            <v>3926</v>
          </cell>
        </row>
        <row r="78">
          <cell r="D78">
            <v>600</v>
          </cell>
        </row>
        <row r="79">
          <cell r="D79">
            <v>174390</v>
          </cell>
        </row>
        <row r="80">
          <cell r="D80">
            <v>190276</v>
          </cell>
        </row>
        <row r="81">
          <cell r="D81">
            <v>142799</v>
          </cell>
        </row>
        <row r="82">
          <cell r="D82">
            <v>126935</v>
          </cell>
        </row>
        <row r="83">
          <cell r="D83">
            <v>508011</v>
          </cell>
        </row>
        <row r="84">
          <cell r="D84">
            <v>63468</v>
          </cell>
        </row>
        <row r="85">
          <cell r="D85">
            <v>14834</v>
          </cell>
        </row>
        <row r="86">
          <cell r="D86">
            <v>110</v>
          </cell>
        </row>
        <row r="87">
          <cell r="D87">
            <v>400</v>
          </cell>
        </row>
        <row r="88">
          <cell r="D88">
            <v>3630.6</v>
          </cell>
        </row>
        <row r="89">
          <cell r="D89">
            <v>-517</v>
          </cell>
        </row>
        <row r="90">
          <cell r="D90">
            <v>-1109027</v>
          </cell>
        </row>
        <row r="91">
          <cell r="D91">
            <v>1109027</v>
          </cell>
        </row>
        <row r="92">
          <cell r="D92">
            <v>-686704.38</v>
          </cell>
        </row>
        <row r="93">
          <cell r="D93">
            <v>763102.21</v>
          </cell>
        </row>
        <row r="94">
          <cell r="D94">
            <v>65</v>
          </cell>
        </row>
        <row r="95">
          <cell r="D95">
            <v>385</v>
          </cell>
        </row>
        <row r="96">
          <cell r="D96">
            <v>100000</v>
          </cell>
        </row>
        <row r="97">
          <cell r="D97">
            <v>330</v>
          </cell>
        </row>
        <row r="98">
          <cell r="D98">
            <v>116258</v>
          </cell>
        </row>
        <row r="99">
          <cell r="D99">
            <v>116258</v>
          </cell>
        </row>
        <row r="100">
          <cell r="D100">
            <v>-683701.24</v>
          </cell>
        </row>
        <row r="101">
          <cell r="D101">
            <v>683701.24</v>
          </cell>
        </row>
        <row r="102">
          <cell r="D102">
            <v>686704.38</v>
          </cell>
        </row>
        <row r="103">
          <cell r="D103">
            <v>3631</v>
          </cell>
        </row>
        <row r="104">
          <cell r="D104">
            <v>25027</v>
          </cell>
        </row>
        <row r="105">
          <cell r="D105">
            <v>120</v>
          </cell>
        </row>
        <row r="106">
          <cell r="D106">
            <v>250</v>
          </cell>
        </row>
        <row r="107">
          <cell r="D107">
            <v>2375</v>
          </cell>
        </row>
        <row r="108">
          <cell r="D108">
            <v>210</v>
          </cell>
        </row>
        <row r="109">
          <cell r="D109">
            <v>3631</v>
          </cell>
        </row>
        <row r="110">
          <cell r="D110">
            <v>2500</v>
          </cell>
        </row>
        <row r="111">
          <cell r="D111">
            <v>8000</v>
          </cell>
        </row>
        <row r="112">
          <cell r="D112">
            <v>155</v>
          </cell>
        </row>
        <row r="113">
          <cell r="D113">
            <v>360</v>
          </cell>
        </row>
        <row r="114">
          <cell r="D114">
            <v>240</v>
          </cell>
        </row>
        <row r="115">
          <cell r="D115">
            <v>120</v>
          </cell>
        </row>
        <row r="116">
          <cell r="D116">
            <v>600</v>
          </cell>
        </row>
        <row r="117">
          <cell r="D117">
            <v>60</v>
          </cell>
        </row>
        <row r="118">
          <cell r="D118">
            <v>360</v>
          </cell>
        </row>
        <row r="119">
          <cell r="D119">
            <v>63469</v>
          </cell>
        </row>
        <row r="120">
          <cell r="D120">
            <v>3631</v>
          </cell>
        </row>
        <row r="121">
          <cell r="D121">
            <v>6240</v>
          </cell>
        </row>
        <row r="122">
          <cell r="D122">
            <v>180</v>
          </cell>
        </row>
        <row r="123">
          <cell r="D123">
            <v>4190</v>
          </cell>
        </row>
        <row r="124">
          <cell r="D124">
            <v>142799</v>
          </cell>
        </row>
        <row r="125">
          <cell r="D125">
            <v>470</v>
          </cell>
        </row>
        <row r="126">
          <cell r="D126">
            <v>120</v>
          </cell>
        </row>
        <row r="127">
          <cell r="D127">
            <v>120</v>
          </cell>
        </row>
        <row r="128">
          <cell r="D128">
            <v>2437</v>
          </cell>
        </row>
        <row r="129">
          <cell r="D129">
            <v>190275</v>
          </cell>
        </row>
        <row r="130">
          <cell r="D130">
            <v>126935</v>
          </cell>
        </row>
        <row r="131">
          <cell r="D131">
            <v>508010</v>
          </cell>
        </row>
        <row r="132">
          <cell r="D132">
            <v>3631</v>
          </cell>
        </row>
        <row r="133">
          <cell r="D133">
            <v>110</v>
          </cell>
        </row>
        <row r="134">
          <cell r="D134">
            <v>90000</v>
          </cell>
        </row>
        <row r="135">
          <cell r="D135">
            <v>110</v>
          </cell>
        </row>
        <row r="136">
          <cell r="D136">
            <v>180</v>
          </cell>
        </row>
        <row r="137">
          <cell r="D137">
            <v>50000</v>
          </cell>
        </row>
        <row r="138">
          <cell r="D138">
            <v>2990</v>
          </cell>
        </row>
        <row r="139">
          <cell r="D139">
            <v>48620</v>
          </cell>
        </row>
        <row r="140">
          <cell r="D140">
            <v>18232.5</v>
          </cell>
        </row>
        <row r="141">
          <cell r="D141">
            <v>12155</v>
          </cell>
        </row>
        <row r="142">
          <cell r="D142">
            <v>-180</v>
          </cell>
        </row>
        <row r="143">
          <cell r="D143">
            <v>180</v>
          </cell>
        </row>
        <row r="144">
          <cell r="D144">
            <v>2400</v>
          </cell>
        </row>
        <row r="145">
          <cell r="D145">
            <v>5625</v>
          </cell>
        </row>
        <row r="146">
          <cell r="D146">
            <v>1950</v>
          </cell>
        </row>
        <row r="147">
          <cell r="D147">
            <v>3631</v>
          </cell>
        </row>
        <row r="148">
          <cell r="D148">
            <v>-100000</v>
          </cell>
        </row>
        <row r="149">
          <cell r="D149">
            <v>4600</v>
          </cell>
        </row>
        <row r="150">
          <cell r="D150">
            <v>5000</v>
          </cell>
        </row>
        <row r="151">
          <cell r="D151">
            <v>25000</v>
          </cell>
        </row>
        <row r="152">
          <cell r="D152">
            <v>25000</v>
          </cell>
        </row>
        <row r="153">
          <cell r="D153">
            <v>1985</v>
          </cell>
        </row>
        <row r="154">
          <cell r="D154">
            <v>7311</v>
          </cell>
        </row>
        <row r="155">
          <cell r="D155">
            <v>126933</v>
          </cell>
        </row>
        <row r="156">
          <cell r="D156">
            <v>-174390</v>
          </cell>
        </row>
        <row r="157">
          <cell r="D157">
            <v>50822</v>
          </cell>
        </row>
        <row r="158">
          <cell r="D158">
            <v>20000</v>
          </cell>
        </row>
        <row r="159">
          <cell r="D159">
            <v>190276</v>
          </cell>
        </row>
        <row r="160">
          <cell r="D160">
            <v>100</v>
          </cell>
        </row>
        <row r="161">
          <cell r="D161">
            <v>2500</v>
          </cell>
        </row>
        <row r="162">
          <cell r="D162">
            <v>3780</v>
          </cell>
        </row>
        <row r="163">
          <cell r="D163">
            <v>5000</v>
          </cell>
        </row>
        <row r="164">
          <cell r="D164">
            <v>950</v>
          </cell>
        </row>
        <row r="165">
          <cell r="D165">
            <v>6864</v>
          </cell>
        </row>
        <row r="166">
          <cell r="D166">
            <v>3631</v>
          </cell>
        </row>
        <row r="167">
          <cell r="D167">
            <v>29669</v>
          </cell>
        </row>
        <row r="168">
          <cell r="D168">
            <v>63469</v>
          </cell>
        </row>
        <row r="169">
          <cell r="D169">
            <v>142799</v>
          </cell>
        </row>
        <row r="170">
          <cell r="D170">
            <v>-1500000</v>
          </cell>
        </row>
        <row r="171">
          <cell r="D171">
            <v>508012</v>
          </cell>
        </row>
      </sheetData>
      <sheetData sheetId="11"/>
      <sheetData sheetId="12">
        <row r="2">
          <cell r="D2">
            <v>2090</v>
          </cell>
        </row>
      </sheetData>
      <sheetData sheetId="13">
        <row r="2">
          <cell r="D2">
            <v>2090</v>
          </cell>
          <cell r="H2">
            <v>81600</v>
          </cell>
        </row>
        <row r="3">
          <cell r="H3">
            <v>1219967</v>
          </cell>
        </row>
        <row r="4">
          <cell r="H4">
            <v>15548191</v>
          </cell>
        </row>
        <row r="5">
          <cell r="H5">
            <v>18360</v>
          </cell>
        </row>
        <row r="6">
          <cell r="H6">
            <v>400</v>
          </cell>
        </row>
        <row r="7">
          <cell r="H7">
            <v>15482094</v>
          </cell>
        </row>
        <row r="8">
          <cell r="H8">
            <v>256000</v>
          </cell>
        </row>
        <row r="9">
          <cell r="H9">
            <v>561800</v>
          </cell>
        </row>
        <row r="10">
          <cell r="H10">
            <v>730117</v>
          </cell>
        </row>
        <row r="11">
          <cell r="H11">
            <v>103459</v>
          </cell>
        </row>
        <row r="12">
          <cell r="H12">
            <v>938320</v>
          </cell>
        </row>
        <row r="13">
          <cell r="H13">
            <v>143035</v>
          </cell>
        </row>
        <row r="14">
          <cell r="H14">
            <v>998880</v>
          </cell>
        </row>
        <row r="15">
          <cell r="H15">
            <v>-1011240</v>
          </cell>
        </row>
        <row r="16">
          <cell r="H16">
            <v>-998880</v>
          </cell>
        </row>
        <row r="17">
          <cell r="H17">
            <v>1011240</v>
          </cell>
        </row>
        <row r="18">
          <cell r="H18">
            <v>982026</v>
          </cell>
        </row>
        <row r="19">
          <cell r="H19">
            <v>955060</v>
          </cell>
        </row>
        <row r="20">
          <cell r="H20">
            <v>45000</v>
          </cell>
        </row>
        <row r="21">
          <cell r="H21">
            <v>10400</v>
          </cell>
        </row>
        <row r="22">
          <cell r="H22">
            <v>-204328</v>
          </cell>
        </row>
        <row r="23">
          <cell r="H23">
            <v>11252715</v>
          </cell>
        </row>
        <row r="24">
          <cell r="H24">
            <v>1123600</v>
          </cell>
        </row>
        <row r="25">
          <cell r="H25">
            <v>130321</v>
          </cell>
        </row>
        <row r="26">
          <cell r="H26">
            <v>158128</v>
          </cell>
        </row>
        <row r="27">
          <cell r="H27">
            <v>105419</v>
          </cell>
        </row>
        <row r="28">
          <cell r="H28">
            <v>4171590</v>
          </cell>
        </row>
        <row r="29">
          <cell r="H29">
            <v>8890836</v>
          </cell>
        </row>
        <row r="30">
          <cell r="H30">
            <v>6802116</v>
          </cell>
        </row>
        <row r="31">
          <cell r="H31">
            <v>7315918</v>
          </cell>
        </row>
        <row r="32">
          <cell r="H32">
            <v>4125494</v>
          </cell>
        </row>
        <row r="33">
          <cell r="H33">
            <v>5185892</v>
          </cell>
        </row>
        <row r="34">
          <cell r="H34">
            <v>204328</v>
          </cell>
        </row>
        <row r="35">
          <cell r="H35">
            <v>204328</v>
          </cell>
        </row>
        <row r="36">
          <cell r="H36">
            <v>1080208.57</v>
          </cell>
        </row>
        <row r="37">
          <cell r="H37">
            <v>4586535</v>
          </cell>
        </row>
        <row r="38">
          <cell r="H38">
            <v>97372.42</v>
          </cell>
        </row>
        <row r="39">
          <cell r="H39">
            <v>383672</v>
          </cell>
        </row>
        <row r="40">
          <cell r="H40">
            <v>154000</v>
          </cell>
        </row>
        <row r="41">
          <cell r="H41">
            <v>0.34</v>
          </cell>
        </row>
        <row r="42">
          <cell r="H42">
            <v>-10351439</v>
          </cell>
        </row>
        <row r="43">
          <cell r="H43">
            <v>825867</v>
          </cell>
        </row>
        <row r="44">
          <cell r="H44">
            <v>-50500000</v>
          </cell>
        </row>
        <row r="45">
          <cell r="H45">
            <v>-14600000</v>
          </cell>
        </row>
      </sheetData>
      <sheetData sheetId="14"/>
      <sheetData sheetId="15">
        <row r="3">
          <cell r="B3" t="str">
            <v>Conference</v>
          </cell>
        </row>
        <row r="4">
          <cell r="B4" t="str">
            <v>Conveyance</v>
          </cell>
        </row>
        <row r="5">
          <cell r="B5" t="str">
            <v>Employee Welfare</v>
          </cell>
        </row>
        <row r="6">
          <cell r="B6" t="str">
            <v>Entertainment</v>
          </cell>
        </row>
        <row r="7">
          <cell r="B7" t="str">
            <v>Gifts</v>
          </cell>
        </row>
        <row r="8">
          <cell r="B8" t="str">
            <v>Hotel, Boarding &amp; Lodging</v>
          </cell>
        </row>
        <row r="9">
          <cell r="B9" t="str">
            <v>Maintenance of accomodation in the nature of guest house</v>
          </cell>
        </row>
        <row r="10">
          <cell r="B10" t="str">
            <v>Not Applicable</v>
          </cell>
        </row>
        <row r="11">
          <cell r="B11" t="str">
            <v>Repair, Running and Maintenance of Motor Car</v>
          </cell>
        </row>
        <row r="12">
          <cell r="B12" t="str">
            <v>Sales Promotion (including publicity)</v>
          </cell>
        </row>
        <row r="13">
          <cell r="B13" t="str">
            <v>Tour, travel &amp; Foreign Travel</v>
          </cell>
        </row>
        <row r="14">
          <cell r="B14" t="str">
            <v>Use of Club facilities</v>
          </cell>
        </row>
        <row r="15">
          <cell r="B15" t="str">
            <v>Use of telephone</v>
          </cell>
        </row>
      </sheetData>
      <sheetData sheetId="16"/>
      <sheetData sheetId="17" refreshError="1"/>
      <sheetData sheetId="18" refreshError="1"/>
      <sheetData sheetId="19">
        <row r="2">
          <cell r="D2">
            <v>2090</v>
          </cell>
        </row>
      </sheetData>
      <sheetData sheetId="20">
        <row r="2">
          <cell r="D2">
            <v>2090</v>
          </cell>
        </row>
      </sheetData>
      <sheetData sheetId="21">
        <row r="2">
          <cell r="D2">
            <v>2090</v>
          </cell>
        </row>
      </sheetData>
      <sheetData sheetId="22">
        <row r="2">
          <cell r="D2">
            <v>2090</v>
          </cell>
        </row>
      </sheetData>
      <sheetData sheetId="23">
        <row r="2">
          <cell r="D2">
            <v>2090</v>
          </cell>
        </row>
      </sheetData>
      <sheetData sheetId="24">
        <row r="2">
          <cell r="D2">
            <v>2090</v>
          </cell>
        </row>
      </sheetData>
      <sheetData sheetId="25">
        <row r="2">
          <cell r="D2">
            <v>2090</v>
          </cell>
        </row>
      </sheetData>
      <sheetData sheetId="26">
        <row r="2">
          <cell r="D2">
            <v>2090</v>
          </cell>
        </row>
      </sheetData>
      <sheetData sheetId="27">
        <row r="2">
          <cell r="D2">
            <v>2090</v>
          </cell>
        </row>
      </sheetData>
      <sheetData sheetId="28">
        <row r="2">
          <cell r="D2">
            <v>2090</v>
          </cell>
        </row>
      </sheetData>
      <sheetData sheetId="29">
        <row r="2">
          <cell r="D2">
            <v>2090</v>
          </cell>
        </row>
      </sheetData>
      <sheetData sheetId="30">
        <row r="2">
          <cell r="D2">
            <v>2090</v>
          </cell>
        </row>
      </sheetData>
      <sheetData sheetId="31">
        <row r="2">
          <cell r="D2">
            <v>2090</v>
          </cell>
        </row>
      </sheetData>
      <sheetData sheetId="32">
        <row r="2">
          <cell r="D2">
            <v>2090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k"/>
      <sheetName val="Sheet1"/>
      <sheetName val="Original (4)"/>
      <sheetName val="Original (3)"/>
      <sheetName val="Original (2)"/>
      <sheetName val="Original"/>
      <sheetName val="Advanc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 Sensitivity"/>
      <sheetName val="Valuation"/>
      <sheetName val="Capitalization"/>
      <sheetName val="Key Statistics"/>
      <sheetName val="OpStmt"/>
      <sheetName val="OpStmt-M"/>
      <sheetName val="Returns"/>
      <sheetName val="Returns-M"/>
      <sheetName val="Returns-Q"/>
      <sheetName val="Partner Promote"/>
      <sheetName val="A-General"/>
      <sheetName val="A-Global"/>
      <sheetName val="A-Debt"/>
      <sheetName val="Debt"/>
      <sheetName val="A-Tax"/>
      <sheetName val="Tax"/>
      <sheetName val="A-Rentroll"/>
      <sheetName val="A-Tenancies"/>
      <sheetName val="A-LeasingTerm"/>
      <sheetName val="PrintManagerCode"/>
      <sheetName val="A-CurrMktRent"/>
      <sheetName val="A-Growth"/>
      <sheetName val="A-StepUps"/>
      <sheetName val="A-SpecificRent"/>
      <sheetName val="A-MinVac"/>
      <sheetName val="A-Expenses"/>
      <sheetName val="A-Other"/>
      <sheetName val="A-Disposition"/>
      <sheetName val="MktRent"/>
      <sheetName val="ReportManagerCode"/>
      <sheetName val="Occ"/>
      <sheetName val="Rent"/>
      <sheetName val="Renewal"/>
      <sheetName val="LeaseStatus"/>
      <sheetName val="Disposition"/>
      <sheetName val="StepUps"/>
      <sheetName val="Fund &amp; Investor Summary"/>
      <sheetName val="Investment Summary"/>
      <sheetName val="Class A"/>
      <sheetName val="Class B"/>
      <sheetName val="Macro"/>
      <sheetName val="A_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 - Summary"/>
      <sheetName val="Tranching"/>
      <sheetName val="Available Cashflows"/>
      <sheetName val="Input"/>
      <sheetName val="Cap Cost"/>
      <sheetName val="MoF"/>
      <sheetName val="Traffic-Toll-Revenue"/>
      <sheetName val="O&amp;M &amp; MM"/>
      <sheetName val="Loans"/>
      <sheetName val="Dep"/>
      <sheetName val="Tax"/>
      <sheetName val="P&amp;L"/>
      <sheetName val="FF"/>
      <sheetName val="BS"/>
      <sheetName val="Ratios"/>
      <sheetName val="Dividends"/>
      <sheetName val="IRR"/>
      <sheetName val="Sensitivities"/>
      <sheetName val="Module1"/>
      <sheetName val="Module2"/>
      <sheetName val="Module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 - Summary"/>
      <sheetName val="Tranching"/>
      <sheetName val="Available Cashflows"/>
      <sheetName val="Input"/>
      <sheetName val="Cap Cost"/>
      <sheetName val="MoF"/>
      <sheetName val="Traffic-Toll-Revenue"/>
      <sheetName val="O&amp;M &amp; MM"/>
      <sheetName val="Loans"/>
      <sheetName val="Dep"/>
      <sheetName val="Tax"/>
      <sheetName val="P&amp;L"/>
      <sheetName val="FF"/>
      <sheetName val="BS"/>
      <sheetName val="Ratios"/>
      <sheetName val="Dividends"/>
      <sheetName val="IRR"/>
      <sheetName val="Sensitivities"/>
      <sheetName val="Module1"/>
      <sheetName val="Module2"/>
      <sheetName val="Module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"/>
      <sheetName val="Index"/>
      <sheetName val="Historical Data"/>
      <sheetName val="Results"/>
      <sheetName val="Forecast Drivers"/>
      <sheetName val="Valuation Summary"/>
      <sheetName val="Operating Lease"/>
      <sheetName val="Beta_Calculation"/>
      <sheetName val="Risk_Free_Rate"/>
      <sheetName val="WACC"/>
      <sheetName val="Non Operating Income"/>
      <sheetName val="Scenario_Analysis"/>
      <sheetName val="Sensitivity_Atrisk"/>
      <sheetName val="Tornado_and_Spider_Chart"/>
      <sheetName val="Phase_2"/>
      <sheetName val="Fundamental multiples"/>
      <sheetName val="Notes on comparables"/>
      <sheetName val="Comparables from same industry"/>
      <sheetName val="Analysis of Multiples"/>
      <sheetName val="Implied Growth"/>
      <sheetName val="Optimal Capital Structure"/>
      <sheetName val="RVG"/>
      <sheetName val="Mckinsey_Pentagon"/>
    </sheetNames>
    <sheetDataSet>
      <sheetData sheetId="0"/>
      <sheetData sheetId="1"/>
      <sheetData sheetId="2"/>
      <sheetData sheetId="3">
        <row r="145">
          <cell r="AD145">
            <v>3013.5467328497193</v>
          </cell>
        </row>
      </sheetData>
      <sheetData sheetId="4">
        <row r="131">
          <cell r="E131">
            <v>0</v>
          </cell>
          <cell r="F131">
            <v>0</v>
          </cell>
          <cell r="G131">
            <v>0</v>
          </cell>
          <cell r="H131">
            <v>0.91813708402648286</v>
          </cell>
          <cell r="I131">
            <v>5.1128982463297961</v>
          </cell>
          <cell r="J131">
            <v>8.260077966882367</v>
          </cell>
          <cell r="K131">
            <v>8.0619394298395139</v>
          </cell>
          <cell r="L131">
            <v>7.8329579207746862</v>
          </cell>
          <cell r="M131">
            <v>6.9181626687791997</v>
          </cell>
          <cell r="N131">
            <v>7.0442973004581413</v>
          </cell>
          <cell r="O131">
            <v>7.3173148163308932</v>
          </cell>
          <cell r="P131">
            <v>7.1025443377642539</v>
          </cell>
          <cell r="Q131">
            <v>7.1895597132737725</v>
          </cell>
          <cell r="R131">
            <v>7.2059485893177548</v>
          </cell>
          <cell r="S131">
            <v>7.1663118175274567</v>
          </cell>
        </row>
      </sheetData>
      <sheetData sheetId="5">
        <row r="7">
          <cell r="M7">
            <v>915.10270000000003</v>
          </cell>
        </row>
      </sheetData>
      <sheetData sheetId="6"/>
      <sheetData sheetId="7"/>
      <sheetData sheetId="8"/>
      <sheetData sheetId="9">
        <row r="65">
          <cell r="C65">
            <v>0.15909999999999999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heet1"/>
      <sheetName val="E - Schedule"/>
      <sheetName val="Form A"/>
      <sheetName val="bs group"/>
      <sheetName val="p&amp;l group"/>
      <sheetName val="Sheet2"/>
      <sheetName val="TRIAL"/>
      <sheetName val="Post Trial Entries"/>
      <sheetName val="p&amp;l group 2007-2008"/>
      <sheetName val="bs group 2007-2008"/>
      <sheetName val="ANNX -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inder"/>
      <sheetName val="Inputs"/>
      <sheetName val="Repayment"/>
      <sheetName val="Debt Sch."/>
      <sheetName val="PC &amp; MOF"/>
      <sheetName val="Workings"/>
      <sheetName val="WC Sch."/>
      <sheetName val="Repay eith wo VGF"/>
      <sheetName val="Dep. Sch."/>
      <sheetName val="Tax Sch."/>
      <sheetName val="Statement"/>
      <sheetName val="SBI - PFSBU - P90"/>
      <sheetName val="Senstivity"/>
      <sheetName val="VGF impact"/>
      <sheetName val="SBI - PFSBU - P75"/>
      <sheetName val="SBI_Additional Info"/>
      <sheetName val="SBI_CMA_P&amp;L"/>
      <sheetName val="SBI_CMA_BS"/>
    </sheetNames>
    <sheetDataSet>
      <sheetData sheetId="0" refreshError="1"/>
      <sheetData sheetId="1">
        <row r="8">
          <cell r="H8">
            <v>1.3944372499703384</v>
          </cell>
        </row>
        <row r="68">
          <cell r="D68">
            <v>1623.9012786513763</v>
          </cell>
        </row>
      </sheetData>
      <sheetData sheetId="2" refreshError="1"/>
      <sheetData sheetId="3" refreshError="1"/>
      <sheetData sheetId="4">
        <row r="77">
          <cell r="C77">
            <v>1.0180556177186162E-5</v>
          </cell>
        </row>
      </sheetData>
      <sheetData sheetId="5">
        <row r="7">
          <cell r="E7">
            <v>0</v>
          </cell>
        </row>
      </sheetData>
      <sheetData sheetId="6" refreshError="1"/>
      <sheetData sheetId="7" refreshError="1"/>
      <sheetData sheetId="8">
        <row r="38">
          <cell r="E38">
            <v>0</v>
          </cell>
        </row>
      </sheetData>
      <sheetData sheetId="9" refreshError="1"/>
      <sheetData sheetId="10">
        <row r="21">
          <cell r="E21">
            <v>0</v>
          </cell>
        </row>
      </sheetData>
      <sheetData sheetId="11">
        <row r="46">
          <cell r="A46">
            <v>1.6974266906044284</v>
          </cell>
        </row>
        <row r="47">
          <cell r="A47">
            <v>1.3</v>
          </cell>
        </row>
        <row r="52">
          <cell r="A52">
            <v>13.089297346564287</v>
          </cell>
        </row>
      </sheetData>
      <sheetData sheetId="12">
        <row r="6">
          <cell r="E6">
            <v>0</v>
          </cell>
          <cell r="F6">
            <v>5.6433408577878111E-2</v>
          </cell>
        </row>
        <row r="7">
          <cell r="E7">
            <v>0</v>
          </cell>
          <cell r="F7">
            <v>0.1</v>
          </cell>
        </row>
        <row r="8">
          <cell r="E8">
            <v>0</v>
          </cell>
          <cell r="F8">
            <v>0.1</v>
          </cell>
        </row>
        <row r="9">
          <cell r="E9">
            <v>0</v>
          </cell>
          <cell r="F9">
            <v>0.01</v>
          </cell>
        </row>
        <row r="17">
          <cell r="E17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ies"/>
      <sheetName val="Macros"/>
      <sheetName val="Indicators"/>
      <sheetName val="Assum"/>
      <sheetName val="PC"/>
      <sheetName val="Sheet3"/>
      <sheetName val="Capex Phasing &amp; financing"/>
      <sheetName val="LC Drawdown"/>
      <sheetName val="Capex Phasing &amp; Fin-RE"/>
      <sheetName val="Addl Capex &amp; Debt"/>
      <sheetName val="TrafficRev"/>
      <sheetName val="CDM"/>
      <sheetName val="RE-Revenue"/>
      <sheetName val="Sheet2"/>
      <sheetName val="Opex"/>
      <sheetName val="FA Schedule"/>
      <sheetName val="Deprn"/>
      <sheetName val="ITDeprn"/>
      <sheetName val="Tax"/>
      <sheetName val="P&amp;L"/>
      <sheetName val="Cash Flow"/>
      <sheetName val="BS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"/>
      <sheetName val="BHUSAWAL"/>
      <sheetName val="F1(Bhu)"/>
      <sheetName val="F2.1(Bhu)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Chandrapur"/>
      <sheetName val="F1(Cha)"/>
      <sheetName val="F2.1(Cha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(Cha)"/>
      <sheetName val="F5.1(Cha)"/>
      <sheetName val="F5.2(Cha)"/>
      <sheetName val="F5.3(Cha)"/>
      <sheetName val="F5.4(Cha)"/>
      <sheetName val="F6(Cha)"/>
      <sheetName val="F11(Cha)"/>
      <sheetName val="F12(Cha)"/>
      <sheetName val="Koradi"/>
      <sheetName val="F1(Kor)"/>
      <sheetName val="F2.1(Kor)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(Kor)"/>
      <sheetName val="F5.1(Kor)"/>
      <sheetName val="F5.2(Kor)"/>
      <sheetName val="F5.3(Kor)"/>
      <sheetName val="F5.4(Kor)"/>
      <sheetName val="F6(Kor)"/>
      <sheetName val="F11(Kor)"/>
      <sheetName val="F12(Kor)"/>
      <sheetName val="Paras"/>
      <sheetName val="F1(Paras)"/>
      <sheetName val="F2.1(Paras)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1(Parli)"/>
      <sheetName val="F2.1(Parli)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1(Kha)"/>
      <sheetName val="F2.1(Kha)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1(Nasi)"/>
      <sheetName val="F2.1(Nasi)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2(Nasi)"/>
      <sheetName val="F5.3(Nasi)"/>
      <sheetName val="F5.4(Nasi)"/>
      <sheetName val="F6(Nasi)"/>
      <sheetName val="F11(Nasi)"/>
      <sheetName val="F12(Nasi)"/>
      <sheetName val="Uran"/>
      <sheetName val="F1(Uran)"/>
      <sheetName val="F2.1(Uran)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1(Hydro)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Hydro)"/>
      <sheetName val="F4(Koyna)"/>
      <sheetName val="F4(PuneHydro)"/>
      <sheetName val="F4(NasikHydro)"/>
      <sheetName val="F5(Hydro)"/>
      <sheetName val="F5.1(Hydro)"/>
      <sheetName val="F5.2(Hydro)"/>
      <sheetName val="F5.3(PuneHydro)"/>
      <sheetName val="F5.4(PuneHydro)"/>
      <sheetName val="F5.3(NasikHydro)"/>
      <sheetName val="F5.4(NasikHydro)"/>
      <sheetName val="F5.3(Koyna)"/>
      <sheetName val="F5.4(Koyna)"/>
      <sheetName val="F6(Hydro)"/>
      <sheetName val="F11(Hydro)"/>
      <sheetName val="F12(Hydro)"/>
      <sheetName val="2000-01"/>
    </sheetNames>
    <sheetDataSet>
      <sheetData sheetId="0">
        <row r="3">
          <cell r="B3">
            <v>7.8600000000000003E-2</v>
          </cell>
        </row>
        <row r="6">
          <cell r="B6">
            <v>0.06</v>
          </cell>
        </row>
        <row r="7">
          <cell r="B7">
            <v>0.06</v>
          </cell>
        </row>
        <row r="8">
          <cell r="B8">
            <v>0.06</v>
          </cell>
        </row>
        <row r="9">
          <cell r="B9">
            <v>0.06</v>
          </cell>
        </row>
        <row r="10">
          <cell r="B10">
            <v>0.05</v>
          </cell>
        </row>
        <row r="11">
          <cell r="B11">
            <v>0.12</v>
          </cell>
        </row>
        <row r="12">
          <cell r="B12">
            <v>0.12</v>
          </cell>
        </row>
        <row r="13">
          <cell r="B13">
            <v>1</v>
          </cell>
        </row>
        <row r="16">
          <cell r="B16">
            <v>0.13</v>
          </cell>
        </row>
        <row r="17">
          <cell r="B17">
            <v>0.13</v>
          </cell>
        </row>
        <row r="18">
          <cell r="B18">
            <v>0.13</v>
          </cell>
        </row>
        <row r="20">
          <cell r="B20">
            <v>0.1993</v>
          </cell>
        </row>
        <row r="22">
          <cell r="B22">
            <v>70.004999999999995</v>
          </cell>
        </row>
        <row r="23">
          <cell r="B23">
            <v>358.87740000000002</v>
          </cell>
        </row>
        <row r="25">
          <cell r="B25">
            <v>2E-3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Ratios after Sensitivity"/>
      <sheetName val="Break even sales dec 10%"/>
      <sheetName val="Break even cost inc 5%"/>
      <sheetName val="Break even capex 5%"/>
      <sheetName val="Break even"/>
      <sheetName val="Highlights"/>
      <sheetName val="Monthwise FY 2015"/>
      <sheetName val="Stock"/>
      <sheetName val="Base Assumption"/>
      <sheetName val="Final Accounts"/>
      <sheetName val="Sheet1"/>
      <sheetName val="Loans-original"/>
      <sheetName val="Profitability Total"/>
      <sheetName val="Financials"/>
      <sheetName val="BS"/>
      <sheetName val="TNW"/>
      <sheetName val="SENSITIVITY ANALYSIS"/>
      <sheetName val="FACR"/>
      <sheetName val="Valid"/>
      <sheetName val="Loans updated"/>
      <sheetName val="Comparison"/>
      <sheetName val="Financial Summary"/>
      <sheetName val="unitwise--&gt;"/>
      <sheetName val="Calculation-R"/>
      <sheetName val="Profitability-R"/>
      <sheetName val="Calculation-B"/>
      <sheetName val="Profitability-B"/>
      <sheetName val="Calculation-Neem"/>
      <sheetName val="Profitability-Neem"/>
      <sheetName val="Calculation-Rishi"/>
      <sheetName val="Profitability- Rishi"/>
      <sheetName val="Calculation-P"/>
      <sheetName val="Profitability- P"/>
      <sheetName val="Calculation-Nashik Comb"/>
      <sheetName val="Profitability- Nashik comb"/>
      <sheetName val="Calculation-N"/>
      <sheetName val="Profitability- N"/>
      <sheetName val="Calculation-N (2)"/>
      <sheetName val="Profitability- N (2)"/>
      <sheetName val="Calculation -Naidupeta"/>
      <sheetName val="Profitability Naidupeta"/>
      <sheetName val="Profitability Mumbai"/>
      <sheetName val="Profitability  HO"/>
      <sheetName val="Investments"/>
      <sheetName val="7.0 Capex"/>
      <sheetName val="Fixed Assets"/>
      <sheetName val="I.T.Dep"/>
      <sheetName val="Reserves"/>
      <sheetName val="Working Capital"/>
      <sheetName val="Wcap Norms "/>
      <sheetName val="Computation"/>
      <sheetName val="Loans Old"/>
      <sheetName val="Loan cashflow 1"/>
      <sheetName val="Int 2"/>
      <sheetName val="Int cal"/>
      <sheetName val="Loan cashflow"/>
      <sheetName val="Financial Ratios"/>
      <sheetName val="Ratio Analysis"/>
      <sheetName val="Schedule 6"/>
      <sheetName val="Proposed Sch"/>
      <sheetName val="SBI"/>
      <sheetName val="HDFC"/>
      <sheetName val="EXIM"/>
      <sheetName val="HSBC"/>
      <sheetName val="AXIS"/>
      <sheetName val="STANC"/>
      <sheetName val="BOB"/>
      <sheetName val="DBS"/>
      <sheetName val="Aditya Birla"/>
      <sheetName val="L&amp;T"/>
      <sheetName val="LIC"/>
      <sheetName val="GIC"/>
      <sheetName val="Final Accounts &amp; Cash Flow- rev"/>
      <sheetName val="Sacrifice"/>
      <sheetName val="CDR Summary"/>
      <sheetName val="Cost of Scheme"/>
      <sheetName val="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Inv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Variance"/>
      <sheetName val="vari-1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7">
          <cell r="B67">
            <v>125873</v>
          </cell>
        </row>
        <row r="85">
          <cell r="B85">
            <v>53508</v>
          </cell>
        </row>
        <row r="97">
          <cell r="B97">
            <v>4803530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ssumptions"/>
      <sheetName val="BS Assum"/>
      <sheetName val="Revenue"/>
      <sheetName val="Cost1"/>
      <sheetName val="Sheet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ation"/>
      <sheetName val="Financials"/>
      <sheetName val="Anupam"/>
      <sheetName val="comp rev exp"/>
      <sheetName val="AnuPriyaCapex"/>
      <sheetName val="Excise on RM"/>
      <sheetName val="DATA"/>
      <sheetName val="debt schedule"/>
      <sheetName val="ecc_res"/>
      <sheetName val="HOUSE RENT DEPO."/>
      <sheetName val="Validations"/>
      <sheetName val="Do not delete"/>
      <sheetName val="Ledge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TB"/>
      <sheetName val="Sheet1"/>
      <sheetName val="entries to make"/>
      <sheetName val="Sheet4"/>
      <sheetName val="Sheet3"/>
      <sheetName val="Sheet2"/>
      <sheetName val="OSL-EXPENSES"/>
      <sheetName val="Sheet5"/>
      <sheetName val="31.03.08 BS"/>
      <sheetName val="master TB"/>
      <sheetName val="Sale entry"/>
      <sheetName val="FINAL TRIAL BALANCES"/>
      <sheetName val="GROUPING"/>
      <sheetName val="comparisons"/>
      <sheetName val="SAP 31ST ENTRIES"/>
      <sheetName val="31ST MARCH"/>
      <sheetName val="VENDOR"/>
      <sheetName val="to enter in SAP"/>
      <sheetName val="OTHER PAYABLES"/>
      <sheetName val="EMPLOYEE DESOSIT RECEIVED"/>
      <sheetName val="FA SCHEDULE"/>
      <sheetName val="CASH BALANCES"/>
      <sheetName val="BANK BALANCES"/>
      <sheetName val="AUC 0708"/>
      <sheetName val="OTHER RECEIVABLES"/>
      <sheetName val="DEPOSITS &amp; ADVANCES PA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38">
          <cell r="C338">
            <v>826500</v>
          </cell>
        </row>
        <row r="343">
          <cell r="C343">
            <v>7500000</v>
          </cell>
        </row>
        <row r="345">
          <cell r="C345">
            <v>8326500</v>
          </cell>
        </row>
      </sheetData>
      <sheetData sheetId="20" refreshError="1"/>
      <sheetData sheetId="21">
        <row r="82">
          <cell r="L82">
            <v>8034586.6399999997</v>
          </cell>
        </row>
      </sheetData>
      <sheetData sheetId="22">
        <row r="59">
          <cell r="J59">
            <v>13824420.39000001</v>
          </cell>
        </row>
      </sheetData>
      <sheetData sheetId="23" refreshError="1"/>
      <sheetData sheetId="24">
        <row r="18">
          <cell r="C18">
            <v>3926986.4899999993</v>
          </cell>
        </row>
      </sheetData>
      <sheetData sheetId="25">
        <row r="54">
          <cell r="E54">
            <v>8295083</v>
          </cell>
        </row>
      </sheetData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(2)"/>
      <sheetName val="Index"/>
      <sheetName val="BalanceSheet"/>
      <sheetName val="Cash Flow Local"/>
      <sheetName val="CONSO P&amp;L REGION WISE"/>
      <sheetName val="CONSO P&amp;L"/>
      <sheetName val="Comparison with Budget"/>
      <sheetName val="Debtors Ageing Dec 02 M"/>
      <sheetName val="Debtors Summary - Mumbai"/>
      <sheetName val="Debtors Ageing Dec 02 (C)"/>
      <sheetName val="Debtors Summary- Chennai"/>
      <sheetName val="Debtors (Bang)"/>
      <sheetName val="Debtors Bang"/>
      <sheetName val="Debtors Ageing Conso "/>
      <sheetName val="Debtors Summary-Conso"/>
      <sheetName val="Key Performance 1"/>
      <sheetName val="Key Performance 2"/>
      <sheetName val="Key Performance 3"/>
      <sheetName val="CONSO"/>
      <sheetName val="CONSO - TRNSP"/>
      <sheetName val="MUMBAI P&amp;L"/>
      <sheetName val="MUMBAI"/>
      <sheetName val="MUMBAI - TRNSP"/>
      <sheetName val="BANDRA"/>
      <sheetName val="BANDRA - TRANSPORT"/>
      <sheetName val="MAHAPE"/>
      <sheetName val="MAHAPE - TRNSP"/>
      <sheetName val="KANDIVILI PLANT"/>
      <sheetName val="KANDIVILI TRANSPORT"/>
      <sheetName val="PUMP - MUM"/>
      <sheetName val="MU - Clab"/>
      <sheetName val="ADMIN 1 MUMBAI"/>
      <sheetName val="ADMIN 2 MUMBAI"/>
      <sheetName val="MUMBAI REGIONAL"/>
      <sheetName val="CHENNAI P&amp;L"/>
      <sheetName val="THIRU"/>
      <sheetName val="THIRU - TRNSP"/>
      <sheetName val="CHENNAI - PUMPING"/>
      <sheetName val="CH - CLAB"/>
      <sheetName val="KEERAPAKKAM QUARRY"/>
      <sheetName val="QUARRY STOCK"/>
      <sheetName val="CH - ADMIN1"/>
      <sheetName val="CH - ADMIN 2"/>
      <sheetName val="CH - REGIONAL"/>
      <sheetName val="BANGALORE P &amp; L"/>
      <sheetName val="BANGALORE PLANT"/>
      <sheetName val="BANGALORE TRANSPORT"/>
      <sheetName val="BANGALORE PUMPING"/>
      <sheetName val="BANGALORE LAB"/>
      <sheetName val="BANGALORE QUARRY"/>
      <sheetName val="BANG QUARRY PROD"/>
      <sheetName val="BANG QUARRY TRASNPORT"/>
      <sheetName val="BANGALORE ADMIN 1"/>
      <sheetName val="BANGALORE ADMIN 2"/>
      <sheetName val="BANGALORE REGIONAL"/>
      <sheetName val="MU ADMIN1"/>
      <sheetName val="MU ADMIN 2"/>
      <sheetName val="CORPORATE"/>
      <sheetName val="TALOJA"/>
      <sheetName val="INS MUM"/>
      <sheetName val="INS CHENNAI"/>
      <sheetName val="SALARY"/>
      <sheetName val="CHENNAI"/>
      <sheetName val="CHENNAI - QUARRY"/>
      <sheetName val="WORKINGS"/>
      <sheetName val="MUMBAI FAR"/>
      <sheetName val="CHENNAI FAR"/>
      <sheetName val="BANG F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inder"/>
      <sheetName val="Inputs"/>
      <sheetName val="PC &amp; MOF"/>
      <sheetName val="Workings"/>
      <sheetName val="WC Sch."/>
      <sheetName val="Debt Sch."/>
      <sheetName val="Dep. Sch."/>
      <sheetName val="Tax Sch."/>
      <sheetName val="Statement"/>
      <sheetName val="SBI_Additional Info"/>
      <sheetName val="VGF impact"/>
      <sheetName val="SBI_CMA_P&amp;L"/>
      <sheetName val="SBI_CMA_BS"/>
    </sheetNames>
    <sheetDataSet>
      <sheetData sheetId="0"/>
      <sheetData sheetId="1">
        <row r="133">
          <cell r="D133">
            <v>0.34608000000000005</v>
          </cell>
        </row>
      </sheetData>
      <sheetData sheetId="2">
        <row r="67">
          <cell r="C67">
            <v>5.820991026883604E-5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s"/>
      <sheetName val="tds"/>
      <sheetName val="43b"/>
      <sheetName val="depjc1&amp;2"/>
      <sheetName val="dep 99"/>
      <sheetName val="dep1&amp;2&amp;pla"/>
      <sheetName val="80IA"/>
      <sheetName val="80HHC"/>
      <sheetName val="80IA 2"/>
      <sheetName val="capgain"/>
      <sheetName val="ind"/>
    </sheetNames>
    <sheetDataSet>
      <sheetData sheetId="0"/>
      <sheetData sheetId="1"/>
      <sheetData sheetId="2"/>
      <sheetData sheetId="3" refreshError="1">
        <row r="28">
          <cell r="H28">
            <v>540967</v>
          </cell>
        </row>
        <row r="33">
          <cell r="H33">
            <v>2453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Inv"/>
      <sheetName val="Cash"/>
      <sheetName val="IS"/>
      <sheetName val="Grand Total"/>
      <sheetName val="30300"/>
      <sheetName val="30310"/>
      <sheetName val="30312"/>
      <sheetName val="30315"/>
      <sheetName val="30220"/>
      <sheetName val="30410"/>
      <sheetName val="30540"/>
      <sheetName val="30610"/>
      <sheetName val="30710"/>
      <sheetName val="30720"/>
      <sheetName val="30810"/>
      <sheetName val="30820"/>
      <sheetName val="30900"/>
      <sheetName val="BS"/>
      <sheetName val="B-1"/>
      <sheetName val="Interco US"/>
      <sheetName val="ICO UK"/>
      <sheetName val="ICO France"/>
      <sheetName val="ICO Germany"/>
      <sheetName val="ICO Italy"/>
      <sheetName val="ICO Swiss"/>
      <sheetName val="ICO Austria"/>
      <sheetName val="ICO Ireland"/>
      <sheetName val="ICO Spain"/>
      <sheetName val="Commission"/>
      <sheetName val="ESPP"/>
      <sheetName val="EXH E-1"/>
      <sheetName val="Dividend (Annex19)-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anagerial rem"/>
      <sheetName val="Details"/>
      <sheetName val="Schedules"/>
      <sheetName val="Balance Sheet"/>
      <sheetName val="Profit &amp; Loss"/>
      <sheetName val="Fixed 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HDFC-278"/>
      <sheetName val="IOB-891"/>
      <sheetName val="PNB-117"/>
      <sheetName val="PNB-493"/>
      <sheetName val="SBI"/>
    </sheetNames>
    <sheetDataSet>
      <sheetData sheetId="0" refreshError="1"/>
      <sheetData sheetId="1">
        <row r="25">
          <cell r="E25">
            <v>188239.98</v>
          </cell>
        </row>
      </sheetData>
      <sheetData sheetId="2">
        <row r="127">
          <cell r="F127">
            <v>52170.470000001602</v>
          </cell>
        </row>
      </sheetData>
      <sheetData sheetId="3">
        <row r="24">
          <cell r="E24">
            <v>28630.5</v>
          </cell>
        </row>
      </sheetData>
      <sheetData sheetId="4">
        <row r="36">
          <cell r="E36">
            <v>40000.5</v>
          </cell>
        </row>
      </sheetData>
      <sheetData sheetId="5">
        <row r="29">
          <cell r="E29">
            <v>382476</v>
          </cell>
        </row>
      </sheetData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mulator Detail"/>
    </sheetNames>
    <sheetDataSet>
      <sheetData sheetId="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Sheet1"/>
      <sheetName val="HLY_-99-00"/>
      <sheetName val="Hydro_Data"/>
      <sheetName val="dpc_cost"/>
      <sheetName val="Plant_Availability"/>
      <sheetName val="Bombaybazar(Remark)"/>
      <sheetName val="Discom Details"/>
      <sheetName val="A 3.7"/>
      <sheetName val="C.S.GENERATION"/>
      <sheetName val="Sch-3"/>
      <sheetName val="Assumptions"/>
      <sheetName val="04rel"/>
      <sheetName val="HLY_-99-002"/>
      <sheetName val="Hydro_Data2"/>
      <sheetName val="dpc_cost2"/>
      <sheetName val="Plant_Availability2"/>
      <sheetName val="HLY_-99-001"/>
      <sheetName val="Hydro_Data1"/>
      <sheetName val="dpc_cost1"/>
      <sheetName val="Plant_Availability1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>
        <row r="1">
          <cell r="D1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>
        <row r="1">
          <cell r="D1">
            <v>0</v>
          </cell>
        </row>
      </sheetData>
      <sheetData sheetId="35">
        <row r="1">
          <cell r="D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 H (2)"/>
      <sheetName val="location"/>
      <sheetName val="EX H"/>
      <sheetName val="145Asales tax [ignore]"/>
      <sheetName val="EX A 145A final"/>
      <sheetName val="EX A 145A DEVIATION"/>
      <sheetName val="DEPN"/>
      <sheetName val="wdvTRF"/>
      <sheetName val="Capex"/>
      <sheetName val="Capex (2)"/>
      <sheetName val="EX B esic"/>
      <sheetName val="Exhibit C"/>
      <sheetName val="clubs details"/>
      <sheetName val="EXd"/>
      <sheetName val="EX E"/>
      <sheetName val="EX F1 summ"/>
      <sheetName val="43B"/>
      <sheetName val="EX F1"/>
      <sheetName val="EX F2ESIC"/>
      <sheetName val="Exhibit D4"/>
      <sheetName val="Sheet1"/>
      <sheetName val="EX F2EPS"/>
      <sheetName val="EX F2others"/>
      <sheetName val="EXG (3)"/>
      <sheetName val="EX E MODVAT"/>
      <sheetName val="EXG"/>
      <sheetName val="depo"/>
      <sheetName val="EX j"/>
      <sheetName val="192"/>
      <sheetName val="193"/>
      <sheetName val="194A"/>
      <sheetName val="194C"/>
      <sheetName val="194 I"/>
      <sheetName val="194 J"/>
      <sheetName val="Rm"/>
      <sheetName val="ratio"/>
      <sheetName val="RATIOS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M checkbook"/>
      <sheetName val="#REF"/>
      <sheetName val="FINA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re Assumptions"/>
      <sheetName val="Scenarios"/>
      <sheetName val="Charts"/>
      <sheetName val="MAnalytic"/>
      <sheetName val="Rating Analytics -Draft"/>
      <sheetName val="Tariff_ATL"/>
      <sheetName val="Financial_ATL"/>
      <sheetName val="MoF_ATL"/>
      <sheetName val="ATL"/>
      <sheetName val="Mundra-Mohindergarh"/>
      <sheetName val="Tariff_M2M"/>
      <sheetName val="Financials_M2M"/>
      <sheetName val="MoF_M2M"/>
      <sheetName val="Analysis_M2M"/>
      <sheetName val="Mundra-Dahegam"/>
      <sheetName val="Tariff_M2D"/>
      <sheetName val="Financials_M2D"/>
      <sheetName val="MoF_M2D"/>
      <sheetName val="Tiroda-Warora"/>
      <sheetName val="Tariff_T2W"/>
      <sheetName val="Financials_T2W"/>
      <sheetName val="MoF_T2W"/>
      <sheetName val="Tiroda-Aurangabad"/>
      <sheetName val="Tariff_T2A"/>
      <sheetName val="Financials_T2A"/>
      <sheetName val="MoF_T2A"/>
      <sheetName val="Tariff_CWR"/>
      <sheetName val="C_WR"/>
      <sheetName val="Tariff_RRW"/>
      <sheetName val="RR_W"/>
      <sheetName val="Tariff_SBR"/>
      <sheetName val="S_BR"/>
      <sheetName val="ATL-Standalone"/>
      <sheetName val="ATIL Financial"/>
      <sheetName val="MEGPTCL Financial"/>
      <sheetName val="Recon Statement"/>
      <sheetName val="Misc"/>
    </sheetNames>
    <sheetDataSet>
      <sheetData sheetId="0" refreshError="1"/>
      <sheetData sheetId="1">
        <row r="48">
          <cell r="F48">
            <v>0.08</v>
          </cell>
        </row>
        <row r="246">
          <cell r="D246">
            <v>4</v>
          </cell>
        </row>
        <row r="247">
          <cell r="C247">
            <v>275.48500000000001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use 12 (b)"/>
      <sheetName val="Excise on RM"/>
      <sheetName val="Summary"/>
      <sheetName val="Rollup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 -local"/>
      <sheetName val="Factor- cables"/>
      <sheetName val="ACC_DATABASE"/>
      <sheetName val="Factor -Imports (FCA Prices)"/>
      <sheetName val="PRICE_DATABASE"/>
      <sheetName val="Price_list"/>
      <sheetName val="1E1-TOTAL"/>
      <sheetName val="2E1-TOTAL"/>
      <sheetName val="4E1-TOTAL"/>
      <sheetName val="E1+FE-TOTAL"/>
      <sheetName val="2E1+FE-TOTAL"/>
      <sheetName val="24POTS+FE-TOTAL"/>
      <sheetName val="Interface_Cards"/>
      <sheetName val="Planning_Tool"/>
      <sheetName val="TOTAL_28MHz"/>
      <sheetName val="TOTAL_14MHz"/>
      <sheetName val="Summary"/>
      <sheetName val="2E1+FE-TOTAL_WA3K"/>
      <sheetName val="Factor _local"/>
      <sheetName val="Factor_ cables"/>
      <sheetName val="Factor_-local"/>
      <sheetName val="Factor-_cables"/>
      <sheetName val="Factor_-Imports_(FCA_Prices)"/>
      <sheetName val="Factor__local"/>
      <sheetName val="Factor__cables"/>
      <sheetName val="Factor_-local1"/>
      <sheetName val="Factor-_cables1"/>
      <sheetName val="Factor_-Imports_(FCA_Prices)1"/>
      <sheetName val="Factor__local1"/>
      <sheetName val="Factor__cables1"/>
      <sheetName val="Factor_-local2"/>
      <sheetName val="Factor-_cables2"/>
      <sheetName val="Factor_-Imports_(FCA_Prices)2"/>
      <sheetName val="Factor__local2"/>
      <sheetName val="Factor__cables2"/>
      <sheetName val="Recon"/>
      <sheetName val="INFO"/>
      <sheetName val="NOTES "/>
      <sheetName val="Project ODC_NDEU"/>
      <sheetName val="Quantity"/>
      <sheetName val="CTDZ6kv (gd1) "/>
      <sheetName val="CTDZ 0.4+cto (GD1)"/>
      <sheetName val="CTTBA (gd1)"/>
      <sheetName val="JUN-FG-DIR"/>
      <sheetName val="Bank Rev"/>
      <sheetName val="SCB - Annexure A"/>
      <sheetName val="OT400"/>
      <sheetName val="Lead Sheet"/>
      <sheetName val="PanhandleB"/>
      <sheetName val="Inputs "/>
      <sheetName val="Factor_-local3"/>
      <sheetName val="Factor-_cables3"/>
      <sheetName val="Factor_-Imports_(FCA_Prices)3"/>
      <sheetName val="Inputs_"/>
      <sheetName val="Equipment"/>
      <sheetName val="Assumptions"/>
      <sheetName val="Factor_-local6"/>
      <sheetName val="Factor-_cables6"/>
      <sheetName val="Factor_-Imports_(FCA_Prices)5"/>
      <sheetName val="Inputs_2"/>
      <sheetName val="Project_ODC_NDEU1"/>
      <sheetName val="CTDZ6kv_(gd1)_1"/>
      <sheetName val="CTDZ_0_4+cto_(GD1)1"/>
      <sheetName val="CTTBA_(gd1)1"/>
      <sheetName val="Factor-_cables4"/>
      <sheetName val="Factor_-local4"/>
      <sheetName val="Factor_-local5"/>
      <sheetName val="Factor-_cables5"/>
      <sheetName val="Factor_-Imports_(FCA_Prices)4"/>
      <sheetName val="Inputs_1"/>
      <sheetName val="Project_ODC_NDEU"/>
      <sheetName val="CTDZ6kv_(gd1)_"/>
      <sheetName val="CTDZ_0_4+cto_(GD1)"/>
      <sheetName val="CTTBA_(gd1)"/>
      <sheetName val="List"/>
      <sheetName val="REINF."/>
      <sheetName val="LOADS"/>
      <sheetName val="P1"/>
      <sheetName val="O2"/>
      <sheetName val="P_Par"/>
      <sheetName val="Index (MF)"/>
      <sheetName val="Rev"/>
      <sheetName val="factors"/>
      <sheetName val="Basis"/>
      <sheetName val="capex"/>
      <sheetName val="Factor__local3"/>
      <sheetName val="Factor__cables3"/>
      <sheetName val="Index_(MF)"/>
      <sheetName val="Factor__local4"/>
      <sheetName val="Factor__cables4"/>
      <sheetName val="Index_(MF)1"/>
      <sheetName val="Factor__local5"/>
      <sheetName val="Factor__cables5"/>
      <sheetName val="Index_(MF)2"/>
      <sheetName val="Factor_-Imports_(FCA_Prices)6"/>
      <sheetName val="Factor__local6"/>
      <sheetName val="Factor__cables6"/>
      <sheetName val="Index_(MF)3"/>
      <sheetName val="Factor_-local7"/>
      <sheetName val="Factor-_cables7"/>
      <sheetName val="Factor_-Imports_(FCA_Prices)7"/>
      <sheetName val="Factor__local7"/>
      <sheetName val="Factor__cables7"/>
      <sheetName val="Index_(MF)4"/>
      <sheetName val="CRITERIA4"/>
      <sheetName val="Sheet2"/>
      <sheetName val="Factor_-local8"/>
      <sheetName val="Factor-_cables8"/>
      <sheetName val="Factor_-Imports_(FCA_Prices)8"/>
      <sheetName val="Factor__local8"/>
      <sheetName val="Factor__cables8"/>
      <sheetName val="Index_(MF)5"/>
      <sheetName val="Factor_-local9"/>
      <sheetName val="Factor-_cables9"/>
      <sheetName val="Factor_-Imports_(FCA_Prices)9"/>
      <sheetName val="Factor__local9"/>
      <sheetName val="Factor__cables9"/>
      <sheetName val="Index_(MF)6"/>
      <sheetName val="Factor_-local10"/>
      <sheetName val="Factor-_cables10"/>
      <sheetName val="Factor_-Imports_(FCA_Prices)10"/>
      <sheetName val="Factor__local10"/>
      <sheetName val="Factor__cables10"/>
      <sheetName val="Index_(MF)7"/>
      <sheetName val="Factor_-local11"/>
      <sheetName val="Factor-_cables11"/>
      <sheetName val="Factor_-Imports_(FCA_Prices)11"/>
      <sheetName val="Factor__local11"/>
      <sheetName val="Factor__cables11"/>
      <sheetName val="Index_(MF)8"/>
      <sheetName val="Factor_-local12"/>
      <sheetName val="Factor-_cables12"/>
      <sheetName val="Factor_-Imports_(FCA_Prices)12"/>
      <sheetName val="Factor__local12"/>
      <sheetName val="Factor__cables12"/>
      <sheetName val="Index_(MF)9"/>
      <sheetName val="BS Schdl- 1 &amp; 2"/>
      <sheetName val="Fixed Assets-Last year"/>
      <sheetName val="Notes"/>
      <sheetName val="TB"/>
      <sheetName val="BS"/>
      <sheetName val="Project_ODC_NDEU2"/>
      <sheetName val="CTDZ6kv_(gd1)_2"/>
      <sheetName val="CTDZ_0_4+cto_(GD1)2"/>
      <sheetName val="CTTBA_(gd1)2"/>
      <sheetName val="Bank_Rev"/>
      <sheetName val="SCB_-_Annexure_A"/>
      <sheetName val="Lead_Sheet"/>
      <sheetName val="Inputs_3"/>
      <sheetName val="NOTES_"/>
      <sheetName val="REINF_"/>
      <sheetName val="XLR_NoRangeSheet"/>
      <sheetName val="Codes"/>
      <sheetName val="Navigation Sheet"/>
      <sheetName val="Slate"/>
      <sheetName val="INPUT"/>
      <sheetName val="Final Prices"/>
      <sheetName val=" Back up Enc 3A"/>
      <sheetName val="Eqpmnt Plng"/>
      <sheetName val="Factor_sheet"/>
      <sheetName val="AN 2000"/>
      <sheetName val="Utilization"/>
      <sheetName val="BR"/>
      <sheetName val="database-NO"/>
      <sheetName val="Edge_Multiservice"/>
      <sheetName val="ISBSCF"/>
      <sheetName val="DCF"/>
    </sheetNames>
    <sheetDataSet>
      <sheetData sheetId="0" refreshError="1">
        <row r="55">
          <cell r="D55">
            <v>0.99958497613612796</v>
          </cell>
        </row>
      </sheetData>
      <sheetData sheetId="1" refreshError="1">
        <row r="29">
          <cell r="B29">
            <v>1.2222242514856079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>
        <row r="29">
          <cell r="B29">
            <v>1.2222242514856079</v>
          </cell>
        </row>
      </sheetData>
      <sheetData sheetId="21">
        <row r="29">
          <cell r="B29">
            <v>1.2222242514856079</v>
          </cell>
        </row>
      </sheetData>
      <sheetData sheetId="22">
        <row r="29">
          <cell r="B29">
            <v>1.2222242514856079</v>
          </cell>
        </row>
      </sheetData>
      <sheetData sheetId="23">
        <row r="29">
          <cell r="B29">
            <v>1.2222242514856079</v>
          </cell>
        </row>
      </sheetData>
      <sheetData sheetId="24">
        <row r="29">
          <cell r="B29">
            <v>1.2222242514856079</v>
          </cell>
        </row>
      </sheetData>
      <sheetData sheetId="25">
        <row r="29">
          <cell r="B29">
            <v>1.2222242514856079</v>
          </cell>
        </row>
      </sheetData>
      <sheetData sheetId="26">
        <row r="29">
          <cell r="B29">
            <v>1.2222242514856079</v>
          </cell>
        </row>
      </sheetData>
      <sheetData sheetId="27">
        <row r="29">
          <cell r="B29">
            <v>1.2222242514856079</v>
          </cell>
        </row>
      </sheetData>
      <sheetData sheetId="28">
        <row r="29">
          <cell r="B29">
            <v>1.2222242514856079</v>
          </cell>
        </row>
      </sheetData>
      <sheetData sheetId="29">
        <row r="29">
          <cell r="B29">
            <v>1.2222242514856079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29">
          <cell r="B29">
            <v>1.2222242514856079</v>
          </cell>
        </row>
      </sheetData>
      <sheetData sheetId="51">
        <row r="29">
          <cell r="B29">
            <v>1.2222242514856079</v>
          </cell>
        </row>
      </sheetData>
      <sheetData sheetId="52">
        <row r="29">
          <cell r="B29">
            <v>1.2222242514856079</v>
          </cell>
        </row>
      </sheetData>
      <sheetData sheetId="53">
        <row r="29">
          <cell r="B29">
            <v>1.2222242514856079</v>
          </cell>
        </row>
      </sheetData>
      <sheetData sheetId="54" refreshError="1"/>
      <sheetData sheetId="55" refreshError="1"/>
      <sheetData sheetId="56">
        <row r="29">
          <cell r="B29">
            <v>1.2222242514856079</v>
          </cell>
        </row>
      </sheetData>
      <sheetData sheetId="57">
        <row r="29">
          <cell r="B29">
            <v>1.2222242514856079</v>
          </cell>
        </row>
      </sheetData>
      <sheetData sheetId="58">
        <row r="29">
          <cell r="B29">
            <v>1.2222242514856079</v>
          </cell>
        </row>
      </sheetData>
      <sheetData sheetId="59">
        <row r="29">
          <cell r="B29">
            <v>1.2222242514856079</v>
          </cell>
        </row>
      </sheetData>
      <sheetData sheetId="60">
        <row r="29">
          <cell r="B29">
            <v>1.2222242514856079</v>
          </cell>
        </row>
      </sheetData>
      <sheetData sheetId="61">
        <row r="29">
          <cell r="B29">
            <v>1.2222242514856079</v>
          </cell>
        </row>
      </sheetData>
      <sheetData sheetId="62">
        <row r="29">
          <cell r="B29">
            <v>1.2222242514856079</v>
          </cell>
        </row>
      </sheetData>
      <sheetData sheetId="63">
        <row r="29">
          <cell r="B29">
            <v>1.2222242514856079</v>
          </cell>
        </row>
      </sheetData>
      <sheetData sheetId="64">
        <row r="29">
          <cell r="B29">
            <v>1.2222242514856079</v>
          </cell>
        </row>
      </sheetData>
      <sheetData sheetId="65">
        <row r="29">
          <cell r="B29">
            <v>1.2222242514856079</v>
          </cell>
        </row>
      </sheetData>
      <sheetData sheetId="66">
        <row r="29">
          <cell r="B29">
            <v>1.2222242514856079</v>
          </cell>
        </row>
      </sheetData>
      <sheetData sheetId="67">
        <row r="29">
          <cell r="B29">
            <v>1.2222242514856079</v>
          </cell>
        </row>
      </sheetData>
      <sheetData sheetId="68">
        <row r="29">
          <cell r="B29">
            <v>1.2222242514856079</v>
          </cell>
        </row>
      </sheetData>
      <sheetData sheetId="69">
        <row r="29">
          <cell r="B29">
            <v>1.2222242514856079</v>
          </cell>
        </row>
      </sheetData>
      <sheetData sheetId="70">
        <row r="29">
          <cell r="B29">
            <v>1.2222242514856079</v>
          </cell>
        </row>
      </sheetData>
      <sheetData sheetId="71">
        <row r="29">
          <cell r="B29">
            <v>1.2222242514856079</v>
          </cell>
        </row>
      </sheetData>
      <sheetData sheetId="72">
        <row r="29">
          <cell r="B29">
            <v>1.2222242514856079</v>
          </cell>
        </row>
      </sheetData>
      <sheetData sheetId="73">
        <row r="29">
          <cell r="B29">
            <v>1.2222242514856079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29">
          <cell r="B29">
            <v>1.2222242514856079</v>
          </cell>
        </row>
      </sheetData>
      <sheetData sheetId="86">
        <row r="29">
          <cell r="B29">
            <v>1.2222242514856079</v>
          </cell>
        </row>
      </sheetData>
      <sheetData sheetId="87">
        <row r="29">
          <cell r="B29">
            <v>1.2222242514856079</v>
          </cell>
        </row>
      </sheetData>
      <sheetData sheetId="88">
        <row r="29">
          <cell r="B29">
            <v>1.2222242514856079</v>
          </cell>
        </row>
      </sheetData>
      <sheetData sheetId="89">
        <row r="29">
          <cell r="B29">
            <v>1.2222242514856079</v>
          </cell>
        </row>
      </sheetData>
      <sheetData sheetId="90">
        <row r="29">
          <cell r="B29">
            <v>1.2222242514856079</v>
          </cell>
        </row>
      </sheetData>
      <sheetData sheetId="91">
        <row r="29">
          <cell r="B29">
            <v>1.2222242514856079</v>
          </cell>
        </row>
      </sheetData>
      <sheetData sheetId="92">
        <row r="29">
          <cell r="B29">
            <v>1.2222242514856079</v>
          </cell>
        </row>
      </sheetData>
      <sheetData sheetId="93">
        <row r="29">
          <cell r="B29">
            <v>1.2222242514856079</v>
          </cell>
        </row>
      </sheetData>
      <sheetData sheetId="94">
        <row r="29">
          <cell r="B29">
            <v>1.2222242514856079</v>
          </cell>
        </row>
      </sheetData>
      <sheetData sheetId="95">
        <row r="29">
          <cell r="B29">
            <v>1.2222242514856079</v>
          </cell>
        </row>
      </sheetData>
      <sheetData sheetId="96">
        <row r="29">
          <cell r="B29">
            <v>1.2222242514856079</v>
          </cell>
        </row>
      </sheetData>
      <sheetData sheetId="97">
        <row r="29">
          <cell r="B29">
            <v>1.2222242514856079</v>
          </cell>
        </row>
      </sheetData>
      <sheetData sheetId="98">
        <row r="29">
          <cell r="B29">
            <v>1.2222242514856079</v>
          </cell>
        </row>
      </sheetData>
      <sheetData sheetId="99">
        <row r="29">
          <cell r="B29">
            <v>1.2222242514856079</v>
          </cell>
        </row>
      </sheetData>
      <sheetData sheetId="100">
        <row r="29">
          <cell r="B29">
            <v>1.2222242514856079</v>
          </cell>
        </row>
      </sheetData>
      <sheetData sheetId="101">
        <row r="29">
          <cell r="B29">
            <v>1.2222242514856079</v>
          </cell>
        </row>
      </sheetData>
      <sheetData sheetId="102">
        <row r="55">
          <cell r="D55">
            <v>0.99958497613612796</v>
          </cell>
        </row>
      </sheetData>
      <sheetData sheetId="103">
        <row r="29">
          <cell r="B29">
            <v>1.2222242514856079</v>
          </cell>
        </row>
      </sheetData>
      <sheetData sheetId="104" refreshError="1"/>
      <sheetData sheetId="105" refreshError="1"/>
      <sheetData sheetId="106">
        <row r="29">
          <cell r="B29">
            <v>1.2222242514856079</v>
          </cell>
        </row>
      </sheetData>
      <sheetData sheetId="107">
        <row r="29">
          <cell r="B29">
            <v>1.2222242514856079</v>
          </cell>
        </row>
      </sheetData>
      <sheetData sheetId="108">
        <row r="29">
          <cell r="B29">
            <v>1.2222242514856079</v>
          </cell>
        </row>
      </sheetData>
      <sheetData sheetId="109">
        <row r="55">
          <cell r="D55">
            <v>0.99958497613612796</v>
          </cell>
        </row>
      </sheetData>
      <sheetData sheetId="110">
        <row r="29">
          <cell r="B29">
            <v>1.2222242514856079</v>
          </cell>
        </row>
      </sheetData>
      <sheetData sheetId="111">
        <row r="29">
          <cell r="B29">
            <v>1.2222242514856079</v>
          </cell>
        </row>
      </sheetData>
      <sheetData sheetId="112">
        <row r="29">
          <cell r="B29">
            <v>1.2222242514856079</v>
          </cell>
        </row>
      </sheetData>
      <sheetData sheetId="113">
        <row r="29">
          <cell r="B29">
            <v>1.2222242514856079</v>
          </cell>
        </row>
      </sheetData>
      <sheetData sheetId="114">
        <row r="29">
          <cell r="B29">
            <v>1.2222242514856079</v>
          </cell>
        </row>
      </sheetData>
      <sheetData sheetId="115">
        <row r="55">
          <cell r="D55">
            <v>0.99958497613612796</v>
          </cell>
        </row>
      </sheetData>
      <sheetData sheetId="116">
        <row r="29">
          <cell r="B29">
            <v>1.2222242514856079</v>
          </cell>
        </row>
      </sheetData>
      <sheetData sheetId="117">
        <row r="29">
          <cell r="B29">
            <v>1.2222242514856079</v>
          </cell>
        </row>
      </sheetData>
      <sheetData sheetId="118">
        <row r="29">
          <cell r="B29">
            <v>1.2222242514856079</v>
          </cell>
        </row>
      </sheetData>
      <sheetData sheetId="119">
        <row r="29">
          <cell r="B29">
            <v>1.2222242514856079</v>
          </cell>
        </row>
      </sheetData>
      <sheetData sheetId="120">
        <row r="29">
          <cell r="B29">
            <v>1.2222242514856079</v>
          </cell>
        </row>
      </sheetData>
      <sheetData sheetId="121">
        <row r="55">
          <cell r="D55">
            <v>0.99958497613612796</v>
          </cell>
        </row>
      </sheetData>
      <sheetData sheetId="122">
        <row r="29">
          <cell r="B29">
            <v>1.2222242514856079</v>
          </cell>
        </row>
      </sheetData>
      <sheetData sheetId="123">
        <row r="29">
          <cell r="B29">
            <v>1.2222242514856079</v>
          </cell>
        </row>
      </sheetData>
      <sheetData sheetId="124">
        <row r="29">
          <cell r="B29">
            <v>1.2222242514856079</v>
          </cell>
        </row>
      </sheetData>
      <sheetData sheetId="125">
        <row r="29">
          <cell r="B29">
            <v>1.2222242514856079</v>
          </cell>
        </row>
      </sheetData>
      <sheetData sheetId="126"/>
      <sheetData sheetId="127">
        <row r="55">
          <cell r="D55">
            <v>0.99958497613612796</v>
          </cell>
        </row>
      </sheetData>
      <sheetData sheetId="128">
        <row r="29">
          <cell r="B29">
            <v>1.2222242514856079</v>
          </cell>
        </row>
      </sheetData>
      <sheetData sheetId="129">
        <row r="29">
          <cell r="B29">
            <v>1.2222242514856079</v>
          </cell>
        </row>
      </sheetData>
      <sheetData sheetId="130">
        <row r="29">
          <cell r="B29">
            <v>1.2222242514856079</v>
          </cell>
        </row>
      </sheetData>
      <sheetData sheetId="131">
        <row r="29">
          <cell r="B29">
            <v>1.2222242514856079</v>
          </cell>
        </row>
      </sheetData>
      <sheetData sheetId="132"/>
      <sheetData sheetId="133"/>
      <sheetData sheetId="134">
        <row r="55">
          <cell r="D55">
            <v>0.99958497613612796</v>
          </cell>
        </row>
      </sheetData>
      <sheetData sheetId="135">
        <row r="29">
          <cell r="B29">
            <v>1.2222242514856079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rialbal"/>
      <sheetName val="expcfd"/>
      <sheetName val="defentry"/>
      <sheetName val="taxfree"/>
      <sheetName val="roi"/>
      <sheetName val="depre"/>
    </sheetNames>
    <sheetDataSet>
      <sheetData sheetId="0"/>
      <sheetData sheetId="1">
        <row r="145">
          <cell r="B145">
            <v>1204916880.8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 analysis"/>
      <sheetName val="pubres"/>
      <sheetName val="BS"/>
      <sheetName val="PL"/>
      <sheetName val="Schedules"/>
      <sheetName val="Liab"/>
      <sheetName val="Assets"/>
      <sheetName val="Income"/>
      <sheetName val="Exp"/>
      <sheetName val="TB"/>
      <sheetName val="deftax"/>
      <sheetName val="wndeftax"/>
      <sheetName val="G SecST&amp;LT "/>
      <sheetName val="FA"/>
      <sheetName val="itcomp"/>
      <sheetName val="Recon"/>
      <sheetName val="BREA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85">
          <cell r="B185">
            <v>2529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Factset"/>
      <sheetName val="Output- Power"/>
      <sheetName val="TM_CoCo Inputs"/>
      <sheetName val="TM_CoCo Input Sheet"/>
      <sheetName val="TM_DCF Input Sheet"/>
      <sheetName val="TM_CoCos Output Sheet"/>
      <sheetName val="TM_Valuation Summary"/>
      <sheetName val="TM_DCF"/>
    </sheetNames>
    <sheetDataSet>
      <sheetData sheetId="0"/>
      <sheetData sheetId="1">
        <row r="1">
          <cell r="A1">
            <v>1</v>
          </cell>
        </row>
        <row r="23">
          <cell r="IU23">
            <v>10</v>
          </cell>
        </row>
        <row r="24">
          <cell r="IU24">
            <v>0</v>
          </cell>
        </row>
        <row r="25">
          <cell r="IU25">
            <v>50</v>
          </cell>
        </row>
        <row r="26">
          <cell r="IU26">
            <v>0</v>
          </cell>
        </row>
        <row r="29">
          <cell r="IU29">
            <v>100</v>
          </cell>
        </row>
        <row r="30">
          <cell r="IU30">
            <v>0</v>
          </cell>
        </row>
      </sheetData>
      <sheetData sheetId="2">
        <row r="1">
          <cell r="B1">
            <v>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#REF"/>
      <sheetName val="Master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HO"/>
      <sheetName val="MUMBAI"/>
      <sheetName val="NOIDA"/>
      <sheetName val="ASF"/>
      <sheetName val="CONTRACT"/>
      <sheetName val="SUMMARY"/>
      <sheetName val="Sheet1"/>
      <sheetName val="APPRISEL 2013"/>
    </sheetNames>
    <sheetDataSet>
      <sheetData sheetId="0">
        <row r="2">
          <cell r="C2">
            <v>1235</v>
          </cell>
          <cell r="D2" t="str">
            <v>AMIT TINDWANI</v>
          </cell>
        </row>
        <row r="3">
          <cell r="C3">
            <v>1236</v>
          </cell>
          <cell r="D3" t="str">
            <v>VIMALA NAIR</v>
          </cell>
        </row>
        <row r="4">
          <cell r="C4">
            <v>1237</v>
          </cell>
          <cell r="D4" t="str">
            <v>SACHIN AMBAVKAR</v>
          </cell>
        </row>
        <row r="5">
          <cell r="C5">
            <v>1238</v>
          </cell>
          <cell r="D5" t="str">
            <v>ANIL KUMAR PANDIT</v>
          </cell>
        </row>
        <row r="6">
          <cell r="C6">
            <v>1242</v>
          </cell>
          <cell r="D6" t="str">
            <v>NILESH SHAH</v>
          </cell>
        </row>
        <row r="7">
          <cell r="C7">
            <v>1243</v>
          </cell>
          <cell r="D7" t="str">
            <v>SUJIT JADHAV</v>
          </cell>
        </row>
        <row r="8">
          <cell r="C8">
            <v>1244</v>
          </cell>
          <cell r="D8" t="str">
            <v>CHANDRASHEKHAR DESHMUKH</v>
          </cell>
        </row>
        <row r="9">
          <cell r="C9">
            <v>1245</v>
          </cell>
          <cell r="D9" t="str">
            <v>ADITI ATHALYE</v>
          </cell>
        </row>
        <row r="10">
          <cell r="C10">
            <v>1246</v>
          </cell>
          <cell r="D10" t="str">
            <v>AMOL ANAND BHONDULE</v>
          </cell>
        </row>
        <row r="11">
          <cell r="C11">
            <v>1250</v>
          </cell>
          <cell r="D11" t="str">
            <v>SUBRAMANIAN SEKAR</v>
          </cell>
        </row>
        <row r="12">
          <cell r="C12">
            <v>1251</v>
          </cell>
          <cell r="D12" t="str">
            <v>KISHOR KENE</v>
          </cell>
        </row>
        <row r="13">
          <cell r="C13">
            <v>1253</v>
          </cell>
          <cell r="D13" t="str">
            <v>SARWAR FAIYZ KHAN</v>
          </cell>
        </row>
        <row r="14">
          <cell r="C14">
            <v>1254</v>
          </cell>
          <cell r="D14" t="str">
            <v>OM PRAKASH PRAJAPATI</v>
          </cell>
        </row>
        <row r="15">
          <cell r="C15">
            <v>1256</v>
          </cell>
          <cell r="D15" t="str">
            <v>SIDDESH BAGAWE</v>
          </cell>
        </row>
        <row r="16">
          <cell r="C16">
            <v>1257</v>
          </cell>
          <cell r="D16" t="str">
            <v>RAJASHREE TORASKAR</v>
          </cell>
        </row>
        <row r="17">
          <cell r="C17">
            <v>1258</v>
          </cell>
          <cell r="D17" t="str">
            <v>BHANODAYA VARANASI</v>
          </cell>
        </row>
        <row r="18">
          <cell r="C18">
            <v>1266</v>
          </cell>
          <cell r="D18" t="str">
            <v>SANDESH KOTHAVADE</v>
          </cell>
        </row>
        <row r="19">
          <cell r="C19">
            <v>1273</v>
          </cell>
          <cell r="D19" t="str">
            <v>RUSHANG SUTARIA</v>
          </cell>
        </row>
        <row r="20">
          <cell r="C20">
            <v>1260</v>
          </cell>
          <cell r="D20" t="str">
            <v>NARENDRA R RAUT</v>
          </cell>
        </row>
        <row r="21">
          <cell r="C21">
            <v>1261</v>
          </cell>
          <cell r="D21" t="str">
            <v>PRADYUMNA DESHPANDE</v>
          </cell>
        </row>
        <row r="22">
          <cell r="C22">
            <v>1262</v>
          </cell>
          <cell r="D22" t="str">
            <v>SAURABH GUPTA</v>
          </cell>
        </row>
        <row r="23">
          <cell r="C23">
            <v>1263</v>
          </cell>
          <cell r="D23" t="str">
            <v>MEENAKSHI RAINA</v>
          </cell>
        </row>
        <row r="24">
          <cell r="C24">
            <v>1264</v>
          </cell>
          <cell r="D24" t="str">
            <v>ARVIND POTDAR</v>
          </cell>
        </row>
        <row r="25">
          <cell r="C25">
            <v>1265</v>
          </cell>
          <cell r="D25" t="str">
            <v>GIRISH PATIL</v>
          </cell>
        </row>
        <row r="26">
          <cell r="C26">
            <v>1267</v>
          </cell>
          <cell r="D26" t="str">
            <v>SHYAM MANUJA</v>
          </cell>
        </row>
        <row r="27">
          <cell r="C27">
            <v>1268</v>
          </cell>
          <cell r="D27" t="str">
            <v>VINOD KUMAR VARMA</v>
          </cell>
        </row>
        <row r="28">
          <cell r="C28">
            <v>1269</v>
          </cell>
          <cell r="D28" t="str">
            <v>ATUL MATHUR</v>
          </cell>
        </row>
        <row r="29">
          <cell r="C29">
            <v>1270</v>
          </cell>
          <cell r="D29" t="str">
            <v>B. UMA SHANKAR</v>
          </cell>
        </row>
        <row r="30">
          <cell r="C30">
            <v>1271</v>
          </cell>
          <cell r="D30" t="str">
            <v>SUBRAT BEHERA</v>
          </cell>
        </row>
        <row r="31">
          <cell r="C31">
            <v>1272</v>
          </cell>
          <cell r="D31" t="str">
            <v>AKHILESHWAR SINGH</v>
          </cell>
        </row>
        <row r="32">
          <cell r="C32">
            <v>1274</v>
          </cell>
          <cell r="D32" t="str">
            <v>SATISH KANKANMELI</v>
          </cell>
        </row>
        <row r="33">
          <cell r="C33">
            <v>1275</v>
          </cell>
          <cell r="D33">
            <v>0</v>
          </cell>
        </row>
        <row r="34">
          <cell r="C34">
            <v>1276</v>
          </cell>
          <cell r="D34">
            <v>0</v>
          </cell>
        </row>
        <row r="35">
          <cell r="C35">
            <v>1277</v>
          </cell>
          <cell r="D35">
            <v>0</v>
          </cell>
        </row>
        <row r="36">
          <cell r="C36">
            <v>1278</v>
          </cell>
          <cell r="D36">
            <v>0</v>
          </cell>
        </row>
        <row r="37">
          <cell r="C37">
            <v>1279</v>
          </cell>
          <cell r="D37">
            <v>0</v>
          </cell>
        </row>
        <row r="38">
          <cell r="C38">
            <v>1280</v>
          </cell>
          <cell r="D38">
            <v>0</v>
          </cell>
        </row>
        <row r="39">
          <cell r="C39">
            <v>1281</v>
          </cell>
          <cell r="D39">
            <v>0</v>
          </cell>
        </row>
        <row r="40">
          <cell r="C40">
            <v>1282</v>
          </cell>
          <cell r="D40">
            <v>0</v>
          </cell>
        </row>
        <row r="41">
          <cell r="C41">
            <v>1283</v>
          </cell>
          <cell r="D41">
            <v>0</v>
          </cell>
        </row>
        <row r="42">
          <cell r="C42">
            <v>1284</v>
          </cell>
          <cell r="D42">
            <v>0</v>
          </cell>
        </row>
        <row r="43">
          <cell r="C43">
            <v>1285</v>
          </cell>
          <cell r="D43">
            <v>0</v>
          </cell>
        </row>
        <row r="44">
          <cell r="C44">
            <v>1286</v>
          </cell>
          <cell r="D44">
            <v>0</v>
          </cell>
        </row>
        <row r="45">
          <cell r="C45">
            <v>1287</v>
          </cell>
          <cell r="D45">
            <v>0</v>
          </cell>
        </row>
        <row r="46">
          <cell r="C46">
            <v>1288</v>
          </cell>
          <cell r="D46">
            <v>0</v>
          </cell>
        </row>
        <row r="47">
          <cell r="C47">
            <v>1289</v>
          </cell>
          <cell r="D47">
            <v>0</v>
          </cell>
        </row>
        <row r="48">
          <cell r="C48">
            <v>1290</v>
          </cell>
          <cell r="D48">
            <v>0</v>
          </cell>
        </row>
        <row r="49">
          <cell r="C49">
            <v>1291</v>
          </cell>
          <cell r="D49">
            <v>0</v>
          </cell>
        </row>
        <row r="50">
          <cell r="C50">
            <v>1292</v>
          </cell>
          <cell r="D50">
            <v>0</v>
          </cell>
        </row>
        <row r="51">
          <cell r="C51">
            <v>1293</v>
          </cell>
          <cell r="D51">
            <v>0</v>
          </cell>
        </row>
        <row r="52">
          <cell r="C52">
            <v>1294</v>
          </cell>
          <cell r="D52">
            <v>0</v>
          </cell>
        </row>
        <row r="53">
          <cell r="C53">
            <v>1295</v>
          </cell>
          <cell r="D53">
            <v>0</v>
          </cell>
        </row>
        <row r="54">
          <cell r="C54">
            <v>1296</v>
          </cell>
          <cell r="D54">
            <v>0</v>
          </cell>
        </row>
        <row r="55">
          <cell r="C55">
            <v>1297</v>
          </cell>
          <cell r="D55">
            <v>0</v>
          </cell>
        </row>
        <row r="56">
          <cell r="C56">
            <v>1298</v>
          </cell>
          <cell r="D56">
            <v>0</v>
          </cell>
        </row>
        <row r="57">
          <cell r="C57">
            <v>1299</v>
          </cell>
          <cell r="D57">
            <v>0</v>
          </cell>
        </row>
        <row r="58">
          <cell r="C58">
            <v>1300</v>
          </cell>
          <cell r="D58">
            <v>0</v>
          </cell>
        </row>
        <row r="59">
          <cell r="C59">
            <v>1301</v>
          </cell>
          <cell r="D59">
            <v>0</v>
          </cell>
        </row>
        <row r="60">
          <cell r="C60">
            <v>1302</v>
          </cell>
          <cell r="D60">
            <v>0</v>
          </cell>
        </row>
        <row r="61">
          <cell r="C61">
            <v>1303</v>
          </cell>
          <cell r="D61">
            <v>0</v>
          </cell>
        </row>
        <row r="62">
          <cell r="C62">
            <v>1304</v>
          </cell>
          <cell r="D62">
            <v>0</v>
          </cell>
        </row>
        <row r="63">
          <cell r="C63">
            <v>1305</v>
          </cell>
          <cell r="D63">
            <v>0</v>
          </cell>
        </row>
        <row r="64">
          <cell r="C64">
            <v>1306</v>
          </cell>
          <cell r="D64">
            <v>0</v>
          </cell>
        </row>
        <row r="65">
          <cell r="C65">
            <v>1307</v>
          </cell>
          <cell r="D65">
            <v>0</v>
          </cell>
        </row>
        <row r="66">
          <cell r="C66">
            <v>1308</v>
          </cell>
          <cell r="D66">
            <v>0</v>
          </cell>
        </row>
        <row r="67">
          <cell r="C67">
            <v>1309</v>
          </cell>
          <cell r="D67">
            <v>0</v>
          </cell>
        </row>
        <row r="68">
          <cell r="C68">
            <v>1310</v>
          </cell>
          <cell r="D68">
            <v>0</v>
          </cell>
        </row>
        <row r="69">
          <cell r="C69">
            <v>1311</v>
          </cell>
          <cell r="D69">
            <v>0</v>
          </cell>
        </row>
        <row r="70">
          <cell r="C70">
            <v>1312</v>
          </cell>
          <cell r="D70">
            <v>0</v>
          </cell>
        </row>
        <row r="71">
          <cell r="C71">
            <v>1313</v>
          </cell>
          <cell r="D71">
            <v>0</v>
          </cell>
        </row>
        <row r="72">
          <cell r="C72">
            <v>1314</v>
          </cell>
          <cell r="D72">
            <v>0</v>
          </cell>
        </row>
        <row r="73">
          <cell r="C73">
            <v>1315</v>
          </cell>
          <cell r="D73">
            <v>0</v>
          </cell>
        </row>
        <row r="74">
          <cell r="C74">
            <v>1316</v>
          </cell>
          <cell r="D74">
            <v>0</v>
          </cell>
        </row>
        <row r="75">
          <cell r="C75">
            <v>1317</v>
          </cell>
          <cell r="D75">
            <v>0</v>
          </cell>
        </row>
        <row r="76">
          <cell r="C76">
            <v>1318</v>
          </cell>
          <cell r="D76">
            <v>0</v>
          </cell>
        </row>
        <row r="77">
          <cell r="C77">
            <v>1319</v>
          </cell>
          <cell r="D77">
            <v>0</v>
          </cell>
        </row>
        <row r="78">
          <cell r="C78">
            <v>1320</v>
          </cell>
          <cell r="D78">
            <v>0</v>
          </cell>
        </row>
        <row r="79">
          <cell r="C79">
            <v>1321</v>
          </cell>
          <cell r="D79">
            <v>0</v>
          </cell>
        </row>
        <row r="80">
          <cell r="C80">
            <v>1322</v>
          </cell>
          <cell r="D80">
            <v>0</v>
          </cell>
        </row>
        <row r="81">
          <cell r="C81">
            <v>1323</v>
          </cell>
          <cell r="D81">
            <v>0</v>
          </cell>
        </row>
        <row r="82">
          <cell r="C82">
            <v>1324</v>
          </cell>
          <cell r="D82">
            <v>0</v>
          </cell>
        </row>
        <row r="83">
          <cell r="C83">
            <v>1325</v>
          </cell>
          <cell r="D83">
            <v>0</v>
          </cell>
        </row>
        <row r="84">
          <cell r="C84">
            <v>1326</v>
          </cell>
          <cell r="D84">
            <v>0</v>
          </cell>
        </row>
        <row r="85">
          <cell r="C85">
            <v>1327</v>
          </cell>
          <cell r="D85">
            <v>0</v>
          </cell>
        </row>
        <row r="86">
          <cell r="C86">
            <v>1328</v>
          </cell>
          <cell r="D86">
            <v>0</v>
          </cell>
        </row>
        <row r="87">
          <cell r="C87">
            <v>1329</v>
          </cell>
          <cell r="D87">
            <v>0</v>
          </cell>
        </row>
        <row r="88">
          <cell r="C88">
            <v>1330</v>
          </cell>
          <cell r="D88">
            <v>0</v>
          </cell>
        </row>
        <row r="89">
          <cell r="C89">
            <v>1331</v>
          </cell>
          <cell r="D89">
            <v>0</v>
          </cell>
        </row>
        <row r="90">
          <cell r="C90">
            <v>1332</v>
          </cell>
          <cell r="D90">
            <v>0</v>
          </cell>
        </row>
        <row r="91">
          <cell r="C91">
            <v>1333</v>
          </cell>
          <cell r="D91">
            <v>0</v>
          </cell>
        </row>
        <row r="92">
          <cell r="C92">
            <v>1334</v>
          </cell>
          <cell r="D92">
            <v>0</v>
          </cell>
        </row>
        <row r="93">
          <cell r="C93">
            <v>1335</v>
          </cell>
          <cell r="D93">
            <v>0</v>
          </cell>
        </row>
        <row r="94">
          <cell r="C94">
            <v>1336</v>
          </cell>
          <cell r="D94">
            <v>0</v>
          </cell>
        </row>
        <row r="95">
          <cell r="C95">
            <v>1337</v>
          </cell>
          <cell r="D95">
            <v>0</v>
          </cell>
        </row>
        <row r="96">
          <cell r="C96">
            <v>1338</v>
          </cell>
          <cell r="D96">
            <v>0</v>
          </cell>
        </row>
        <row r="97">
          <cell r="C97">
            <v>1339</v>
          </cell>
          <cell r="D97">
            <v>0</v>
          </cell>
        </row>
        <row r="98">
          <cell r="C98">
            <v>1340</v>
          </cell>
          <cell r="D98">
            <v>0</v>
          </cell>
        </row>
        <row r="99">
          <cell r="C99">
            <v>1341</v>
          </cell>
          <cell r="D99">
            <v>0</v>
          </cell>
        </row>
        <row r="100">
          <cell r="C100">
            <v>1342</v>
          </cell>
          <cell r="D100">
            <v>0</v>
          </cell>
        </row>
        <row r="101">
          <cell r="C101">
            <v>1343</v>
          </cell>
          <cell r="D101">
            <v>0</v>
          </cell>
        </row>
        <row r="102">
          <cell r="C102">
            <v>1344</v>
          </cell>
          <cell r="D102">
            <v>0</v>
          </cell>
        </row>
        <row r="103">
          <cell r="C103">
            <v>1345</v>
          </cell>
          <cell r="D103">
            <v>0</v>
          </cell>
        </row>
        <row r="104">
          <cell r="C104">
            <v>1346</v>
          </cell>
          <cell r="D104">
            <v>0</v>
          </cell>
        </row>
        <row r="105">
          <cell r="C105">
            <v>1347</v>
          </cell>
          <cell r="D105">
            <v>0</v>
          </cell>
        </row>
        <row r="106">
          <cell r="C106">
            <v>1348</v>
          </cell>
          <cell r="D106">
            <v>0</v>
          </cell>
        </row>
        <row r="107">
          <cell r="C107">
            <v>1349</v>
          </cell>
          <cell r="D107">
            <v>0</v>
          </cell>
        </row>
        <row r="108">
          <cell r="C108">
            <v>1350</v>
          </cell>
          <cell r="D108">
            <v>0</v>
          </cell>
        </row>
        <row r="109">
          <cell r="C109">
            <v>1351</v>
          </cell>
          <cell r="D109">
            <v>0</v>
          </cell>
        </row>
        <row r="110">
          <cell r="C110">
            <v>1352</v>
          </cell>
          <cell r="D110">
            <v>0</v>
          </cell>
        </row>
        <row r="111">
          <cell r="C111">
            <v>1353</v>
          </cell>
          <cell r="D111">
            <v>0</v>
          </cell>
        </row>
        <row r="112">
          <cell r="C112">
            <v>1354</v>
          </cell>
          <cell r="D112">
            <v>0</v>
          </cell>
        </row>
        <row r="113">
          <cell r="C113">
            <v>1355</v>
          </cell>
          <cell r="D113">
            <v>0</v>
          </cell>
        </row>
        <row r="114">
          <cell r="C114">
            <v>1356</v>
          </cell>
          <cell r="D114">
            <v>0</v>
          </cell>
        </row>
        <row r="115">
          <cell r="C115">
            <v>1357</v>
          </cell>
          <cell r="D115">
            <v>0</v>
          </cell>
        </row>
        <row r="116">
          <cell r="C116">
            <v>1358</v>
          </cell>
          <cell r="D116">
            <v>0</v>
          </cell>
        </row>
        <row r="117">
          <cell r="C117">
            <v>1359</v>
          </cell>
          <cell r="D117">
            <v>0</v>
          </cell>
        </row>
        <row r="118">
          <cell r="C118">
            <v>1360</v>
          </cell>
          <cell r="D118">
            <v>0</v>
          </cell>
        </row>
        <row r="119">
          <cell r="C119">
            <v>1361</v>
          </cell>
          <cell r="D119">
            <v>0</v>
          </cell>
        </row>
        <row r="120">
          <cell r="C120">
            <v>1362</v>
          </cell>
          <cell r="D120">
            <v>0</v>
          </cell>
        </row>
        <row r="121">
          <cell r="C121">
            <v>1363</v>
          </cell>
          <cell r="D121">
            <v>0</v>
          </cell>
        </row>
        <row r="122">
          <cell r="C122">
            <v>1364</v>
          </cell>
          <cell r="D122">
            <v>0</v>
          </cell>
        </row>
        <row r="123">
          <cell r="C123">
            <v>1365</v>
          </cell>
          <cell r="D123">
            <v>0</v>
          </cell>
        </row>
        <row r="124">
          <cell r="C124">
            <v>1366</v>
          </cell>
          <cell r="D124">
            <v>0</v>
          </cell>
        </row>
        <row r="125">
          <cell r="C125">
            <v>1367</v>
          </cell>
          <cell r="D125">
            <v>0</v>
          </cell>
        </row>
        <row r="126">
          <cell r="C126">
            <v>1368</v>
          </cell>
          <cell r="D126">
            <v>0</v>
          </cell>
        </row>
        <row r="127">
          <cell r="C127">
            <v>1369</v>
          </cell>
          <cell r="D127">
            <v>0</v>
          </cell>
        </row>
        <row r="128">
          <cell r="C128">
            <v>1370</v>
          </cell>
          <cell r="D128">
            <v>0</v>
          </cell>
        </row>
        <row r="129">
          <cell r="C129">
            <v>1371</v>
          </cell>
          <cell r="D129">
            <v>0</v>
          </cell>
        </row>
        <row r="130">
          <cell r="C130">
            <v>1372</v>
          </cell>
          <cell r="D130">
            <v>0</v>
          </cell>
        </row>
        <row r="131">
          <cell r="C131">
            <v>1373</v>
          </cell>
          <cell r="D131">
            <v>0</v>
          </cell>
        </row>
        <row r="132">
          <cell r="C132">
            <v>1374</v>
          </cell>
          <cell r="D132">
            <v>0</v>
          </cell>
        </row>
        <row r="133">
          <cell r="C133">
            <v>1375</v>
          </cell>
          <cell r="D133">
            <v>0</v>
          </cell>
        </row>
        <row r="134">
          <cell r="C134">
            <v>1376</v>
          </cell>
          <cell r="D134">
            <v>0</v>
          </cell>
        </row>
        <row r="135">
          <cell r="C135">
            <v>1377</v>
          </cell>
          <cell r="D135">
            <v>0</v>
          </cell>
        </row>
        <row r="136">
          <cell r="C136">
            <v>1378</v>
          </cell>
          <cell r="D136">
            <v>0</v>
          </cell>
        </row>
        <row r="137">
          <cell r="C137">
            <v>1379</v>
          </cell>
          <cell r="D137">
            <v>0</v>
          </cell>
        </row>
        <row r="138">
          <cell r="C138">
            <v>1380</v>
          </cell>
          <cell r="D138">
            <v>0</v>
          </cell>
        </row>
        <row r="139">
          <cell r="C139">
            <v>1381</v>
          </cell>
          <cell r="D139">
            <v>0</v>
          </cell>
        </row>
        <row r="140">
          <cell r="C140">
            <v>1382</v>
          </cell>
          <cell r="D140">
            <v>0</v>
          </cell>
        </row>
        <row r="141">
          <cell r="C141">
            <v>1383</v>
          </cell>
          <cell r="D141">
            <v>0</v>
          </cell>
        </row>
        <row r="142">
          <cell r="C142">
            <v>1384</v>
          </cell>
          <cell r="D142">
            <v>0</v>
          </cell>
        </row>
        <row r="143">
          <cell r="C143">
            <v>1385</v>
          </cell>
          <cell r="D143">
            <v>0</v>
          </cell>
        </row>
        <row r="144">
          <cell r="C144">
            <v>1386</v>
          </cell>
          <cell r="D144">
            <v>0</v>
          </cell>
        </row>
        <row r="145">
          <cell r="C145">
            <v>1387</v>
          </cell>
          <cell r="D145">
            <v>0</v>
          </cell>
        </row>
        <row r="146">
          <cell r="C146">
            <v>1388</v>
          </cell>
          <cell r="D146">
            <v>0</v>
          </cell>
        </row>
        <row r="147">
          <cell r="C147">
            <v>1389</v>
          </cell>
          <cell r="D147">
            <v>0</v>
          </cell>
        </row>
        <row r="148">
          <cell r="C148">
            <v>1390</v>
          </cell>
          <cell r="D148">
            <v>0</v>
          </cell>
        </row>
        <row r="149">
          <cell r="C149">
            <v>1391</v>
          </cell>
          <cell r="D149">
            <v>0</v>
          </cell>
        </row>
        <row r="150">
          <cell r="C150">
            <v>1392</v>
          </cell>
          <cell r="D150">
            <v>0</v>
          </cell>
        </row>
        <row r="151">
          <cell r="C151">
            <v>1393</v>
          </cell>
          <cell r="D151">
            <v>0</v>
          </cell>
        </row>
        <row r="152">
          <cell r="C152">
            <v>1394</v>
          </cell>
          <cell r="D152">
            <v>0</v>
          </cell>
        </row>
        <row r="153">
          <cell r="C153">
            <v>1395</v>
          </cell>
          <cell r="D153">
            <v>0</v>
          </cell>
        </row>
        <row r="154">
          <cell r="C154">
            <v>1396</v>
          </cell>
          <cell r="D154">
            <v>0</v>
          </cell>
        </row>
        <row r="155">
          <cell r="C155">
            <v>1397</v>
          </cell>
          <cell r="D155">
            <v>0</v>
          </cell>
        </row>
        <row r="156">
          <cell r="C156">
            <v>1398</v>
          </cell>
          <cell r="D156">
            <v>0</v>
          </cell>
        </row>
        <row r="157">
          <cell r="C157">
            <v>1399</v>
          </cell>
          <cell r="D157">
            <v>0</v>
          </cell>
        </row>
        <row r="158">
          <cell r="C158">
            <v>1400</v>
          </cell>
          <cell r="D158">
            <v>0</v>
          </cell>
        </row>
        <row r="159">
          <cell r="C159">
            <v>1401</v>
          </cell>
          <cell r="D159">
            <v>0</v>
          </cell>
        </row>
        <row r="160">
          <cell r="C160">
            <v>1402</v>
          </cell>
          <cell r="D160">
            <v>0</v>
          </cell>
        </row>
        <row r="161">
          <cell r="C161">
            <v>1403</v>
          </cell>
          <cell r="D161">
            <v>0</v>
          </cell>
        </row>
        <row r="162">
          <cell r="C162">
            <v>1404</v>
          </cell>
          <cell r="D162">
            <v>0</v>
          </cell>
        </row>
        <row r="163">
          <cell r="C163">
            <v>1405</v>
          </cell>
          <cell r="D163">
            <v>0</v>
          </cell>
        </row>
        <row r="164">
          <cell r="C164">
            <v>1406</v>
          </cell>
          <cell r="D164">
            <v>0</v>
          </cell>
        </row>
        <row r="165">
          <cell r="C165">
            <v>1407</v>
          </cell>
          <cell r="D165">
            <v>0</v>
          </cell>
        </row>
        <row r="166">
          <cell r="C166">
            <v>1408</v>
          </cell>
          <cell r="D166">
            <v>0</v>
          </cell>
        </row>
        <row r="167">
          <cell r="C167">
            <v>1409</v>
          </cell>
          <cell r="D167">
            <v>0</v>
          </cell>
        </row>
        <row r="168">
          <cell r="C168">
            <v>1410</v>
          </cell>
          <cell r="D168">
            <v>0</v>
          </cell>
        </row>
        <row r="169">
          <cell r="C169">
            <v>1411</v>
          </cell>
          <cell r="D169">
            <v>0</v>
          </cell>
        </row>
        <row r="170">
          <cell r="C170">
            <v>1412</v>
          </cell>
          <cell r="D170">
            <v>0</v>
          </cell>
        </row>
        <row r="171">
          <cell r="C171">
            <v>1413</v>
          </cell>
          <cell r="D171">
            <v>0</v>
          </cell>
        </row>
        <row r="172">
          <cell r="C172">
            <v>1414</v>
          </cell>
          <cell r="D172">
            <v>0</v>
          </cell>
        </row>
        <row r="173">
          <cell r="C173">
            <v>1415</v>
          </cell>
          <cell r="D173">
            <v>0</v>
          </cell>
        </row>
        <row r="174">
          <cell r="C174">
            <v>1416</v>
          </cell>
          <cell r="D174">
            <v>0</v>
          </cell>
        </row>
        <row r="175">
          <cell r="C175">
            <v>1417</v>
          </cell>
          <cell r="D175">
            <v>0</v>
          </cell>
        </row>
        <row r="176">
          <cell r="C176">
            <v>1418</v>
          </cell>
          <cell r="D176">
            <v>0</v>
          </cell>
        </row>
        <row r="177">
          <cell r="C177">
            <v>1419</v>
          </cell>
          <cell r="D177">
            <v>0</v>
          </cell>
        </row>
        <row r="178">
          <cell r="C178">
            <v>1420</v>
          </cell>
          <cell r="D178">
            <v>0</v>
          </cell>
        </row>
        <row r="179">
          <cell r="C179">
            <v>1421</v>
          </cell>
          <cell r="D179">
            <v>0</v>
          </cell>
        </row>
        <row r="180">
          <cell r="C180">
            <v>1422</v>
          </cell>
          <cell r="D180">
            <v>0</v>
          </cell>
        </row>
        <row r="181">
          <cell r="C181">
            <v>1423</v>
          </cell>
          <cell r="D181">
            <v>0</v>
          </cell>
        </row>
        <row r="182">
          <cell r="C182">
            <v>1424</v>
          </cell>
          <cell r="D182">
            <v>0</v>
          </cell>
        </row>
        <row r="183">
          <cell r="C183">
            <v>1425</v>
          </cell>
          <cell r="D183">
            <v>0</v>
          </cell>
        </row>
        <row r="184">
          <cell r="C184">
            <v>1426</v>
          </cell>
          <cell r="D184">
            <v>0</v>
          </cell>
        </row>
        <row r="185">
          <cell r="C185">
            <v>1427</v>
          </cell>
          <cell r="D185">
            <v>0</v>
          </cell>
        </row>
        <row r="186">
          <cell r="C186">
            <v>1428</v>
          </cell>
          <cell r="D186">
            <v>0</v>
          </cell>
        </row>
        <row r="187">
          <cell r="C187">
            <v>1429</v>
          </cell>
          <cell r="D187">
            <v>0</v>
          </cell>
        </row>
        <row r="188">
          <cell r="C188">
            <v>1430</v>
          </cell>
          <cell r="D188">
            <v>0</v>
          </cell>
        </row>
        <row r="189">
          <cell r="C189">
            <v>1431</v>
          </cell>
          <cell r="D189">
            <v>0</v>
          </cell>
        </row>
        <row r="190">
          <cell r="C190">
            <v>1432</v>
          </cell>
          <cell r="D190">
            <v>0</v>
          </cell>
        </row>
        <row r="191">
          <cell r="C191">
            <v>1433</v>
          </cell>
          <cell r="D191">
            <v>0</v>
          </cell>
        </row>
        <row r="192">
          <cell r="C192">
            <v>1434</v>
          </cell>
          <cell r="D192">
            <v>0</v>
          </cell>
        </row>
        <row r="193">
          <cell r="C193">
            <v>1435</v>
          </cell>
          <cell r="D193">
            <v>0</v>
          </cell>
        </row>
        <row r="194">
          <cell r="C194">
            <v>1436</v>
          </cell>
          <cell r="D194">
            <v>0</v>
          </cell>
        </row>
        <row r="195">
          <cell r="C195">
            <v>1437</v>
          </cell>
          <cell r="D195">
            <v>0</v>
          </cell>
        </row>
        <row r="196">
          <cell r="C196">
            <v>1438</v>
          </cell>
          <cell r="D196">
            <v>0</v>
          </cell>
        </row>
        <row r="197">
          <cell r="C197">
            <v>1439</v>
          </cell>
          <cell r="D197">
            <v>0</v>
          </cell>
        </row>
        <row r="198">
          <cell r="C198">
            <v>1440</v>
          </cell>
          <cell r="D198">
            <v>0</v>
          </cell>
        </row>
        <row r="199">
          <cell r="C199">
            <v>1441</v>
          </cell>
          <cell r="D199">
            <v>0</v>
          </cell>
        </row>
        <row r="200">
          <cell r="C200">
            <v>1442</v>
          </cell>
          <cell r="D200">
            <v>0</v>
          </cell>
        </row>
        <row r="201">
          <cell r="C201">
            <v>1443</v>
          </cell>
          <cell r="D201">
            <v>0</v>
          </cell>
        </row>
        <row r="202">
          <cell r="C202">
            <v>1444</v>
          </cell>
          <cell r="D202">
            <v>0</v>
          </cell>
        </row>
        <row r="203">
          <cell r="C203">
            <v>1445</v>
          </cell>
          <cell r="D203">
            <v>0</v>
          </cell>
        </row>
        <row r="204">
          <cell r="C204">
            <v>1446</v>
          </cell>
          <cell r="D204">
            <v>0</v>
          </cell>
        </row>
        <row r="205">
          <cell r="C205">
            <v>1447</v>
          </cell>
          <cell r="D205">
            <v>0</v>
          </cell>
        </row>
        <row r="206">
          <cell r="C206">
            <v>1448</v>
          </cell>
          <cell r="D206">
            <v>0</v>
          </cell>
        </row>
        <row r="207">
          <cell r="C207">
            <v>1449</v>
          </cell>
          <cell r="D207">
            <v>0</v>
          </cell>
        </row>
        <row r="208">
          <cell r="C208">
            <v>1450</v>
          </cell>
          <cell r="D208">
            <v>0</v>
          </cell>
        </row>
        <row r="209">
          <cell r="C209">
            <v>1451</v>
          </cell>
          <cell r="D209">
            <v>0</v>
          </cell>
        </row>
        <row r="210">
          <cell r="C210">
            <v>1452</v>
          </cell>
          <cell r="D210">
            <v>0</v>
          </cell>
        </row>
        <row r="211">
          <cell r="C211">
            <v>1453</v>
          </cell>
          <cell r="D211">
            <v>0</v>
          </cell>
        </row>
        <row r="212">
          <cell r="C212">
            <v>1454</v>
          </cell>
          <cell r="D212">
            <v>0</v>
          </cell>
        </row>
        <row r="213">
          <cell r="C213">
            <v>1455</v>
          </cell>
          <cell r="D213">
            <v>0</v>
          </cell>
        </row>
        <row r="214">
          <cell r="C214">
            <v>1456</v>
          </cell>
          <cell r="D214">
            <v>0</v>
          </cell>
        </row>
        <row r="215">
          <cell r="C215">
            <v>1457</v>
          </cell>
          <cell r="D215">
            <v>0</v>
          </cell>
        </row>
        <row r="216">
          <cell r="C216">
            <v>1458</v>
          </cell>
          <cell r="D216">
            <v>0</v>
          </cell>
        </row>
        <row r="217">
          <cell r="C217">
            <v>1459</v>
          </cell>
          <cell r="D217">
            <v>0</v>
          </cell>
        </row>
        <row r="218">
          <cell r="C218">
            <v>1460</v>
          </cell>
          <cell r="D218">
            <v>0</v>
          </cell>
        </row>
        <row r="219">
          <cell r="C219">
            <v>1461</v>
          </cell>
          <cell r="D219">
            <v>0</v>
          </cell>
        </row>
        <row r="220">
          <cell r="C220">
            <v>1462</v>
          </cell>
          <cell r="D220">
            <v>0</v>
          </cell>
        </row>
        <row r="221">
          <cell r="C221">
            <v>1463</v>
          </cell>
          <cell r="D221">
            <v>0</v>
          </cell>
        </row>
        <row r="222">
          <cell r="C222">
            <v>1464</v>
          </cell>
          <cell r="D222">
            <v>0</v>
          </cell>
        </row>
        <row r="223">
          <cell r="C223">
            <v>1465</v>
          </cell>
          <cell r="D223">
            <v>0</v>
          </cell>
        </row>
        <row r="224">
          <cell r="C224">
            <v>1466</v>
          </cell>
          <cell r="D224">
            <v>0</v>
          </cell>
        </row>
        <row r="225">
          <cell r="C225">
            <v>1467</v>
          </cell>
          <cell r="D225">
            <v>0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D5" t="str">
            <v>AMIT TINDWANI</v>
          </cell>
        </row>
      </sheetData>
      <sheetData sheetId="7"/>
      <sheetData sheetId="8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J)"/>
      <sheetName val="tb"/>
      <sheetName val="BS Rec Control Sheet"/>
    </sheetNames>
    <sheetDataSet>
      <sheetData sheetId="0" refreshError="1"/>
      <sheetData sheetId="1"/>
      <sheetData sheetId="2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-TARGE"/>
      <sheetName val="HI_TARGE"/>
      <sheetName val="Assume"/>
      <sheetName val="FORM-16"/>
      <sheetName val="entitlements"/>
      <sheetName val="Sheet9"/>
      <sheetName val="Dep 06-07"/>
      <sheetName val="JE 07"/>
      <sheetName val="Reclass BS 07"/>
      <sheetName val="Reclass PL 07"/>
      <sheetName val="Company"/>
      <sheetName val="Inputs"/>
      <sheetName val="Loss 3004"/>
      <sheetName val="F-C-2"/>
      <sheetName val="F-C"/>
      <sheetName val="SBU-DOM9"/>
      <sheetName val="Summary"/>
      <sheetName val="Gamewise P&amp;L-INR"/>
      <sheetName val="Comb PL"/>
      <sheetName val="HBO PL"/>
      <sheetName val="MAR08BAN"/>
      <sheetName val="PRESFMS"/>
      <sheetName val="mancount"/>
      <sheetName val="EAST"/>
      <sheetName val="27(b)iv Delay"/>
      <sheetName val="FA Additions"/>
      <sheetName val="Detalhe"/>
      <sheetName val="Capex - Hry"/>
      <sheetName val="CPP2"/>
      <sheetName val="Schdl 1 to8"/>
      <sheetName val="exec summ"/>
      <sheetName val="control"/>
      <sheetName val="Assumption"/>
      <sheetName val="Overview"/>
      <sheetName val="DCF"/>
      <sheetName val="DATA"/>
      <sheetName val="Assmpns"/>
      <sheetName val="Assump. "/>
      <sheetName val="Input"/>
      <sheetName val="Chemicals - REV"/>
      <sheetName val="Valuation"/>
      <sheetName val="b"/>
      <sheetName val="EVA vs FCF Graph"/>
      <sheetName val="Feed1"/>
      <sheetName val="Sell1"/>
      <sheetName val="Factor -local"/>
      <sheetName val="Factor- cables"/>
      <sheetName val="Consolidated"/>
      <sheetName val="SPT Consol"/>
      <sheetName val="NOTES"/>
      <sheetName val="Title page"/>
      <sheetName val="Detail by EE"/>
      <sheetName val="Data Inpu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el_qty"/>
      <sheetName val="Nov_04"/>
      <sheetName val="Dec_04"/>
      <sheetName val="Assumptions"/>
      <sheetName val="dpc cost"/>
      <sheetName val="SUMMERY"/>
    </sheetNames>
    <sheetDataSet>
      <sheetData sheetId="0" refreshError="1">
        <row r="8">
          <cell r="B8">
            <v>195</v>
          </cell>
          <cell r="C8">
            <v>1</v>
          </cell>
        </row>
        <row r="9">
          <cell r="B9">
            <v>195.02500000000001</v>
          </cell>
          <cell r="C9">
            <v>1.05</v>
          </cell>
        </row>
        <row r="10">
          <cell r="B10">
            <v>195.05</v>
          </cell>
          <cell r="C10">
            <v>1.1000000000000001</v>
          </cell>
        </row>
        <row r="11">
          <cell r="B11">
            <v>195.07499999999999</v>
          </cell>
          <cell r="C11">
            <v>1.1499999999999999</v>
          </cell>
        </row>
        <row r="12">
          <cell r="B12">
            <v>195.1</v>
          </cell>
          <cell r="C12">
            <v>1.2</v>
          </cell>
        </row>
        <row r="13">
          <cell r="B13">
            <v>195.125</v>
          </cell>
          <cell r="C13">
            <v>1.25</v>
          </cell>
        </row>
        <row r="14">
          <cell r="B14">
            <v>195.15</v>
          </cell>
          <cell r="C14">
            <v>1.3</v>
          </cell>
        </row>
        <row r="15">
          <cell r="B15">
            <v>195.17500000000001</v>
          </cell>
          <cell r="C15">
            <v>1.35</v>
          </cell>
        </row>
        <row r="16">
          <cell r="B16">
            <v>195.2</v>
          </cell>
          <cell r="C16">
            <v>1.4</v>
          </cell>
        </row>
        <row r="17">
          <cell r="B17">
            <v>195.22499999999999</v>
          </cell>
          <cell r="C17">
            <v>1.45</v>
          </cell>
        </row>
        <row r="18">
          <cell r="B18">
            <v>195.25</v>
          </cell>
          <cell r="C18">
            <v>1.5</v>
          </cell>
        </row>
        <row r="19">
          <cell r="B19">
            <v>195.27500000000001</v>
          </cell>
          <cell r="C19">
            <v>1.55</v>
          </cell>
        </row>
        <row r="20">
          <cell r="B20">
            <v>195.3</v>
          </cell>
          <cell r="C20">
            <v>1.6</v>
          </cell>
        </row>
        <row r="21">
          <cell r="B21">
            <v>195.32499999999999</v>
          </cell>
          <cell r="C21">
            <v>1.65</v>
          </cell>
        </row>
        <row r="22">
          <cell r="B22">
            <v>195.35</v>
          </cell>
          <cell r="C22">
            <v>1.7</v>
          </cell>
        </row>
        <row r="23">
          <cell r="B23">
            <v>195.375</v>
          </cell>
          <cell r="C23">
            <v>1.75</v>
          </cell>
        </row>
        <row r="24">
          <cell r="B24">
            <v>195.4</v>
          </cell>
          <cell r="C24">
            <v>1.8</v>
          </cell>
        </row>
        <row r="25">
          <cell r="B25">
            <v>195.42500000000001</v>
          </cell>
          <cell r="C25">
            <v>1.85</v>
          </cell>
        </row>
        <row r="26">
          <cell r="B26">
            <v>195.45</v>
          </cell>
          <cell r="C26">
            <v>1.9</v>
          </cell>
        </row>
        <row r="27">
          <cell r="B27">
            <v>195.47499999999999</v>
          </cell>
          <cell r="C27">
            <v>1.95</v>
          </cell>
        </row>
        <row r="28">
          <cell r="B28">
            <v>195.5</v>
          </cell>
          <cell r="C28">
            <v>2</v>
          </cell>
        </row>
        <row r="29">
          <cell r="B29">
            <v>195.52500000000001</v>
          </cell>
          <cell r="C29">
            <v>2.0499999999999998</v>
          </cell>
        </row>
        <row r="30">
          <cell r="B30">
            <v>195.55</v>
          </cell>
          <cell r="C30">
            <v>2.1</v>
          </cell>
        </row>
        <row r="31">
          <cell r="B31">
            <v>195.57499999999999</v>
          </cell>
          <cell r="C31">
            <v>2.15</v>
          </cell>
        </row>
        <row r="32">
          <cell r="B32">
            <v>195.6</v>
          </cell>
          <cell r="C32">
            <v>2.2000000000000002</v>
          </cell>
        </row>
        <row r="33">
          <cell r="B33">
            <v>195.625</v>
          </cell>
          <cell r="C33">
            <v>2.25</v>
          </cell>
        </row>
        <row r="34">
          <cell r="B34">
            <v>195.65</v>
          </cell>
          <cell r="C34">
            <v>2.2999999999999998</v>
          </cell>
        </row>
        <row r="35">
          <cell r="B35">
            <v>195.67500000000001</v>
          </cell>
          <cell r="C35">
            <v>2.35</v>
          </cell>
        </row>
        <row r="36">
          <cell r="B36">
            <v>195.7</v>
          </cell>
          <cell r="C36">
            <v>2.4</v>
          </cell>
        </row>
        <row r="37">
          <cell r="B37">
            <v>195.72499999999999</v>
          </cell>
          <cell r="C37">
            <v>2.4500000000000002</v>
          </cell>
        </row>
        <row r="38">
          <cell r="B38">
            <v>195.75</v>
          </cell>
          <cell r="C38">
            <v>2.5</v>
          </cell>
        </row>
        <row r="39">
          <cell r="B39">
            <v>195.77500000000001</v>
          </cell>
          <cell r="C39">
            <v>2.5499999999999998</v>
          </cell>
        </row>
        <row r="40">
          <cell r="B40">
            <v>195.8</v>
          </cell>
          <cell r="C40">
            <v>2.6</v>
          </cell>
        </row>
        <row r="41">
          <cell r="B41">
            <v>195.82499999999999</v>
          </cell>
          <cell r="C41">
            <v>2.65</v>
          </cell>
        </row>
        <row r="42">
          <cell r="B42">
            <v>195.85</v>
          </cell>
          <cell r="C42">
            <v>2.7</v>
          </cell>
        </row>
        <row r="43">
          <cell r="B43">
            <v>195.875</v>
          </cell>
          <cell r="C43">
            <v>2.75</v>
          </cell>
        </row>
        <row r="44">
          <cell r="B44">
            <v>195.9</v>
          </cell>
          <cell r="C44">
            <v>2.8</v>
          </cell>
        </row>
        <row r="45">
          <cell r="B45">
            <v>195.92500000000001</v>
          </cell>
          <cell r="C45">
            <v>2.85</v>
          </cell>
        </row>
        <row r="46">
          <cell r="B46">
            <v>195.95</v>
          </cell>
          <cell r="C46">
            <v>2.9</v>
          </cell>
        </row>
        <row r="47">
          <cell r="B47">
            <v>195.97499999999999</v>
          </cell>
          <cell r="C47">
            <v>2.95</v>
          </cell>
        </row>
        <row r="48">
          <cell r="B48">
            <v>196</v>
          </cell>
          <cell r="C48">
            <v>3</v>
          </cell>
        </row>
        <row r="49">
          <cell r="B49">
            <v>196.02500000000001</v>
          </cell>
          <cell r="C49">
            <v>3.0750000000000002</v>
          </cell>
        </row>
        <row r="50">
          <cell r="B50">
            <v>196.05</v>
          </cell>
          <cell r="C50">
            <v>3.15</v>
          </cell>
        </row>
        <row r="51">
          <cell r="B51">
            <v>196.07499999999999</v>
          </cell>
          <cell r="C51">
            <v>3.2250000000000001</v>
          </cell>
        </row>
        <row r="52">
          <cell r="B52">
            <v>196.1</v>
          </cell>
          <cell r="C52">
            <v>3.3</v>
          </cell>
        </row>
        <row r="53">
          <cell r="B53">
            <v>196.125</v>
          </cell>
          <cell r="C53">
            <v>3.375</v>
          </cell>
        </row>
        <row r="54">
          <cell r="B54">
            <v>196.15</v>
          </cell>
          <cell r="C54">
            <v>3.45</v>
          </cell>
        </row>
        <row r="55">
          <cell r="B55">
            <v>196.17500000000001</v>
          </cell>
          <cell r="C55">
            <v>3.5249999999999999</v>
          </cell>
        </row>
        <row r="56">
          <cell r="B56">
            <v>196.2</v>
          </cell>
          <cell r="C56">
            <v>3.6</v>
          </cell>
        </row>
        <row r="57">
          <cell r="B57">
            <v>196.22499999999999</v>
          </cell>
          <cell r="C57">
            <v>3.6749999999999998</v>
          </cell>
        </row>
        <row r="58">
          <cell r="B58">
            <v>196.25</v>
          </cell>
          <cell r="C58">
            <v>3.75</v>
          </cell>
        </row>
        <row r="59">
          <cell r="B59">
            <v>196.27500000000001</v>
          </cell>
          <cell r="C59">
            <v>3.8250000000000002</v>
          </cell>
        </row>
        <row r="60">
          <cell r="B60">
            <v>196.3</v>
          </cell>
          <cell r="C60">
            <v>3.9</v>
          </cell>
        </row>
        <row r="61">
          <cell r="B61">
            <v>196.32499999999999</v>
          </cell>
          <cell r="C61">
            <v>3.9750000000000001</v>
          </cell>
        </row>
        <row r="62">
          <cell r="B62">
            <v>196.35</v>
          </cell>
          <cell r="C62">
            <v>4.05</v>
          </cell>
        </row>
        <row r="63">
          <cell r="B63">
            <v>196.375</v>
          </cell>
          <cell r="C63">
            <v>4.125</v>
          </cell>
        </row>
        <row r="64">
          <cell r="B64">
            <v>196.4</v>
          </cell>
          <cell r="C64">
            <v>4.2</v>
          </cell>
        </row>
        <row r="65">
          <cell r="B65">
            <v>196.42500000000001</v>
          </cell>
          <cell r="C65">
            <v>4.2750000000000004</v>
          </cell>
        </row>
        <row r="66">
          <cell r="B66">
            <v>196.45</v>
          </cell>
          <cell r="C66">
            <v>4.3499999999999996</v>
          </cell>
        </row>
        <row r="67">
          <cell r="B67">
            <v>196.47499999999999</v>
          </cell>
          <cell r="C67">
            <v>4.4249999999999998</v>
          </cell>
        </row>
        <row r="68">
          <cell r="B68">
            <v>196.5</v>
          </cell>
          <cell r="C68">
            <v>4.5</v>
          </cell>
        </row>
        <row r="69">
          <cell r="B69">
            <v>196.52500000000001</v>
          </cell>
          <cell r="C69">
            <v>4.5750000000000002</v>
          </cell>
        </row>
        <row r="70">
          <cell r="B70">
            <v>196.55</v>
          </cell>
          <cell r="C70">
            <v>4.6500000000000004</v>
          </cell>
        </row>
        <row r="71">
          <cell r="B71">
            <v>196.57499999999999</v>
          </cell>
          <cell r="C71">
            <v>4.7249999999999996</v>
          </cell>
        </row>
        <row r="72">
          <cell r="B72">
            <v>196.6</v>
          </cell>
          <cell r="C72">
            <v>4.8</v>
          </cell>
        </row>
        <row r="73">
          <cell r="B73">
            <v>196.625</v>
          </cell>
          <cell r="C73">
            <v>4.875</v>
          </cell>
        </row>
        <row r="74">
          <cell r="B74">
            <v>196.65</v>
          </cell>
          <cell r="C74">
            <v>4.95</v>
          </cell>
        </row>
        <row r="75">
          <cell r="B75">
            <v>196.67500000000001</v>
          </cell>
          <cell r="C75">
            <v>5.0250000000000004</v>
          </cell>
        </row>
        <row r="76">
          <cell r="B76">
            <v>196.7</v>
          </cell>
          <cell r="C76">
            <v>5.0999999999999996</v>
          </cell>
        </row>
        <row r="77">
          <cell r="B77">
            <v>196.72499999999999</v>
          </cell>
          <cell r="C77">
            <v>5.1749999999999998</v>
          </cell>
        </row>
        <row r="78">
          <cell r="B78">
            <v>196.75</v>
          </cell>
          <cell r="C78">
            <v>5.25</v>
          </cell>
        </row>
        <row r="79">
          <cell r="B79">
            <v>196.77500000000001</v>
          </cell>
          <cell r="C79">
            <v>5.3250000000000002</v>
          </cell>
        </row>
        <row r="80">
          <cell r="B80">
            <v>196.8</v>
          </cell>
          <cell r="C80">
            <v>5.4</v>
          </cell>
        </row>
        <row r="81">
          <cell r="B81">
            <v>196.82499999999999</v>
          </cell>
          <cell r="C81">
            <v>5.4749999999999996</v>
          </cell>
        </row>
        <row r="82">
          <cell r="B82">
            <v>196.85</v>
          </cell>
          <cell r="C82">
            <v>5.55</v>
          </cell>
        </row>
        <row r="83">
          <cell r="B83">
            <v>196.875</v>
          </cell>
          <cell r="C83">
            <v>5.625</v>
          </cell>
        </row>
        <row r="84">
          <cell r="B84">
            <v>196.9</v>
          </cell>
          <cell r="C84">
            <v>5.7</v>
          </cell>
        </row>
        <row r="85">
          <cell r="B85">
            <v>196.92500000000001</v>
          </cell>
          <cell r="C85">
            <v>5.7750000000000004</v>
          </cell>
        </row>
        <row r="86">
          <cell r="B86">
            <v>196.95</v>
          </cell>
          <cell r="C86">
            <v>5.85</v>
          </cell>
        </row>
        <row r="87">
          <cell r="B87">
            <v>196.97499999999999</v>
          </cell>
          <cell r="C87">
            <v>5.9249999999999998</v>
          </cell>
        </row>
        <row r="88">
          <cell r="B88">
            <v>197</v>
          </cell>
          <cell r="C88">
            <v>6</v>
          </cell>
        </row>
        <row r="89">
          <cell r="B89">
            <v>197.02500000000001</v>
          </cell>
          <cell r="C89">
            <v>6.125</v>
          </cell>
        </row>
        <row r="90">
          <cell r="B90">
            <v>197.05</v>
          </cell>
          <cell r="C90">
            <v>6.25</v>
          </cell>
        </row>
        <row r="91">
          <cell r="B91">
            <v>197.07499999999999</v>
          </cell>
          <cell r="C91">
            <v>6.375</v>
          </cell>
        </row>
        <row r="92">
          <cell r="B92">
            <v>197.1</v>
          </cell>
          <cell r="C92">
            <v>6.5</v>
          </cell>
        </row>
        <row r="93">
          <cell r="B93">
            <v>197.125</v>
          </cell>
          <cell r="C93">
            <v>6.625</v>
          </cell>
        </row>
        <row r="94">
          <cell r="B94">
            <v>197.15</v>
          </cell>
          <cell r="C94">
            <v>6.75</v>
          </cell>
        </row>
        <row r="95">
          <cell r="B95">
            <v>197.17500000000001</v>
          </cell>
          <cell r="C95">
            <v>6.875</v>
          </cell>
        </row>
        <row r="96">
          <cell r="B96">
            <v>197.2</v>
          </cell>
          <cell r="C96">
            <v>7</v>
          </cell>
        </row>
        <row r="97">
          <cell r="B97">
            <v>197.22499999999999</v>
          </cell>
          <cell r="C97">
            <v>7.125</v>
          </cell>
        </row>
        <row r="98">
          <cell r="B98">
            <v>197.25</v>
          </cell>
          <cell r="C98">
            <v>7.25</v>
          </cell>
        </row>
        <row r="99">
          <cell r="B99">
            <v>197.27500000000001</v>
          </cell>
          <cell r="C99">
            <v>7.375</v>
          </cell>
        </row>
        <row r="100">
          <cell r="B100">
            <v>197.3</v>
          </cell>
          <cell r="C100">
            <v>7.5</v>
          </cell>
        </row>
        <row r="101">
          <cell r="B101">
            <v>197.32499999999999</v>
          </cell>
          <cell r="C101">
            <v>7.625</v>
          </cell>
        </row>
        <row r="102">
          <cell r="B102">
            <v>197.35</v>
          </cell>
          <cell r="C102">
            <v>7.75</v>
          </cell>
        </row>
        <row r="103">
          <cell r="B103">
            <v>197.375</v>
          </cell>
          <cell r="C103">
            <v>7.875</v>
          </cell>
        </row>
        <row r="104">
          <cell r="B104">
            <v>197.4</v>
          </cell>
          <cell r="C104">
            <v>8</v>
          </cell>
        </row>
        <row r="105">
          <cell r="B105">
            <v>197.42500000000001</v>
          </cell>
          <cell r="C105">
            <v>8.125</v>
          </cell>
        </row>
        <row r="106">
          <cell r="B106">
            <v>197.45</v>
          </cell>
          <cell r="C106">
            <v>8.25</v>
          </cell>
        </row>
        <row r="107">
          <cell r="B107">
            <v>197.47499999999999</v>
          </cell>
          <cell r="C107">
            <v>8.375</v>
          </cell>
        </row>
        <row r="108">
          <cell r="B108">
            <v>197.5</v>
          </cell>
          <cell r="C108">
            <v>8.5</v>
          </cell>
        </row>
        <row r="109">
          <cell r="B109">
            <v>197.52500000000001</v>
          </cell>
          <cell r="C109">
            <v>8.625</v>
          </cell>
        </row>
        <row r="110">
          <cell r="B110">
            <v>197.55000000000049</v>
          </cell>
          <cell r="C110">
            <v>8.75</v>
          </cell>
        </row>
        <row r="111">
          <cell r="B111">
            <v>197.5750000000005</v>
          </cell>
          <cell r="C111">
            <v>8.875</v>
          </cell>
        </row>
        <row r="112">
          <cell r="B112">
            <v>197.6</v>
          </cell>
          <cell r="C112">
            <v>9</v>
          </cell>
        </row>
        <row r="113">
          <cell r="B113">
            <v>197.625</v>
          </cell>
          <cell r="C113">
            <v>9.125</v>
          </cell>
        </row>
        <row r="114">
          <cell r="B114">
            <v>197.65</v>
          </cell>
          <cell r="C114">
            <v>9.25</v>
          </cell>
        </row>
        <row r="115">
          <cell r="B115">
            <v>197.67500000000001</v>
          </cell>
          <cell r="C115">
            <v>9.375</v>
          </cell>
        </row>
        <row r="116">
          <cell r="B116">
            <v>197.7</v>
          </cell>
          <cell r="C116">
            <v>9.5</v>
          </cell>
        </row>
        <row r="117">
          <cell r="B117">
            <v>197.72499999999999</v>
          </cell>
          <cell r="C117">
            <v>9.625</v>
          </cell>
        </row>
        <row r="118">
          <cell r="B118">
            <v>197.75</v>
          </cell>
          <cell r="C118">
            <v>9.75</v>
          </cell>
        </row>
        <row r="119">
          <cell r="B119">
            <v>197.77500000000001</v>
          </cell>
          <cell r="C119">
            <v>9.875</v>
          </cell>
        </row>
        <row r="120">
          <cell r="B120">
            <v>197.8</v>
          </cell>
          <cell r="C120">
            <v>10</v>
          </cell>
        </row>
        <row r="121">
          <cell r="B121">
            <v>197.82499999999999</v>
          </cell>
          <cell r="C121">
            <v>10.125</v>
          </cell>
        </row>
        <row r="122">
          <cell r="B122">
            <v>197.85</v>
          </cell>
          <cell r="C122">
            <v>10.25</v>
          </cell>
        </row>
        <row r="123">
          <cell r="B123">
            <v>197.875</v>
          </cell>
          <cell r="C123">
            <v>10.375</v>
          </cell>
        </row>
        <row r="124">
          <cell r="B124">
            <v>197.9</v>
          </cell>
          <cell r="C124">
            <v>10.5</v>
          </cell>
        </row>
        <row r="125">
          <cell r="B125">
            <v>197.92500000000001</v>
          </cell>
          <cell r="C125">
            <v>10.625</v>
          </cell>
        </row>
        <row r="126">
          <cell r="B126">
            <v>197.95</v>
          </cell>
          <cell r="C126">
            <v>10.75</v>
          </cell>
        </row>
        <row r="127">
          <cell r="B127">
            <v>197.97499999999999</v>
          </cell>
          <cell r="C127">
            <v>10.875</v>
          </cell>
        </row>
        <row r="128">
          <cell r="B128">
            <v>198</v>
          </cell>
          <cell r="C128">
            <v>11</v>
          </cell>
        </row>
        <row r="129">
          <cell r="B129">
            <v>198.02500000000001</v>
          </cell>
          <cell r="C129">
            <v>11.15</v>
          </cell>
        </row>
        <row r="130">
          <cell r="B130">
            <v>198.05</v>
          </cell>
          <cell r="C130">
            <v>11.3</v>
          </cell>
        </row>
        <row r="131">
          <cell r="B131">
            <v>198.07499999999999</v>
          </cell>
          <cell r="C131">
            <v>11.45</v>
          </cell>
        </row>
        <row r="132">
          <cell r="B132">
            <v>198.1</v>
          </cell>
          <cell r="C132">
            <v>11.6</v>
          </cell>
        </row>
        <row r="133">
          <cell r="B133">
            <v>198.125</v>
          </cell>
          <cell r="C133">
            <v>11.75</v>
          </cell>
        </row>
        <row r="134">
          <cell r="B134">
            <v>198.15</v>
          </cell>
          <cell r="C134">
            <v>11.9</v>
          </cell>
        </row>
        <row r="135">
          <cell r="B135">
            <v>198.17500000000001</v>
          </cell>
          <cell r="C135">
            <v>12.05</v>
          </cell>
        </row>
        <row r="136">
          <cell r="B136">
            <v>198.2</v>
          </cell>
          <cell r="C136">
            <v>12.2</v>
          </cell>
        </row>
        <row r="137">
          <cell r="B137">
            <v>198.22499999999999</v>
          </cell>
          <cell r="C137">
            <v>12.35</v>
          </cell>
        </row>
        <row r="138">
          <cell r="B138">
            <v>198.25</v>
          </cell>
          <cell r="C138">
            <v>12.5</v>
          </cell>
        </row>
        <row r="139">
          <cell r="B139">
            <v>198.27500000000001</v>
          </cell>
          <cell r="C139">
            <v>12.65</v>
          </cell>
        </row>
        <row r="140">
          <cell r="B140">
            <v>198.3</v>
          </cell>
          <cell r="C140">
            <v>12.8</v>
          </cell>
        </row>
        <row r="141">
          <cell r="B141">
            <v>198.32499999999999</v>
          </cell>
          <cell r="C141">
            <v>12.95</v>
          </cell>
        </row>
        <row r="142">
          <cell r="B142">
            <v>198.35</v>
          </cell>
          <cell r="C142">
            <v>13.1</v>
          </cell>
        </row>
        <row r="143">
          <cell r="B143">
            <v>198.375</v>
          </cell>
          <cell r="C143">
            <v>13.25</v>
          </cell>
        </row>
        <row r="144">
          <cell r="B144">
            <v>198.4</v>
          </cell>
          <cell r="C144">
            <v>13.4</v>
          </cell>
        </row>
        <row r="145">
          <cell r="B145">
            <v>198.42500000000001</v>
          </cell>
          <cell r="C145">
            <v>13.55</v>
          </cell>
        </row>
        <row r="146">
          <cell r="B146">
            <v>198.45</v>
          </cell>
          <cell r="C146">
            <v>13.7</v>
          </cell>
        </row>
        <row r="147">
          <cell r="B147">
            <v>198.47499999999999</v>
          </cell>
          <cell r="C147">
            <v>13.85</v>
          </cell>
        </row>
        <row r="148">
          <cell r="B148">
            <v>198.5</v>
          </cell>
          <cell r="C148">
            <v>14</v>
          </cell>
        </row>
        <row r="149">
          <cell r="B149">
            <v>198.52500000000001</v>
          </cell>
          <cell r="C149">
            <v>14.2</v>
          </cell>
        </row>
        <row r="150">
          <cell r="B150">
            <v>198.55</v>
          </cell>
          <cell r="C150">
            <v>14.4</v>
          </cell>
        </row>
        <row r="151">
          <cell r="B151">
            <v>198.57499999999999</v>
          </cell>
          <cell r="C151">
            <v>14.6</v>
          </cell>
        </row>
        <row r="152">
          <cell r="B152">
            <v>198.6</v>
          </cell>
          <cell r="C152">
            <v>14.8</v>
          </cell>
        </row>
        <row r="153">
          <cell r="B153">
            <v>198.625</v>
          </cell>
          <cell r="C153">
            <v>15</v>
          </cell>
        </row>
        <row r="154">
          <cell r="B154">
            <v>198.65</v>
          </cell>
          <cell r="C154">
            <v>15.2</v>
          </cell>
        </row>
        <row r="155">
          <cell r="B155">
            <v>198.67500000000001</v>
          </cell>
          <cell r="C155">
            <v>15.4</v>
          </cell>
        </row>
        <row r="156">
          <cell r="B156">
            <v>198.7</v>
          </cell>
          <cell r="C156">
            <v>15.6</v>
          </cell>
        </row>
        <row r="157">
          <cell r="B157">
            <v>198.72499999999999</v>
          </cell>
          <cell r="C157">
            <v>15.8</v>
          </cell>
        </row>
        <row r="158">
          <cell r="B158">
            <v>198.75</v>
          </cell>
          <cell r="C158">
            <v>16</v>
          </cell>
        </row>
        <row r="159">
          <cell r="B159">
            <v>198.77500000000001</v>
          </cell>
          <cell r="C159">
            <v>16.2</v>
          </cell>
        </row>
        <row r="160">
          <cell r="B160">
            <v>198.8</v>
          </cell>
          <cell r="C160">
            <v>16.399999999999999</v>
          </cell>
        </row>
        <row r="161">
          <cell r="B161">
            <v>198.82499999999999</v>
          </cell>
          <cell r="C161">
            <v>16.600000000000001</v>
          </cell>
        </row>
        <row r="162">
          <cell r="B162">
            <v>198.85</v>
          </cell>
          <cell r="C162">
            <v>16.8</v>
          </cell>
        </row>
        <row r="163">
          <cell r="B163">
            <v>198.875</v>
          </cell>
          <cell r="C163">
            <v>17</v>
          </cell>
        </row>
        <row r="164">
          <cell r="B164">
            <v>198.9</v>
          </cell>
          <cell r="C164">
            <v>17.2</v>
          </cell>
        </row>
        <row r="165">
          <cell r="B165">
            <v>198.92500000000001</v>
          </cell>
          <cell r="C165">
            <v>17.399999999999999</v>
          </cell>
        </row>
        <row r="166">
          <cell r="B166">
            <v>198.95</v>
          </cell>
          <cell r="C166">
            <v>17.600000000000001</v>
          </cell>
        </row>
        <row r="167">
          <cell r="B167">
            <v>198.97499999999999</v>
          </cell>
          <cell r="C167">
            <v>17.8</v>
          </cell>
        </row>
        <row r="168">
          <cell r="B168">
            <v>199</v>
          </cell>
          <cell r="C168">
            <v>18</v>
          </cell>
        </row>
        <row r="169">
          <cell r="B169">
            <v>199.02500000000001</v>
          </cell>
          <cell r="C169">
            <v>18.2</v>
          </cell>
        </row>
        <row r="170">
          <cell r="B170">
            <v>199.05</v>
          </cell>
          <cell r="C170">
            <v>18.399999999999999</v>
          </cell>
        </row>
        <row r="171">
          <cell r="B171">
            <v>199.07499999999999</v>
          </cell>
          <cell r="C171">
            <v>18.600000000000001</v>
          </cell>
        </row>
        <row r="172">
          <cell r="B172">
            <v>199.1</v>
          </cell>
          <cell r="C172">
            <v>18.8</v>
          </cell>
        </row>
        <row r="173">
          <cell r="B173">
            <v>199.125</v>
          </cell>
          <cell r="C173">
            <v>19</v>
          </cell>
        </row>
        <row r="174">
          <cell r="B174">
            <v>199.15</v>
          </cell>
          <cell r="C174">
            <v>19.2</v>
          </cell>
        </row>
        <row r="175">
          <cell r="B175">
            <v>199.17500000000001</v>
          </cell>
          <cell r="C175">
            <v>19.399999999999999</v>
          </cell>
        </row>
        <row r="176">
          <cell r="B176">
            <v>199.2</v>
          </cell>
          <cell r="C176">
            <v>19.600000000000001</v>
          </cell>
        </row>
        <row r="177">
          <cell r="B177">
            <v>199.22499999999999</v>
          </cell>
          <cell r="C177">
            <v>19.8</v>
          </cell>
        </row>
        <row r="178">
          <cell r="B178">
            <v>199.25</v>
          </cell>
          <cell r="C178">
            <v>20</v>
          </cell>
        </row>
        <row r="179">
          <cell r="B179">
            <v>199.27500000000001</v>
          </cell>
          <cell r="C179">
            <v>20.2</v>
          </cell>
        </row>
        <row r="180">
          <cell r="B180">
            <v>199.3</v>
          </cell>
          <cell r="C180">
            <v>20.399999999999999</v>
          </cell>
        </row>
        <row r="181">
          <cell r="B181">
            <v>199.32499999999999</v>
          </cell>
          <cell r="C181">
            <v>20.6</v>
          </cell>
        </row>
        <row r="182">
          <cell r="B182">
            <v>199.35</v>
          </cell>
          <cell r="C182">
            <v>20.8</v>
          </cell>
        </row>
        <row r="183">
          <cell r="B183">
            <v>199.375</v>
          </cell>
          <cell r="C183">
            <v>21</v>
          </cell>
        </row>
        <row r="184">
          <cell r="B184">
            <v>199.4</v>
          </cell>
          <cell r="C184">
            <v>21.2</v>
          </cell>
        </row>
        <row r="185">
          <cell r="B185">
            <v>199.42500000000001</v>
          </cell>
          <cell r="C185">
            <v>21.4</v>
          </cell>
        </row>
        <row r="186">
          <cell r="B186">
            <v>199.45</v>
          </cell>
          <cell r="C186">
            <v>21.6</v>
          </cell>
        </row>
        <row r="187">
          <cell r="B187">
            <v>199.47499999999999</v>
          </cell>
          <cell r="C187">
            <v>21.8</v>
          </cell>
        </row>
        <row r="188">
          <cell r="B188">
            <v>199.5</v>
          </cell>
          <cell r="C188">
            <v>22</v>
          </cell>
        </row>
        <row r="189">
          <cell r="B189">
            <v>199.52500000000001</v>
          </cell>
          <cell r="C189">
            <v>22.274999999999999</v>
          </cell>
        </row>
        <row r="190">
          <cell r="B190">
            <v>199.55</v>
          </cell>
          <cell r="C190">
            <v>22.55</v>
          </cell>
        </row>
        <row r="191">
          <cell r="B191">
            <v>199.57499999999999</v>
          </cell>
          <cell r="C191">
            <v>22.824999999999999</v>
          </cell>
        </row>
        <row r="192">
          <cell r="B192">
            <v>199.6</v>
          </cell>
          <cell r="C192">
            <v>23.1</v>
          </cell>
        </row>
        <row r="193">
          <cell r="B193">
            <v>199.625</v>
          </cell>
          <cell r="C193">
            <v>23.375</v>
          </cell>
        </row>
        <row r="194">
          <cell r="B194">
            <v>199.65</v>
          </cell>
          <cell r="C194">
            <v>23.65</v>
          </cell>
        </row>
        <row r="195">
          <cell r="B195">
            <v>199.67500000000001</v>
          </cell>
          <cell r="C195">
            <v>23.925000000000001</v>
          </cell>
        </row>
        <row r="196">
          <cell r="B196">
            <v>199.7</v>
          </cell>
          <cell r="C196">
            <v>24.2</v>
          </cell>
        </row>
        <row r="197">
          <cell r="B197">
            <v>199.72499999999999</v>
          </cell>
          <cell r="C197">
            <v>24.475000000000001</v>
          </cell>
        </row>
        <row r="198">
          <cell r="B198">
            <v>199.75</v>
          </cell>
          <cell r="C198">
            <v>24.75</v>
          </cell>
        </row>
        <row r="199">
          <cell r="B199">
            <v>199.77500000000001</v>
          </cell>
          <cell r="C199">
            <v>25.024999999999999</v>
          </cell>
        </row>
        <row r="200">
          <cell r="B200">
            <v>199.8</v>
          </cell>
          <cell r="C200">
            <v>25.3</v>
          </cell>
        </row>
        <row r="201">
          <cell r="B201">
            <v>199.82499999999999</v>
          </cell>
          <cell r="C201">
            <v>25.574999999999999</v>
          </cell>
        </row>
        <row r="202">
          <cell r="B202">
            <v>199.85</v>
          </cell>
          <cell r="C202">
            <v>25.85</v>
          </cell>
        </row>
        <row r="203">
          <cell r="B203">
            <v>199.875</v>
          </cell>
          <cell r="C203">
            <v>26.125</v>
          </cell>
        </row>
        <row r="204">
          <cell r="B204">
            <v>199.9</v>
          </cell>
          <cell r="C204">
            <v>26.4</v>
          </cell>
        </row>
        <row r="205">
          <cell r="B205">
            <v>199.92500000000001</v>
          </cell>
          <cell r="C205">
            <v>26.675000000000001</v>
          </cell>
        </row>
        <row r="206">
          <cell r="B206">
            <v>199.95</v>
          </cell>
          <cell r="C206">
            <v>26.95</v>
          </cell>
        </row>
        <row r="207">
          <cell r="B207">
            <v>199.97499999999999</v>
          </cell>
          <cell r="C207">
            <v>27.225000000000001</v>
          </cell>
        </row>
        <row r="208">
          <cell r="B208">
            <v>200</v>
          </cell>
          <cell r="C208">
            <v>27.5</v>
          </cell>
        </row>
        <row r="209">
          <cell r="B209">
            <v>200.02500000000001</v>
          </cell>
          <cell r="C209">
            <v>27.8</v>
          </cell>
        </row>
        <row r="210">
          <cell r="B210">
            <v>200.05</v>
          </cell>
          <cell r="C210">
            <v>28.1</v>
          </cell>
        </row>
        <row r="211">
          <cell r="B211">
            <v>200.07499999999999</v>
          </cell>
          <cell r="C211">
            <v>28.4</v>
          </cell>
        </row>
        <row r="212">
          <cell r="B212">
            <v>200.1</v>
          </cell>
          <cell r="C212">
            <v>28.7</v>
          </cell>
        </row>
        <row r="213">
          <cell r="B213">
            <v>200.12500000000108</v>
          </cell>
          <cell r="C213">
            <v>29</v>
          </cell>
        </row>
        <row r="214">
          <cell r="B214">
            <v>200.15000000000109</v>
          </cell>
          <cell r="C214">
            <v>29.3</v>
          </cell>
        </row>
        <row r="215">
          <cell r="B215">
            <v>200.17500000000109</v>
          </cell>
          <cell r="C215">
            <v>29.6</v>
          </cell>
        </row>
        <row r="216">
          <cell r="B216">
            <v>200.2000000000011</v>
          </cell>
          <cell r="C216">
            <v>29.9</v>
          </cell>
        </row>
        <row r="217">
          <cell r="B217">
            <v>200.2250000000011</v>
          </cell>
          <cell r="C217">
            <v>30.2</v>
          </cell>
        </row>
        <row r="218">
          <cell r="B218">
            <v>200.25000000000111</v>
          </cell>
          <cell r="C218">
            <v>30.5</v>
          </cell>
        </row>
        <row r="219">
          <cell r="B219">
            <v>200.27500000000111</v>
          </cell>
          <cell r="C219">
            <v>30.8</v>
          </cell>
        </row>
        <row r="220">
          <cell r="B220">
            <v>200.30000000000112</v>
          </cell>
          <cell r="C220">
            <v>31.1</v>
          </cell>
        </row>
        <row r="221">
          <cell r="B221">
            <v>200.32500000000113</v>
          </cell>
          <cell r="C221">
            <v>31.4</v>
          </cell>
        </row>
        <row r="222">
          <cell r="B222">
            <v>200.35000000000113</v>
          </cell>
          <cell r="C222">
            <v>31.7</v>
          </cell>
        </row>
        <row r="223">
          <cell r="B223">
            <v>200.37500000000114</v>
          </cell>
          <cell r="C223">
            <v>32</v>
          </cell>
        </row>
        <row r="224">
          <cell r="B224">
            <v>200.40000000000114</v>
          </cell>
          <cell r="C224">
            <v>32.299999999999997</v>
          </cell>
        </row>
        <row r="225">
          <cell r="B225">
            <v>200.42500000000115</v>
          </cell>
          <cell r="C225">
            <v>32.6</v>
          </cell>
        </row>
        <row r="226">
          <cell r="B226">
            <v>200.45000000000115</v>
          </cell>
          <cell r="C226">
            <v>32.9</v>
          </cell>
        </row>
        <row r="227">
          <cell r="B227">
            <v>200.47500000000116</v>
          </cell>
          <cell r="C227">
            <v>33.200000000000003</v>
          </cell>
        </row>
        <row r="228">
          <cell r="B228">
            <v>200.5</v>
          </cell>
          <cell r="C228">
            <v>33.49999999999995</v>
          </cell>
        </row>
        <row r="229">
          <cell r="B229">
            <v>200.52500000000001</v>
          </cell>
          <cell r="C229">
            <v>33.87499999999995</v>
          </cell>
        </row>
        <row r="230">
          <cell r="B230">
            <v>200.55</v>
          </cell>
          <cell r="C230">
            <v>34.24999999999995</v>
          </cell>
        </row>
        <row r="231">
          <cell r="B231">
            <v>200.57499999999999</v>
          </cell>
          <cell r="C231">
            <v>34.62499999999995</v>
          </cell>
        </row>
        <row r="232">
          <cell r="B232">
            <v>200.6</v>
          </cell>
          <cell r="C232">
            <v>34.99999999999995</v>
          </cell>
        </row>
        <row r="233">
          <cell r="B233">
            <v>200.625</v>
          </cell>
          <cell r="C233">
            <v>35.37499999999995</v>
          </cell>
        </row>
        <row r="234">
          <cell r="B234">
            <v>200.65</v>
          </cell>
          <cell r="C234">
            <v>35.74999999999995</v>
          </cell>
        </row>
        <row r="235">
          <cell r="B235">
            <v>200.67500000000001</v>
          </cell>
          <cell r="C235">
            <v>36.12499999999995</v>
          </cell>
        </row>
        <row r="236">
          <cell r="B236">
            <v>200.7</v>
          </cell>
          <cell r="C236">
            <v>36.49999999999995</v>
          </cell>
        </row>
        <row r="237">
          <cell r="B237">
            <v>200.72499999999999</v>
          </cell>
          <cell r="C237">
            <v>36.87499999999995</v>
          </cell>
        </row>
        <row r="238">
          <cell r="B238">
            <v>200.75</v>
          </cell>
          <cell r="C238">
            <v>37.24999999999995</v>
          </cell>
        </row>
        <row r="239">
          <cell r="B239">
            <v>200.77500000000001</v>
          </cell>
          <cell r="C239">
            <v>37.62499999999995</v>
          </cell>
        </row>
        <row r="240">
          <cell r="B240">
            <v>200.8</v>
          </cell>
          <cell r="C240">
            <v>37.99999999999995</v>
          </cell>
        </row>
        <row r="241">
          <cell r="B241">
            <v>200.82499999999999</v>
          </cell>
          <cell r="C241">
            <v>38.37499999999995</v>
          </cell>
        </row>
        <row r="242">
          <cell r="B242">
            <v>200.85</v>
          </cell>
          <cell r="C242">
            <v>38.74999999999995</v>
          </cell>
        </row>
        <row r="243">
          <cell r="B243">
            <v>200.875</v>
          </cell>
          <cell r="C243">
            <v>39.12499999999995</v>
          </cell>
        </row>
        <row r="244">
          <cell r="B244">
            <v>200.9</v>
          </cell>
          <cell r="C244">
            <v>39.49999999999995</v>
          </cell>
        </row>
        <row r="245">
          <cell r="B245">
            <v>200.92500000000001</v>
          </cell>
          <cell r="C245">
            <v>39.87499999999995</v>
          </cell>
        </row>
        <row r="246">
          <cell r="B246">
            <v>200.95</v>
          </cell>
          <cell r="C246">
            <v>40.24999999999995</v>
          </cell>
        </row>
        <row r="247">
          <cell r="B247">
            <v>200.97499999999999</v>
          </cell>
          <cell r="C247">
            <v>40.62499999999995</v>
          </cell>
        </row>
        <row r="248">
          <cell r="B248">
            <v>201</v>
          </cell>
          <cell r="C248">
            <v>41</v>
          </cell>
        </row>
        <row r="249">
          <cell r="B249">
            <v>201.02500000000001</v>
          </cell>
          <cell r="C249">
            <v>41.375</v>
          </cell>
        </row>
        <row r="250">
          <cell r="B250">
            <v>201.05</v>
          </cell>
          <cell r="C250">
            <v>41.75</v>
          </cell>
        </row>
        <row r="251">
          <cell r="B251">
            <v>201.07499999999999</v>
          </cell>
          <cell r="C251">
            <v>42.125</v>
          </cell>
        </row>
        <row r="252">
          <cell r="B252">
            <v>201.1</v>
          </cell>
          <cell r="C252">
            <v>42.5</v>
          </cell>
        </row>
        <row r="253">
          <cell r="B253">
            <v>201.125</v>
          </cell>
          <cell r="C253">
            <v>42.875</v>
          </cell>
        </row>
        <row r="254">
          <cell r="B254">
            <v>201.15</v>
          </cell>
          <cell r="C254">
            <v>43.25</v>
          </cell>
        </row>
        <row r="255">
          <cell r="B255">
            <v>201.17500000000001</v>
          </cell>
          <cell r="C255">
            <v>43.625</v>
          </cell>
        </row>
        <row r="256">
          <cell r="B256">
            <v>201.2</v>
          </cell>
          <cell r="C256">
            <v>44</v>
          </cell>
        </row>
        <row r="257">
          <cell r="B257">
            <v>201.22499999999999</v>
          </cell>
          <cell r="C257">
            <v>44.375</v>
          </cell>
        </row>
        <row r="258">
          <cell r="B258">
            <v>201.25</v>
          </cell>
          <cell r="C258">
            <v>44.75</v>
          </cell>
        </row>
        <row r="259">
          <cell r="B259">
            <v>201.27500000000001</v>
          </cell>
          <cell r="C259">
            <v>45.125</v>
          </cell>
        </row>
        <row r="260">
          <cell r="B260">
            <v>201.3</v>
          </cell>
          <cell r="C260">
            <v>45.5</v>
          </cell>
        </row>
        <row r="261">
          <cell r="B261">
            <v>201.32499999999999</v>
          </cell>
          <cell r="C261">
            <v>45.875</v>
          </cell>
        </row>
        <row r="262">
          <cell r="B262">
            <v>201.35</v>
          </cell>
          <cell r="C262">
            <v>46.25</v>
          </cell>
        </row>
        <row r="263">
          <cell r="B263">
            <v>201.375</v>
          </cell>
          <cell r="C263">
            <v>46.625</v>
          </cell>
        </row>
        <row r="264">
          <cell r="B264">
            <v>201.4</v>
          </cell>
          <cell r="C264">
            <v>47</v>
          </cell>
        </row>
        <row r="265">
          <cell r="B265">
            <v>201.42500000000001</v>
          </cell>
          <cell r="C265">
            <v>47.375</v>
          </cell>
        </row>
        <row r="266">
          <cell r="B266">
            <v>201.45</v>
          </cell>
          <cell r="C266">
            <v>47.75</v>
          </cell>
        </row>
        <row r="267">
          <cell r="B267">
            <v>201.47499999999999</v>
          </cell>
          <cell r="C267">
            <v>48.125</v>
          </cell>
        </row>
        <row r="268">
          <cell r="B268">
            <v>201.5</v>
          </cell>
          <cell r="C268">
            <v>48.5</v>
          </cell>
        </row>
        <row r="269">
          <cell r="B269">
            <v>201.52500000000001</v>
          </cell>
          <cell r="C269">
            <v>48.924999999999997</v>
          </cell>
        </row>
        <row r="270">
          <cell r="B270">
            <v>201.55</v>
          </cell>
          <cell r="C270">
            <v>49.35</v>
          </cell>
        </row>
        <row r="271">
          <cell r="B271">
            <v>201.57499999999999</v>
          </cell>
          <cell r="C271">
            <v>49.774999999999999</v>
          </cell>
        </row>
        <row r="272">
          <cell r="B272">
            <v>201.6</v>
          </cell>
          <cell r="C272">
            <v>50.2</v>
          </cell>
        </row>
        <row r="273">
          <cell r="B273">
            <v>201.625</v>
          </cell>
          <cell r="C273">
            <v>50.625</v>
          </cell>
        </row>
        <row r="274">
          <cell r="B274">
            <v>201.65</v>
          </cell>
          <cell r="C274">
            <v>51.05</v>
          </cell>
        </row>
        <row r="275">
          <cell r="B275">
            <v>201.67500000000001</v>
          </cell>
          <cell r="C275">
            <v>51.475000000000001</v>
          </cell>
        </row>
        <row r="276">
          <cell r="B276">
            <v>201.7</v>
          </cell>
          <cell r="C276">
            <v>51.9</v>
          </cell>
        </row>
        <row r="277">
          <cell r="B277">
            <v>201.72499999999999</v>
          </cell>
          <cell r="C277">
            <v>52.325000000000003</v>
          </cell>
        </row>
        <row r="278">
          <cell r="B278">
            <v>201.75</v>
          </cell>
          <cell r="C278">
            <v>52.75</v>
          </cell>
        </row>
        <row r="279">
          <cell r="B279">
            <v>201.77500000000001</v>
          </cell>
          <cell r="C279">
            <v>53.174999999999997</v>
          </cell>
        </row>
        <row r="280">
          <cell r="B280">
            <v>201.8</v>
          </cell>
          <cell r="C280">
            <v>53.6</v>
          </cell>
        </row>
        <row r="281">
          <cell r="B281">
            <v>201.82499999999999</v>
          </cell>
          <cell r="C281">
            <v>54.024999999999999</v>
          </cell>
        </row>
        <row r="282">
          <cell r="B282">
            <v>201.85</v>
          </cell>
          <cell r="C282">
            <v>54.45</v>
          </cell>
        </row>
        <row r="283">
          <cell r="B283">
            <v>201.875</v>
          </cell>
          <cell r="C283">
            <v>54.875</v>
          </cell>
        </row>
        <row r="284">
          <cell r="B284">
            <v>201.9</v>
          </cell>
          <cell r="C284">
            <v>55.3</v>
          </cell>
        </row>
        <row r="285">
          <cell r="B285">
            <v>201.92500000000001</v>
          </cell>
          <cell r="C285">
            <v>55.725000000000001</v>
          </cell>
        </row>
        <row r="286">
          <cell r="B286">
            <v>201.95</v>
          </cell>
          <cell r="C286">
            <v>56.15</v>
          </cell>
        </row>
        <row r="287">
          <cell r="B287">
            <v>201.97499999999999</v>
          </cell>
          <cell r="C287">
            <v>56.575000000000003</v>
          </cell>
        </row>
        <row r="288">
          <cell r="B288">
            <v>202</v>
          </cell>
          <cell r="C288">
            <v>57</v>
          </cell>
        </row>
        <row r="289">
          <cell r="B289">
            <v>202.02500000000001</v>
          </cell>
          <cell r="C289">
            <v>57.475000000000001</v>
          </cell>
        </row>
        <row r="290">
          <cell r="B290">
            <v>202.05</v>
          </cell>
          <cell r="C290">
            <v>57.95</v>
          </cell>
        </row>
        <row r="291">
          <cell r="B291">
            <v>202.07499999999999</v>
          </cell>
          <cell r="C291">
            <v>58.424999999999997</v>
          </cell>
        </row>
        <row r="292">
          <cell r="B292">
            <v>202.1</v>
          </cell>
          <cell r="C292">
            <v>58.9</v>
          </cell>
        </row>
        <row r="293">
          <cell r="B293">
            <v>202.125</v>
          </cell>
          <cell r="C293">
            <v>59.375</v>
          </cell>
        </row>
        <row r="294">
          <cell r="B294">
            <v>202.15</v>
          </cell>
          <cell r="C294">
            <v>59.85</v>
          </cell>
        </row>
        <row r="295">
          <cell r="B295">
            <v>202.17500000000001</v>
          </cell>
          <cell r="C295">
            <v>60.325000000000003</v>
          </cell>
        </row>
        <row r="296">
          <cell r="B296">
            <v>202.2</v>
          </cell>
          <cell r="C296">
            <v>60.8</v>
          </cell>
        </row>
        <row r="297">
          <cell r="B297">
            <v>202.22499999999999</v>
          </cell>
          <cell r="C297">
            <v>61.274999999999999</v>
          </cell>
        </row>
        <row r="298">
          <cell r="B298">
            <v>202.25</v>
          </cell>
          <cell r="C298">
            <v>61.75</v>
          </cell>
        </row>
        <row r="299">
          <cell r="B299">
            <v>202.27500000000001</v>
          </cell>
          <cell r="C299">
            <v>62.225000000000001</v>
          </cell>
        </row>
        <row r="300">
          <cell r="B300">
            <v>202.3</v>
          </cell>
          <cell r="C300">
            <v>62.7</v>
          </cell>
        </row>
        <row r="301">
          <cell r="B301">
            <v>202.32499999999999</v>
          </cell>
          <cell r="C301">
            <v>63.174999999999997</v>
          </cell>
        </row>
        <row r="302">
          <cell r="B302">
            <v>202.35</v>
          </cell>
          <cell r="C302">
            <v>63.65</v>
          </cell>
        </row>
        <row r="303">
          <cell r="B303">
            <v>202.375</v>
          </cell>
          <cell r="C303">
            <v>64.125</v>
          </cell>
        </row>
        <row r="304">
          <cell r="B304">
            <v>202.4</v>
          </cell>
          <cell r="C304">
            <v>64.599999999999994</v>
          </cell>
        </row>
        <row r="305">
          <cell r="B305">
            <v>202.42500000000001</v>
          </cell>
          <cell r="C305">
            <v>65.075000000000003</v>
          </cell>
        </row>
        <row r="306">
          <cell r="B306">
            <v>202.45</v>
          </cell>
          <cell r="C306">
            <v>65.55</v>
          </cell>
        </row>
        <row r="307">
          <cell r="B307">
            <v>202.47499999999999</v>
          </cell>
          <cell r="C307">
            <v>66.025000000000006</v>
          </cell>
        </row>
        <row r="308">
          <cell r="B308">
            <v>202.5</v>
          </cell>
          <cell r="C308">
            <v>66.5</v>
          </cell>
        </row>
        <row r="309">
          <cell r="B309">
            <v>202.52500000000001</v>
          </cell>
          <cell r="C309">
            <v>67.099999999999994</v>
          </cell>
        </row>
        <row r="310">
          <cell r="B310">
            <v>202.55</v>
          </cell>
          <cell r="C310">
            <v>67.7</v>
          </cell>
        </row>
        <row r="311">
          <cell r="B311">
            <v>202.57499999999999</v>
          </cell>
          <cell r="C311">
            <v>68.3</v>
          </cell>
        </row>
        <row r="312">
          <cell r="B312">
            <v>202.6</v>
          </cell>
          <cell r="C312">
            <v>68.900000000000006</v>
          </cell>
        </row>
        <row r="313">
          <cell r="B313">
            <v>202.625</v>
          </cell>
          <cell r="C313">
            <v>69.5</v>
          </cell>
        </row>
        <row r="314">
          <cell r="B314">
            <v>202.65</v>
          </cell>
          <cell r="C314">
            <v>70.099999999999994</v>
          </cell>
        </row>
        <row r="315">
          <cell r="B315">
            <v>202.67500000000001</v>
          </cell>
          <cell r="C315">
            <v>70.7</v>
          </cell>
        </row>
        <row r="316">
          <cell r="B316">
            <v>202.7</v>
          </cell>
          <cell r="C316">
            <v>71.3</v>
          </cell>
        </row>
        <row r="317">
          <cell r="B317">
            <v>202.72499999999999</v>
          </cell>
          <cell r="C317">
            <v>71.900000000000006</v>
          </cell>
        </row>
        <row r="318">
          <cell r="B318">
            <v>202.75</v>
          </cell>
          <cell r="C318">
            <v>72.5</v>
          </cell>
        </row>
        <row r="319">
          <cell r="B319">
            <v>202.77500000000001</v>
          </cell>
          <cell r="C319">
            <v>73.099999999999994</v>
          </cell>
        </row>
        <row r="320">
          <cell r="B320">
            <v>202.8</v>
          </cell>
          <cell r="C320">
            <v>73.7</v>
          </cell>
        </row>
        <row r="321">
          <cell r="B321">
            <v>202.82499999999999</v>
          </cell>
          <cell r="C321">
            <v>74.3</v>
          </cell>
        </row>
        <row r="322">
          <cell r="B322">
            <v>202.85</v>
          </cell>
          <cell r="C322">
            <v>74.900000000000006</v>
          </cell>
        </row>
        <row r="323">
          <cell r="B323">
            <v>202.875</v>
          </cell>
          <cell r="C323">
            <v>75.5</v>
          </cell>
        </row>
        <row r="324">
          <cell r="B324">
            <v>202.9</v>
          </cell>
          <cell r="C324">
            <v>76.099999999999994</v>
          </cell>
        </row>
        <row r="325">
          <cell r="B325">
            <v>202.92500000000001</v>
          </cell>
          <cell r="C325">
            <v>76.7</v>
          </cell>
        </row>
        <row r="326">
          <cell r="B326">
            <v>202.95</v>
          </cell>
          <cell r="C326">
            <v>77.3</v>
          </cell>
        </row>
        <row r="327">
          <cell r="B327">
            <v>202.97499999999999</v>
          </cell>
          <cell r="C327">
            <v>77.900000000000006</v>
          </cell>
        </row>
        <row r="328">
          <cell r="B328">
            <v>203</v>
          </cell>
          <cell r="C328">
            <v>78.5</v>
          </cell>
        </row>
        <row r="329">
          <cell r="B329">
            <v>203.02500000000001</v>
          </cell>
          <cell r="C329">
            <v>79.075000000000003</v>
          </cell>
        </row>
        <row r="330">
          <cell r="B330">
            <v>203.05</v>
          </cell>
          <cell r="C330">
            <v>79.650000000000006</v>
          </cell>
        </row>
        <row r="331">
          <cell r="B331">
            <v>203.07499999999999</v>
          </cell>
          <cell r="C331">
            <v>80.224999999999994</v>
          </cell>
        </row>
        <row r="332">
          <cell r="B332">
            <v>203.1</v>
          </cell>
          <cell r="C332">
            <v>80.8</v>
          </cell>
        </row>
        <row r="333">
          <cell r="B333">
            <v>203.125</v>
          </cell>
          <cell r="C333">
            <v>81.375</v>
          </cell>
        </row>
        <row r="334">
          <cell r="B334">
            <v>203.15</v>
          </cell>
          <cell r="C334">
            <v>81.95</v>
          </cell>
        </row>
        <row r="335">
          <cell r="B335">
            <v>203.17500000000001</v>
          </cell>
          <cell r="C335">
            <v>82.525000000000006</v>
          </cell>
        </row>
        <row r="336">
          <cell r="B336">
            <v>203.2</v>
          </cell>
          <cell r="C336">
            <v>83.1</v>
          </cell>
        </row>
        <row r="337">
          <cell r="B337">
            <v>203.22499999999999</v>
          </cell>
          <cell r="C337">
            <v>83.674999999999997</v>
          </cell>
        </row>
        <row r="338">
          <cell r="B338">
            <v>203.25</v>
          </cell>
          <cell r="C338">
            <v>84.25</v>
          </cell>
        </row>
        <row r="339">
          <cell r="B339">
            <v>203.27500000000001</v>
          </cell>
          <cell r="C339">
            <v>84.825000000000003</v>
          </cell>
        </row>
        <row r="340">
          <cell r="B340">
            <v>203.3</v>
          </cell>
          <cell r="C340">
            <v>85.4</v>
          </cell>
        </row>
        <row r="341">
          <cell r="B341">
            <v>203.32499999999999</v>
          </cell>
          <cell r="C341">
            <v>85.974999999999994</v>
          </cell>
        </row>
        <row r="342">
          <cell r="B342">
            <v>203.35</v>
          </cell>
          <cell r="C342">
            <v>86.55</v>
          </cell>
        </row>
        <row r="343">
          <cell r="B343">
            <v>203.375</v>
          </cell>
          <cell r="C343">
            <v>87.125</v>
          </cell>
        </row>
        <row r="344">
          <cell r="B344">
            <v>203.4</v>
          </cell>
          <cell r="C344">
            <v>87.7</v>
          </cell>
        </row>
        <row r="345">
          <cell r="B345">
            <v>203.42500000000001</v>
          </cell>
          <cell r="C345">
            <v>88.275000000000006</v>
          </cell>
        </row>
        <row r="346">
          <cell r="B346">
            <v>203.45</v>
          </cell>
          <cell r="C346">
            <v>88.85</v>
          </cell>
        </row>
        <row r="347">
          <cell r="B347">
            <v>203.47499999999999</v>
          </cell>
          <cell r="C347">
            <v>89.424999999999997</v>
          </cell>
        </row>
        <row r="348">
          <cell r="B348">
            <v>203.5</v>
          </cell>
          <cell r="C348">
            <v>90</v>
          </cell>
        </row>
        <row r="349">
          <cell r="B349">
            <v>203.52500000000001</v>
          </cell>
          <cell r="C349">
            <v>90.8</v>
          </cell>
        </row>
        <row r="350">
          <cell r="B350">
            <v>203.55</v>
          </cell>
          <cell r="C350">
            <v>91.6</v>
          </cell>
        </row>
        <row r="351">
          <cell r="B351">
            <v>203.57499999999999</v>
          </cell>
          <cell r="C351">
            <v>92.4</v>
          </cell>
        </row>
        <row r="352">
          <cell r="B352">
            <v>203.6</v>
          </cell>
          <cell r="C352">
            <v>93.2</v>
          </cell>
        </row>
        <row r="353">
          <cell r="B353">
            <v>203.625</v>
          </cell>
          <cell r="C353">
            <v>94</v>
          </cell>
        </row>
        <row r="354">
          <cell r="B354">
            <v>203.65</v>
          </cell>
          <cell r="C354">
            <v>94.8</v>
          </cell>
        </row>
        <row r="355">
          <cell r="B355">
            <v>203.67500000000001</v>
          </cell>
          <cell r="C355">
            <v>95.6</v>
          </cell>
        </row>
        <row r="356">
          <cell r="B356">
            <v>203.7</v>
          </cell>
          <cell r="C356">
            <v>96.4</v>
          </cell>
        </row>
        <row r="357">
          <cell r="B357">
            <v>203.72499999999999</v>
          </cell>
          <cell r="C357">
            <v>97.2</v>
          </cell>
        </row>
        <row r="358">
          <cell r="B358">
            <v>203.75</v>
          </cell>
          <cell r="C358">
            <v>98</v>
          </cell>
        </row>
        <row r="359">
          <cell r="B359">
            <v>203.77500000000001</v>
          </cell>
          <cell r="C359">
            <v>98.8</v>
          </cell>
        </row>
        <row r="360">
          <cell r="B360">
            <v>203.8</v>
          </cell>
          <cell r="C360">
            <v>99.6</v>
          </cell>
        </row>
        <row r="361">
          <cell r="B361">
            <v>203.82499999999999</v>
          </cell>
          <cell r="C361">
            <v>100.4</v>
          </cell>
        </row>
        <row r="362">
          <cell r="B362">
            <v>203.85</v>
          </cell>
          <cell r="C362">
            <v>101.2</v>
          </cell>
        </row>
        <row r="363">
          <cell r="B363">
            <v>203.875</v>
          </cell>
          <cell r="C363">
            <v>102</v>
          </cell>
        </row>
        <row r="364">
          <cell r="B364">
            <v>203.9</v>
          </cell>
          <cell r="C364">
            <v>102.8</v>
          </cell>
        </row>
        <row r="365">
          <cell r="B365">
            <v>203.92500000000001</v>
          </cell>
          <cell r="C365">
            <v>103.6</v>
          </cell>
        </row>
        <row r="366">
          <cell r="B366">
            <v>203.95</v>
          </cell>
          <cell r="C366">
            <v>104.4</v>
          </cell>
        </row>
        <row r="367">
          <cell r="B367">
            <v>203.97499999999999</v>
          </cell>
          <cell r="C367">
            <v>105.2</v>
          </cell>
        </row>
        <row r="368">
          <cell r="B368">
            <v>204</v>
          </cell>
          <cell r="C368">
            <v>106</v>
          </cell>
        </row>
        <row r="369">
          <cell r="B369">
            <v>204.02500000000001</v>
          </cell>
          <cell r="C369">
            <v>106.825</v>
          </cell>
        </row>
        <row r="370">
          <cell r="B370">
            <v>204.05</v>
          </cell>
          <cell r="C370">
            <v>107.65</v>
          </cell>
        </row>
        <row r="371">
          <cell r="B371">
            <v>204.07499999999999</v>
          </cell>
          <cell r="C371">
            <v>108.47499999999999</v>
          </cell>
        </row>
        <row r="372">
          <cell r="B372">
            <v>204.1</v>
          </cell>
          <cell r="C372">
            <v>109.3</v>
          </cell>
        </row>
        <row r="373">
          <cell r="B373">
            <v>204.125</v>
          </cell>
          <cell r="C373">
            <v>110.125</v>
          </cell>
        </row>
        <row r="374">
          <cell r="B374">
            <v>204.15</v>
          </cell>
          <cell r="C374">
            <v>110.95</v>
          </cell>
        </row>
        <row r="375">
          <cell r="B375">
            <v>204.17500000000001</v>
          </cell>
          <cell r="C375">
            <v>111.77500000000001</v>
          </cell>
        </row>
        <row r="376">
          <cell r="B376">
            <v>204.2</v>
          </cell>
          <cell r="C376">
            <v>112.6</v>
          </cell>
        </row>
        <row r="377">
          <cell r="B377">
            <v>204.22499999999999</v>
          </cell>
          <cell r="C377">
            <v>113.425</v>
          </cell>
        </row>
        <row r="378">
          <cell r="B378">
            <v>204.25</v>
          </cell>
          <cell r="C378">
            <v>114.25</v>
          </cell>
        </row>
        <row r="379">
          <cell r="B379">
            <v>204.27500000000001</v>
          </cell>
          <cell r="C379">
            <v>115.075</v>
          </cell>
        </row>
        <row r="380">
          <cell r="B380">
            <v>204.3</v>
          </cell>
          <cell r="C380">
            <v>115.9</v>
          </cell>
        </row>
        <row r="381">
          <cell r="B381">
            <v>204.32499999999999</v>
          </cell>
          <cell r="C381">
            <v>116.72499999999999</v>
          </cell>
        </row>
        <row r="382">
          <cell r="B382">
            <v>204.35</v>
          </cell>
          <cell r="C382">
            <v>117.55</v>
          </cell>
        </row>
        <row r="383">
          <cell r="B383">
            <v>204.375</v>
          </cell>
          <cell r="C383">
            <v>118.375</v>
          </cell>
        </row>
        <row r="384">
          <cell r="B384">
            <v>204.4</v>
          </cell>
          <cell r="C384">
            <v>119.2</v>
          </cell>
        </row>
        <row r="385">
          <cell r="B385">
            <v>204.42500000000001</v>
          </cell>
          <cell r="C385">
            <v>120.02500000000001</v>
          </cell>
        </row>
        <row r="386">
          <cell r="B386">
            <v>204.45</v>
          </cell>
          <cell r="C386">
            <v>120.85</v>
          </cell>
        </row>
        <row r="387">
          <cell r="B387">
            <v>204.47499999999999</v>
          </cell>
          <cell r="C387">
            <v>121.675</v>
          </cell>
        </row>
        <row r="388">
          <cell r="B388">
            <v>204.5</v>
          </cell>
          <cell r="C388">
            <v>122.5</v>
          </cell>
        </row>
        <row r="389">
          <cell r="B389">
            <v>204.52500000000001</v>
          </cell>
          <cell r="C389">
            <v>123.375</v>
          </cell>
        </row>
        <row r="390">
          <cell r="B390">
            <v>204.55</v>
          </cell>
          <cell r="C390">
            <v>124.25</v>
          </cell>
        </row>
        <row r="391">
          <cell r="B391">
            <v>204.57499999999999</v>
          </cell>
          <cell r="C391">
            <v>125.125</v>
          </cell>
        </row>
        <row r="392">
          <cell r="B392">
            <v>204.6</v>
          </cell>
          <cell r="C392">
            <v>126</v>
          </cell>
        </row>
        <row r="393">
          <cell r="B393">
            <v>204.625</v>
          </cell>
          <cell r="C393">
            <v>126.875</v>
          </cell>
        </row>
        <row r="394">
          <cell r="B394">
            <v>204.65</v>
          </cell>
          <cell r="C394">
            <v>127.75</v>
          </cell>
        </row>
        <row r="395">
          <cell r="B395">
            <v>204.67500000000001</v>
          </cell>
          <cell r="C395">
            <v>128.625</v>
          </cell>
        </row>
        <row r="396">
          <cell r="B396">
            <v>204.7</v>
          </cell>
          <cell r="C396">
            <v>129.5</v>
          </cell>
        </row>
        <row r="397">
          <cell r="B397">
            <v>204.72499999999999</v>
          </cell>
          <cell r="C397">
            <v>130.375</v>
          </cell>
        </row>
        <row r="398">
          <cell r="B398">
            <v>204.75</v>
          </cell>
          <cell r="C398">
            <v>131.25</v>
          </cell>
        </row>
        <row r="399">
          <cell r="B399">
            <v>204.77500000000001</v>
          </cell>
          <cell r="C399">
            <v>132.125</v>
          </cell>
        </row>
        <row r="400">
          <cell r="B400">
            <v>204.8</v>
          </cell>
          <cell r="C400">
            <v>133</v>
          </cell>
        </row>
        <row r="401">
          <cell r="B401">
            <v>204.82499999999999</v>
          </cell>
          <cell r="C401">
            <v>133.875</v>
          </cell>
        </row>
        <row r="402">
          <cell r="B402">
            <v>204.85</v>
          </cell>
          <cell r="C402">
            <v>134.75</v>
          </cell>
        </row>
        <row r="403">
          <cell r="B403">
            <v>204.875</v>
          </cell>
          <cell r="C403">
            <v>135.625</v>
          </cell>
        </row>
        <row r="404">
          <cell r="B404">
            <v>204.9</v>
          </cell>
          <cell r="C404">
            <v>136.5</v>
          </cell>
        </row>
        <row r="405">
          <cell r="B405">
            <v>204.92500000000001</v>
          </cell>
          <cell r="C405">
            <v>137.375</v>
          </cell>
        </row>
        <row r="406">
          <cell r="B406">
            <v>204.95</v>
          </cell>
          <cell r="C406">
            <v>138.25</v>
          </cell>
        </row>
        <row r="407">
          <cell r="B407">
            <v>204.97499999999999</v>
          </cell>
          <cell r="C407">
            <v>139.125</v>
          </cell>
        </row>
        <row r="408">
          <cell r="B408">
            <v>205</v>
          </cell>
          <cell r="C408">
            <v>140</v>
          </cell>
        </row>
        <row r="409">
          <cell r="B409">
            <v>205.02500000000001</v>
          </cell>
          <cell r="C409">
            <v>141</v>
          </cell>
        </row>
        <row r="410">
          <cell r="B410">
            <v>205.05</v>
          </cell>
          <cell r="C410">
            <v>142</v>
          </cell>
        </row>
        <row r="411">
          <cell r="B411">
            <v>205.07499999999999</v>
          </cell>
          <cell r="C411">
            <v>143</v>
          </cell>
        </row>
        <row r="412">
          <cell r="B412">
            <v>205.1</v>
          </cell>
          <cell r="C412">
            <v>144</v>
          </cell>
        </row>
        <row r="413">
          <cell r="B413">
            <v>205.125</v>
          </cell>
          <cell r="C413">
            <v>145</v>
          </cell>
        </row>
        <row r="414">
          <cell r="B414">
            <v>205.15</v>
          </cell>
          <cell r="C414">
            <v>146</v>
          </cell>
        </row>
        <row r="415">
          <cell r="B415">
            <v>205.17500000000001</v>
          </cell>
          <cell r="C415">
            <v>147</v>
          </cell>
        </row>
        <row r="416">
          <cell r="B416">
            <v>205.2</v>
          </cell>
          <cell r="C416">
            <v>148</v>
          </cell>
        </row>
        <row r="417">
          <cell r="B417">
            <v>205.22499999999999</v>
          </cell>
          <cell r="C417">
            <v>149</v>
          </cell>
        </row>
        <row r="418">
          <cell r="B418">
            <v>205.25</v>
          </cell>
          <cell r="C418">
            <v>150</v>
          </cell>
        </row>
        <row r="419">
          <cell r="B419">
            <v>205.27500000000001</v>
          </cell>
          <cell r="C419">
            <v>151</v>
          </cell>
        </row>
        <row r="420">
          <cell r="B420">
            <v>205.3</v>
          </cell>
          <cell r="C420">
            <v>152</v>
          </cell>
        </row>
        <row r="421">
          <cell r="B421">
            <v>205.32499999999999</v>
          </cell>
          <cell r="C421">
            <v>153</v>
          </cell>
        </row>
        <row r="422">
          <cell r="B422">
            <v>205.35</v>
          </cell>
          <cell r="C422">
            <v>154</v>
          </cell>
        </row>
        <row r="423">
          <cell r="B423">
            <v>205.375</v>
          </cell>
          <cell r="C423">
            <v>155</v>
          </cell>
        </row>
        <row r="424">
          <cell r="B424">
            <v>205.4</v>
          </cell>
          <cell r="C424">
            <v>156</v>
          </cell>
        </row>
        <row r="425">
          <cell r="B425">
            <v>205.42500000000001</v>
          </cell>
          <cell r="C425">
            <v>157</v>
          </cell>
        </row>
        <row r="426">
          <cell r="B426">
            <v>205.45</v>
          </cell>
          <cell r="C426">
            <v>158</v>
          </cell>
        </row>
        <row r="427">
          <cell r="B427">
            <v>205.47499999999999</v>
          </cell>
          <cell r="C427">
            <v>159</v>
          </cell>
        </row>
        <row r="428">
          <cell r="B428">
            <v>205.5</v>
          </cell>
          <cell r="C428">
            <v>160</v>
          </cell>
        </row>
        <row r="429">
          <cell r="B429">
            <v>205.52500000000001</v>
          </cell>
          <cell r="C429">
            <v>161</v>
          </cell>
        </row>
        <row r="430">
          <cell r="B430">
            <v>205.55</v>
          </cell>
          <cell r="C430">
            <v>162</v>
          </cell>
        </row>
        <row r="431">
          <cell r="B431">
            <v>205.57499999999999</v>
          </cell>
          <cell r="C431">
            <v>163</v>
          </cell>
        </row>
        <row r="432">
          <cell r="B432">
            <v>205.6</v>
          </cell>
          <cell r="C432">
            <v>164</v>
          </cell>
        </row>
        <row r="433">
          <cell r="B433">
            <v>205.625</v>
          </cell>
          <cell r="C433">
            <v>165</v>
          </cell>
        </row>
        <row r="434">
          <cell r="B434">
            <v>205.65</v>
          </cell>
          <cell r="C434">
            <v>166</v>
          </cell>
        </row>
        <row r="435">
          <cell r="B435">
            <v>205.67500000000001</v>
          </cell>
          <cell r="C435">
            <v>167</v>
          </cell>
        </row>
        <row r="436">
          <cell r="B436">
            <v>205.7</v>
          </cell>
          <cell r="C436">
            <v>168</v>
          </cell>
        </row>
        <row r="437">
          <cell r="B437">
            <v>205.72499999999999</v>
          </cell>
          <cell r="C437">
            <v>169</v>
          </cell>
        </row>
        <row r="438">
          <cell r="B438">
            <v>205.75</v>
          </cell>
          <cell r="C438">
            <v>170</v>
          </cell>
        </row>
        <row r="439">
          <cell r="B439">
            <v>205.77500000000001</v>
          </cell>
          <cell r="C439">
            <v>171</v>
          </cell>
        </row>
        <row r="440">
          <cell r="B440">
            <v>205.8</v>
          </cell>
          <cell r="C440">
            <v>172</v>
          </cell>
        </row>
        <row r="441">
          <cell r="B441">
            <v>205.82499999999999</v>
          </cell>
          <cell r="C441">
            <v>173</v>
          </cell>
        </row>
        <row r="442">
          <cell r="B442">
            <v>205.85</v>
          </cell>
          <cell r="C442">
            <v>174</v>
          </cell>
        </row>
        <row r="443">
          <cell r="B443">
            <v>205.875</v>
          </cell>
          <cell r="C443">
            <v>175</v>
          </cell>
        </row>
        <row r="444">
          <cell r="B444">
            <v>205.9</v>
          </cell>
          <cell r="C444">
            <v>176</v>
          </cell>
        </row>
        <row r="445">
          <cell r="B445">
            <v>205.92500000000001</v>
          </cell>
          <cell r="C445">
            <v>177</v>
          </cell>
        </row>
        <row r="446">
          <cell r="B446">
            <v>205.95</v>
          </cell>
          <cell r="C446">
            <v>178</v>
          </cell>
        </row>
        <row r="447">
          <cell r="B447">
            <v>205.97499999999999</v>
          </cell>
          <cell r="C447">
            <v>179</v>
          </cell>
        </row>
        <row r="448">
          <cell r="B448">
            <v>206</v>
          </cell>
          <cell r="C448">
            <v>180</v>
          </cell>
        </row>
        <row r="449">
          <cell r="B449">
            <v>206.02500000000001</v>
          </cell>
          <cell r="C449">
            <v>181.15</v>
          </cell>
        </row>
        <row r="450">
          <cell r="B450">
            <v>206.05</v>
          </cell>
          <cell r="C450">
            <v>182.3</v>
          </cell>
        </row>
        <row r="451">
          <cell r="B451">
            <v>206.07499999999999</v>
          </cell>
          <cell r="C451">
            <v>183.45</v>
          </cell>
        </row>
        <row r="452">
          <cell r="B452">
            <v>206.1</v>
          </cell>
          <cell r="C452">
            <v>184.6</v>
          </cell>
        </row>
        <row r="453">
          <cell r="B453">
            <v>206.125</v>
          </cell>
          <cell r="C453">
            <v>185.75</v>
          </cell>
        </row>
        <row r="454">
          <cell r="B454">
            <v>206.15</v>
          </cell>
          <cell r="C454">
            <v>186.9</v>
          </cell>
        </row>
        <row r="455">
          <cell r="B455">
            <v>206.17500000000001</v>
          </cell>
          <cell r="C455">
            <v>188.05</v>
          </cell>
        </row>
        <row r="456">
          <cell r="B456">
            <v>206.2</v>
          </cell>
          <cell r="C456">
            <v>189.2</v>
          </cell>
        </row>
        <row r="457">
          <cell r="B457">
            <v>206.22499999999999</v>
          </cell>
          <cell r="C457">
            <v>190.35</v>
          </cell>
        </row>
        <row r="458">
          <cell r="B458">
            <v>206.25</v>
          </cell>
          <cell r="C458">
            <v>191.5</v>
          </cell>
        </row>
        <row r="459">
          <cell r="B459">
            <v>206.27500000000001</v>
          </cell>
          <cell r="C459">
            <v>192.65</v>
          </cell>
        </row>
        <row r="460">
          <cell r="B460">
            <v>206.3</v>
          </cell>
          <cell r="C460">
            <v>193.8</v>
          </cell>
        </row>
        <row r="461">
          <cell r="B461">
            <v>206.32499999999999</v>
          </cell>
          <cell r="C461">
            <v>194.95</v>
          </cell>
        </row>
        <row r="462">
          <cell r="B462">
            <v>206.35</v>
          </cell>
          <cell r="C462">
            <v>196.1</v>
          </cell>
        </row>
        <row r="463">
          <cell r="B463">
            <v>206.375</v>
          </cell>
          <cell r="C463">
            <v>197.25</v>
          </cell>
        </row>
        <row r="464">
          <cell r="B464">
            <v>206.4</v>
          </cell>
          <cell r="C464">
            <v>198.4</v>
          </cell>
        </row>
        <row r="465">
          <cell r="B465">
            <v>206.42500000000001</v>
          </cell>
          <cell r="C465">
            <v>199.55</v>
          </cell>
        </row>
        <row r="466">
          <cell r="B466">
            <v>206.45</v>
          </cell>
          <cell r="C466">
            <v>200.7</v>
          </cell>
        </row>
        <row r="467">
          <cell r="B467">
            <v>206.47499999999999</v>
          </cell>
          <cell r="C467">
            <v>201.85</v>
          </cell>
        </row>
        <row r="468">
          <cell r="B468">
            <v>206.5</v>
          </cell>
          <cell r="C468">
            <v>203</v>
          </cell>
        </row>
        <row r="469">
          <cell r="B469">
            <v>206.52500000000001</v>
          </cell>
          <cell r="C469">
            <v>204.17500000000001</v>
          </cell>
        </row>
        <row r="470">
          <cell r="B470">
            <v>206.55</v>
          </cell>
          <cell r="C470">
            <v>205.35</v>
          </cell>
        </row>
        <row r="471">
          <cell r="B471">
            <v>206.57499999999999</v>
          </cell>
          <cell r="C471">
            <v>206.52500000000001</v>
          </cell>
        </row>
        <row r="472">
          <cell r="B472">
            <v>206.6</v>
          </cell>
          <cell r="C472">
            <v>207.7</v>
          </cell>
        </row>
        <row r="473">
          <cell r="B473">
            <v>206.625</v>
          </cell>
          <cell r="C473">
            <v>208.875</v>
          </cell>
        </row>
        <row r="474">
          <cell r="B474">
            <v>206.65</v>
          </cell>
          <cell r="C474">
            <v>210.05</v>
          </cell>
        </row>
        <row r="475">
          <cell r="B475">
            <v>206.67500000000001</v>
          </cell>
          <cell r="C475">
            <v>211.22499999999999</v>
          </cell>
        </row>
        <row r="476">
          <cell r="B476">
            <v>206.7</v>
          </cell>
          <cell r="C476">
            <v>212.4</v>
          </cell>
        </row>
        <row r="477">
          <cell r="B477">
            <v>206.72499999999999</v>
          </cell>
          <cell r="C477">
            <v>213.57499999999999</v>
          </cell>
        </row>
        <row r="478">
          <cell r="B478">
            <v>206.75</v>
          </cell>
          <cell r="C478">
            <v>214.75</v>
          </cell>
        </row>
        <row r="479">
          <cell r="B479">
            <v>206.77500000000001</v>
          </cell>
          <cell r="C479">
            <v>215.92500000000001</v>
          </cell>
        </row>
        <row r="480">
          <cell r="B480">
            <v>206.8</v>
          </cell>
          <cell r="C480">
            <v>217.1</v>
          </cell>
        </row>
        <row r="481">
          <cell r="B481">
            <v>206.82499999999999</v>
          </cell>
          <cell r="C481">
            <v>218.27500000000001</v>
          </cell>
        </row>
        <row r="482">
          <cell r="B482">
            <v>206.85</v>
          </cell>
          <cell r="C482">
            <v>219.45</v>
          </cell>
        </row>
        <row r="483">
          <cell r="B483">
            <v>206.875</v>
          </cell>
          <cell r="C483">
            <v>220.625</v>
          </cell>
        </row>
        <row r="484">
          <cell r="B484">
            <v>206.9</v>
          </cell>
          <cell r="C484">
            <v>221.8</v>
          </cell>
        </row>
        <row r="485">
          <cell r="B485">
            <v>206.92500000000001</v>
          </cell>
          <cell r="C485">
            <v>222.97499999999999</v>
          </cell>
        </row>
        <row r="486">
          <cell r="B486">
            <v>206.95</v>
          </cell>
          <cell r="C486">
            <v>224.15</v>
          </cell>
        </row>
        <row r="487">
          <cell r="B487">
            <v>206.97499999999999</v>
          </cell>
          <cell r="C487">
            <v>225.32499999999999</v>
          </cell>
        </row>
        <row r="488">
          <cell r="B488">
            <v>207</v>
          </cell>
          <cell r="C488">
            <v>226.5</v>
          </cell>
        </row>
        <row r="489">
          <cell r="B489">
            <v>207.02500000000001</v>
          </cell>
          <cell r="C489">
            <v>227.8</v>
          </cell>
        </row>
        <row r="490">
          <cell r="B490">
            <v>207.05</v>
          </cell>
          <cell r="C490">
            <v>229.1</v>
          </cell>
        </row>
        <row r="491">
          <cell r="B491">
            <v>207.07499999999999</v>
          </cell>
          <cell r="C491">
            <v>230.4</v>
          </cell>
        </row>
        <row r="492">
          <cell r="B492">
            <v>207.1</v>
          </cell>
          <cell r="C492">
            <v>231.7</v>
          </cell>
        </row>
        <row r="493">
          <cell r="B493">
            <v>207.125</v>
          </cell>
          <cell r="C493">
            <v>233</v>
          </cell>
        </row>
        <row r="494">
          <cell r="B494">
            <v>207.15</v>
          </cell>
          <cell r="C494">
            <v>234.3</v>
          </cell>
        </row>
        <row r="495">
          <cell r="B495">
            <v>207.17500000000001</v>
          </cell>
          <cell r="C495">
            <v>235.6</v>
          </cell>
        </row>
        <row r="496">
          <cell r="B496">
            <v>207.2</v>
          </cell>
          <cell r="C496">
            <v>236.9</v>
          </cell>
        </row>
        <row r="497">
          <cell r="B497">
            <v>207.22499999999999</v>
          </cell>
          <cell r="C497">
            <v>238.2</v>
          </cell>
        </row>
        <row r="498">
          <cell r="B498">
            <v>207.25</v>
          </cell>
          <cell r="C498">
            <v>239.5</v>
          </cell>
        </row>
        <row r="499">
          <cell r="B499">
            <v>207.27500000000001</v>
          </cell>
          <cell r="C499">
            <v>240.8</v>
          </cell>
        </row>
        <row r="500">
          <cell r="B500">
            <v>207.3</v>
          </cell>
          <cell r="C500">
            <v>242.1</v>
          </cell>
        </row>
        <row r="501">
          <cell r="B501">
            <v>207.32499999999999</v>
          </cell>
          <cell r="C501">
            <v>243.4</v>
          </cell>
        </row>
        <row r="502">
          <cell r="B502">
            <v>207.35</v>
          </cell>
          <cell r="C502">
            <v>244.7</v>
          </cell>
        </row>
        <row r="503">
          <cell r="B503">
            <v>207.375</v>
          </cell>
          <cell r="C503">
            <v>246</v>
          </cell>
        </row>
        <row r="504">
          <cell r="B504">
            <v>207.4</v>
          </cell>
          <cell r="C504">
            <v>247.3</v>
          </cell>
        </row>
        <row r="505">
          <cell r="B505">
            <v>207.42500000000001</v>
          </cell>
          <cell r="C505">
            <v>248.6</v>
          </cell>
        </row>
        <row r="506">
          <cell r="B506">
            <v>207.45</v>
          </cell>
          <cell r="C506">
            <v>249.9</v>
          </cell>
        </row>
        <row r="507">
          <cell r="B507">
            <v>207.47499999999999</v>
          </cell>
          <cell r="C507">
            <v>251.2</v>
          </cell>
        </row>
        <row r="508">
          <cell r="B508">
            <v>207.5</v>
          </cell>
          <cell r="C508">
            <v>252.5</v>
          </cell>
        </row>
        <row r="509">
          <cell r="B509">
            <v>207.52500000000001</v>
          </cell>
          <cell r="C509">
            <v>253.92500000000001</v>
          </cell>
        </row>
        <row r="510">
          <cell r="B510">
            <v>207.55</v>
          </cell>
          <cell r="C510">
            <v>255.35</v>
          </cell>
        </row>
        <row r="511">
          <cell r="B511">
            <v>207.57499999999999</v>
          </cell>
          <cell r="C511">
            <v>256.77499999999998</v>
          </cell>
        </row>
        <row r="512">
          <cell r="B512">
            <v>207.6</v>
          </cell>
          <cell r="C512">
            <v>258.2</v>
          </cell>
        </row>
        <row r="513">
          <cell r="B513">
            <v>207.625</v>
          </cell>
          <cell r="C513">
            <v>259.625</v>
          </cell>
        </row>
        <row r="514">
          <cell r="B514">
            <v>207.65</v>
          </cell>
          <cell r="C514">
            <v>261.05</v>
          </cell>
        </row>
        <row r="515">
          <cell r="B515">
            <v>207.67500000000001</v>
          </cell>
          <cell r="C515">
            <v>262.47500000000002</v>
          </cell>
        </row>
        <row r="516">
          <cell r="B516">
            <v>207.7</v>
          </cell>
          <cell r="C516">
            <v>263.89999999999998</v>
          </cell>
        </row>
        <row r="517">
          <cell r="B517">
            <v>207.72499999999999</v>
          </cell>
          <cell r="C517">
            <v>265.32499999999999</v>
          </cell>
        </row>
        <row r="518">
          <cell r="B518">
            <v>207.75</v>
          </cell>
          <cell r="C518">
            <v>266.75</v>
          </cell>
        </row>
        <row r="519">
          <cell r="B519">
            <v>207.77500000000001</v>
          </cell>
          <cell r="C519">
            <v>268.17500000000001</v>
          </cell>
        </row>
        <row r="520">
          <cell r="B520">
            <v>207.8</v>
          </cell>
          <cell r="C520">
            <v>269.60000000000002</v>
          </cell>
        </row>
        <row r="521">
          <cell r="B521">
            <v>207.82499999999999</v>
          </cell>
          <cell r="C521">
            <v>271.02499999999998</v>
          </cell>
        </row>
        <row r="522">
          <cell r="B522">
            <v>207.85</v>
          </cell>
          <cell r="C522">
            <v>272.45</v>
          </cell>
        </row>
        <row r="523">
          <cell r="B523">
            <v>207.875</v>
          </cell>
          <cell r="C523">
            <v>273.875</v>
          </cell>
        </row>
        <row r="524">
          <cell r="B524">
            <v>207.9</v>
          </cell>
          <cell r="C524">
            <v>275.3</v>
          </cell>
        </row>
        <row r="525">
          <cell r="B525">
            <v>207.92500000000001</v>
          </cell>
          <cell r="C525">
            <v>276.72500000000002</v>
          </cell>
        </row>
        <row r="526">
          <cell r="B526">
            <v>207.95</v>
          </cell>
          <cell r="C526">
            <v>278.14999999999998</v>
          </cell>
        </row>
        <row r="527">
          <cell r="B527">
            <v>207.97499999999999</v>
          </cell>
          <cell r="C527">
            <v>279.57499999999999</v>
          </cell>
        </row>
        <row r="528">
          <cell r="B528">
            <v>208</v>
          </cell>
          <cell r="C528">
            <v>281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"/>
      <sheetName val="BHUSAWAL"/>
      <sheetName val="F1(Bhu)"/>
      <sheetName val="F2.1(Bhu)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Chandrapur"/>
      <sheetName val="F1(Cha)"/>
      <sheetName val="F2.1(Cha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(Cha)"/>
      <sheetName val="F5.1(Cha)"/>
      <sheetName val="F5.2(Cha)"/>
      <sheetName val="F5.3(Cha)"/>
      <sheetName val="F5.4(Cha)"/>
      <sheetName val="F6(Cha)"/>
      <sheetName val="F11(Cha)"/>
      <sheetName val="F12(Cha)"/>
      <sheetName val="Koradi"/>
      <sheetName val="F1(Kor)"/>
      <sheetName val="F2.1(Kor)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(Kor)"/>
      <sheetName val="F5.1(Kor)"/>
      <sheetName val="F5.2(Kor)"/>
      <sheetName val="F5.3(Kor)"/>
      <sheetName val="F5.4(Kor)"/>
      <sheetName val="F6(Kor)"/>
      <sheetName val="F11(Kor)"/>
      <sheetName val="F12(Kor)"/>
      <sheetName val="Paras"/>
      <sheetName val="F1(Paras)"/>
      <sheetName val="F2.1(Paras)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1(Parli)"/>
      <sheetName val="F2.1(Parli)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1(Kha)"/>
      <sheetName val="F2.1(Kha)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1(Nasi)"/>
      <sheetName val="F2.1(Nasi)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2(Nasi)"/>
      <sheetName val="F5.3(Nasi)"/>
      <sheetName val="F5.4(Nasi)"/>
      <sheetName val="F6(Nasi)"/>
      <sheetName val="F11(Nasi)"/>
      <sheetName val="F12(Nasi)"/>
      <sheetName val="Uran"/>
      <sheetName val="F1(Uran)"/>
      <sheetName val="F2.1(Uran)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1(Hydro)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Hydro)"/>
      <sheetName val="F4(Koyna)"/>
      <sheetName val="F4(PuneHydro)"/>
      <sheetName val="F4(NasikHydro)"/>
      <sheetName val="F5(Hydro)"/>
      <sheetName val="F5.1(Hydro)"/>
      <sheetName val="F5.2(Hydro)"/>
      <sheetName val="F5.3(PuneHydro)"/>
      <sheetName val="F5.4(PuneHydro)"/>
      <sheetName val="F5.3(NasikHydro)"/>
      <sheetName val="F5.4(NasikHydro)"/>
      <sheetName val="F5.3(Koyna)"/>
      <sheetName val="F5.4(Koyna)"/>
      <sheetName val="F6(Hydro)"/>
      <sheetName val="F11(Hydro)"/>
      <sheetName val="F12(Hydro)"/>
      <sheetName val="Level_qty"/>
    </sheetNames>
    <sheetDataSet>
      <sheetData sheetId="0">
        <row r="4">
          <cell r="B4">
            <v>7.8600000000000003E-2</v>
          </cell>
        </row>
        <row r="5">
          <cell r="B5">
            <v>7.8600000000000003E-2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I"/>
      <sheetName val="DRS"/>
      <sheetName val="6 mths price data"/>
      <sheetName val="EPS"/>
      <sheetName val="ACT"/>
      <sheetName val="SEGMENT"/>
      <sheetName val="Sheet3"/>
      <sheetName val="SW"/>
      <sheetName val="BASE"/>
      <sheetName val="RRT"/>
      <sheetName val="INDEX"/>
      <sheetName val="QR"/>
      <sheetName val="Sheet1"/>
      <sheetName val="Income-Expn. summary"/>
      <sheetName val="PAT Correspondeing"/>
      <sheetName val="PAT-Trailing"/>
      <sheetName val="hilights"/>
      <sheetName val="Sheet2"/>
      <sheetName val="DIVNWISE"/>
      <sheetName val="segwise"/>
      <sheetName val="EPC Profit"/>
      <sheetName val="PROFIT RECO"/>
      <sheetName val="agtotal"/>
      <sheetName val="A&amp;G"/>
      <sheetName val="BS"/>
      <sheetName val="RATIO"/>
      <sheetName val="WORK-RATIO"/>
      <sheetName val="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"/>
      <sheetName val="PRESFMS"/>
      <sheetName val="Ohds"/>
      <sheetName val="Assumptions"/>
      <sheetName val="mancount"/>
      <sheetName val="HI-TARGE"/>
      <sheetName val="Company"/>
      <sheetName val="Share capital"/>
      <sheetName val="Reserve and surplus"/>
      <sheetName val="Other current liabilities"/>
      <sheetName val="FA"/>
      <sheetName val="Intangible assets"/>
      <sheetName val="Deferred tax assets"/>
      <sheetName val="Loans and advances Non cur"/>
      <sheetName val="Cur. Trade rece. &amp; othr asst"/>
      <sheetName val="Balance Sheet"/>
      <sheetName val="Deatiled FA"/>
      <sheetName val="UK"/>
      <sheetName val="Pre ROTW Revenues"/>
      <sheetName val="Share_capital"/>
      <sheetName val="Reserve_and_surplus"/>
      <sheetName val="Other_current_liabilities"/>
      <sheetName val="Intangible_assets"/>
      <sheetName val="Deferred_tax_assets"/>
      <sheetName val="Loans_and_advances_Non_cur"/>
      <sheetName val="Cur__Trade_rece__&amp;_othr_asst"/>
      <sheetName val="Balance_Sheet"/>
      <sheetName val="Deatiled_FA"/>
      <sheetName val="Pre_ROTW_Revenues"/>
      <sheetName val="programming"/>
      <sheetName val="Data Validation"/>
      <sheetName val="TB BS 12"/>
      <sheetName val="TB-BS-11"/>
      <sheetName val="Profit &amp; Loss"/>
      <sheetName val="Notes Balance Sheet"/>
      <sheetName val="Notes profit &amp; Loss Account"/>
      <sheetName val="TB PL"/>
      <sheetName val="Final DEP CO ACT"/>
      <sheetName val="TB-BS-12"/>
      <sheetName val="TB BS 13"/>
      <sheetName val="tbc"/>
      <sheetName val="Invoicewise rev for PoC"/>
      <sheetName val="DA"/>
      <sheetName val="GL Analyser"/>
      <sheetName val="SKU GUIDE"/>
      <sheetName val="Share_capital1"/>
      <sheetName val="Reserve_and_surplus1"/>
      <sheetName val="Other_current_liabilities1"/>
      <sheetName val="Intangible_assets1"/>
      <sheetName val="Deferred_tax_assets1"/>
      <sheetName val="Loans_and_advances_Non_cur1"/>
      <sheetName val="Cur__Trade_rece__&amp;_othr_asst1"/>
      <sheetName val="Balance_Sheet1"/>
      <sheetName val="Deatiled_FA1"/>
      <sheetName val="Pre_ROTW_Revenues1"/>
      <sheetName val="TB_BS_12"/>
      <sheetName val="Profit_&amp;_Loss"/>
      <sheetName val="Notes_Balance_Sheet"/>
      <sheetName val="Notes_profit_&amp;_Loss_Account"/>
      <sheetName val="TB_PL"/>
      <sheetName val="Final_DEP_CO_ACT"/>
      <sheetName val="TB_BS_13"/>
      <sheetName val="Data_Validation"/>
      <sheetName val="GL_Analyser"/>
      <sheetName val="SKU_GUIDE"/>
      <sheetName val="Comb PL"/>
      <sheetName val="HBO PL"/>
      <sheetName val="Sheet2"/>
      <sheetName val="BLST_MAR.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dg_Identn_Report_Ph_I"/>
      <sheetName val="SE Data"/>
      <sheetName val="10-city points"/>
      <sheetName val="rollout"/>
      <sheetName val="City Data"/>
      <sheetName val="IDC Services"/>
      <sheetName val="Wireline Data Services"/>
      <sheetName val="Customer Points"/>
      <sheetName val="Dedicated Internet Service"/>
      <sheetName val="Leased Line Services"/>
      <sheetName val="VPN Services"/>
      <sheetName val="A"/>
      <sheetName val="10_city poi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IDCOR TB (2)"/>
      <sheetName val="ITNL TB 31-12-07"/>
      <sheetName val="RIDCOR TB (3)"/>
      <sheetName val="tBal"/>
      <sheetName val="Sheet2"/>
      <sheetName val="Seg Dhaval"/>
      <sheetName val="Seg ankit"/>
      <sheetName val="Consolidated"/>
      <sheetName val="RIDCOR TB"/>
      <sheetName val="Cash Flow"/>
      <sheetName val="BS"/>
      <sheetName val="P L "/>
      <sheetName val="Equity"/>
      <sheetName val="Resrves"/>
      <sheetName val="Loans"/>
      <sheetName val="FA(!)"/>
      <sheetName val="FA"/>
      <sheetName val="Fixed Assets Top Sheet- Consol"/>
      <sheetName val="Fixed Asset Register Sep 07"/>
      <sheetName val="FA(!) (2)"/>
      <sheetName val="Investment"/>
      <sheetName val="Advances"/>
      <sheetName val="Laibilities"/>
      <sheetName val="Income"/>
      <sheetName val="Other Income"/>
      <sheetName val="income from units"/>
      <sheetName val="Employee"/>
      <sheetName val="Exps"/>
      <sheetName val="Interest"/>
      <sheetName val="cash"/>
      <sheetName val="Segment top sheet"/>
      <sheetName val="Segemnt working"/>
      <sheetName val="Income Tax"/>
      <sheetName val="MAIN-COMP"/>
      <sheetName val="MAIN-COMP (2)"/>
      <sheetName val="Annex-B (3)"/>
      <sheetName val="deferred Tax"/>
      <sheetName val="eps"/>
      <sheetName val="Notes (AS15)"/>
      <sheetName val="Notes"/>
      <sheetName val="FBT"/>
      <sheetName val="Sheet3"/>
      <sheetName val="Revenue Summary08-09"/>
      <sheetName val="TNRDC-Break-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IDCOR TB (2)"/>
      <sheetName val="ITNL TB 31-12-07"/>
      <sheetName val="RIDCOR TB (3)"/>
      <sheetName val="tBal"/>
      <sheetName val="Sheet2"/>
      <sheetName val="Seg Dhaval"/>
      <sheetName val="Seg ankit"/>
      <sheetName val="Consolidated"/>
      <sheetName val="RIDCOR TB"/>
      <sheetName val="Cash Flow"/>
      <sheetName val="BS"/>
      <sheetName val="P L "/>
      <sheetName val="Equity"/>
      <sheetName val="Resrves"/>
      <sheetName val="Loans"/>
      <sheetName val="FA(!)"/>
      <sheetName val="FA"/>
      <sheetName val="Fixed Assets Top Sheet- Consol"/>
      <sheetName val="Fixed Asset Register Sep 07"/>
      <sheetName val="FA(!) (2)"/>
      <sheetName val="Investment"/>
      <sheetName val="Advances"/>
      <sheetName val="Laibilities"/>
      <sheetName val="Income"/>
      <sheetName val="Other Income"/>
      <sheetName val="income from units"/>
      <sheetName val="Employee"/>
      <sheetName val="Exps"/>
      <sheetName val="Interest"/>
      <sheetName val="cash"/>
      <sheetName val="Segment top sheet"/>
      <sheetName val="Segemnt working"/>
      <sheetName val="Income Tax"/>
      <sheetName val="MAIN-COMP"/>
      <sheetName val="MAIN-COMP (2)"/>
      <sheetName val="Annex-B (3)"/>
      <sheetName val="deferred Tax"/>
      <sheetName val="eps"/>
      <sheetName val="Notes (AS15)"/>
      <sheetName val="Notes"/>
      <sheetName val="FBT"/>
      <sheetName val="Sheet3"/>
      <sheetName val="Revenue Summary08-09"/>
      <sheetName val="TNRDC-Break-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 Done"/>
      <sheetName val="Pivot Table"/>
      <sheetName val="O&amp;M"/>
      <sheetName val="Toll"/>
      <sheetName val="PLL"/>
      <sheetName val="O&amp;M ledger"/>
      <sheetName val="Toll ledger"/>
      <sheetName val="O&amp;M Amtrl"/>
      <sheetName val="Debit Sample Data"/>
      <sheetName val="CMA_Calculations"/>
      <sheetName val="CMA_Selections"/>
      <sheetName val="Samples Selected"/>
      <sheetName val="XREF"/>
      <sheetName val="Tickmarks"/>
      <sheetName val="CMA_SampleDesign"/>
      <sheetName val="DialogInse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Calculation (2)"/>
      <sheetName val="10-city points"/>
      <sheetName val="CRITERIA4"/>
    </sheetNames>
    <sheetDataSet>
      <sheetData sheetId="0" refreshError="1">
        <row r="61">
          <cell r="A61" t="str">
            <v>21 - Sec 115WD(1)</v>
          </cell>
        </row>
        <row r="62">
          <cell r="A62" t="str">
            <v>22 - Sec 115WD(2)</v>
          </cell>
        </row>
        <row r="63">
          <cell r="A63" t="str">
            <v>23 - Sec 115WH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"/>
      <sheetName val="JJ"/>
      <sheetName val="KM"/>
      <sheetName val="HS"/>
      <sheetName val="JU"/>
      <sheetName val="AP"/>
      <sheetName val="PR"/>
      <sheetName val="LJ 1"/>
      <sheetName val="LJ 2"/>
      <sheetName val="AS"/>
      <sheetName val="HK"/>
      <sheetName val="Toll-I summary"/>
      <sheetName val="Sensitivity Analysis-II"/>
      <sheetName val="Assumption-II"/>
      <sheetName val="Phasing-II"/>
      <sheetName val="Toll-II-old"/>
      <sheetName val="Sheet2"/>
      <sheetName val="Tax"/>
      <sheetName val="KK stretch"/>
      <sheetName val="Toll-II-Summary"/>
      <sheetName val="DSCR - II"/>
      <sheetName val="Financials- II"/>
      <sheetName val="Operation Working-II"/>
      <sheetName val="Operation Working-II-old"/>
      <sheetName val="Depreciat-I"/>
      <sheetName val="Debt-I"/>
      <sheetName val="Financials-I"/>
      <sheetName val="Consol- I &amp; II"/>
      <sheetName val="Indic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EPC-Issues"/>
      <sheetName val="MILESTONE-RAIL"/>
      <sheetName val="MILESTONES-LSHS"/>
      <sheetName val="fco"/>
      <sheetName val="BAL_JOB_LIST"/>
      <sheetName val="BAL-INST"/>
      <sheetName val="Rev-Overall"/>
      <sheetName val="PENDING-SYS"/>
      <sheetName val="SYS-OWNERS"/>
      <sheetName val="Rev-Summary"/>
      <sheetName val="LOOP-SPREAD"/>
      <sheetName val="OVERALL-RFSU"/>
      <sheetName val="Phase-1"/>
      <sheetName val="LOOP-PROFILE"/>
      <sheetName val="Overall"/>
      <sheetName val="Sys-Handover"/>
      <sheetName val="MANP-FORMAT"/>
      <sheetName val="MANPOWER-Overall"/>
      <sheetName val="Sheet5"/>
      <sheetName val="concrete-L3"/>
      <sheetName val="pipe-fab-L3"/>
      <sheetName val="pipe-Install-L3"/>
      <sheetName val="Sheet6"/>
      <sheetName val="Rev-1-Lvl-2-Overall"/>
      <sheetName val="Lvl-2-Overall- Latest "/>
      <sheetName val="CONCRETE "/>
      <sheetName val="STRL-STEEL"/>
      <sheetName val="U-G-Piping (1)"/>
      <sheetName val="A-G-PIPING(1)"/>
      <sheetName val="Tankage-Report"/>
      <sheetName val="Tankages-New"/>
      <sheetName val="ARCHBLDG"/>
      <sheetName val="RCB %"/>
      <sheetName val="CIVIL-SITE-IMPR."/>
      <sheetName val="RAIL-ROAD"/>
      <sheetName val="FLARE"/>
      <sheetName val="OVERALL-PKG"/>
      <sheetName val="SSTP-PKG"/>
      <sheetName val="ETP-PKG"/>
      <sheetName val="COKE-PKG"/>
      <sheetName val="CAUSTIC-PKG"/>
      <sheetName val="INSTRUMENT"/>
      <sheetName val="OVERALL-MECH"/>
      <sheetName val="MECH_VESSEL"/>
      <sheetName val="MECH_PUMPS"/>
      <sheetName val="MECH_L-UL"/>
      <sheetName val="MECH_OTHERS"/>
      <sheetName val="TANKAGE-DETAIL"/>
      <sheetName val="Manpower"/>
      <sheetName val="P&amp;M"/>
      <sheetName val="biweek_qty-1"/>
      <sheetName val="biweek_qty-2"/>
      <sheetName val="Front-Analy"/>
      <sheetName val="Hydro-Loop"/>
      <sheetName val="Overall_crit_issues"/>
    </sheetNames>
    <sheetDataSet>
      <sheetData sheetId="0"/>
      <sheetData sheetId="1"/>
      <sheetData sheetId="2"/>
      <sheetData sheetId="3"/>
      <sheetData sheetId="4" refreshError="1">
        <row r="1">
          <cell r="B1" t="str">
            <v>FCO NO.</v>
          </cell>
          <cell r="C1" t="str">
            <v>UNIT</v>
          </cell>
          <cell r="D1" t="str">
            <v>DATE OF RECEIPT</v>
          </cell>
          <cell r="F1" t="str">
            <v>Unit</v>
          </cell>
          <cell r="G1" t="str">
            <v>DESCRIPTION OF " FCO "</v>
          </cell>
          <cell r="H1" t="str">
            <v>Tot mhr</v>
          </cell>
          <cell r="I1" t="str">
            <v>closeout</v>
          </cell>
          <cell r="J1" t="str">
            <v>DRG  STATUS</v>
          </cell>
          <cell r="K1" t="str">
            <v>CONSTN. STATUS</v>
          </cell>
          <cell r="L1" t="str">
            <v xml:space="preserve">REMARKS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rv PROV"/>
      <sheetName val="Sarv CG"/>
      <sheetName val="sim"/>
      <sheetName val="SIM PROV"/>
      <sheetName val="Sim CG"/>
      <sheetName val="VIR STATUS"/>
      <sheetName val="vIRprov"/>
      <sheetName val="VIR DEP"/>
      <sheetName val="VIR CG"/>
      <sheetName val="Tax Status"/>
      <sheetName val="prov"/>
      <sheetName val="depn 32"/>
      <sheetName val="capitalgain"/>
      <sheetName val="sARV"/>
      <sheetName val="43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 _2_"/>
      <sheetName val="LISTS"/>
      <sheetName val="Inputs"/>
      <sheetName val="DEPRE"/>
      <sheetName val="Income &amp; Occupancy Customer"/>
      <sheetName val="M-2 Adjusted"/>
      <sheetName val="Main workings"/>
      <sheetName val="assumptions"/>
      <sheetName val="Input"/>
      <sheetName val="Calculation (2)"/>
      <sheetName val="QoQ Forecast"/>
      <sheetName val="Set"/>
      <sheetName val="Income Statements"/>
      <sheetName val="Main Sheet (MTD)"/>
      <sheetName val="Consl Daily Report"/>
      <sheetName val="Acc_10_5"/>
      <sheetName val="Preside"/>
      <sheetName val="balance sheet"/>
      <sheetName val="fco"/>
      <sheetName val="Factor_Sheet"/>
      <sheetName val="download"/>
      <sheetName val="170810-lease tax"/>
      <sheetName val="유통망계획"/>
      <sheetName val="CV"/>
      <sheetName val="ES(Kor)"/>
      <sheetName val="JCF"/>
      <sheetName val="Multiple output"/>
      <sheetName val="sheet6"/>
      <sheetName val="Sheet3_(2)"/>
      <sheetName val="Sheet3__2_"/>
      <sheetName val="TIll_Q_sal"/>
      <sheetName val="tiller"/>
      <sheetName val="analysis"/>
      <sheetName val="BBEuros"/>
      <sheetName val="InvoiceList"/>
      <sheetName val="ABP inputs"/>
      <sheetName val="Synergy Sales Budget"/>
      <sheetName val="Project Budget Worksheet"/>
      <sheetName val="F1a-Pile"/>
      <sheetName val="Builtup Area"/>
      <sheetName val="INDIGINEOUS ITEMS "/>
      <sheetName val="Headings"/>
      <sheetName val="RCC,Ret. Wall"/>
      <sheetName val="BOQ T4B"/>
      <sheetName val="Summary"/>
      <sheetName val="노무비"/>
      <sheetName val="Formulas"/>
      <sheetName val="Global Assm."/>
      <sheetName val="Sheet2"/>
      <sheetName val="van khuon"/>
      <sheetName val="Names"/>
      <sheetName val="Introduction"/>
      <sheetName val="IDC macro"/>
      <sheetName val="SALE"/>
      <sheetName val="Aladdin Macro1"/>
      <sheetName val="BalSht"/>
      <sheetName val="Acc_10.5"/>
      <sheetName val="q-details"/>
      <sheetName val="International"/>
      <sheetName val="Internet"/>
      <sheetName val="Occ"/>
      <sheetName val="Demand"/>
      <sheetName val="Ref"/>
      <sheetName val="EBITDA"/>
      <sheetName val="Income_Statements"/>
      <sheetName val="QoQ_Forecast"/>
      <sheetName val="Portfolio Summary"/>
      <sheetName val="Depreciation"/>
      <sheetName val="MIS - kINR"/>
      <sheetName val="GBW"/>
      <sheetName val="Material "/>
      <sheetName val="Labour &amp; Plant"/>
      <sheetName val="Design"/>
      <sheetName val="BOQ"/>
      <sheetName val=" B3"/>
      <sheetName val=" B1"/>
      <sheetName val="Lead"/>
      <sheetName val="Main-Material"/>
      <sheetName val="Sheet1"/>
      <sheetName val="beam-reinft-IIInd floor"/>
      <sheetName val="CFForecast detail"/>
      <sheetName val="Site Dev BOQ"/>
      <sheetName val="Break up Sheet"/>
      <sheetName val="Vind-BtB"/>
      <sheetName val="Approved MTD Proj #'s"/>
      <sheetName val="MN T.B."/>
      <sheetName val="Load Details-220kV"/>
      <sheetName val="Block A - BOQ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Aladdin_Macro1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trand"/>
      <sheetName val="CABLE DATA"/>
      <sheetName val="1st flr"/>
      <sheetName val="final abstract"/>
      <sheetName val="Rate analysis"/>
      <sheetName val="Rollup Summary"/>
      <sheetName val="CapitalOutlay"/>
      <sheetName val="Assum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02"/>
      <sheetName val="03"/>
      <sheetName val="04"/>
      <sheetName val="01"/>
      <sheetName val="Civil Boq"/>
      <sheetName val="02022005"/>
      <sheetName val="16022005"/>
      <sheetName val="05012005"/>
      <sheetName val="19012005"/>
      <sheetName val="02032005"/>
      <sheetName val="16032005"/>
      <sheetName val="30032005"/>
      <sheetName val="Summary Excise"/>
      <sheetName val="BS"/>
      <sheetName val="Other BS Sch 5-9"/>
      <sheetName val="Excess Calc"/>
      <sheetName val="Grouping Master"/>
      <sheetName val="Current Bill MB ref"/>
      <sheetName val="Meas.-Hotel Part"/>
      <sheetName val="March Analysts"/>
      <sheetName val="Company"/>
      <sheetName val="compu"/>
      <sheetName val="P &amp; L"/>
      <sheetName val="PLAN_FEB97"/>
      <sheetName val="Fin Sum"/>
      <sheetName val="Sheet3_(2)5"/>
      <sheetName val="Sheet3__2_5"/>
      <sheetName val="Calculation_(2)5"/>
      <sheetName val="Multiple_output5"/>
      <sheetName val="170810-lease_tax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Main_Sheet_(MTD)"/>
      <sheetName val="Consl_Daily_Report"/>
      <sheetName val="balance_sheet"/>
      <sheetName val="van_khuon"/>
      <sheetName val="IDC_macro"/>
      <sheetName val="Aladdin_Macro15"/>
      <sheetName val="Acc_10_55"/>
      <sheetName val="Portfolio_Summary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F"/>
      <sheetName val="EXHIBIT&quot; T&quot;"/>
      <sheetName val="Turnover"/>
      <sheetName val="SCH-E-1"/>
      <sheetName val="BIPR"/>
      <sheetName val="BPCA"/>
      <sheetName val="BBRS"/>
      <sheetName val="KPM DT"/>
      <sheetName val="QoQ In Lakhs"/>
      <sheetName val="GENERAL2"/>
      <sheetName val="Master Price List"/>
      <sheetName val="reference"/>
      <sheetName val="new_data"/>
      <sheetName val="earnmodl"/>
      <sheetName val="Dom Cell (IS)"/>
      <sheetName val="TB_FOR_MIS"/>
      <sheetName val="Area"/>
      <sheetName val="TB FOR MIS"/>
      <sheetName val="INPUT SHEET"/>
      <sheetName val="IMPORT T12"/>
      <sheetName val="CAP"/>
      <sheetName val="ANN.K"/>
      <sheetName val=" Acc. Sched."/>
      <sheetName val="RNT"/>
      <sheetName val="Combi"/>
      <sheetName val="sept-plan"/>
      <sheetName val="classes"/>
      <sheetName val="IT Block"/>
      <sheetName val="Location CODE"/>
      <sheetName val="Location TYPE"/>
      <sheetName val="sub class"/>
      <sheetName val=" sub Loc "/>
      <sheetName val="LBO"/>
      <sheetName val="EDS  Bestshore Migration"/>
      <sheetName val="NewCo"/>
      <sheetName val="Summ"/>
      <sheetName val="Fossil_DCF"/>
      <sheetName val="SOPMA DD"/>
      <sheetName val="03 (2)"/>
      <sheetName val="WIng F(Typical)"/>
      <sheetName val="FlashMgtMo"/>
      <sheetName val="FlashMgtYTD"/>
      <sheetName val="?????"/>
      <sheetName val="Budget Summary"/>
      <sheetName val="Index"/>
      <sheetName val="Rates"/>
      <sheetName val="Params"/>
      <sheetName val="ras"/>
      <sheetName val="CashFlow"/>
      <sheetName val="TB"/>
      <sheetName val="Training Deposits coding"/>
      <sheetName val="PLGroupings"/>
      <sheetName val="Results"/>
      <sheetName val="OpRes"/>
      <sheetName val="master"/>
      <sheetName val="Balance Sheet "/>
      <sheetName val="Macro1"/>
      <sheetName val="Licences"/>
      <sheetName val="OpTrack"/>
      <sheetName val="AOR"/>
      <sheetName val="Sheet3"/>
      <sheetName val="Current_Bill_MB_ref"/>
      <sheetName val="Meas_-Hotel_Part"/>
      <sheetName val="Portfolio_Summary1"/>
      <sheetName val="Current_Bill_MB_ref1"/>
      <sheetName val="Meas_-Hotel_Part1"/>
      <sheetName val="Open Items-311208"/>
      <sheetName val="Fin_Sum"/>
      <sheetName val="Cash Flow Working"/>
      <sheetName val="IMPORT_T12"/>
      <sheetName val="KPM_DT"/>
      <sheetName val="Task"/>
      <sheetName val="CARO"/>
      <sheetName val="Pay_Sep06"/>
      <sheetName val="DET0900"/>
      <sheetName val="Theatre mgmt cont"/>
      <sheetName val="Legal Risk Analysis"/>
      <sheetName val="#REF"/>
      <sheetName val="Data"/>
      <sheetName val="Architectural Summary"/>
      <sheetName val="Hot"/>
      <sheetName val="Mico"/>
      <sheetName val="Variables_x"/>
      <sheetName val="Variables"/>
      <sheetName val="Publicbuilding"/>
      <sheetName val="Non-Factory"/>
      <sheetName val="IO LIST"/>
      <sheetName val="Fill this out first..."/>
      <sheetName val="extra work elec bill "/>
      <sheetName val="Sensitivity"/>
      <sheetName val="Beam at Ground flr lvl(Steel)"/>
      <sheetName val="AREAS"/>
      <sheetName val="sumary"/>
      <sheetName val="TH"/>
      <sheetName val="AOP13"/>
      <sheetName val="EVA1"/>
      <sheetName val="TDS Certificate-Format"/>
      <sheetName val="FA"/>
      <sheetName val="ITEM  STUDY (2)"/>
      <sheetName val="Felix Street Summary"/>
      <sheetName val="Newspapers"/>
      <sheetName val="AccDil"/>
      <sheetName val="PERHW"/>
      <sheetName val="Loss 3004"/>
      <sheetName val="Reconciliation of GL &amp; FAR"/>
      <sheetName val="97-98"/>
      <sheetName val="LBO Financials"/>
      <sheetName val="SODA02"/>
      <sheetName val="FY2001-02"/>
      <sheetName val="EXPENSES"/>
      <sheetName val="Sale Charts"/>
      <sheetName val="Assumption"/>
      <sheetName val="IO"/>
      <sheetName val="Customize Your Invoice"/>
      <sheetName val="RES-PLANNING"/>
      <sheetName val="Cost_any"/>
      <sheetName val="10. &amp; 11. Rate Code &amp; BQ"/>
      <sheetName val="FITZ MORT 94"/>
      <sheetName val="YTD"/>
      <sheetName val="HELP"/>
      <sheetName val="BS-2005"/>
      <sheetName val="MAIN_MENU"/>
      <sheetName val="exec summ"/>
      <sheetName val="Code"/>
      <sheetName val="vb 9&amp;10"/>
      <sheetName val="MASTER_RATE ANALYSIS"/>
      <sheetName val="Valuation - block 2"/>
      <sheetName val="Base Assumptions"/>
      <sheetName val="CASHFLOWS"/>
      <sheetName val="Boiler&amp;TG"/>
      <sheetName val="Ins Erection"/>
      <sheetName val="Currency"/>
      <sheetName val="ES"/>
      <sheetName val=""/>
      <sheetName val="CSCCincSKR"/>
      <sheetName val="concrete"/>
      <sheetName val="Settings"/>
      <sheetName val="Recon"/>
      <sheetName val="Commercial Research"/>
      <sheetName val="Trial Balance"/>
      <sheetName val="269T(final)"/>
      <sheetName val="GenAssump"/>
      <sheetName val="Goldberg Portfolio Combined"/>
      <sheetName val="Contribution"/>
      <sheetName val="Rx"/>
      <sheetName val="9. Package split - Cost "/>
      <sheetName val="Intaccrual"/>
      <sheetName val="SBU"/>
      <sheetName val="Menu"/>
      <sheetName val="Operating Statistics"/>
      <sheetName val="A-Mum"/>
      <sheetName val="Notes-pivot1 "/>
      <sheetName val="Leasing Commision"/>
      <sheetName val="Master list"/>
      <sheetName val="Labour List"/>
      <sheetName val="Material List"/>
      <sheetName val="Labor abs-NMR"/>
      <sheetName val="1st -vpd"/>
      <sheetName val="conc-foot-gradeslab"/>
      <sheetName val="Material List "/>
      <sheetName val="SCHEDULE"/>
      <sheetName val="Database"/>
      <sheetName val="schedule nos"/>
      <sheetName val="WT-LIST"/>
      <sheetName val="Material"/>
      <sheetName val="horizontal"/>
      <sheetName val="BKCSTOCKVAL"/>
      <sheetName val="MAHSTOCKVAL"/>
      <sheetName val="Checks"/>
      <sheetName val="FA Schedule Dec 07"/>
      <sheetName val="P.R. TAXES"/>
      <sheetName val="BILLING SUM"/>
      <sheetName val="Scope"/>
      <sheetName val="Estimate"/>
      <sheetName val="12-ACTPL"/>
      <sheetName val="Control"/>
      <sheetName val="Debtors analysis"/>
      <sheetName val="A1-Continuous"/>
      <sheetName val="pile Fabrication"/>
      <sheetName val="Improvements"/>
      <sheetName val="Capital Structure"/>
      <sheetName val="GROUPING"/>
      <sheetName val="Hardware"/>
      <sheetName val="Power &amp; Fuel (S)"/>
      <sheetName val="drop-dwn list"/>
      <sheetName val="tngst1"/>
      <sheetName val="Sheet3_(2)6"/>
      <sheetName val="Sheet3__2_6"/>
      <sheetName val="170810-lease_tax1"/>
      <sheetName val="Multiple_output6"/>
      <sheetName val="Calculation_(2)6"/>
      <sheetName val="QoQ_Forecast6"/>
      <sheetName val="Income_Statements6"/>
      <sheetName val="Income_&amp;_Occupancy_Customer6"/>
      <sheetName val="ABP_inputs6"/>
      <sheetName val="Synergy_Sales_Budget6"/>
      <sheetName val="Project_Budget_Worksheet6"/>
      <sheetName val="Builtup_Area6"/>
      <sheetName val="INDIGINEOUS_ITEMS_6"/>
      <sheetName val="RCC,Ret__Wall6"/>
      <sheetName val="BOQ_T4B6"/>
      <sheetName val="Main_Sheet_(MTD)1"/>
      <sheetName val="Consl_Daily_Report1"/>
      <sheetName val="balance_sheet1"/>
      <sheetName val="Global_Assm_6"/>
      <sheetName val="van_khuon1"/>
      <sheetName val="IDC_macro1"/>
      <sheetName val="Aladdin_Macro16"/>
      <sheetName val="Acc_10_56"/>
      <sheetName val="Summary_Excise"/>
      <sheetName val="Other_BS_Sch_5-9"/>
      <sheetName val="Excess_Calc"/>
      <sheetName val="Grouping_Master"/>
      <sheetName val="Material_6"/>
      <sheetName val="Labour_&amp;_Plant6"/>
      <sheetName val="_B36"/>
      <sheetName val="_B16"/>
      <sheetName val="beam-reinft-IIInd_floor6"/>
      <sheetName val="Approved_MTD_Proj_#'s6"/>
      <sheetName val="MN_T_B_6"/>
      <sheetName val="CFForecast_detail6"/>
      <sheetName val="Site_Dev_BOQ6"/>
      <sheetName val="Break_up_Sheet6"/>
      <sheetName val="Load_Details-220kV6"/>
      <sheetName val="Block_A_-_BOQ6"/>
      <sheetName val="March_Analysts"/>
      <sheetName val="P_&amp;_L"/>
      <sheetName val="QoQ_In_Lakhs"/>
      <sheetName val="Main_workings"/>
      <sheetName val="CABLE_DATA1"/>
      <sheetName val="1st_flr1"/>
      <sheetName val="final_abstract1"/>
      <sheetName val="Rate_analysis1"/>
      <sheetName val="Rollup_Summary1"/>
      <sheetName val="Civil_Boq1"/>
      <sheetName val="MIS_-_kINR1"/>
      <sheetName val="ANN_K"/>
      <sheetName val="IT_Block"/>
      <sheetName val="Location_CODE"/>
      <sheetName val="Location_TYPE"/>
      <sheetName val="sub_class"/>
      <sheetName val="_sub_Loc_"/>
      <sheetName val="_Acc__Sched_"/>
      <sheetName val="EDS__Bestshore_Migration"/>
      <sheetName val="TB_FOR_MIS1"/>
      <sheetName val="INPUT_SHEET"/>
      <sheetName val="SOPMA_DD"/>
      <sheetName val="03_(2)"/>
      <sheetName val="WIng_F(Typical)"/>
      <sheetName val="M-2_Adjusted"/>
      <sheetName val="EXHIBIT&quot;_T&quot;"/>
      <sheetName val="Master_Price_List"/>
      <sheetName val="Dom_Cell_(IS)"/>
      <sheetName val="Power_&amp;_Fuel_(S)"/>
      <sheetName val="Balance_Sheet_"/>
      <sheetName val="Budget_Summary"/>
      <sheetName val="Redelvery provision changed"/>
      <sheetName val="Tyre1"/>
      <sheetName val="Auto"/>
      <sheetName val="EXIS-COMBINED"/>
      <sheetName val="form26"/>
      <sheetName val="F29B"/>
      <sheetName val="Dep"/>
      <sheetName val="Expansion"/>
      <sheetName val="Phasing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Tender Summary"/>
      <sheetName val="RA"/>
      <sheetName val="Bill 1-BOQ-Civil Works"/>
      <sheetName val="Related party - P&amp;L"/>
      <sheetName val="Base data Security Procedures"/>
      <sheetName val="PRECAST lightconc-II"/>
      <sheetName val="Standalone"/>
      <sheetName val="RATE LIST (2)"/>
      <sheetName val="Rev Opt - Rollup"/>
      <sheetName val="UNP-NCW "/>
      <sheetName val="SEW4"/>
      <sheetName val="Sheet4"/>
      <sheetName val="CrRajWMM"/>
      <sheetName val="소상 &quot;1&quot;"/>
      <sheetName val="Graph (LGEN)"/>
      <sheetName val="out_prog"/>
      <sheetName val="선적schedule (2)"/>
      <sheetName val="steam outlet"/>
      <sheetName val="BOQ Distribution"/>
      <sheetName val="wordsdata"/>
      <sheetName val="GM &amp; TA"/>
      <sheetName val="Retail Mall"/>
      <sheetName val="Control Sheet"/>
      <sheetName val="crs"/>
      <sheetName val="PIMS"/>
      <sheetName val="SCH 10"/>
      <sheetName val="SAP EMP"/>
      <sheetName val="schedules"/>
      <sheetName val="Summary_Local"/>
      <sheetName val="NEW-IDs Fun &amp; Group"/>
      <sheetName val="XZLC003_PART1"/>
      <sheetName val="exp"/>
      <sheetName val="details"/>
      <sheetName val="Night Shift"/>
      <sheetName val="Cost summary"/>
      <sheetName val="RCC Rates"/>
      <sheetName val="FORM7"/>
      <sheetName val="目录"/>
      <sheetName val="4.4 External Plaster"/>
      <sheetName val="MFG"/>
      <sheetName val="USB 1"/>
      <sheetName val="apr-aug"/>
      <sheetName val="Service Invoice"/>
      <sheetName val="15-21"/>
      <sheetName val="Cover"/>
      <sheetName val="RA-markate"/>
      <sheetName val="BQ"/>
      <sheetName val="Sch5TO10"/>
      <sheetName val="macroDat"/>
      <sheetName val="HOUSE RENT DEPO."/>
      <sheetName val="Trial Balance_Format"/>
      <sheetName val="NOA Data"/>
      <sheetName val="MIS AC wise"/>
      <sheetName val="Timeline"/>
      <sheetName val="Assump"/>
      <sheetName val="A.O.R."/>
      <sheetName val="HBI NCD"/>
      <sheetName val="CUSTOM Jun99"/>
      <sheetName val="Overall Summary"/>
      <sheetName val="EAST"/>
      <sheetName val="YOEMAGUM"/>
      <sheetName val="Lease Expiry"/>
      <sheetName val="Base"/>
      <sheetName val="Kontensalden"/>
      <sheetName val="A-1"/>
      <sheetName val="P&amp;L"/>
      <sheetName val="Fin_Sum1"/>
      <sheetName val="KPM_DT1"/>
      <sheetName val="Loss_3004"/>
      <sheetName val="Reconciliation_of_GL_&amp;_FAR"/>
      <sheetName val="IMPORT_T121"/>
      <sheetName val="LBO_Financials"/>
      <sheetName val="Training_Deposits_coding"/>
      <sheetName val="exec_summ"/>
      <sheetName val="MASTER_RATE_ANALYSIS"/>
      <sheetName val="Valuation_-_block_2"/>
      <sheetName val="Rev_Opt_-_Rollup"/>
      <sheetName val="Molasses-FG"/>
      <sheetName val="grp "/>
      <sheetName val="차수"/>
      <sheetName val="전체현황"/>
      <sheetName val="Misc. Master"/>
      <sheetName val="FCIIHyperion"/>
      <sheetName val="final 061106"/>
      <sheetName val="SAB P&amp;L"/>
      <sheetName val="cash flow"/>
      <sheetName val="Gen_Ass"/>
      <sheetName val="Op_Ass"/>
      <sheetName val="Staff Costs"/>
      <sheetName val="General_Assumptions"/>
      <sheetName val="0. Data Validation List"/>
      <sheetName val="Crest"/>
      <sheetName val="Pinnacle"/>
      <sheetName val="Zenith"/>
      <sheetName val="stacking sheet"/>
      <sheetName val="Schedule v1"/>
      <sheetName val="labour rates"/>
      <sheetName val="Timesheet"/>
      <sheetName val="Loads"/>
      <sheetName val="old_serial no."/>
      <sheetName val="tot_ass_9697"/>
      <sheetName val="Budget_CF - Overall"/>
      <sheetName val="공사비 내역 (가)"/>
      <sheetName val="4K - (6a) Non Manual Breakdown"/>
      <sheetName val="3. Elemental Summary"/>
      <sheetName val="Financials"/>
      <sheetName val="L"/>
      <sheetName val="p1-costg"/>
      <sheetName val="costing"/>
      <sheetName val="August TB"/>
      <sheetName val="Feb_Prfl_28"/>
      <sheetName val="DIVBUD99"/>
      <sheetName val="Overheads"/>
      <sheetName val="SCH4"/>
      <sheetName val="FixedAssets"/>
      <sheetName val="Debt"/>
      <sheetName val="SALES"/>
      <sheetName val="Basework"/>
      <sheetName val="Monthly Inputs"/>
      <sheetName val="2000-1 Monthly Cashflows"/>
      <sheetName val="2002-2 Monthly Cashflows"/>
      <sheetName val="Notes"/>
      <sheetName val="TMasterCurrency"/>
      <sheetName val="TMasterSeg"/>
      <sheetName val="ASSETS P&amp;M"/>
      <sheetName val="Assets Land &amp; Mise FA"/>
      <sheetName val="cl 14 Annex 7 "/>
      <sheetName val="Encl 7A"/>
      <sheetName val="wdr bldg"/>
      <sheetName val="Formated Trial Balance"/>
      <sheetName val="Approval"/>
      <sheetName val=" "/>
      <sheetName val="S &amp; A"/>
      <sheetName val="Legal_Risk_Analysis"/>
      <sheetName val="Architectural_Summary"/>
      <sheetName val="IO_LIST"/>
      <sheetName val="Master_list"/>
      <sheetName val="Labour_List"/>
      <sheetName val="Material_List"/>
      <sheetName val="Labor_abs-NMR"/>
      <sheetName val="Beam_at_Ground_flr_lvl(Steel)"/>
      <sheetName val="1st_-vpd"/>
      <sheetName val="Material_List_"/>
      <sheetName val="schedule_nos"/>
      <sheetName val="Debtors_analysis"/>
      <sheetName val="p&amp;m"/>
      <sheetName val="Rollup"/>
      <sheetName val="FA(Apr 07)"/>
      <sheetName val="Reco O.S"/>
      <sheetName val="Accounts"/>
      <sheetName val="BOM"/>
      <sheetName val="Fin. Assumpt. - Sensitivities"/>
      <sheetName val="Fin"/>
      <sheetName val="Intro"/>
      <sheetName val=" COP"/>
      <sheetName val="dlvoid"/>
      <sheetName val="OHT_Abs"/>
      <sheetName val="1"/>
      <sheetName val="Linked Lead"/>
      <sheetName val="hist&amp;proj"/>
      <sheetName val="TASKRSRC (2)"/>
      <sheetName val="TARGET"/>
      <sheetName val="BASELINE"/>
      <sheetName val="labour"/>
      <sheetName val="Basement Budget"/>
      <sheetName val="Portfolio_Summary2"/>
      <sheetName val="Current_Bill_MB_ref2"/>
      <sheetName val="Meas_-Hotel_Part2"/>
      <sheetName val="Fill_this_out_first___"/>
      <sheetName val="extra_work_elec_bill_"/>
      <sheetName val="10__&amp;_11__Rate_Code_&amp;_BQ"/>
      <sheetName val="NEW-IDs_Fun_&amp;_Group"/>
      <sheetName val="Elec Summ"/>
      <sheetName val="ELEC BOQ"/>
      <sheetName val="TRACK BUSWAY"/>
      <sheetName val="BBT"/>
      <sheetName val="LIGHTING"/>
      <sheetName val="LMS"/>
      <sheetName val="Costs"/>
      <sheetName val="FIFO"/>
      <sheetName val="Links"/>
      <sheetName val="ITEM__STUDY_(2)"/>
      <sheetName val="TDS_Certificate-Format"/>
      <sheetName val="Felix_Street_Summary"/>
      <sheetName val="vb_9&amp;10"/>
      <sheetName val="9__Package_split_-_Cost_"/>
      <sheetName val="FITZ_MORT_94"/>
      <sheetName val="Base_Assumptions"/>
      <sheetName val="PRECAST_lightconc-II"/>
      <sheetName val="Ins_Erection"/>
      <sheetName val="HOUSE_RENT_DEPO_"/>
      <sheetName val="Tender_Summary"/>
      <sheetName val="Bill_1-BOQ-Civil_Works"/>
      <sheetName val="drop-dwn_list"/>
      <sheetName val="Customize_Your_Invoice"/>
      <sheetName val="Sale_Charts"/>
      <sheetName val="Lease-rents"/>
      <sheetName val="Key Assumption"/>
      <sheetName val="Master Information"/>
      <sheetName val="GF Columns"/>
      <sheetName val="Collection"/>
      <sheetName val="SAP downloaded schedule"/>
      <sheetName val="Transaction"/>
      <sheetName val="Inv_Data"/>
      <sheetName val="DB"/>
      <sheetName val="Base Data"/>
      <sheetName val="080 (2)"/>
      <sheetName val="F.01 - June 2005"/>
      <sheetName val="HW SW"/>
      <sheetName val="CRITERIA1"/>
      <sheetName val="I"/>
      <sheetName val="PL"/>
      <sheetName val="Annexure-I"/>
      <sheetName val="EMPMAST"/>
      <sheetName val="agrolist"/>
      <sheetName val="Multipliers &amp; KRA"/>
      <sheetName val="HRD1"/>
      <sheetName val="Taluka wise dealer (2)"/>
      <sheetName val="XLR_NoRangeSheet"/>
      <sheetName val="MultipleSecurities"/>
      <sheetName val="Parameter"/>
      <sheetName val="WC analytics (+data pages)"/>
      <sheetName val="TBAL9697 -group wise  sdpl"/>
      <sheetName val="Determination of Threshold"/>
      <sheetName val="Quotation"/>
      <sheetName val="RCC_Ret_ Wall"/>
      <sheetName val="DYN PP"/>
      <sheetName val="TXN97"/>
      <sheetName val="June Reserve - Far East"/>
      <sheetName val="Coalmine"/>
      <sheetName val="Theatre_mgmt_cont"/>
      <sheetName val="Open_Items-311208"/>
      <sheetName val="register"/>
      <sheetName val="Cash_Flow_Working"/>
      <sheetName val="CPR"/>
      <sheetName val="MARCH"/>
      <sheetName val="SEP "/>
      <sheetName val="Trial_Balance"/>
      <sheetName val="MIS_AC_wise"/>
      <sheetName val="Goldberg_Portfolio_Combined"/>
      <sheetName val="Commercial_Research"/>
      <sheetName val="Operating_Statistics"/>
      <sheetName val="FA_Schedule_Dec_07"/>
      <sheetName val="P_R__TAXES"/>
      <sheetName val="BILLING_SUM"/>
      <sheetName val="Leasing_Commision"/>
      <sheetName val="Service_Invoice"/>
      <sheetName val="Retail_Mall"/>
      <sheetName val="Related_party_-_P&amp;L"/>
      <sheetName val="pile_Fabrication"/>
      <sheetName val="Notes-pivot1_"/>
      <sheetName val="ASSETS_P&amp;M"/>
      <sheetName val="Assets_Land_&amp;_Mise_FA"/>
      <sheetName val="소상_&quot;1&quot;"/>
      <sheetName val="Overall_Summary"/>
      <sheetName val="RCC_Rates"/>
      <sheetName val="Cost_summary"/>
      <sheetName val="UNP-NCW_"/>
      <sheetName val="4_4_External_Plaster"/>
      <sheetName val="HBI_NCD"/>
      <sheetName val="CUSTOM_Jun99"/>
      <sheetName val="A_O_R_"/>
      <sheetName val="Staff_Costs"/>
      <sheetName val="0__Data_Validation_List"/>
      <sheetName val="stacking_sheet"/>
      <sheetName val="Basement_Budget"/>
      <sheetName val="Night_Shift"/>
      <sheetName val="Audit"/>
      <sheetName val="Sources"/>
      <sheetName val="Earnings"/>
      <sheetName val="Account title"/>
      <sheetName val="Titel"/>
      <sheetName val="PROV_CONSOLIDATED"/>
      <sheetName val="NGS Data Sheet"/>
      <sheetName val="SGS Data Sheet"/>
      <sheetName val="Micro"/>
      <sheetName val="Macro"/>
      <sheetName val="Scaff-Rose"/>
      <sheetName val="Tickmarks"/>
      <sheetName val="Check Register"/>
      <sheetName val="EBITDA Bridge"/>
      <sheetName val="Detailed"/>
      <sheetName val="2003 Budget-PL-case1"/>
      <sheetName val="STATSUM"/>
      <sheetName val="TB9899"/>
      <sheetName val="Cases"/>
      <sheetName val="现金流量分析表"/>
      <sheetName val="边际贡献分析表"/>
      <sheetName val="Main"/>
      <sheetName val="HIDDEN"/>
      <sheetName val="DEP99"/>
      <sheetName val="IGAAP"/>
      <sheetName val="INI"/>
      <sheetName val="Output"/>
      <sheetName val="meeting rectification control"/>
      <sheetName val="Loan Data"/>
      <sheetName val="Challan"/>
      <sheetName val="Standalone seg"/>
      <sheetName val="4 Annex 1 Basic rate"/>
      <sheetName val="oresreqsum"/>
      <sheetName val="Other notes"/>
      <sheetName val="STAFFSCHED "/>
      <sheetName val="Basic Rate"/>
      <sheetName val="MIS"/>
      <sheetName val="800CC_FR_HOSE"/>
      <sheetName val="Esteem Rear"/>
      <sheetName val="Rs in lacs"/>
      <sheetName val="ADV-TK-HORT"/>
      <sheetName val="Classification"/>
      <sheetName val="XREF"/>
      <sheetName val="Income"/>
      <sheetName val="EPS"/>
      <sheetName val="currency (2)"/>
      <sheetName val="Companies"/>
      <sheetName val="People"/>
      <sheetName val="NW RTU"/>
      <sheetName val="Clause 9"/>
      <sheetName val="Sch_BS"/>
      <sheetName val="Grp_PL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65">
          <cell r="A65" t="str">
            <v>(II)</v>
          </cell>
        </row>
      </sheetData>
      <sheetData sheetId="90">
        <row r="65">
          <cell r="A65" t="str">
            <v>(II)</v>
          </cell>
        </row>
      </sheetData>
      <sheetData sheetId="91">
        <row r="65">
          <cell r="A65" t="str">
            <v>(II)</v>
          </cell>
        </row>
      </sheetData>
      <sheetData sheetId="92">
        <row r="65">
          <cell r="A65" t="str">
            <v>(II)</v>
          </cell>
        </row>
      </sheetData>
      <sheetData sheetId="93">
        <row r="65">
          <cell r="A65" t="str">
            <v>(II)</v>
          </cell>
        </row>
      </sheetData>
      <sheetData sheetId="94">
        <row r="65">
          <cell r="A65" t="str">
            <v>(II)</v>
          </cell>
        </row>
      </sheetData>
      <sheetData sheetId="95">
        <row r="65">
          <cell r="A65" t="str">
            <v>(II)</v>
          </cell>
        </row>
      </sheetData>
      <sheetData sheetId="96">
        <row r="65">
          <cell r="A65" t="str">
            <v>(II)</v>
          </cell>
        </row>
      </sheetData>
      <sheetData sheetId="97">
        <row r="65">
          <cell r="A65" t="str">
            <v>(II)</v>
          </cell>
        </row>
      </sheetData>
      <sheetData sheetId="98">
        <row r="65">
          <cell r="A65" t="str">
            <v>(II)</v>
          </cell>
        </row>
      </sheetData>
      <sheetData sheetId="99">
        <row r="65">
          <cell r="A65" t="str">
            <v>(II)</v>
          </cell>
        </row>
      </sheetData>
      <sheetData sheetId="100">
        <row r="65">
          <cell r="A65" t="str">
            <v>(II)</v>
          </cell>
        </row>
      </sheetData>
      <sheetData sheetId="101">
        <row r="65">
          <cell r="A65" t="str">
            <v>(II)</v>
          </cell>
        </row>
      </sheetData>
      <sheetData sheetId="102">
        <row r="65">
          <cell r="A65" t="str">
            <v>(II)</v>
          </cell>
        </row>
      </sheetData>
      <sheetData sheetId="103">
        <row r="65">
          <cell r="A65" t="str">
            <v>(II)</v>
          </cell>
        </row>
      </sheetData>
      <sheetData sheetId="104">
        <row r="65">
          <cell r="A65" t="str">
            <v>(II)</v>
          </cell>
        </row>
      </sheetData>
      <sheetData sheetId="105">
        <row r="65">
          <cell r="A65" t="str">
            <v>(II)</v>
          </cell>
        </row>
      </sheetData>
      <sheetData sheetId="106">
        <row r="65">
          <cell r="A65" t="str">
            <v>(II)</v>
          </cell>
        </row>
      </sheetData>
      <sheetData sheetId="107">
        <row r="65">
          <cell r="A65" t="str">
            <v>(II)</v>
          </cell>
        </row>
      </sheetData>
      <sheetData sheetId="108">
        <row r="65">
          <cell r="A65" t="str">
            <v>(II)</v>
          </cell>
        </row>
      </sheetData>
      <sheetData sheetId="109">
        <row r="65">
          <cell r="A65" t="str">
            <v>(II)</v>
          </cell>
        </row>
      </sheetData>
      <sheetData sheetId="110">
        <row r="65">
          <cell r="A65" t="str">
            <v>(II)</v>
          </cell>
        </row>
      </sheetData>
      <sheetData sheetId="111">
        <row r="65">
          <cell r="A65" t="str">
            <v>(II)</v>
          </cell>
        </row>
      </sheetData>
      <sheetData sheetId="112">
        <row r="65">
          <cell r="A65" t="str">
            <v>(II)</v>
          </cell>
        </row>
      </sheetData>
      <sheetData sheetId="113">
        <row r="65">
          <cell r="A65" t="str">
            <v>(II)</v>
          </cell>
        </row>
      </sheetData>
      <sheetData sheetId="114">
        <row r="65">
          <cell r="A65" t="str">
            <v>(II)</v>
          </cell>
        </row>
      </sheetData>
      <sheetData sheetId="115">
        <row r="65">
          <cell r="A65" t="str">
            <v>(II)</v>
          </cell>
        </row>
      </sheetData>
      <sheetData sheetId="116">
        <row r="65">
          <cell r="A65" t="str">
            <v>(II)</v>
          </cell>
        </row>
      </sheetData>
      <sheetData sheetId="117">
        <row r="65">
          <cell r="A65" t="str">
            <v>(II)</v>
          </cell>
        </row>
      </sheetData>
      <sheetData sheetId="118">
        <row r="65">
          <cell r="A65" t="str">
            <v>(II)</v>
          </cell>
        </row>
      </sheetData>
      <sheetData sheetId="119">
        <row r="65">
          <cell r="A65" t="str">
            <v>(II)</v>
          </cell>
        </row>
      </sheetData>
      <sheetData sheetId="120">
        <row r="65">
          <cell r="A65" t="str">
            <v>(II)</v>
          </cell>
        </row>
      </sheetData>
      <sheetData sheetId="121">
        <row r="65">
          <cell r="A65" t="str">
            <v>(II)</v>
          </cell>
        </row>
      </sheetData>
      <sheetData sheetId="122">
        <row r="65">
          <cell r="A65" t="str">
            <v>(II)</v>
          </cell>
        </row>
      </sheetData>
      <sheetData sheetId="123">
        <row r="65">
          <cell r="A65" t="str">
            <v>(II)</v>
          </cell>
        </row>
      </sheetData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>
        <row r="65">
          <cell r="A65" t="str">
            <v>(II)</v>
          </cell>
        </row>
      </sheetData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>
        <row r="65">
          <cell r="A65" t="str">
            <v>(II)</v>
          </cell>
        </row>
      </sheetData>
      <sheetData sheetId="263">
        <row r="65">
          <cell r="A65" t="str">
            <v>(II)</v>
          </cell>
        </row>
      </sheetData>
      <sheetData sheetId="264">
        <row r="65">
          <cell r="A65" t="str">
            <v>(II)</v>
          </cell>
        </row>
      </sheetData>
      <sheetData sheetId="265">
        <row r="65">
          <cell r="A65" t="str">
            <v>(II)</v>
          </cell>
        </row>
      </sheetData>
      <sheetData sheetId="266">
        <row r="65">
          <cell r="A65" t="str">
            <v>(II)</v>
          </cell>
        </row>
      </sheetData>
      <sheetData sheetId="267">
        <row r="65">
          <cell r="A65" t="str">
            <v>(II)</v>
          </cell>
        </row>
      </sheetData>
      <sheetData sheetId="268">
        <row r="65">
          <cell r="A65" t="str">
            <v>(II)</v>
          </cell>
        </row>
      </sheetData>
      <sheetData sheetId="269">
        <row r="65">
          <cell r="A65" t="str">
            <v>(II)</v>
          </cell>
        </row>
      </sheetData>
      <sheetData sheetId="270">
        <row r="65">
          <cell r="A65" t="str">
            <v>(II)</v>
          </cell>
        </row>
      </sheetData>
      <sheetData sheetId="271">
        <row r="65">
          <cell r="A65" t="str">
            <v>(II)</v>
          </cell>
        </row>
      </sheetData>
      <sheetData sheetId="272">
        <row r="65">
          <cell r="A65" t="str">
            <v>(II)</v>
          </cell>
        </row>
      </sheetData>
      <sheetData sheetId="273">
        <row r="65">
          <cell r="A65" t="str">
            <v>(II)</v>
          </cell>
        </row>
      </sheetData>
      <sheetData sheetId="274">
        <row r="65">
          <cell r="A65" t="str">
            <v>(II)</v>
          </cell>
        </row>
      </sheetData>
      <sheetData sheetId="275">
        <row r="65">
          <cell r="A65" t="str">
            <v>(II)</v>
          </cell>
        </row>
      </sheetData>
      <sheetData sheetId="276">
        <row r="65">
          <cell r="A65" t="str">
            <v>(II)</v>
          </cell>
        </row>
      </sheetData>
      <sheetData sheetId="277">
        <row r="65">
          <cell r="A65" t="str">
            <v>(II)</v>
          </cell>
        </row>
      </sheetData>
      <sheetData sheetId="278">
        <row r="65">
          <cell r="A65" t="str">
            <v>(II)</v>
          </cell>
        </row>
      </sheetData>
      <sheetData sheetId="279">
        <row r="65">
          <cell r="A65" t="str">
            <v>(II)</v>
          </cell>
        </row>
      </sheetData>
      <sheetData sheetId="280">
        <row r="65">
          <cell r="A65" t="str">
            <v>(II)</v>
          </cell>
        </row>
      </sheetData>
      <sheetData sheetId="281">
        <row r="65">
          <cell r="A65" t="str">
            <v>(II)</v>
          </cell>
        </row>
      </sheetData>
      <sheetData sheetId="282">
        <row r="65">
          <cell r="A65" t="str">
            <v>(II)</v>
          </cell>
        </row>
      </sheetData>
      <sheetData sheetId="283">
        <row r="65">
          <cell r="A65" t="str">
            <v>(II)</v>
          </cell>
        </row>
      </sheetData>
      <sheetData sheetId="284">
        <row r="65">
          <cell r="A65" t="str">
            <v>(II)</v>
          </cell>
        </row>
      </sheetData>
      <sheetData sheetId="285">
        <row r="65">
          <cell r="A65" t="str">
            <v>(II)</v>
          </cell>
        </row>
      </sheetData>
      <sheetData sheetId="286">
        <row r="65">
          <cell r="A65" t="str">
            <v>(II)</v>
          </cell>
        </row>
      </sheetData>
      <sheetData sheetId="287">
        <row r="65">
          <cell r="A65" t="str">
            <v>(II)</v>
          </cell>
        </row>
      </sheetData>
      <sheetData sheetId="288">
        <row r="65">
          <cell r="A65" t="str">
            <v>(II)</v>
          </cell>
        </row>
      </sheetData>
      <sheetData sheetId="289">
        <row r="65">
          <cell r="A65" t="str">
            <v>(II)</v>
          </cell>
        </row>
      </sheetData>
      <sheetData sheetId="290">
        <row r="65">
          <cell r="A65" t="str">
            <v>(II)</v>
          </cell>
        </row>
      </sheetData>
      <sheetData sheetId="291">
        <row r="65">
          <cell r="A65" t="str">
            <v>(II)</v>
          </cell>
        </row>
      </sheetData>
      <sheetData sheetId="292">
        <row r="65">
          <cell r="A65" t="str">
            <v>(II)</v>
          </cell>
        </row>
      </sheetData>
      <sheetData sheetId="293">
        <row r="65">
          <cell r="A65" t="str">
            <v>(II)</v>
          </cell>
        </row>
      </sheetData>
      <sheetData sheetId="294">
        <row r="65">
          <cell r="A65" t="str">
            <v>(II)</v>
          </cell>
        </row>
      </sheetData>
      <sheetData sheetId="295">
        <row r="65">
          <cell r="A65" t="str">
            <v>(II)</v>
          </cell>
        </row>
      </sheetData>
      <sheetData sheetId="296">
        <row r="65">
          <cell r="A65" t="str">
            <v>(II)</v>
          </cell>
        </row>
      </sheetData>
      <sheetData sheetId="297">
        <row r="65">
          <cell r="A65" t="str">
            <v>(II)</v>
          </cell>
        </row>
      </sheetData>
      <sheetData sheetId="298">
        <row r="65">
          <cell r="A65" t="str">
            <v>(II)</v>
          </cell>
        </row>
      </sheetData>
      <sheetData sheetId="299">
        <row r="65">
          <cell r="A65" t="str">
            <v>(II)</v>
          </cell>
        </row>
      </sheetData>
      <sheetData sheetId="300">
        <row r="65">
          <cell r="A65" t="str">
            <v>(II)</v>
          </cell>
        </row>
      </sheetData>
      <sheetData sheetId="301">
        <row r="65">
          <cell r="A65" t="str">
            <v>(II)</v>
          </cell>
        </row>
      </sheetData>
      <sheetData sheetId="302">
        <row r="65">
          <cell r="A65" t="str">
            <v>(II)</v>
          </cell>
        </row>
      </sheetData>
      <sheetData sheetId="303">
        <row r="65">
          <cell r="A65" t="str">
            <v>(II)</v>
          </cell>
        </row>
      </sheetData>
      <sheetData sheetId="304">
        <row r="65">
          <cell r="A65" t="str">
            <v>(II)</v>
          </cell>
        </row>
      </sheetData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>
        <row r="65">
          <cell r="A65" t="str">
            <v>(II)</v>
          </cell>
        </row>
      </sheetData>
      <sheetData sheetId="492"/>
      <sheetData sheetId="493">
        <row r="65">
          <cell r="A65" t="str">
            <v>(II)</v>
          </cell>
        </row>
      </sheetData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>
        <row r="65">
          <cell r="A65" t="str">
            <v>(II)</v>
          </cell>
        </row>
      </sheetData>
      <sheetData sheetId="511">
        <row r="65">
          <cell r="A65" t="str">
            <v>(II)</v>
          </cell>
        </row>
      </sheetData>
      <sheetData sheetId="512">
        <row r="65">
          <cell r="A65" t="str">
            <v>(II)</v>
          </cell>
        </row>
      </sheetData>
      <sheetData sheetId="513"/>
      <sheetData sheetId="514">
        <row r="65">
          <cell r="A65" t="str">
            <v>(II)</v>
          </cell>
        </row>
      </sheetData>
      <sheetData sheetId="515">
        <row r="65">
          <cell r="A65" t="str">
            <v>(II)</v>
          </cell>
        </row>
      </sheetData>
      <sheetData sheetId="516"/>
      <sheetData sheetId="517">
        <row r="65">
          <cell r="A65" t="str">
            <v>(II)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>
        <row r="65">
          <cell r="A65" t="str">
            <v>(II)</v>
          </cell>
        </row>
      </sheetData>
      <sheetData sheetId="530">
        <row r="65">
          <cell r="A65" t="str">
            <v>(II)</v>
          </cell>
        </row>
      </sheetData>
      <sheetData sheetId="531"/>
      <sheetData sheetId="532"/>
      <sheetData sheetId="533">
        <row r="65">
          <cell r="A65" t="str">
            <v>(II)</v>
          </cell>
        </row>
      </sheetData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>
        <row r="65">
          <cell r="A65" t="str">
            <v>(II)</v>
          </cell>
        </row>
      </sheetData>
      <sheetData sheetId="550">
        <row r="65">
          <cell r="A65" t="str">
            <v>(II)</v>
          </cell>
        </row>
      </sheetData>
      <sheetData sheetId="551">
        <row r="65">
          <cell r="A65" t="str">
            <v>(II)</v>
          </cell>
        </row>
      </sheetData>
      <sheetData sheetId="552">
        <row r="65">
          <cell r="A65" t="str">
            <v>(II)</v>
          </cell>
        </row>
      </sheetData>
      <sheetData sheetId="553">
        <row r="65">
          <cell r="A65" t="str">
            <v>(II)</v>
          </cell>
        </row>
      </sheetData>
      <sheetData sheetId="554">
        <row r="65">
          <cell r="A65" t="str">
            <v>(II)</v>
          </cell>
        </row>
      </sheetData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>
        <row r="65">
          <cell r="A65" t="str">
            <v>(II)</v>
          </cell>
        </row>
      </sheetData>
      <sheetData sheetId="693">
        <row r="65">
          <cell r="A65" t="str">
            <v>(II)</v>
          </cell>
        </row>
      </sheetData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>
        <row r="65">
          <cell r="A65" t="str">
            <v>(II)</v>
          </cell>
        </row>
      </sheetData>
      <sheetData sheetId="713">
        <row r="65">
          <cell r="A65" t="str">
            <v>(II)</v>
          </cell>
        </row>
      </sheetData>
      <sheetData sheetId="714">
        <row r="65">
          <cell r="A65" t="str">
            <v>(II)</v>
          </cell>
        </row>
      </sheetData>
      <sheetData sheetId="715">
        <row r="65">
          <cell r="A65" t="str">
            <v>(II)</v>
          </cell>
        </row>
      </sheetData>
      <sheetData sheetId="716"/>
      <sheetData sheetId="717"/>
      <sheetData sheetId="718">
        <row r="65">
          <cell r="A65" t="str">
            <v>(II)</v>
          </cell>
        </row>
      </sheetData>
      <sheetData sheetId="719">
        <row r="65">
          <cell r="A65" t="str">
            <v>(II)</v>
          </cell>
        </row>
      </sheetData>
      <sheetData sheetId="720">
        <row r="65">
          <cell r="A65" t="str">
            <v>(II)</v>
          </cell>
        </row>
      </sheetData>
      <sheetData sheetId="721"/>
      <sheetData sheetId="722"/>
      <sheetData sheetId="723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/>
      <sheetData sheetId="745">
        <row r="65">
          <cell r="A65" t="str">
            <v>(II)</v>
          </cell>
        </row>
      </sheetData>
      <sheetData sheetId="746"/>
      <sheetData sheetId="747"/>
      <sheetData sheetId="748">
        <row r="65">
          <cell r="A65" t="str">
            <v>(II)</v>
          </cell>
        </row>
      </sheetData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>
        <row r="65">
          <cell r="A65" t="str">
            <v>(II)</v>
          </cell>
        </row>
      </sheetData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/>
      <sheetData sheetId="810"/>
      <sheetData sheetId="811" refreshError="1"/>
      <sheetData sheetId="812"/>
      <sheetData sheetId="813" refreshError="1"/>
      <sheetData sheetId="814" refreshError="1"/>
      <sheetData sheetId="815" refreshError="1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Financials"/>
      <sheetName val="Operating Statistics"/>
      <sheetName val="Set"/>
      <sheetName val="RCC Rates"/>
      <sheetName val="Jul-02_tb"/>
    </sheetNames>
    <sheetDataSet>
      <sheetData sheetId="0" refreshError="1">
        <row r="1">
          <cell r="B1" t="str">
            <v>First_Loss_Macro</v>
          </cell>
        </row>
        <row r="2">
          <cell r="B2" t="b">
            <v>1</v>
          </cell>
        </row>
        <row r="4">
          <cell r="B4" t="str">
            <v>4.xls</v>
          </cell>
        </row>
        <row r="180">
          <cell r="B180" t="b">
            <v>1</v>
          </cell>
        </row>
        <row r="181">
          <cell r="B181" t="b">
            <v>1</v>
          </cell>
        </row>
        <row r="182">
          <cell r="B182" t="b">
            <v>1</v>
          </cell>
        </row>
        <row r="183">
          <cell r="B183" t="b">
            <v>1</v>
          </cell>
        </row>
        <row r="184">
          <cell r="B184" t="b">
            <v>1</v>
          </cell>
        </row>
        <row r="185">
          <cell r="B185" t="b">
            <v>1</v>
          </cell>
        </row>
        <row r="186">
          <cell r="B186" t="b">
            <v>1</v>
          </cell>
        </row>
        <row r="187">
          <cell r="B187" t="b">
            <v>1</v>
          </cell>
        </row>
        <row r="188">
          <cell r="B188" t="b">
            <v>1</v>
          </cell>
        </row>
        <row r="189">
          <cell r="B189" t="b">
            <v>1</v>
          </cell>
        </row>
        <row r="190">
          <cell r="B190" t="b">
            <v>1</v>
          </cell>
        </row>
        <row r="191">
          <cell r="B191" t="b">
            <v>1</v>
          </cell>
        </row>
        <row r="192">
          <cell r="B192" t="b">
            <v>1</v>
          </cell>
        </row>
        <row r="193">
          <cell r="B193" t="b">
            <v>1</v>
          </cell>
        </row>
        <row r="194">
          <cell r="B194" t="b">
            <v>1</v>
          </cell>
        </row>
        <row r="195">
          <cell r="B195" t="b">
            <v>1</v>
          </cell>
        </row>
        <row r="196">
          <cell r="B196" t="b">
            <v>1</v>
          </cell>
        </row>
        <row r="197">
          <cell r="B197" t="b">
            <v>1</v>
          </cell>
        </row>
        <row r="198">
          <cell r="B198" t="b">
            <v>1</v>
          </cell>
        </row>
        <row r="199">
          <cell r="B199" t="b">
            <v>1</v>
          </cell>
        </row>
        <row r="200">
          <cell r="B200" t="b">
            <v>1</v>
          </cell>
        </row>
        <row r="201">
          <cell r="B201" t="b">
            <v>1</v>
          </cell>
        </row>
        <row r="202">
          <cell r="B202" t="b">
            <v>1</v>
          </cell>
        </row>
        <row r="203">
          <cell r="B203" t="b">
            <v>1</v>
          </cell>
        </row>
        <row r="204">
          <cell r="B204" t="b">
            <v>1</v>
          </cell>
        </row>
        <row r="205">
          <cell r="B205" t="b">
            <v>1</v>
          </cell>
        </row>
        <row r="206">
          <cell r="B206" t="b">
            <v>1</v>
          </cell>
        </row>
        <row r="207">
          <cell r="B207" t="b">
            <v>1</v>
          </cell>
        </row>
        <row r="208">
          <cell r="B208" t="b">
            <v>1</v>
          </cell>
        </row>
        <row r="209">
          <cell r="B209" t="b">
            <v>1</v>
          </cell>
        </row>
        <row r="210">
          <cell r="B210" t="b">
            <v>1</v>
          </cell>
        </row>
        <row r="211">
          <cell r="B211" t="b">
            <v>1</v>
          </cell>
        </row>
        <row r="212">
          <cell r="B212" t="b">
            <v>1</v>
          </cell>
        </row>
        <row r="213">
          <cell r="B213" t="b">
            <v>1</v>
          </cell>
        </row>
        <row r="214">
          <cell r="B214" t="b">
            <v>1</v>
          </cell>
        </row>
        <row r="215">
          <cell r="B215" t="b">
            <v>1</v>
          </cell>
        </row>
        <row r="216">
          <cell r="B216" t="b">
            <v>1</v>
          </cell>
        </row>
        <row r="217">
          <cell r="B217" t="b">
            <v>1</v>
          </cell>
        </row>
        <row r="218">
          <cell r="B218" t="b">
            <v>1</v>
          </cell>
        </row>
        <row r="219">
          <cell r="B219" t="b">
            <v>1</v>
          </cell>
        </row>
        <row r="220">
          <cell r="B220" t="b">
            <v>1</v>
          </cell>
        </row>
        <row r="221">
          <cell r="B221" t="b">
            <v>1</v>
          </cell>
        </row>
        <row r="222">
          <cell r="B222" t="b">
            <v>1</v>
          </cell>
        </row>
        <row r="223">
          <cell r="B223" t="b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"/>
      <sheetName val="dhs-admaya"/>
      <sheetName val="dhs-admaya discounted"/>
      <sheetName val="ADAMYA FINAL SHEET"/>
      <sheetName val="BS(USD)"/>
      <sheetName val="PL"/>
      <sheetName val="BUD 03-05"/>
      <sheetName val="REV"/>
      <sheetName val="S&amp;W_IMPLE"/>
      <sheetName val="INNOV"/>
      <sheetName val="SG&amp;A"/>
      <sheetName val="802.11_new"/>
      <sheetName val="CAPEX"/>
      <sheetName val="0405"/>
      <sheetName val="DATA"/>
      <sheetName val=" W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50-PRESS"/>
      <sheetName val="315-PRESS"/>
      <sheetName val="Pallets"/>
      <sheetName val="BLDG-PH"/>
      <sheetName val="GRIND-MACH"/>
      <sheetName val="MIG-WEL-DMACH"/>
      <sheetName val="SPOT-WELD-MACH"/>
      <sheetName val="DRILL-MACH"/>
      <sheetName val="SUMMARY"/>
      <sheetName val="CAPITAL (2)"/>
      <sheetName val="CAPITAL"/>
      <sheetName val="mancount"/>
      <sheetName val="PRESF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Phasing+ Int"/>
      <sheetName val="UPERC Tariff Calc"/>
      <sheetName val="Depreciation"/>
      <sheetName val="Working Capital"/>
      <sheetName val="Financials"/>
      <sheetName val="S-format"/>
      <sheetName val="CMA"/>
      <sheetName val="Table"/>
      <sheetName val="Ratios"/>
      <sheetName val="Sensitivity"/>
      <sheetName val="Project Cost_New"/>
      <sheetName val="PFSBU"/>
      <sheetName val="Sheet1"/>
      <sheetName val="Sheet2"/>
      <sheetName val="Avg. maturity"/>
      <sheetName val="NFB assess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9899"/>
      <sheetName val="P&amp;L"/>
      <sheetName val="Assets"/>
      <sheetName val="Liab"/>
      <sheetName val="Nopat Op"/>
      <sheetName val="Nopat Fin"/>
      <sheetName val="NopSBS"/>
      <sheetName val="CapOp"/>
      <sheetName val="Cap Fin"/>
      <sheetName val="CapSBS"/>
      <sheetName val="Tax"/>
      <sheetName val="Adjustments"/>
      <sheetName val="EVA"/>
      <sheetName val="EVAGraphs"/>
      <sheetName val="Drivers-Sales"/>
      <sheetName val="Drivers Bubble"/>
      <sheetName val="Drivers-Sales old"/>
      <sheetName val="MVA"/>
      <sheetName val="SixP"/>
      <sheetName val="SumPerf"/>
      <sheetName val="MVA (2)"/>
      <sheetName val="Gearing Impact on WACC"/>
      <sheetName val="Capital_by_Years_Valuation"/>
      <sheetName val="ReportsParameters"/>
      <sheetName val="Data"/>
      <sheetName val="Rau Interstate - PM"/>
      <sheetName val="Rau Local - PM 13%"/>
      <sheetName val="Rau Local - PM 5%"/>
      <sheetName val="Rau Interstate - QC Material"/>
      <sheetName val="Rau Purchase Local -QC @ 13%"/>
      <sheetName val="Rau Purchase Local -QC @ 5%"/>
      <sheetName val="Rau QC -  Cons Stores Local 5%"/>
      <sheetName val="Rau Purchase RM Import"/>
      <sheetName val="Rau Consumable Import Purchase"/>
      <sheetName val="Rau Interstate RM (NA)"/>
      <sheetName val="Rau Local - RM (NA) 5%"/>
      <sheetName val="R &amp; D Purchase Import R D M"/>
      <sheetName val="R &amp; D Interstate Material"/>
      <sheetName val="R &amp; D Local Chemical 13%"/>
      <sheetName val="R &amp; D Local Chemical 5 %"/>
      <sheetName val="SEZ PM Local"/>
      <sheetName val="SEZ PM Interstate"/>
      <sheetName val="SEZ RM Interstate (NA)"/>
      <sheetName val="SEZ RM Interstate (NA) FER-U3"/>
      <sheetName val="SEZ RM Interstate (NA) Steroid"/>
      <sheetName val="SEZ RM Local (NA)"/>
      <sheetName val="SEZ RM Local (NA) Steroid"/>
      <sheetName val="SEZ RM Import"/>
      <sheetName val="SEZ QC Material Local"/>
      <sheetName val="SEZ QC Material Interstate"/>
      <sheetName val="Nopat_by_Years_Valuation"/>
      <sheetName val="Sheet1"/>
      <sheetName val="Sheet2"/>
      <sheetName val="Sheet3"/>
      <sheetName val="TB IBN7"/>
      <sheetName val="Compliance report Final"/>
      <sheetName val="ANN I sales"/>
      <sheetName val="ANN II Salary"/>
      <sheetName val="ANN III admin"/>
      <sheetName val="ANN IV S&amp;D"/>
      <sheetName val="ANN V VII VIII other charges"/>
      <sheetName val="ANN VI Depric"/>
      <sheetName val="Consl-Proforma-A"/>
      <sheetName val="Consl-Proforma-B"/>
      <sheetName val="Consl-Proforma-C"/>
      <sheetName val="Proforma-D1"/>
      <sheetName val="Proforma-D2"/>
      <sheetName val="Proforma-E"/>
      <sheetName val="Proforma-F"/>
      <sheetName val="Proforma-G"/>
      <sheetName val="Proforma-H"/>
      <sheetName val="Appendix II"/>
      <sheetName val="Appendix VI"/>
      <sheetName val="Appendix VII"/>
      <sheetName val="For Board"/>
      <sheetName val="RIL Cons-far 31.3"/>
      <sheetName val="Intergroup 14-15 (2)"/>
      <sheetName val="Intergroup 14-15"/>
      <sheetName val="Capital and investment"/>
      <sheetName val="RIL Cons-far 30.09"/>
      <sheetName val="RIL Cons-BS "/>
      <sheetName val="RIL Con PL"/>
      <sheetName val="RIL Cons-Schedule"/>
      <sheetName val="Elimination RIL"/>
      <sheetName val="Entries RAFA"/>
      <sheetName val="Opening Minority interest "/>
      <sheetName val="Reconcilation"/>
      <sheetName val="master"/>
      <sheetName val="summary CF"/>
      <sheetName val="BSPL"/>
      <sheetName val="Act Vs BP - General News"/>
      <sheetName val="Act Vs BP - TV18"/>
      <sheetName val="Act Vs BP - CNNNews18"/>
      <sheetName val="Act Vs BP - IBN7"/>
      <sheetName val="Act Vs BP - Lokmat"/>
      <sheetName val="Act Vs BP - News18"/>
      <sheetName val="Act Vs BP - Corp"/>
      <sheetName val="Corp"/>
      <sheetName val="Reported_Biz News"/>
      <sheetName val="CNNNews18"/>
      <sheetName val="IBN7"/>
      <sheetName val="Lokmat"/>
      <sheetName val="News18"/>
      <sheetName val="Cell18"/>
      <sheetName val="B_S"/>
      <sheetName val="P_L"/>
      <sheetName val="Cash flow"/>
      <sheetName val="Share Capital Sch"/>
      <sheetName val="Sch to BS"/>
      <sheetName val="Shareholding pattern"/>
      <sheetName val="FA"/>
      <sheetName val="Sch to PL"/>
      <sheetName val="EPS working"/>
      <sheetName val="Groupings"/>
      <sheetName val="AXNNI TB March 13"/>
      <sheetName val="PartIV"/>
      <sheetName val="JV 2012-13"/>
      <sheetName val="JV 2011-12"/>
      <sheetName val="JV 2010-11"/>
      <sheetName val="Receivable"/>
      <sheetName val="3CD"/>
      <sheetName val="SCRUTINY"/>
      <sheetName val="PENDING"/>
      <sheetName val="Comp"/>
      <sheetName val="BS"/>
      <sheetName val="XXX"/>
      <sheetName val="Notes"/>
      <sheetName val="Trial Balance"/>
      <sheetName val="Note 6"/>
      <sheetName val="DEP"/>
      <sheetName val="Depn IT"/>
      <sheetName val="26AS"/>
      <sheetName val="Nopat_Op"/>
      <sheetName val="Nopat_Fin"/>
      <sheetName val="Cap_Fin"/>
      <sheetName val="Drivers_Bubble"/>
      <sheetName val="Drivers-Sales_old"/>
      <sheetName val="MVA_(2)"/>
      <sheetName val="Gearing_Impact_on_WACC"/>
      <sheetName val="TB_IBN7"/>
      <sheetName val="Compliance_report_Final"/>
      <sheetName val="ANN_I_sales"/>
      <sheetName val="ANN_II_Salary"/>
      <sheetName val="ANN_III_admin"/>
      <sheetName val="ANN_IV_S&amp;D"/>
      <sheetName val="ANN_V_VII_VIII_other_charges"/>
      <sheetName val="ANN_VI_Depric"/>
      <sheetName val="Appendix_II"/>
      <sheetName val="Appendix_VI"/>
      <sheetName val="Appendix_VII"/>
      <sheetName val="For_Board"/>
      <sheetName val="RIL_Cons-far_31_3"/>
      <sheetName val="Intergroup_14-15_(2)"/>
      <sheetName val="Intergroup_14-15"/>
      <sheetName val="Capital_and_investment"/>
      <sheetName val="RIL_Cons-far_30_09"/>
      <sheetName val="RIL_Cons-BS_"/>
      <sheetName val="RIL_Con_PL"/>
      <sheetName val="RIL_Cons-Schedule"/>
      <sheetName val="Elimination_RIL"/>
      <sheetName val="Entries_RAFA"/>
      <sheetName val="Opening_Minority_interest_"/>
      <sheetName val="summary_CF"/>
      <sheetName val="#REF"/>
      <sheetName val="Ctrl"/>
      <sheetName val="P&amp;L SEBI (June 17)"/>
      <sheetName val="SEBI Notes"/>
      <sheetName val="P&amp;L SEBI Sept 2017"/>
      <sheetName val="B S SEBI Sept 17"/>
      <sheetName val="SEBI Notes Sept 17"/>
      <sheetName val="P&amp;L SEBI (final)"/>
      <sheetName val="PL"/>
      <sheetName val="SOCE"/>
      <sheetName val="Final Cashflow"/>
      <sheetName val="Final working of CFS"/>
      <sheetName val="Acct Policies"/>
      <sheetName val="Note 1"/>
      <sheetName val="Note 2"/>
      <sheetName val="Note 3"/>
      <sheetName val="Note 4"/>
      <sheetName val="Note 5"/>
      <sheetName val="Note 7 "/>
      <sheetName val="Note 8"/>
      <sheetName val="Note 9"/>
      <sheetName val="Note 10"/>
      <sheetName val="Note 11"/>
      <sheetName val="Note 12"/>
      <sheetName val="Note 13"/>
      <sheetName val="Note 12 Old"/>
      <sheetName val="Note 14"/>
      <sheetName val="R&amp;S and Note 15"/>
      <sheetName val="Note 16"/>
      <sheetName val="Note 17"/>
      <sheetName val="Note 18"/>
      <sheetName val="Note 19"/>
      <sheetName val="Note 20"/>
      <sheetName val="Note 21"/>
      <sheetName val="Note 22"/>
      <sheetName val="Note 23"/>
      <sheetName val="Note 24"/>
      <sheetName val="Note 25"/>
      <sheetName val="Note 24.1"/>
      <sheetName val="Note 26"/>
      <sheetName val="Note 27"/>
      <sheetName val="Note 28 "/>
      <sheetName val="Note 28"/>
      <sheetName val="Note 29"/>
      <sheetName val="Note 30"/>
      <sheetName val="Note 31"/>
      <sheetName val="Note 32"/>
      <sheetName val="Note 33"/>
      <sheetName val="Note 34"/>
      <sheetName val="Note 35"/>
      <sheetName val="Note 36"/>
      <sheetName val="Note 37"/>
      <sheetName val="Note 38"/>
      <sheetName val="Note - IND AS reco (final)"/>
      <sheetName val="Note 41"/>
      <sheetName val="Security "/>
      <sheetName val="Repayment of Borrowing"/>
      <sheetName val="SAP Trial F.08"/>
      <sheetName val="Mannual Entries"/>
      <sheetName val="SCE input"/>
      <sheetName val="IND AS adjustment"/>
      <sheetName val="Opening Reserve adjustment"/>
      <sheetName val="JV"/>
      <sheetName val="JV pending for 16-17"/>
      <sheetName val="Defined Benefits"/>
      <sheetName val="Reval of non current investment"/>
      <sheetName val="Reval Loan to trust "/>
      <sheetName val="Interest regroup"/>
      <sheetName val="India cast entry"/>
      <sheetName val="Entries"/>
      <sheetName val="EPS"/>
      <sheetName val="Annexure A-Dom RCM"/>
      <sheetName val="Working Sheet"/>
      <sheetName val="Nopat_Op1"/>
      <sheetName val="Nopat_Fin1"/>
      <sheetName val="Cap_Fin1"/>
      <sheetName val="Drivers_Bubble1"/>
      <sheetName val="Drivers-Sales_old1"/>
      <sheetName val="MVA_(2)1"/>
      <sheetName val="Gearing_Impact_on_WACC1"/>
      <sheetName val="Nopat_Op3"/>
      <sheetName val="Nopat_Fin3"/>
      <sheetName val="Cap_Fin3"/>
      <sheetName val="Drivers_Bubble3"/>
      <sheetName val="Drivers-Sales_old3"/>
      <sheetName val="MVA_(2)3"/>
      <sheetName val="Gearing_Impact_on_WACC3"/>
      <sheetName val="Nopat_Op2"/>
      <sheetName val="Nopat_Fin2"/>
      <sheetName val="Cap_Fin2"/>
      <sheetName val="Drivers_Bubble2"/>
      <sheetName val="Drivers-Sales_old2"/>
      <sheetName val="MVA_(2)2"/>
      <sheetName val="Gearing_Impact_on_WACC2"/>
      <sheetName val="Print_Menu"/>
      <sheetName val="Forecast-Input"/>
      <sheetName val="Valuation"/>
      <sheetName val="wwww"/>
      <sheetName val="Assume"/>
      <sheetName val="Capital"/>
      <sheetName val="Company"/>
      <sheetName val="Input"/>
      <sheetName val="b"/>
      <sheetName val="Nopat_Op4"/>
      <sheetName val="Nopat_Fin4"/>
      <sheetName val="Cap_Fin4"/>
      <sheetName val="Drivers_Bubble4"/>
      <sheetName val="Drivers-Sales_old4"/>
      <sheetName val="MVA_(2)4"/>
      <sheetName val="Gearing_Impact_on_WACC4"/>
      <sheetName val="Cash_flow"/>
      <sheetName val="Share_Capital_Sch"/>
      <sheetName val="Sch_to_BS"/>
      <sheetName val="Shareholding_pattern"/>
      <sheetName val="Sch_to_PL"/>
      <sheetName val="EPS_working"/>
      <sheetName val="AXNNI_TB_March_13"/>
      <sheetName val="JV_2012-13"/>
      <sheetName val="JV_2011-12"/>
      <sheetName val="JV_2010-11"/>
      <sheetName val="Budget"/>
      <sheetName val="FQ"/>
      <sheetName val="LY"/>
      <sheetName val="fixing0721"/>
      <sheetName val="Final"/>
      <sheetName val="Summary-Price_New"/>
      <sheetName val="AN-2K"/>
      <sheetName val="Switch V16"/>
      <sheetName val="tbc"/>
      <sheetName val="Balance Sheet"/>
      <sheetName val="F.A.Schedule"/>
      <sheetName val="annexu 6.1"/>
      <sheetName val="IT Dep"/>
      <sheetName val="Note-1"/>
      <sheetName val="Ind As 115 acn policy"/>
      <sheetName val="Deferred Tax"/>
      <sheetName val="Note-5-15 &amp; 18-24"/>
      <sheetName val="NOTES 16,17 &amp; 25"/>
      <sheetName val="Note-26-31"/>
      <sheetName val="NOTES 32-38"/>
      <sheetName val="NOTES 39 FI-FV,40,41"/>
      <sheetName val="IND AS 115 disc"/>
      <sheetName val="TB Mar19"/>
      <sheetName val="TBGrouping"/>
      <sheetName val="TB SAP"/>
      <sheetName val="gl mASTER"/>
      <sheetName val="EAW Final Accounts - 99"/>
      <sheetName val="NC"/>
      <sheetName val="BS Backup"/>
      <sheetName val="PL Backup"/>
      <sheetName val="Segment PL"/>
      <sheetName val="Segment BS"/>
      <sheetName val="BSPL TB"/>
      <sheetName val="Sheet1."/>
      <sheetName val="Capitalization"/>
      <sheetName val="Forecast Detail"/>
      <sheetName val="Nopat_Op5"/>
      <sheetName val="Nopat_Fin5"/>
      <sheetName val="Cap_Fin5"/>
      <sheetName val="Drivers_Bubble5"/>
      <sheetName val="Drivers-Sales_old5"/>
      <sheetName val="MVA_(2)5"/>
      <sheetName val="Gearing_Impact_on_WACC5"/>
      <sheetName val="Rau_Interstate_-_PM"/>
      <sheetName val="Rau_Local_-_PM_13%"/>
      <sheetName val="Rau_Local_-_PM_5%"/>
      <sheetName val="Rau_Interstate_-_QC_Material"/>
      <sheetName val="Rau_Purchase_Local_-QC_@_13%"/>
      <sheetName val="Rau_Purchase_Local_-QC_@_5%"/>
      <sheetName val="Rau_QC_-__Cons_Stores_Local_5%"/>
      <sheetName val="Rau_Purchase_RM_Import"/>
      <sheetName val="Rau_Consumable_Import_Purchase"/>
      <sheetName val="Rau_Interstate_RM_(NA)"/>
      <sheetName val="Rau_Local_-_RM_(NA)_5%"/>
      <sheetName val="R_&amp;_D_Purchase_Import_R_D_M"/>
      <sheetName val="R_&amp;_D_Interstate_Material"/>
      <sheetName val="R_&amp;_D_Local_Chemical_13%"/>
      <sheetName val="R_&amp;_D_Local_Chemical_5_%"/>
      <sheetName val="SEZ_PM_Local"/>
      <sheetName val="SEZ_PM_Interstate"/>
      <sheetName val="SEZ_RM_Interstate_(NA)"/>
      <sheetName val="SEZ_RM_Interstate_(NA)_FER-U3"/>
      <sheetName val="SEZ_RM_Interstate_(NA)_Steroid"/>
      <sheetName val="SEZ_RM_Local_(NA)"/>
      <sheetName val="SEZ_RM_Local_(NA)_Steroid"/>
      <sheetName val="SEZ_RM_Import"/>
      <sheetName val="SEZ_QC_Material_Local"/>
      <sheetName val="SEZ_QC_Material_Interstate"/>
      <sheetName val="TB_IBN71"/>
      <sheetName val="Compliance_report_Final1"/>
      <sheetName val="ANN_I_sales1"/>
      <sheetName val="ANN_II_Salary1"/>
      <sheetName val="ANN_III_admin1"/>
      <sheetName val="ANN_IV_S&amp;D1"/>
      <sheetName val="ANN_V_VII_VIII_other_charges1"/>
      <sheetName val="ANN_VI_Depric1"/>
      <sheetName val="Appendix_II1"/>
      <sheetName val="Appendix_VI1"/>
      <sheetName val="Appendix_VII1"/>
      <sheetName val="For_Board1"/>
      <sheetName val="RIL_Cons-far_31_31"/>
      <sheetName val="Intergroup_14-15_(2)1"/>
      <sheetName val="Intergroup_14-151"/>
      <sheetName val="Capital_and_investment1"/>
      <sheetName val="RIL_Cons-far_30_091"/>
      <sheetName val="RIL_Cons-BS_1"/>
      <sheetName val="RIL_Con_PL1"/>
      <sheetName val="RIL_Cons-Schedule1"/>
      <sheetName val="Elimination_RIL1"/>
      <sheetName val="Entries_RAFA1"/>
      <sheetName val="Opening_Minority_interest_1"/>
      <sheetName val="summary_CF1"/>
      <sheetName val="Act_Vs_BP_-_General_News"/>
      <sheetName val="Act_Vs_BP_-_TV18"/>
      <sheetName val="Act_Vs_BP_-_CNNNews18"/>
      <sheetName val="Act_Vs_BP_-_IBN7"/>
      <sheetName val="Act_Vs_BP_-_Lokmat"/>
      <sheetName val="Act_Vs_BP_-_News18"/>
      <sheetName val="Act_Vs_BP_-_Corp"/>
      <sheetName val="Reported_Biz_News"/>
      <sheetName val="Cash_flow1"/>
      <sheetName val="Share_Capital_Sch1"/>
      <sheetName val="Sch_to_BS1"/>
      <sheetName val="Shareholding_pattern1"/>
      <sheetName val="Sch_to_PL1"/>
      <sheetName val="EPS_working1"/>
      <sheetName val="AXNNI_TB_March_131"/>
      <sheetName val="JV_2012-131"/>
      <sheetName val="JV_2011-121"/>
      <sheetName val="JV_2010-111"/>
      <sheetName val="Trial_Balance"/>
      <sheetName val="Note_6"/>
      <sheetName val="Depn_IT"/>
      <sheetName val="P&amp;L_SEBI_(June_17)"/>
      <sheetName val="SEBI_Notes"/>
      <sheetName val="P&amp;L_SEBI_Sept_2017"/>
      <sheetName val="B_S_SEBI_Sept_17"/>
      <sheetName val="SEBI_Notes_Sept_17"/>
      <sheetName val="P&amp;L_SEBI_(final)"/>
      <sheetName val="Final_Cashflow"/>
      <sheetName val="Final_working_of_CFS"/>
      <sheetName val="Acct_Policies"/>
      <sheetName val="Note_1"/>
      <sheetName val="Note_2"/>
      <sheetName val="Note_3"/>
      <sheetName val="Note_4"/>
      <sheetName val="Note_5"/>
      <sheetName val="Note_7_"/>
      <sheetName val="Note_8"/>
      <sheetName val="Note_9"/>
      <sheetName val="Note_10"/>
      <sheetName val="Note_11"/>
      <sheetName val="Note_12"/>
      <sheetName val="Note_13"/>
      <sheetName val="Note_12_Old"/>
      <sheetName val="Note_14"/>
      <sheetName val="R&amp;S_and_Note_15"/>
      <sheetName val="Note_16"/>
      <sheetName val="Note_17"/>
      <sheetName val="Note_18"/>
      <sheetName val="Note_19"/>
      <sheetName val="Note_20"/>
      <sheetName val="Note_21"/>
      <sheetName val="Note_22"/>
      <sheetName val="Note_23"/>
      <sheetName val="Note_24"/>
      <sheetName val="Note_25"/>
      <sheetName val="Note_24_1"/>
      <sheetName val="Note_26"/>
      <sheetName val="Note_27"/>
      <sheetName val="Note_28_"/>
      <sheetName val="Note_28"/>
      <sheetName val="Note_29"/>
      <sheetName val="Note_30"/>
      <sheetName val="Note_31"/>
      <sheetName val="Note_32"/>
      <sheetName val="Note_33"/>
      <sheetName val="Note_34"/>
      <sheetName val="Note_35"/>
      <sheetName val="Note_36"/>
      <sheetName val="Note_37"/>
      <sheetName val="Note_38"/>
      <sheetName val="Note_-_IND_AS_reco_(final)"/>
      <sheetName val="Note_41"/>
      <sheetName val="Security_"/>
      <sheetName val="Repayment_of_Borrowing"/>
      <sheetName val="SAP_Trial_F_08"/>
      <sheetName val="Mannual_Entries"/>
      <sheetName val="SCE_input"/>
      <sheetName val="IND_AS_adjustment"/>
      <sheetName val="Opening_Reserve_adjustment"/>
      <sheetName val="JV_pending_for_16-17"/>
      <sheetName val="Defined_Benefits"/>
      <sheetName val="Reval_of_non_current_investment"/>
      <sheetName val="Reval_Loan_to_trust_"/>
      <sheetName val="Interest_regroup"/>
      <sheetName val="India_cast_entry"/>
      <sheetName val="Annexure_A-Dom_RCM"/>
      <sheetName val="Working_Sheet"/>
      <sheetName val="Switch_V16"/>
      <sheetName val="BS_Backup"/>
      <sheetName val="PL_Backup"/>
      <sheetName val="Segment_PL"/>
      <sheetName val="Segment_BS"/>
      <sheetName val="BSPL_TB"/>
      <sheetName val="Sheet1_"/>
      <sheetName val="Forecast_Detail"/>
      <sheetName val="PIMS"/>
      <sheetName val="P &amp; L 13-14"/>
      <sheetName val="BS 13-14"/>
      <sheetName val="AY 14-15"/>
      <sheetName val="Bud Vs Act Sales"/>
      <sheetName val="Slide-3"/>
      <sheetName val="Sales Progression"/>
      <sheetName val="Sales Progression only Stores"/>
      <sheetName val="Insti Progression"/>
      <sheetName val="Bud Vs Act Area"/>
      <sheetName val="Budget Area and Nos"/>
      <sheetName val="Insti Sales"/>
      <sheetName val="SPSF Graph"/>
      <sheetName val="SPSF Range"/>
      <sheetName val="YTD SPSF"/>
      <sheetName val="YOY -Growth"/>
      <sheetName val="Continuing Stores (495)"/>
      <sheetName val="Dbase"/>
      <sheetName val="Monthly Sales &amp; SPSF"/>
      <sheetName val="Sales Budget"/>
      <sheetName val="Perf Vs Capex &lt; 9 Months"/>
      <sheetName val="Perf Vs Capex 9 to 15 Months"/>
      <sheetName val="Private Label"/>
      <sheetName val="Cat Wise Sales"/>
      <sheetName val="Emplyee Sales"/>
      <sheetName val="staff Analysis"/>
      <sheetName val="Actual  area &amp; Nos. "/>
      <sheetName val="Bud Vs Actual Sales Graph"/>
      <sheetName val="Clubmore"/>
      <sheetName val="Citywise"/>
      <sheetName val="Agewise SPSF"/>
      <sheetName val="Same Period Sales"/>
      <sheetName val="Store Nos"/>
      <sheetName val="Same store"/>
      <sheetName val="Total Sales 2009-10 ROI"/>
      <sheetName val="Branch-wise-City-wise"/>
      <sheetName val="ENTRY"/>
      <sheetName val="KOTAK"/>
      <sheetName val="KOTAKCONTRACT"/>
      <sheetName val="HDFC"/>
      <sheetName val="trading"/>
      <sheetName val="UTILIZED AND CLOSED DEALS"/>
      <sheetName val="Rpt_APPReport"/>
      <sheetName val="ecc_res"/>
      <sheetName val="Control Sheet"/>
      <sheetName val="Inv, S.Drs., Cash, Loans"/>
      <sheetName val="Op exps, Int. chr"/>
      <sheetName val="Oth inc, Mat. con"/>
      <sheetName val="Secured &amp; Unsecured"/>
      <sheetName val="tariff"/>
      <sheetName val="Macro1"/>
      <sheetName val="Project"/>
      <sheetName val="Cognos_Office_Connection_Cache"/>
      <sheetName val="PO DETAILS-DEC-2016"/>
      <sheetName val="UTV Titles"/>
      <sheetName val="Basis of Provision-Hindi titles"/>
      <sheetName val="SUM"/>
      <sheetName val="MASTER-DATA"/>
      <sheetName val="Provision Available"/>
      <sheetName val="WORK"/>
      <sheetName val="PPA-PROV-SUMM-DEC-16"/>
      <sheetName val="Main files--&gt;"/>
      <sheetName val="SOP&amp;L"/>
      <sheetName val="SOCIE"/>
      <sheetName val="Note-PPE, CWIP &amp; OITA"/>
      <sheetName val="Notes-Assets"/>
      <sheetName val="Notes-Liabilities"/>
      <sheetName val="Notes-SOP&amp;L"/>
      <sheetName val="Employee benefits"/>
      <sheetName val="Tax reconciliation"/>
      <sheetName val="FI - FV"/>
      <sheetName val="FI Credit risk"/>
      <sheetName val="FI Liquidity risk"/>
      <sheetName val="FI Currency risk"/>
      <sheetName val="Capital disclosure"/>
      <sheetName val="RPT"/>
      <sheetName val="Contingent liabilities"/>
      <sheetName val="Forward exchange contracs"/>
      <sheetName val="Segment Reporting"/>
      <sheetName val="Additional Information"/>
      <sheetName val="R &amp; D Exp"/>
      <sheetName val="Other Notes"/>
      <sheetName val="Ind AS 101"/>
      <sheetName val="Working files--&gt;"/>
      <sheetName val="Journal Entries"/>
      <sheetName val="DT working BS approach"/>
      <sheetName val="Working of Tax Base (Invst)"/>
      <sheetName val="ECL Working"/>
      <sheetName val="Loan from Directors"/>
      <sheetName val="MTM working"/>
      <sheetName val="Working of spares"/>
      <sheetName val="Rent deposit Working"/>
      <sheetName val="TB (01.04.2015)"/>
      <sheetName val="TB (31.03.2016)"/>
      <sheetName val="SUB SCHEDULE"/>
      <sheetName val="raw data"/>
      <sheetName val="HI-TARGE"/>
      <sheetName val="additions to fixed assets"/>
      <sheetName val="List_ratios"/>
      <sheetName val="due to from"/>
      <sheetName val="CABLE"/>
      <sheetName val="CopyofCOA20040614"/>
      <sheetName val="ANNX -II"/>
      <sheetName val="Additional GLS"/>
      <sheetName val="GL Master File"/>
      <sheetName val="GL Code Listing"/>
      <sheetName val="Index Sheet"/>
      <sheetName val="Sch Nos Master"/>
      <sheetName val="TB with Entries"/>
      <sheetName val="L.R."/>
      <sheetName val="Qtr to Qtr"/>
      <sheetName val="Adj Entries"/>
      <sheetName val="HNG FA Schedule"/>
      <sheetName val="Regrouping"/>
      <sheetName val="Sheet5"/>
      <sheetName val="TB Grouped"/>
      <sheetName val="Sheet6"/>
      <sheetName val="Grouping Control"/>
      <sheetName val="P &amp; L"/>
      <sheetName val="Acc P"/>
      <sheetName val="Sheet4"/>
      <sheetName val="IND BS"/>
      <sheetName val="IND PL"/>
      <sheetName val="FA Schedule"/>
      <sheetName val="Ind AS_Notes (SA)"/>
      <sheetName val="Per Ton Cost"/>
      <sheetName val="Variance Sheet"/>
      <sheetName val="Stock"/>
      <sheetName val="Debtors"/>
      <sheetName val="Creditors"/>
      <sheetName val="Bal with Govt"/>
      <sheetName val="Misc Expenses"/>
      <sheetName val="CWIP"/>
      <sheetName val="Repairs Cost"/>
      <sheetName val="Input Sheet"/>
      <sheetName val="LR New Face"/>
      <sheetName val="1. IND BS"/>
      <sheetName val="3. Cash Flow"/>
      <sheetName val="2. IND PL"/>
      <sheetName val="4. SOCIE"/>
      <sheetName val="5A. PPE Final"/>
      <sheetName val="5B Intangibles"/>
      <sheetName val="Ind AS_Notes"/>
      <sheetName val="FG 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/>
      <sheetData sheetId="72"/>
      <sheetData sheetId="73"/>
      <sheetData sheetId="74">
        <row r="832">
          <cell r="C832" t="str">
            <v>CASH CREDIT</v>
          </cell>
        </row>
      </sheetData>
      <sheetData sheetId="75"/>
      <sheetData sheetId="76"/>
      <sheetData sheetId="77"/>
      <sheetData sheetId="78"/>
      <sheetData sheetId="79">
        <row r="832">
          <cell r="C832" t="str">
            <v>CASH CREDIT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>
        <row r="832">
          <cell r="C832" t="str">
            <v>CASH CREDIT</v>
          </cell>
        </row>
      </sheetData>
      <sheetData sheetId="165"/>
      <sheetData sheetId="166">
        <row r="832">
          <cell r="C832" t="str">
            <v>CASH CREDIT</v>
          </cell>
        </row>
      </sheetData>
      <sheetData sheetId="167"/>
      <sheetData sheetId="168">
        <row r="832">
          <cell r="C832" t="str">
            <v>CASH CREDIT</v>
          </cell>
        </row>
      </sheetData>
      <sheetData sheetId="169">
        <row r="832">
          <cell r="C832" t="str">
            <v>CASH CREDIT</v>
          </cell>
        </row>
      </sheetData>
      <sheetData sheetId="170">
        <row r="832">
          <cell r="C832" t="str">
            <v>CASH CREDIT</v>
          </cell>
        </row>
      </sheetData>
      <sheetData sheetId="171">
        <row r="832">
          <cell r="C832" t="str">
            <v>CASH CREDIT</v>
          </cell>
        </row>
      </sheetData>
      <sheetData sheetId="172">
        <row r="832">
          <cell r="C832" t="str">
            <v>CASH CREDIT</v>
          </cell>
        </row>
      </sheetData>
      <sheetData sheetId="173">
        <row r="832">
          <cell r="C832" t="str">
            <v>CASH CREDIT</v>
          </cell>
        </row>
      </sheetData>
      <sheetData sheetId="174">
        <row r="832">
          <cell r="C832" t="str">
            <v>CASH CREDIT</v>
          </cell>
        </row>
      </sheetData>
      <sheetData sheetId="175">
        <row r="832">
          <cell r="C832" t="str">
            <v>CASH CREDIT</v>
          </cell>
        </row>
      </sheetData>
      <sheetData sheetId="176">
        <row r="832">
          <cell r="C832" t="str">
            <v>CASH CREDIT</v>
          </cell>
        </row>
      </sheetData>
      <sheetData sheetId="177">
        <row r="832">
          <cell r="C832" t="str">
            <v>CASH CREDIT</v>
          </cell>
        </row>
      </sheetData>
      <sheetData sheetId="178">
        <row r="832">
          <cell r="C832" t="str">
            <v>CASH CREDIT</v>
          </cell>
        </row>
      </sheetData>
      <sheetData sheetId="179">
        <row r="832">
          <cell r="C832" t="str">
            <v>CASH CREDIT</v>
          </cell>
        </row>
      </sheetData>
      <sheetData sheetId="180">
        <row r="832">
          <cell r="C832" t="str">
            <v>CASH CREDIT</v>
          </cell>
        </row>
      </sheetData>
      <sheetData sheetId="181">
        <row r="832">
          <cell r="C832" t="str">
            <v>CASH CREDIT</v>
          </cell>
        </row>
      </sheetData>
      <sheetData sheetId="182">
        <row r="832">
          <cell r="C832" t="str">
            <v>CASH CREDIT</v>
          </cell>
        </row>
      </sheetData>
      <sheetData sheetId="183">
        <row r="832">
          <cell r="C832" t="str">
            <v>CASH CREDIT</v>
          </cell>
        </row>
      </sheetData>
      <sheetData sheetId="184">
        <row r="832">
          <cell r="C832" t="str">
            <v>CASH CREDIT</v>
          </cell>
        </row>
      </sheetData>
      <sheetData sheetId="185">
        <row r="832">
          <cell r="C832" t="str">
            <v>CASH CREDIT</v>
          </cell>
        </row>
      </sheetData>
      <sheetData sheetId="186">
        <row r="832">
          <cell r="C832" t="str">
            <v>CASH CREDIT</v>
          </cell>
        </row>
      </sheetData>
      <sheetData sheetId="187">
        <row r="832">
          <cell r="C832" t="str">
            <v>CASH CREDIT</v>
          </cell>
        </row>
      </sheetData>
      <sheetData sheetId="188">
        <row r="832">
          <cell r="C832" t="str">
            <v>CASH CREDIT</v>
          </cell>
        </row>
      </sheetData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/>
      <sheetData sheetId="313"/>
      <sheetData sheetId="314"/>
      <sheetData sheetId="315"/>
      <sheetData sheetId="316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>
        <row r="832">
          <cell r="C832" t="str">
            <v>CASH CREDIT</v>
          </cell>
        </row>
      </sheetData>
      <sheetData sheetId="363"/>
      <sheetData sheetId="364"/>
      <sheetData sheetId="365"/>
      <sheetData sheetId="366"/>
      <sheetData sheetId="367">
        <row r="832">
          <cell r="C832" t="str">
            <v>CASH CREDIT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>
        <row r="832">
          <cell r="C832" t="str">
            <v>CASH CREDIT</v>
          </cell>
        </row>
      </sheetData>
      <sheetData sheetId="398"/>
      <sheetData sheetId="399">
        <row r="832">
          <cell r="C832" t="str">
            <v>CASH CREDIT</v>
          </cell>
        </row>
      </sheetData>
      <sheetData sheetId="400">
        <row r="832">
          <cell r="C832" t="str">
            <v>CASH CREDIT</v>
          </cell>
        </row>
      </sheetData>
      <sheetData sheetId="401">
        <row r="832">
          <cell r="C832" t="str">
            <v>CASH CREDIT</v>
          </cell>
        </row>
      </sheetData>
      <sheetData sheetId="402">
        <row r="832">
          <cell r="C832" t="str">
            <v>CASH CREDIT</v>
          </cell>
        </row>
      </sheetData>
      <sheetData sheetId="403">
        <row r="832">
          <cell r="C832" t="str">
            <v>CASH CREDIT</v>
          </cell>
        </row>
      </sheetData>
      <sheetData sheetId="404">
        <row r="832">
          <cell r="C832" t="str">
            <v>CASH CREDIT</v>
          </cell>
        </row>
      </sheetData>
      <sheetData sheetId="405">
        <row r="832">
          <cell r="C832" t="str">
            <v>CASH CREDIT</v>
          </cell>
        </row>
      </sheetData>
      <sheetData sheetId="406">
        <row r="832">
          <cell r="C832" t="str">
            <v>CASH CREDIT</v>
          </cell>
        </row>
      </sheetData>
      <sheetData sheetId="407">
        <row r="832">
          <cell r="C832" t="str">
            <v>CASH CREDIT</v>
          </cell>
        </row>
      </sheetData>
      <sheetData sheetId="408">
        <row r="832">
          <cell r="C832" t="str">
            <v>CASH CREDIT</v>
          </cell>
        </row>
      </sheetData>
      <sheetData sheetId="409">
        <row r="832">
          <cell r="C832" t="str">
            <v>CASH CREDIT</v>
          </cell>
        </row>
      </sheetData>
      <sheetData sheetId="410">
        <row r="832">
          <cell r="C832" t="str">
            <v>CASH CREDIT</v>
          </cell>
        </row>
      </sheetData>
      <sheetData sheetId="411">
        <row r="832">
          <cell r="C832" t="str">
            <v>CASH CREDIT</v>
          </cell>
        </row>
      </sheetData>
      <sheetData sheetId="412">
        <row r="832">
          <cell r="C832" t="str">
            <v>CASH CREDIT</v>
          </cell>
        </row>
      </sheetData>
      <sheetData sheetId="413">
        <row r="832">
          <cell r="C832" t="str">
            <v>CASH CREDIT</v>
          </cell>
        </row>
      </sheetData>
      <sheetData sheetId="414">
        <row r="832">
          <cell r="C832" t="str">
            <v>CASH CREDIT</v>
          </cell>
        </row>
      </sheetData>
      <sheetData sheetId="415">
        <row r="832">
          <cell r="C832" t="str">
            <v>CASH CREDIT</v>
          </cell>
        </row>
      </sheetData>
      <sheetData sheetId="416">
        <row r="832">
          <cell r="C832" t="str">
            <v>CASH CREDIT</v>
          </cell>
        </row>
      </sheetData>
      <sheetData sheetId="417">
        <row r="832">
          <cell r="C832" t="str">
            <v>CASH CREDIT</v>
          </cell>
        </row>
      </sheetData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/>
      <sheetData sheetId="472"/>
      <sheetData sheetId="473"/>
      <sheetData sheetId="474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/>
      <sheetData sheetId="507"/>
      <sheetData sheetId="508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/>
      <sheetData sheetId="575"/>
      <sheetData sheetId="576"/>
      <sheetData sheetId="577">
        <row r="832">
          <cell r="C832" t="str">
            <v>Internal Consumption-FG Country Liquor</v>
          </cell>
        </row>
      </sheetData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132417"/>
      <sheetName val="132421"/>
      <sheetName val="132465"/>
      <sheetName val="132444"/>
      <sheetName val="132553"/>
      <sheetName val="132506"/>
      <sheetName val="stas"/>
      <sheetName val="dm 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evisions"/>
      <sheetName val="Factor Grid"/>
      <sheetName val="Assumptions"/>
      <sheetName val="Security concerns"/>
      <sheetName val="Impact of Cost"/>
      <sheetName val="Summary Sheet"/>
      <sheetName val="RKA FSA &amp; Coal Price"/>
      <sheetName val="tariff_rattanpower"/>
      <sheetName val="RKA Coal Cost Calculation"/>
      <sheetName val="Financial"/>
      <sheetName val="Coal Cost revised"/>
      <sheetName val="OC - Annexures (2)"/>
      <sheetName val="FY18 &amp;19 Statements"/>
      <sheetName val="Company's revenue assumption"/>
      <sheetName val="O&amp;M cost Assumption"/>
      <sheetName val="Rough financial data"/>
      <sheetName val="RKA Debt Sch"/>
      <sheetName val="RKA Dep Sch"/>
      <sheetName val="RKA CAPM"/>
      <sheetName val="RKA Projection"/>
      <sheetName val="Asset Summary"/>
      <sheetName val="RKA Summary"/>
      <sheetName val="Coal Analysis"/>
      <sheetName val="OCCRPS and Prov."/>
      <sheetName val="New Working Capital "/>
      <sheetName val="New Debt"/>
      <sheetName val="Equity"/>
      <sheetName val="New Financial (2)"/>
      <sheetName val="New Financial_Company Ebitda"/>
      <sheetName val="Revised Tax"/>
      <sheetName val="Comparison of WC effect"/>
      <sheetName val="Working Capital"/>
      <sheetName val="For OC proposal"/>
      <sheetName val="Payout to Lenders"/>
      <sheetName val="Equit_OCD"/>
      <sheetName val="Repayment Part A"/>
      <sheetName val="for tables_OC summary"/>
      <sheetName val="OCD and Prov."/>
      <sheetName val="Phasing"/>
      <sheetName val="Tax Check"/>
      <sheetName val="Sheet5"/>
      <sheetName val="Financial_original"/>
      <sheetName val="H1FY2018"/>
      <sheetName val="TEV_Cashflow"/>
      <sheetName val="TEV_Assumption"/>
      <sheetName val="TEV_Working"/>
      <sheetName val="Ratios &amp; IRR"/>
      <sheetName val="Debt Sheet"/>
      <sheetName val="Operating Ratios"/>
      <sheetName val="Financials_per unit"/>
      <sheetName val="OC - Annexures"/>
      <sheetName val="Sustainability Test"/>
      <sheetName val="Original Debt_not linked to S4A"/>
      <sheetName val="Original Debt"/>
      <sheetName val="Test"/>
      <sheetName val="CF"/>
      <sheetName val="COG (2)"/>
      <sheetName val="COG"/>
      <sheetName val="Rail_freight"/>
      <sheetName val="Sheet2"/>
      <sheetName val="Project Cost"/>
      <sheetName val="Coal Cost"/>
      <sheetName val="CMA"/>
      <sheetName val="MERC order"/>
      <sheetName val="Depreciation_unit (1)"/>
      <sheetName val="Depreciation_unit (2)"/>
      <sheetName val="Depreciation_unit (3)"/>
      <sheetName val="Depreciation_unit (4)"/>
      <sheetName val="Depreciation_unit (5)"/>
      <sheetName val="IRR &amp; WACC Computation"/>
      <sheetName val="Share Price"/>
      <sheetName val="Share Price New"/>
      <sheetName val="Sheet3"/>
      <sheetName val="Sheet4"/>
      <sheetName val="Provisioning Comparison"/>
      <sheetName val="Share Price_SEBI"/>
      <sheetName val="RIPL Share Price"/>
      <sheetName val="Share Price - 52 week Ref date"/>
      <sheetName val="Sheet6"/>
      <sheetName val="Cash Flow"/>
      <sheetName val="Sheet1"/>
      <sheetName val="Comparison with S4A"/>
      <sheetName val="Sheet7"/>
      <sheetName val="Unit-wise Analysis"/>
      <sheetName val="For PPT"/>
      <sheetName val="Outstanding"/>
    </sheetNames>
    <sheetDataSet>
      <sheetData sheetId="0"/>
      <sheetData sheetId="1"/>
      <sheetData sheetId="2"/>
      <sheetData sheetId="3">
        <row r="46">
          <cell r="D4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1"/>
      <sheetName val="Output 2"/>
      <sheetName val="Output 3"/>
      <sheetName val="FF Field"/>
      <sheetName val="Model- As is"/>
      <sheetName val="Model- Divi only case"/>
      <sheetName val="Model- Divi and NCD"/>
      <sheetName val="Model- LL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1"/>
      <sheetName val="Output 2"/>
      <sheetName val="Output 3"/>
      <sheetName val="FF Field"/>
      <sheetName val="Model- As is"/>
      <sheetName val="Model- Divi only case"/>
      <sheetName val="Model- Divi and NCD"/>
      <sheetName val="Model- LL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Balance Sheet "/>
      <sheetName val="Cap"/>
      <sheetName val="FX-MTM-Data"/>
      <sheetName val="Main 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table"/>
      <sheetName val="Case Sensitivity 133"/>
      <sheetName val="Valuation"/>
      <sheetName val="Capitalization"/>
      <sheetName val="OpStmt-Apt-Q"/>
      <sheetName val="OpStmt-Apt-A"/>
      <sheetName val="A-OpAssumptions"/>
      <sheetName val="P&amp;L-2005-06-07 (Base)"/>
      <sheetName val="220 units (Base) 5 year"/>
      <sheetName val="P&amp;L-2005-06-07 (Opt)"/>
      <sheetName val="Q-Returns"/>
      <sheetName val="A-Returns"/>
      <sheetName val="Partner Promote"/>
      <sheetName val="Debt"/>
      <sheetName val="A-General"/>
      <sheetName val="A-Debt"/>
      <sheetName val="A-Tax"/>
      <sheetName val="Tax"/>
      <sheetName val="A-Rentroll"/>
      <sheetName val="Fund Summary"/>
      <sheetName val="Investor Summary"/>
      <sheetName val="Investment Summary"/>
      <sheetName val="Class A"/>
      <sheetName val="Class B"/>
      <sheetName val="A-Others"/>
      <sheetName val="A_Gen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 -local"/>
      <sheetName val="Factor- cables"/>
      <sheetName val="Factor -Imports (FCA Prices)"/>
      <sheetName val="Factors-overall"/>
      <sheetName val="Summary"/>
      <sheetName val="Acc-2E1+eth"/>
      <sheetName val="2E1+eth"/>
      <sheetName val="EMS-2E1+Eth"/>
      <sheetName val="Acc-4E1"/>
      <sheetName val="4E1"/>
      <sheetName val="EMS-4E1"/>
      <sheetName val="Acc-2E1 "/>
      <sheetName val="2E1"/>
      <sheetName val="EMS-2E1"/>
      <sheetName val="Acc-1E1"/>
      <sheetName val="1E1"/>
      <sheetName val="EMS-1E1"/>
      <sheetName val="Optional Accessories"/>
      <sheetName val="Acc-1E1+eth "/>
      <sheetName val="1E1+eth"/>
      <sheetName val="EMS-1E1+eth"/>
      <sheetName val="optimised config-acc"/>
      <sheetName val="optimised config"/>
      <sheetName val="optimised confi EMS"/>
      <sheetName val="interface Cards"/>
      <sheetName val="Factors_overall"/>
      <sheetName val="WORKINGS"/>
      <sheetName val="Estimate"/>
      <sheetName val="tuong"/>
      <sheetName val="A-General"/>
      <sheetName val="Summary Jun-08"/>
      <sheetName val="Collection"/>
      <sheetName val="FV-08-09"/>
      <sheetName val="Excise Cen Awailment-Jun-08"/>
      <sheetName val="Cenvat Awailment-ST"/>
      <sheetName val="ST Cenvat June-08"/>
      <sheetName val="ST Cenvat May'08 "/>
      <sheetName val="Factor_-local"/>
      <sheetName val="Factor-_cables"/>
      <sheetName val="Factor_-Imports_(FCA_Prices)"/>
      <sheetName val="Acc-2E1_"/>
      <sheetName val="Optional_Accessories"/>
      <sheetName val="Acc-1E1+eth_"/>
      <sheetName val="optimised_config-acc"/>
      <sheetName val="optimised_config"/>
      <sheetName val="optimised_confi_EMS"/>
      <sheetName val="interface_Cards"/>
      <sheetName val="Summary_Jun-08"/>
      <sheetName val="Excise_Cen_Awailment-Jun-08"/>
      <sheetName val="Cenvat_Awailment-ST"/>
      <sheetName val="ST_Cenvat_June-08"/>
      <sheetName val="ST_Cenvat_May'08_"/>
      <sheetName val="Factor_-local1"/>
      <sheetName val="Factor-_cables1"/>
      <sheetName val="Factor_-Imports_(FCA_Prices)1"/>
      <sheetName val="Acc-2E1_1"/>
      <sheetName val="Optional_Accessories1"/>
      <sheetName val="Acc-1E1+eth_1"/>
      <sheetName val="optimised_config-acc1"/>
      <sheetName val="optimised_config1"/>
      <sheetName val="optimised_confi_EMS1"/>
      <sheetName val="interface_Cards1"/>
      <sheetName val="Summary_Jun-081"/>
      <sheetName val="Excise_Cen_Awailment-Jun-081"/>
      <sheetName val="Cenvat_Awailment-ST1"/>
      <sheetName val="ST_Cenvat_June-081"/>
      <sheetName val="ST_Cenvat_May'08_1"/>
      <sheetName val="Factor_-local2"/>
      <sheetName val="Factor-_cables2"/>
      <sheetName val="Factor_-Imports_(FCA_Prices)2"/>
      <sheetName val="Acc-2E1_2"/>
      <sheetName val="Optional_Accessories2"/>
      <sheetName val="Acc-1E1+eth_2"/>
      <sheetName val="optimised_config-acc2"/>
      <sheetName val="optimised_config2"/>
      <sheetName val="optimised_confi_EMS2"/>
      <sheetName val="interface_Cards2"/>
      <sheetName val="Summary_Jun-082"/>
      <sheetName val="Excise_Cen_Awailment-Jun-082"/>
      <sheetName val="Cenvat_Awailment-ST2"/>
      <sheetName val="ST_Cenvat_June-082"/>
      <sheetName val="ST_Cenvat_May'08_2"/>
      <sheetName val="FX-MTM-Data"/>
      <sheetName val="Main Cover"/>
      <sheetName val="Cap"/>
      <sheetName val="Params"/>
      <sheetName val="NMDC Porf"/>
      <sheetName val="1-OBJ98 "/>
      <sheetName val="fco"/>
      <sheetName val="Factor_-local3"/>
      <sheetName val="Factor-_cables3"/>
      <sheetName val="Factor_-Imports_(FCA_Prices)3"/>
      <sheetName val="Acc-2E1_3"/>
      <sheetName val="Optional_Accessories3"/>
      <sheetName val="Acc-1E1+eth_3"/>
      <sheetName val="optimised_config-acc3"/>
      <sheetName val="optimised_config3"/>
      <sheetName val="optimised_confi_EMS3"/>
      <sheetName val="interface_Cards3"/>
      <sheetName val="PIP&amp;EQPT"/>
      <sheetName val="Factor_-local5"/>
      <sheetName val="Factor-_cables5"/>
      <sheetName val="Factor_-Imports_(FCA_Prices)5"/>
      <sheetName val="Acc-2E1_5"/>
      <sheetName val="Optional_Accessories5"/>
      <sheetName val="Acc-1E1+eth_5"/>
      <sheetName val="optimised_config-acc5"/>
      <sheetName val="optimised_config5"/>
      <sheetName val="optimised_confi_EMS5"/>
      <sheetName val="interface_Cards5"/>
      <sheetName val="Factor_-local4"/>
      <sheetName val="Factor-_cables4"/>
      <sheetName val="Factor_-Imports_(FCA_Prices)4"/>
      <sheetName val="Acc-2E1_4"/>
      <sheetName val="Optional_Accessories4"/>
      <sheetName val="Acc-1E1+eth_4"/>
      <sheetName val="optimised_config-acc4"/>
      <sheetName val="optimised_config4"/>
      <sheetName val="optimised_confi_EMS4"/>
      <sheetName val="interface_Cards4"/>
      <sheetName val="설계조건"/>
      <sheetName val="단면검토"/>
      <sheetName val="Start"/>
      <sheetName val="GuV"/>
      <sheetName val="Controls"/>
      <sheetName val="10-city points"/>
      <sheetName val="접속슬래브"/>
      <sheetName val="CAL"/>
      <sheetName val="PanhandleB"/>
      <sheetName val="Inputs "/>
      <sheetName val="Attachment 3B"/>
      <sheetName val="Summary_Jun-083"/>
      <sheetName val="Excise_Cen_Awailment-Jun-083"/>
      <sheetName val="Cenvat_Awailment-ST3"/>
      <sheetName val="ST_Cenvat_June-083"/>
      <sheetName val="ST_Cenvat_May'08_3"/>
      <sheetName val="10-city_points"/>
      <sheetName val="Summary_Jun-084"/>
      <sheetName val="Excise_Cen_Awailment-Jun-084"/>
      <sheetName val="Cenvat_Awailment-ST4"/>
      <sheetName val="ST_Cenvat_June-084"/>
      <sheetName val="ST_Cenvat_May'08_4"/>
      <sheetName val="10-city_points1"/>
      <sheetName val="Summary_Jun-085"/>
      <sheetName val="Excise_Cen_Awailment-Jun-085"/>
      <sheetName val="Cenvat_Awailment-ST5"/>
      <sheetName val="ST_Cenvat_June-085"/>
      <sheetName val="ST_Cenvat_May'08_5"/>
      <sheetName val="10-city_points2"/>
      <sheetName val="Factor_-local6"/>
      <sheetName val="Factor-_cables6"/>
      <sheetName val="Factor_-Imports_(FCA_Prices)6"/>
      <sheetName val="Acc-2E1_6"/>
      <sheetName val="Optional_Accessories6"/>
      <sheetName val="Acc-1E1+eth_6"/>
      <sheetName val="optimised_config-acc6"/>
      <sheetName val="optimised_config6"/>
      <sheetName val="optimised_confi_EMS6"/>
      <sheetName val="interface_Cards6"/>
      <sheetName val="Summary_Jun-086"/>
      <sheetName val="Excise_Cen_Awailment-Jun-086"/>
      <sheetName val="Cenvat_Awailment-ST6"/>
      <sheetName val="ST_Cenvat_June-086"/>
      <sheetName val="ST_Cenvat_May'08_6"/>
      <sheetName val="10-city_points3"/>
      <sheetName val="Factor_-local7"/>
      <sheetName val="Factor-_cables7"/>
      <sheetName val="Factor_-Imports_(FCA_Prices)7"/>
      <sheetName val="Acc-2E1_7"/>
      <sheetName val="Optional_Accessories7"/>
      <sheetName val="Acc-1E1+eth_7"/>
      <sheetName val="optimised_config-acc7"/>
      <sheetName val="optimised_config7"/>
      <sheetName val="optimised_confi_EMS7"/>
      <sheetName val="interface_Cards7"/>
      <sheetName val="Summary_Jun-087"/>
      <sheetName val="Excise_Cen_Awailment-Jun-087"/>
      <sheetName val="Cenvat_Awailment-ST7"/>
      <sheetName val="ST_Cenvat_June-087"/>
      <sheetName val="ST_Cenvat_May'08_7"/>
      <sheetName val="10-city_points4"/>
      <sheetName val="Factor_-local8"/>
      <sheetName val="Factor-_cables8"/>
      <sheetName val="Factor_-Imports_(FCA_Prices)8"/>
      <sheetName val="Acc-2E1_8"/>
      <sheetName val="Optional_Accessories8"/>
      <sheetName val="Acc-1E1+eth_8"/>
      <sheetName val="optimised_config-acc8"/>
      <sheetName val="optimised_config8"/>
      <sheetName val="optimised_confi_EMS8"/>
      <sheetName val="interface_Cards8"/>
      <sheetName val="Summary_Jun-088"/>
      <sheetName val="Excise_Cen_Awailment-Jun-088"/>
      <sheetName val="Cenvat_Awailment-ST8"/>
      <sheetName val="ST_Cenvat_June-088"/>
      <sheetName val="ST_Cenvat_May'08_8"/>
      <sheetName val="10-city_points5"/>
      <sheetName val="Main_Cover"/>
      <sheetName val="Factor_-local9"/>
      <sheetName val="Factor-_cables9"/>
      <sheetName val="Factor_-Imports_(FCA_Prices)9"/>
      <sheetName val="Acc-2E1_9"/>
      <sheetName val="Optional_Accessories9"/>
      <sheetName val="Acc-1E1+eth_9"/>
      <sheetName val="optimised_config-acc9"/>
      <sheetName val="optimised_config9"/>
      <sheetName val="optimised_confi_EMS9"/>
      <sheetName val="interface_Cards9"/>
      <sheetName val="Summary_Jun-089"/>
      <sheetName val="Excise_Cen_Awailment-Jun-089"/>
      <sheetName val="Cenvat_Awailment-ST9"/>
      <sheetName val="ST_Cenvat_June-089"/>
      <sheetName val="ST_Cenvat_May'08_9"/>
      <sheetName val="10-city_points6"/>
      <sheetName val="Factor_-local10"/>
      <sheetName val="Factor-_cables10"/>
      <sheetName val="Factor_-Imports_(FCA_Prices)10"/>
      <sheetName val="Acc-2E1_10"/>
      <sheetName val="Optional_Accessories10"/>
      <sheetName val="Acc-1E1+eth_10"/>
      <sheetName val="optimised_config-acc10"/>
      <sheetName val="optimised_config10"/>
      <sheetName val="optimised_confi_EMS10"/>
      <sheetName val="interface_Cards10"/>
      <sheetName val="Summary_Jun-0810"/>
      <sheetName val="Excise_Cen_Awailment-Jun-0810"/>
      <sheetName val="Cenvat_Awailment-ST10"/>
      <sheetName val="ST_Cenvat_June-0810"/>
      <sheetName val="ST_Cenvat_May'08_10"/>
      <sheetName val="10-city_points7"/>
      <sheetName val="Factor_-local11"/>
      <sheetName val="Factor-_cables11"/>
      <sheetName val="Factor_-Imports_(FCA_Prices)11"/>
      <sheetName val="Acc-2E1_11"/>
      <sheetName val="Optional_Accessories11"/>
      <sheetName val="Acc-1E1+eth_11"/>
      <sheetName val="optimised_config-acc11"/>
      <sheetName val="optimised_config11"/>
      <sheetName val="optimised_confi_EMS11"/>
      <sheetName val="interface_Cards11"/>
      <sheetName val="Summary_Jun-0811"/>
      <sheetName val="Excise_Cen_Awailment-Jun-0811"/>
      <sheetName val="Cenvat_Awailment-ST11"/>
      <sheetName val="ST_Cenvat_June-0811"/>
      <sheetName val="ST_Cenvat_May'08_11"/>
      <sheetName val="10-city_points8"/>
      <sheetName val="Main_Cover1"/>
      <sheetName val="GA"/>
      <sheetName val="Offer_09.01"/>
      <sheetName val="Factor_-local12"/>
      <sheetName val="Factor-_cables12"/>
      <sheetName val="Factor_-Imports_(FCA_Prices)12"/>
      <sheetName val="Acc-2E1_12"/>
      <sheetName val="Optional_Accessories12"/>
      <sheetName val="Acc-1E1+eth_12"/>
      <sheetName val="optimised_config-acc12"/>
      <sheetName val="optimised_config12"/>
      <sheetName val="optimised_confi_EMS12"/>
      <sheetName val="interface_Cards12"/>
      <sheetName val="Summary_Jun-0812"/>
      <sheetName val="Excise_Cen_Awailment-Jun-0812"/>
      <sheetName val="Cenvat_Awailment-ST12"/>
      <sheetName val="ST_Cenvat_June-0812"/>
      <sheetName val="ST_Cenvat_May'08_12"/>
      <sheetName val="10-city_points9"/>
      <sheetName val="Main_Cover2"/>
      <sheetName val="CashFlow"/>
      <sheetName val="presentation"/>
      <sheetName val="Summary of Closing Stock"/>
      <sheetName val="2004CJ"/>
      <sheetName val="Assumption"/>
      <sheetName val="NMDC_Porf"/>
      <sheetName val="1-OBJ98_"/>
      <sheetName val="Inputs_"/>
      <sheetName val="Attachment_3B"/>
      <sheetName val="Alok"/>
      <sheetName val="Amol"/>
      <sheetName val="Anand"/>
      <sheetName val="Anindya "/>
      <sheetName val="Chetan"/>
      <sheetName val="Chitnis"/>
      <sheetName val="Deepak"/>
      <sheetName val="R. Devarajan"/>
      <sheetName val="Girish"/>
      <sheetName val="Harry"/>
      <sheetName val="Jeetu"/>
      <sheetName val="Kuldeepak"/>
      <sheetName val="Mahesh "/>
      <sheetName val="Mandar"/>
      <sheetName val="Manoj"/>
      <sheetName val="Milind Acharya"/>
      <sheetName val="Milind Pande"/>
      <sheetName val="MLMahindra"/>
      <sheetName val="Mohan"/>
      <sheetName val="Navjit"/>
      <sheetName val="Nozer"/>
      <sheetName val="Ram Pattabhi"/>
      <sheetName val="Prabhanjan"/>
      <sheetName val="Revati"/>
      <sheetName val="R Chatterjee"/>
      <sheetName val="Roy"/>
      <sheetName val="Sagar"/>
      <sheetName val="salaj"/>
      <sheetName val="Sameer"/>
      <sheetName val="Sandeep C"/>
      <sheetName val="Sandeep Tulshyan"/>
      <sheetName val="Sanjay"/>
      <sheetName val="Santosh"/>
      <sheetName val="Shardul"/>
      <sheetName val="Shivkumar"/>
      <sheetName val="Subir "/>
      <sheetName val="Suman"/>
      <sheetName val="Swami"/>
      <sheetName val="Vighnesh"/>
      <sheetName val="Vishal"/>
      <sheetName val="Assumptions"/>
      <sheetName val="Main"/>
      <sheetName val="Data"/>
      <sheetName val="BS SCH"/>
      <sheetName val="DATA ENTRY"/>
      <sheetName val="Sheet1"/>
      <sheetName val="Geography Heirarchy"/>
      <sheetName val="FXRATES"/>
      <sheetName val="G&amp;A Exp Accnt"/>
      <sheetName val="beam-reinft-IIInd floor"/>
      <sheetName val="SOLUT007"/>
    </sheetNames>
    <sheetDataSet>
      <sheetData sheetId="0"/>
      <sheetData sheetId="1"/>
      <sheetData sheetId="2"/>
      <sheetData sheetId="3" refreshError="1">
        <row r="23">
          <cell r="B23">
            <v>0.85</v>
          </cell>
        </row>
        <row r="24">
          <cell r="B24">
            <v>0.9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>
        <row r="24">
          <cell r="B24">
            <v>0.9</v>
          </cell>
        </row>
      </sheetData>
      <sheetData sheetId="38">
        <row r="24">
          <cell r="B24">
            <v>0.9</v>
          </cell>
        </row>
      </sheetData>
      <sheetData sheetId="39">
        <row r="24">
          <cell r="B24">
            <v>0.9</v>
          </cell>
        </row>
      </sheetData>
      <sheetData sheetId="40">
        <row r="24">
          <cell r="B24">
            <v>0.9</v>
          </cell>
        </row>
      </sheetData>
      <sheetData sheetId="41"/>
      <sheetData sheetId="42">
        <row r="24">
          <cell r="B24">
            <v>0.9</v>
          </cell>
        </row>
      </sheetData>
      <sheetData sheetId="43">
        <row r="24">
          <cell r="B24">
            <v>0.9</v>
          </cell>
        </row>
      </sheetData>
      <sheetData sheetId="44"/>
      <sheetData sheetId="45"/>
      <sheetData sheetId="46"/>
      <sheetData sheetId="47"/>
      <sheetData sheetId="48">
        <row r="24">
          <cell r="B24">
            <v>0.9</v>
          </cell>
        </row>
      </sheetData>
      <sheetData sheetId="49">
        <row r="24">
          <cell r="B24">
            <v>0.9</v>
          </cell>
        </row>
      </sheetData>
      <sheetData sheetId="50">
        <row r="24">
          <cell r="B24">
            <v>0.9</v>
          </cell>
        </row>
      </sheetData>
      <sheetData sheetId="51"/>
      <sheetData sheetId="52">
        <row r="24">
          <cell r="B24">
            <v>0.9</v>
          </cell>
        </row>
      </sheetData>
      <sheetData sheetId="53">
        <row r="24">
          <cell r="B24">
            <v>0.9</v>
          </cell>
        </row>
      </sheetData>
      <sheetData sheetId="54">
        <row r="24">
          <cell r="B24">
            <v>0.9</v>
          </cell>
        </row>
      </sheetData>
      <sheetData sheetId="55">
        <row r="24">
          <cell r="B24">
            <v>0.9</v>
          </cell>
        </row>
      </sheetData>
      <sheetData sheetId="56">
        <row r="24">
          <cell r="B24">
            <v>0.9</v>
          </cell>
        </row>
      </sheetData>
      <sheetData sheetId="57">
        <row r="24">
          <cell r="B24">
            <v>0.9</v>
          </cell>
        </row>
      </sheetData>
      <sheetData sheetId="58">
        <row r="24">
          <cell r="B24">
            <v>0.9</v>
          </cell>
        </row>
      </sheetData>
      <sheetData sheetId="59">
        <row r="24">
          <cell r="B24">
            <v>0.9</v>
          </cell>
        </row>
      </sheetData>
      <sheetData sheetId="60">
        <row r="24">
          <cell r="B24">
            <v>0.9</v>
          </cell>
        </row>
      </sheetData>
      <sheetData sheetId="61">
        <row r="24">
          <cell r="B24">
            <v>0.9</v>
          </cell>
        </row>
      </sheetData>
      <sheetData sheetId="62">
        <row r="24">
          <cell r="B24">
            <v>0.9</v>
          </cell>
        </row>
      </sheetData>
      <sheetData sheetId="63">
        <row r="24">
          <cell r="B24">
            <v>0.9</v>
          </cell>
        </row>
      </sheetData>
      <sheetData sheetId="64">
        <row r="24">
          <cell r="B24">
            <v>0.9</v>
          </cell>
        </row>
      </sheetData>
      <sheetData sheetId="65">
        <row r="24">
          <cell r="B24">
            <v>0.9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24">
          <cell r="B24">
            <v>0.9</v>
          </cell>
        </row>
      </sheetData>
      <sheetData sheetId="90">
        <row r="24">
          <cell r="B24">
            <v>0.9</v>
          </cell>
        </row>
      </sheetData>
      <sheetData sheetId="91">
        <row r="24">
          <cell r="B24">
            <v>0.9</v>
          </cell>
        </row>
      </sheetData>
      <sheetData sheetId="92">
        <row r="24">
          <cell r="B24">
            <v>0.9</v>
          </cell>
        </row>
      </sheetData>
      <sheetData sheetId="93">
        <row r="24">
          <cell r="B24">
            <v>0.9</v>
          </cell>
        </row>
      </sheetData>
      <sheetData sheetId="94">
        <row r="24">
          <cell r="B24">
            <v>0.9</v>
          </cell>
        </row>
      </sheetData>
      <sheetData sheetId="95">
        <row r="24">
          <cell r="B24">
            <v>0.9</v>
          </cell>
        </row>
      </sheetData>
      <sheetData sheetId="96">
        <row r="24">
          <cell r="B24">
            <v>0.9</v>
          </cell>
        </row>
      </sheetData>
      <sheetData sheetId="97">
        <row r="24">
          <cell r="B24">
            <v>0.9</v>
          </cell>
        </row>
      </sheetData>
      <sheetData sheetId="98">
        <row r="24">
          <cell r="B24">
            <v>0.9</v>
          </cell>
        </row>
      </sheetData>
      <sheetData sheetId="99" refreshError="1"/>
      <sheetData sheetId="100">
        <row r="24">
          <cell r="B24">
            <v>0.9</v>
          </cell>
        </row>
      </sheetData>
      <sheetData sheetId="101">
        <row r="24">
          <cell r="B24">
            <v>0.9</v>
          </cell>
        </row>
      </sheetData>
      <sheetData sheetId="102">
        <row r="24">
          <cell r="B24">
            <v>0.9</v>
          </cell>
        </row>
      </sheetData>
      <sheetData sheetId="103">
        <row r="24">
          <cell r="B24">
            <v>0.9</v>
          </cell>
        </row>
      </sheetData>
      <sheetData sheetId="104">
        <row r="24">
          <cell r="B24">
            <v>0.9</v>
          </cell>
        </row>
      </sheetData>
      <sheetData sheetId="105">
        <row r="24">
          <cell r="B24">
            <v>0.9</v>
          </cell>
        </row>
      </sheetData>
      <sheetData sheetId="106">
        <row r="24">
          <cell r="B24">
            <v>0.9</v>
          </cell>
        </row>
      </sheetData>
      <sheetData sheetId="107"/>
      <sheetData sheetId="108"/>
      <sheetData sheetId="109"/>
      <sheetData sheetId="110">
        <row r="24">
          <cell r="B24">
            <v>0.9</v>
          </cell>
        </row>
      </sheetData>
      <sheetData sheetId="111">
        <row r="24">
          <cell r="B24">
            <v>0.9</v>
          </cell>
        </row>
      </sheetData>
      <sheetData sheetId="112">
        <row r="24">
          <cell r="B24">
            <v>0.9</v>
          </cell>
        </row>
      </sheetData>
      <sheetData sheetId="113">
        <row r="24">
          <cell r="B24">
            <v>0.9</v>
          </cell>
        </row>
      </sheetData>
      <sheetData sheetId="114">
        <row r="24">
          <cell r="B24">
            <v>0.9</v>
          </cell>
        </row>
      </sheetData>
      <sheetData sheetId="115">
        <row r="24">
          <cell r="B24">
            <v>0.9</v>
          </cell>
        </row>
      </sheetData>
      <sheetData sheetId="116">
        <row r="24">
          <cell r="B24">
            <v>0.9</v>
          </cell>
        </row>
      </sheetData>
      <sheetData sheetId="117">
        <row r="24">
          <cell r="B24">
            <v>0.9</v>
          </cell>
        </row>
      </sheetData>
      <sheetData sheetId="118">
        <row r="24">
          <cell r="B24">
            <v>0.9</v>
          </cell>
        </row>
      </sheetData>
      <sheetData sheetId="119">
        <row r="24">
          <cell r="B24">
            <v>0.9</v>
          </cell>
        </row>
      </sheetData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>
        <row r="23">
          <cell r="B23">
            <v>0.85</v>
          </cell>
        </row>
      </sheetData>
      <sheetData sheetId="165">
        <row r="23">
          <cell r="B23">
            <v>0.85</v>
          </cell>
        </row>
      </sheetData>
      <sheetData sheetId="166"/>
      <sheetData sheetId="167">
        <row r="23">
          <cell r="B23">
            <v>0.85</v>
          </cell>
        </row>
      </sheetData>
      <sheetData sheetId="168">
        <row r="23">
          <cell r="B23">
            <v>0.85</v>
          </cell>
        </row>
      </sheetData>
      <sheetData sheetId="169">
        <row r="23">
          <cell r="B23">
            <v>0.85</v>
          </cell>
        </row>
      </sheetData>
      <sheetData sheetId="170">
        <row r="23">
          <cell r="B23">
            <v>0.85</v>
          </cell>
        </row>
      </sheetData>
      <sheetData sheetId="171">
        <row r="23">
          <cell r="B23">
            <v>0.85</v>
          </cell>
        </row>
      </sheetData>
      <sheetData sheetId="172">
        <row r="23">
          <cell r="B23">
            <v>0.85</v>
          </cell>
        </row>
      </sheetData>
      <sheetData sheetId="173">
        <row r="23">
          <cell r="B23">
            <v>0.85</v>
          </cell>
        </row>
      </sheetData>
      <sheetData sheetId="174">
        <row r="23">
          <cell r="B23">
            <v>0.85</v>
          </cell>
        </row>
      </sheetData>
      <sheetData sheetId="175">
        <row r="23">
          <cell r="B23">
            <v>0.85</v>
          </cell>
        </row>
      </sheetData>
      <sheetData sheetId="176">
        <row r="23">
          <cell r="B23">
            <v>0.85</v>
          </cell>
        </row>
      </sheetData>
      <sheetData sheetId="177">
        <row r="23">
          <cell r="B23">
            <v>0.85</v>
          </cell>
        </row>
      </sheetData>
      <sheetData sheetId="178">
        <row r="23">
          <cell r="B23">
            <v>0.85</v>
          </cell>
        </row>
      </sheetData>
      <sheetData sheetId="179">
        <row r="23">
          <cell r="B23">
            <v>0.85</v>
          </cell>
        </row>
      </sheetData>
      <sheetData sheetId="180">
        <row r="23">
          <cell r="B23">
            <v>0.85</v>
          </cell>
        </row>
      </sheetData>
      <sheetData sheetId="181">
        <row r="23">
          <cell r="B23">
            <v>0.85</v>
          </cell>
        </row>
      </sheetData>
      <sheetData sheetId="182">
        <row r="23">
          <cell r="B23">
            <v>0.85</v>
          </cell>
        </row>
      </sheetData>
      <sheetData sheetId="183">
        <row r="23">
          <cell r="B23">
            <v>0.85</v>
          </cell>
        </row>
      </sheetData>
      <sheetData sheetId="184">
        <row r="23">
          <cell r="B23">
            <v>0.85</v>
          </cell>
        </row>
      </sheetData>
      <sheetData sheetId="185">
        <row r="23">
          <cell r="B23">
            <v>0.85</v>
          </cell>
        </row>
      </sheetData>
      <sheetData sheetId="186">
        <row r="23">
          <cell r="B23">
            <v>0.85</v>
          </cell>
        </row>
      </sheetData>
      <sheetData sheetId="187">
        <row r="23">
          <cell r="B23">
            <v>0.85</v>
          </cell>
        </row>
      </sheetData>
      <sheetData sheetId="188">
        <row r="23">
          <cell r="B23">
            <v>0.85</v>
          </cell>
        </row>
      </sheetData>
      <sheetData sheetId="189">
        <row r="23">
          <cell r="B23">
            <v>0.85</v>
          </cell>
        </row>
      </sheetData>
      <sheetData sheetId="190">
        <row r="23">
          <cell r="B23">
            <v>0.85</v>
          </cell>
        </row>
      </sheetData>
      <sheetData sheetId="191">
        <row r="24">
          <cell r="B24" t="str">
            <v>DN007/EXODUS/08-09</v>
          </cell>
        </row>
      </sheetData>
      <sheetData sheetId="192">
        <row r="24">
          <cell r="B24" t="str">
            <v>DN007/EXODUS/08-09</v>
          </cell>
        </row>
      </sheetData>
      <sheetData sheetId="193">
        <row r="24">
          <cell r="B24" t="str">
            <v>DN007/EXODUS/08-09</v>
          </cell>
        </row>
      </sheetData>
      <sheetData sheetId="194">
        <row r="24">
          <cell r="B24" t="str">
            <v>DN007/EXODUS/08-09</v>
          </cell>
        </row>
      </sheetData>
      <sheetData sheetId="195">
        <row r="24">
          <cell r="B24" t="str">
            <v>DN007/EXODUS/08-09</v>
          </cell>
        </row>
      </sheetData>
      <sheetData sheetId="196">
        <row r="24">
          <cell r="B24" t="str">
            <v>DN007/EXODUS/08-09</v>
          </cell>
        </row>
      </sheetData>
      <sheetData sheetId="197">
        <row r="24">
          <cell r="B24" t="str">
            <v>DN007/EXODUS/08-09</v>
          </cell>
        </row>
      </sheetData>
      <sheetData sheetId="198">
        <row r="24">
          <cell r="B24" t="str">
            <v>DN007/EXODUS/08-09</v>
          </cell>
        </row>
      </sheetData>
      <sheetData sheetId="199">
        <row r="24">
          <cell r="B24" t="str">
            <v>DN007/EXODUS/08-09</v>
          </cell>
        </row>
      </sheetData>
      <sheetData sheetId="200">
        <row r="24">
          <cell r="B24" t="str">
            <v>DN007/EXODUS/08-09</v>
          </cell>
        </row>
      </sheetData>
      <sheetData sheetId="201">
        <row r="24">
          <cell r="B24" t="str">
            <v>DN007/EXODUS/08-09</v>
          </cell>
        </row>
      </sheetData>
      <sheetData sheetId="202">
        <row r="24">
          <cell r="B24" t="str">
            <v>DN007/EXODUS/08-09</v>
          </cell>
        </row>
      </sheetData>
      <sheetData sheetId="203">
        <row r="24">
          <cell r="B24" t="str">
            <v>DN007/EXODUS/08-09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>
        <row r="24">
          <cell r="B24" t="str">
            <v>DN007/EXODUS/08-09</v>
          </cell>
        </row>
      </sheetData>
      <sheetData sheetId="220"/>
      <sheetData sheetId="221">
        <row r="24">
          <cell r="B24" t="str">
            <v>DN007/EXODUS/08-09</v>
          </cell>
        </row>
      </sheetData>
      <sheetData sheetId="222">
        <row r="24">
          <cell r="B24" t="str">
            <v>DN007/EXODUS/08-09</v>
          </cell>
        </row>
      </sheetData>
      <sheetData sheetId="223">
        <row r="24">
          <cell r="B24" t="str">
            <v>DN007/EXODUS/08-09</v>
          </cell>
        </row>
      </sheetData>
      <sheetData sheetId="224">
        <row r="24">
          <cell r="B24" t="str">
            <v>DN007/EXODUS/08-09</v>
          </cell>
        </row>
      </sheetData>
      <sheetData sheetId="225"/>
      <sheetData sheetId="226">
        <row r="24">
          <cell r="B24" t="str">
            <v>DN007/EXODUS/08-09</v>
          </cell>
        </row>
      </sheetData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国内"/>
      <sheetName val="国内work"/>
      <sheetName val="為替"/>
      <sheetName val="EQ海外"/>
      <sheetName val="海外WORK"/>
      <sheetName val="INVESTSMART"/>
      <sheetName val="Stockton"/>
      <sheetName val="BL売却"/>
      <sheetName val="ニチメン売却 "/>
      <sheetName val="AFFI内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国内"/>
      <sheetName val="国内work"/>
      <sheetName val="為替"/>
      <sheetName val="EQ海外"/>
      <sheetName val="海外WORK"/>
      <sheetName val="INVESTSMART"/>
      <sheetName val="Stockton"/>
      <sheetName val="BL売却"/>
      <sheetName val="ニチメン売却 "/>
      <sheetName val="AFFI内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 &amp; pl "/>
      <sheetName val="fas"/>
      <sheetName val="abstract"/>
      <sheetName val="Sheet2"/>
      <sheetName val="trial (2)"/>
      <sheetName val="trial"/>
      <sheetName val="Other_calc"/>
      <sheetName val="DSM checkbook"/>
      <sheetName val="Cash"/>
      <sheetName val="Sales Inv"/>
    </sheetNames>
    <sheetDataSet>
      <sheetData sheetId="0"/>
      <sheetData sheetId="1"/>
      <sheetData sheetId="2"/>
      <sheetData sheetId="3"/>
      <sheetData sheetId="4">
        <row r="173">
          <cell r="B173" t="str">
            <v>Accumulated Dep - Building improvement</v>
          </cell>
          <cell r="C173">
            <v>1048810</v>
          </cell>
        </row>
        <row r="174">
          <cell r="B174" t="str">
            <v>Accumulated Dep - Computer Equip</v>
          </cell>
          <cell r="C174">
            <v>1219966</v>
          </cell>
        </row>
        <row r="175">
          <cell r="B175" t="str">
            <v>Accumulated Dep - F&amp;F</v>
          </cell>
          <cell r="C175">
            <v>140765</v>
          </cell>
        </row>
        <row r="176">
          <cell r="B176" t="str">
            <v>Accumulated Dep - Office Equip</v>
          </cell>
          <cell r="C176">
            <v>224270</v>
          </cell>
        </row>
        <row r="177">
          <cell r="B177" t="str">
            <v>Advance billings</v>
          </cell>
          <cell r="C177">
            <v>0</v>
          </cell>
        </row>
        <row r="178">
          <cell r="B178" t="str">
            <v>Advances recoverable in cash / kind</v>
          </cell>
          <cell r="C178">
            <v>14855</v>
          </cell>
        </row>
        <row r="179">
          <cell r="B179" t="str">
            <v>Building Improvments</v>
          </cell>
          <cell r="C179">
            <v>9997977</v>
          </cell>
        </row>
        <row r="180">
          <cell r="B180" t="str">
            <v>cancelled</v>
          </cell>
          <cell r="C180">
            <v>0</v>
          </cell>
        </row>
        <row r="181">
          <cell r="B181" t="str">
            <v>Capital Work In Progress</v>
          </cell>
          <cell r="C181">
            <v>502927</v>
          </cell>
        </row>
        <row r="182">
          <cell r="B182" t="str">
            <v>Cash-In-Hand</v>
          </cell>
          <cell r="C182">
            <v>5060</v>
          </cell>
        </row>
        <row r="183">
          <cell r="B183" t="str">
            <v>Cheques/Dds' On Hand</v>
          </cell>
          <cell r="C183">
            <v>590451</v>
          </cell>
        </row>
        <row r="184">
          <cell r="B184" t="str">
            <v>Computer Equipt</v>
          </cell>
          <cell r="C184">
            <v>45942883</v>
          </cell>
        </row>
        <row r="185">
          <cell r="B185" t="str">
            <v>Consultants fees</v>
          </cell>
          <cell r="C185">
            <v>1235329</v>
          </cell>
        </row>
        <row r="186">
          <cell r="B186" t="str">
            <v>Contribution to Provident and other funds</v>
          </cell>
          <cell r="C186">
            <v>425513</v>
          </cell>
        </row>
        <row r="187">
          <cell r="B187" t="str">
            <v>Current Account - Bank</v>
          </cell>
          <cell r="C187">
            <v>42070055</v>
          </cell>
        </row>
        <row r="188">
          <cell r="B188" t="str">
            <v>Deferred Income</v>
          </cell>
          <cell r="C188">
            <v>0</v>
          </cell>
        </row>
        <row r="189">
          <cell r="B189" t="str">
            <v xml:space="preserve">Deposits </v>
          </cell>
          <cell r="C189">
            <v>11088927</v>
          </cell>
        </row>
        <row r="190">
          <cell r="B190" t="str">
            <v>Depreciation - Building Improv</v>
          </cell>
          <cell r="C190">
            <v>1048810</v>
          </cell>
        </row>
        <row r="191">
          <cell r="B191" t="str">
            <v>Depreciation - Computer Equipment</v>
          </cell>
          <cell r="C191">
            <v>1219966</v>
          </cell>
        </row>
        <row r="192">
          <cell r="B192" t="str">
            <v>Depreciation - Furniture &amp; Fit</v>
          </cell>
          <cell r="C192">
            <v>140765</v>
          </cell>
        </row>
        <row r="193">
          <cell r="B193" t="str">
            <v>Depreciation - Office Equipment</v>
          </cell>
          <cell r="C193">
            <v>224270</v>
          </cell>
        </row>
        <row r="194">
          <cell r="B194" t="str">
            <v>Electricty</v>
          </cell>
          <cell r="C194">
            <v>179567</v>
          </cell>
        </row>
        <row r="195">
          <cell r="B195" t="str">
            <v>Employee advances</v>
          </cell>
          <cell r="C195">
            <v>731383</v>
          </cell>
        </row>
        <row r="196">
          <cell r="B196" t="str">
            <v>Fixed deposit - Bank</v>
          </cell>
          <cell r="C196">
            <v>2138803</v>
          </cell>
        </row>
        <row r="197">
          <cell r="B197" t="str">
            <v>Forex Loss</v>
          </cell>
          <cell r="C197">
            <v>30935</v>
          </cell>
        </row>
        <row r="198">
          <cell r="B198" t="str">
            <v>Furniture &amp; Fittings</v>
          </cell>
          <cell r="C198">
            <v>8224246</v>
          </cell>
        </row>
        <row r="199">
          <cell r="B199" t="str">
            <v>Insurance</v>
          </cell>
          <cell r="C199">
            <v>3992</v>
          </cell>
        </row>
        <row r="200">
          <cell r="B200" t="str">
            <v>Interest accrued on term deposit</v>
          </cell>
          <cell r="C200">
            <v>33865</v>
          </cell>
        </row>
        <row r="201">
          <cell r="B201" t="str">
            <v>Interest On Taxes</v>
          </cell>
          <cell r="C201">
            <v>0</v>
          </cell>
        </row>
        <row r="202">
          <cell r="B202" t="str">
            <v>Misc. exp</v>
          </cell>
          <cell r="C202">
            <v>683749</v>
          </cell>
        </row>
        <row r="203">
          <cell r="B203" t="str">
            <v>Office Equipment</v>
          </cell>
          <cell r="C203">
            <v>10507199</v>
          </cell>
        </row>
        <row r="204">
          <cell r="B204" t="str">
            <v>Other incomes</v>
          </cell>
          <cell r="C204">
            <v>83740</v>
          </cell>
        </row>
        <row r="205">
          <cell r="B205" t="str">
            <v>Other Liabilities</v>
          </cell>
          <cell r="C205">
            <v>6378575</v>
          </cell>
        </row>
        <row r="206">
          <cell r="B206" t="str">
            <v>Pre Operative Exps. W/O.</v>
          </cell>
          <cell r="C206">
            <v>0</v>
          </cell>
        </row>
        <row r="207">
          <cell r="B207" t="str">
            <v>Preliminary Expenses</v>
          </cell>
          <cell r="C207">
            <v>98102</v>
          </cell>
        </row>
        <row r="208">
          <cell r="B208" t="str">
            <v>Preliminary Expenses W/O.</v>
          </cell>
          <cell r="C208">
            <v>98103</v>
          </cell>
        </row>
        <row r="209">
          <cell r="B209" t="str">
            <v>Prepaid expenses</v>
          </cell>
          <cell r="C209">
            <v>2333716</v>
          </cell>
        </row>
        <row r="210">
          <cell r="B210" t="str">
            <v>Provision for gratuity</v>
          </cell>
          <cell r="C210">
            <v>7000</v>
          </cell>
        </row>
        <row r="211">
          <cell r="B211" t="str">
            <v>Provision for tax (net)</v>
          </cell>
          <cell r="C211">
            <v>24710</v>
          </cell>
        </row>
        <row r="212">
          <cell r="B212" t="str">
            <v>Rates and taxes</v>
          </cell>
          <cell r="C212">
            <v>703480</v>
          </cell>
        </row>
        <row r="213">
          <cell r="B213" t="str">
            <v>Recruitment Related Expenses</v>
          </cell>
          <cell r="C213">
            <v>4558629</v>
          </cell>
        </row>
        <row r="214">
          <cell r="B214" t="str">
            <v>Rent - Leaseholds</v>
          </cell>
          <cell r="C214">
            <v>2085326</v>
          </cell>
        </row>
        <row r="215">
          <cell r="B215" t="str">
            <v>Rent A/C</v>
          </cell>
          <cell r="C215">
            <v>683674</v>
          </cell>
        </row>
        <row r="216">
          <cell r="B216" t="str">
            <v>Repairs &amp; Maintenance - Leaseholds</v>
          </cell>
          <cell r="C216">
            <v>1324694</v>
          </cell>
        </row>
        <row r="217">
          <cell r="B217" t="str">
            <v>Salaries Bonus etc2</v>
          </cell>
          <cell r="C217">
            <v>8366144</v>
          </cell>
        </row>
        <row r="218">
          <cell r="B218" t="str">
            <v>Service Income</v>
          </cell>
          <cell r="C218">
            <v>30438323</v>
          </cell>
        </row>
        <row r="219">
          <cell r="B219" t="str">
            <v>Share Application Money Pending Allotment</v>
          </cell>
          <cell r="C219">
            <v>120693000</v>
          </cell>
        </row>
        <row r="220">
          <cell r="B220" t="str">
            <v>Share Capital</v>
          </cell>
          <cell r="C220">
            <v>3038000</v>
          </cell>
        </row>
        <row r="221">
          <cell r="B221" t="str">
            <v>Software</v>
          </cell>
          <cell r="C221">
            <v>314307</v>
          </cell>
        </row>
        <row r="222">
          <cell r="B222" t="str">
            <v>Staff Welfare</v>
          </cell>
          <cell r="C222">
            <v>145460</v>
          </cell>
        </row>
        <row r="223">
          <cell r="B223" t="str">
            <v>Sundry Creditors</v>
          </cell>
          <cell r="C223">
            <v>6105814</v>
          </cell>
        </row>
        <row r="224">
          <cell r="B224" t="str">
            <v>Sundry Debtors</v>
          </cell>
          <cell r="C224">
            <v>7286504</v>
          </cell>
        </row>
        <row r="225">
          <cell r="B225" t="str">
            <v>Taxation</v>
          </cell>
          <cell r="C225">
            <v>35781</v>
          </cell>
        </row>
        <row r="226">
          <cell r="B226" t="str">
            <v>Telecommunication Exp</v>
          </cell>
          <cell r="C226">
            <v>1740306</v>
          </cell>
        </row>
        <row r="227">
          <cell r="B227" t="str">
            <v>Travelling and conveyance</v>
          </cell>
          <cell r="C227">
            <v>2587222</v>
          </cell>
        </row>
        <row r="228">
          <cell r="B228" t="str">
            <v>Grand Total</v>
          </cell>
          <cell r="C228">
            <v>338805948</v>
          </cell>
        </row>
      </sheetData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'000"/>
      <sheetName val="B&amp;S"/>
      <sheetName val="P&amp;L"/>
      <sheetName val="SCH1-3"/>
      <sheetName val="SCH4"/>
      <sheetName val="SCH5"/>
      <sheetName val="SCH6-8"/>
      <sheetName val="SCH9-11"/>
      <sheetName val="SCH12-13"/>
      <sheetName val="SCH14-15"/>
      <sheetName val="TB"/>
      <sheetName val="ADJ"/>
      <sheetName val="consol"/>
      <sheetName val="I_GRP"/>
      <sheetName val="R_GR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132417"/>
      <sheetName val="132421"/>
      <sheetName val="132465"/>
      <sheetName val="132444"/>
      <sheetName val="132553"/>
      <sheetName val="132506"/>
      <sheetName val="stas"/>
      <sheetName val="dm 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'000"/>
      <sheetName val="B&amp;S"/>
      <sheetName val="P&amp;L"/>
      <sheetName val="SCH1-3"/>
      <sheetName val="SCH4"/>
      <sheetName val="SCH5"/>
      <sheetName val="SCH6-8"/>
      <sheetName val="SCH9-11"/>
      <sheetName val="SCH12-13"/>
      <sheetName val="SCH14-15"/>
      <sheetName val="TB"/>
      <sheetName val="ADJ"/>
      <sheetName val="consol"/>
      <sheetName val="I_GRP"/>
      <sheetName val="R_GR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業種大分類"/>
      <sheetName val="業種小分類"/>
      <sheetName val="全体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業種大分類"/>
      <sheetName val="業種小分類"/>
      <sheetName val="全体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-HRA"/>
      <sheetName val="Sheet1"/>
      <sheetName val="Grade-Age-22-01-02(FINAL)"/>
      <sheetName val="Grade-AVR-MIN-MAX-2002"/>
      <sheetName val="Dept-Grade-22-02-02(FINAL)"/>
      <sheetName val="Dept-Grade-26-04-02"/>
      <sheetName val="CC-APR02-17-04-2002"/>
      <sheetName val="Dept-Grade-17-05-02-ONE-LINE"/>
      <sheetName val="Dept-Grade-31-07-02-ONE-LINE"/>
      <sheetName val="Dept-Grade-31-08-02-ONE-LINE"/>
      <sheetName val="ONE-LINE-Head-Off-31-05-02"/>
      <sheetName val="CEs-2001-2002"/>
      <sheetName val="CEs-2002"/>
      <sheetName val="MOG-01-06-02"/>
      <sheetName val="one-line-Dept-Grade-22-01-02"/>
      <sheetName val="one-line-TO-R-NAIR"/>
      <sheetName val="Dept-Grade-15-01-02(FINAL)-ILPS"/>
      <sheetName val="LETTER-15-01-02(FINAL)"/>
      <sheetName val="FLAT-C-E-L"/>
      <sheetName val="CCA-15-01-02"/>
      <sheetName val="Dept-ME-15-01-02"/>
      <sheetName val="Dept-M-15-01-02"/>
      <sheetName val="Dept-MOG-22-01-02"/>
      <sheetName val="Dept-MR-22-01-02"/>
      <sheetName val="MA-GR-A1-A6"/>
      <sheetName val="Grade-AGRO-ZONE-II"/>
      <sheetName val="DADRA"/>
      <sheetName val="Dept-MA"/>
      <sheetName val="AGE&gt;45YRS-MEDICAL"/>
      <sheetName val="age&lt;45-Gr25&amp;ab"/>
      <sheetName val="SAL-PERKS"/>
      <sheetName val="31-05-02-(LOC-SUMMARY)"/>
      <sheetName val="30-06-02-(LOC-SUMMARY)"/>
      <sheetName val="31-07-02-(LOC-SUMMARY)"/>
      <sheetName val="30-09-02-(LOC-SUMMARY)"/>
      <sheetName val="31-05-loc-factory"/>
      <sheetName val="Company-Car"/>
      <sheetName val="Car Reimbursment"/>
      <sheetName val="Dept-Grade-15-07-02-ONE-LINE"/>
      <sheetName val="Dept-Grade-22-01-02(FINAL)"/>
      <sheetName val="one-line-Dept-Grade-22-01-0 (2)"/>
      <sheetName val="INTER-CO-COMPARISON"/>
      <sheetName val="Dept-Grade-21-05-02-ONE-LINE"/>
      <sheetName val="22-05-02-(LOC-SUMMARY)"/>
      <sheetName val="Dept-Grade-24-05-02-ONE-LINE"/>
      <sheetName val="Dept-Grade-25-06-02-ONE-LINE"/>
      <sheetName val="Dept-Grade-19-08-02-ONE-LINE"/>
      <sheetName val="OLD_HRA"/>
      <sheetName val="Dept_Grade_22_02_02_FINAL_"/>
    </sheetNames>
    <sheetDataSet>
      <sheetData sheetId="0" refreshError="1">
        <row r="2">
          <cell r="A2">
            <v>1127</v>
          </cell>
          <cell r="B2" t="str">
            <v>GAIKWAD A L</v>
          </cell>
          <cell r="C2">
            <v>3500</v>
          </cell>
        </row>
        <row r="3">
          <cell r="A3">
            <v>1164</v>
          </cell>
          <cell r="B3" t="str">
            <v>FERNANDES M</v>
          </cell>
          <cell r="C3">
            <v>3500</v>
          </cell>
        </row>
        <row r="4">
          <cell r="A4">
            <v>1172</v>
          </cell>
          <cell r="B4" t="str">
            <v>PANCHAL R D</v>
          </cell>
          <cell r="C4">
            <v>3500</v>
          </cell>
        </row>
        <row r="5">
          <cell r="A5">
            <v>1199</v>
          </cell>
          <cell r="B5" t="str">
            <v>D'SOUZA C</v>
          </cell>
          <cell r="C5">
            <v>3500</v>
          </cell>
        </row>
        <row r="6">
          <cell r="A6">
            <v>1223</v>
          </cell>
          <cell r="B6" t="str">
            <v>PALKAR A B</v>
          </cell>
          <cell r="C6">
            <v>3500</v>
          </cell>
        </row>
        <row r="7">
          <cell r="A7">
            <v>1224</v>
          </cell>
          <cell r="B7" t="str">
            <v>HAJIRNIS S C</v>
          </cell>
          <cell r="C7">
            <v>3500</v>
          </cell>
        </row>
        <row r="8">
          <cell r="A8">
            <v>1247</v>
          </cell>
          <cell r="B8" t="str">
            <v>NORONHA O A</v>
          </cell>
          <cell r="C8">
            <v>3500</v>
          </cell>
        </row>
        <row r="9">
          <cell r="A9">
            <v>1269</v>
          </cell>
          <cell r="B9" t="str">
            <v>SIVARAMAKRISHNAN M</v>
          </cell>
          <cell r="C9">
            <v>3500</v>
          </cell>
        </row>
        <row r="10">
          <cell r="A10">
            <v>1283</v>
          </cell>
          <cell r="B10" t="str">
            <v>D'SOUZA J</v>
          </cell>
          <cell r="C10">
            <v>3500</v>
          </cell>
        </row>
        <row r="11">
          <cell r="A11">
            <v>1292</v>
          </cell>
          <cell r="B11" t="str">
            <v>RADHAKRISHNAN P</v>
          </cell>
          <cell r="C11">
            <v>3500</v>
          </cell>
        </row>
        <row r="12">
          <cell r="A12">
            <v>1352</v>
          </cell>
          <cell r="B12" t="str">
            <v>GOPALKRISHNAN M</v>
          </cell>
          <cell r="C12">
            <v>3500</v>
          </cell>
        </row>
        <row r="13">
          <cell r="A13">
            <v>1370</v>
          </cell>
          <cell r="B13" t="str">
            <v>KANDALGAONKAR J G</v>
          </cell>
          <cell r="C13">
            <v>3500</v>
          </cell>
        </row>
        <row r="14">
          <cell r="A14">
            <v>1374</v>
          </cell>
          <cell r="B14" t="str">
            <v>PRABHAKAR K</v>
          </cell>
          <cell r="C14">
            <v>3500</v>
          </cell>
        </row>
        <row r="15">
          <cell r="A15">
            <v>1445</v>
          </cell>
          <cell r="B15" t="str">
            <v>SEQUEIRA V</v>
          </cell>
          <cell r="C15">
            <v>3500</v>
          </cell>
        </row>
        <row r="16">
          <cell r="A16">
            <v>1474</v>
          </cell>
          <cell r="B16" t="str">
            <v>CHAVAN J Y</v>
          </cell>
          <cell r="C16">
            <v>3500</v>
          </cell>
        </row>
        <row r="17">
          <cell r="A17">
            <v>1482</v>
          </cell>
          <cell r="B17" t="str">
            <v>SANSARE S P</v>
          </cell>
          <cell r="C17">
            <v>3500</v>
          </cell>
        </row>
        <row r="18">
          <cell r="A18">
            <v>1521</v>
          </cell>
          <cell r="B18" t="str">
            <v>PILLAI R G</v>
          </cell>
          <cell r="C18">
            <v>3500</v>
          </cell>
        </row>
        <row r="19">
          <cell r="A19">
            <v>1549</v>
          </cell>
          <cell r="B19" t="str">
            <v xml:space="preserve">FERNANDES M                                          </v>
          </cell>
          <cell r="C19">
            <v>3500</v>
          </cell>
        </row>
        <row r="20">
          <cell r="A20">
            <v>1570</v>
          </cell>
          <cell r="B20" t="str">
            <v>MENEZES E M</v>
          </cell>
          <cell r="C20">
            <v>3500</v>
          </cell>
        </row>
        <row r="21">
          <cell r="A21">
            <v>1571</v>
          </cell>
          <cell r="B21" t="str">
            <v>ASOKAN J M</v>
          </cell>
          <cell r="C21">
            <v>3500</v>
          </cell>
        </row>
        <row r="22">
          <cell r="A22">
            <v>1573</v>
          </cell>
          <cell r="B22" t="str">
            <v>PAULRAJ P</v>
          </cell>
          <cell r="C22">
            <v>3500</v>
          </cell>
        </row>
        <row r="23">
          <cell r="A23">
            <v>1596</v>
          </cell>
          <cell r="B23" t="str">
            <v>RODRIGUES A</v>
          </cell>
          <cell r="C23">
            <v>3500</v>
          </cell>
        </row>
        <row r="24">
          <cell r="A24">
            <v>1778</v>
          </cell>
          <cell r="B24" t="str">
            <v>D'SILVA F C</v>
          </cell>
          <cell r="C24">
            <v>3500</v>
          </cell>
        </row>
        <row r="25">
          <cell r="A25">
            <v>1785</v>
          </cell>
          <cell r="B25" t="str">
            <v>SALUNKE A S</v>
          </cell>
          <cell r="C25">
            <v>3500</v>
          </cell>
        </row>
        <row r="26">
          <cell r="A26">
            <v>1851</v>
          </cell>
          <cell r="B26" t="str">
            <v>HALANKAR V S</v>
          </cell>
          <cell r="C26">
            <v>3500</v>
          </cell>
        </row>
        <row r="27">
          <cell r="A27">
            <v>1863</v>
          </cell>
          <cell r="B27" t="str">
            <v>BORAN M L</v>
          </cell>
          <cell r="C27">
            <v>3500</v>
          </cell>
        </row>
        <row r="28">
          <cell r="A28">
            <v>1878</v>
          </cell>
          <cell r="B28" t="str">
            <v>FERNANDES S B</v>
          </cell>
          <cell r="C28">
            <v>3500</v>
          </cell>
        </row>
        <row r="29">
          <cell r="A29">
            <v>1881</v>
          </cell>
          <cell r="B29" t="str">
            <v>SHETTIGAR K V</v>
          </cell>
          <cell r="C29">
            <v>3500</v>
          </cell>
        </row>
        <row r="30">
          <cell r="A30">
            <v>1915</v>
          </cell>
          <cell r="B30" t="str">
            <v>D'SOUZA C</v>
          </cell>
          <cell r="C30">
            <v>3500</v>
          </cell>
        </row>
        <row r="31">
          <cell r="A31">
            <v>1928</v>
          </cell>
          <cell r="B31" t="str">
            <v>ULLAL S S</v>
          </cell>
          <cell r="C31">
            <v>3500</v>
          </cell>
        </row>
        <row r="32">
          <cell r="A32">
            <v>1929</v>
          </cell>
          <cell r="B32" t="str">
            <v>MEHTA R R</v>
          </cell>
          <cell r="C32">
            <v>3500</v>
          </cell>
        </row>
        <row r="33">
          <cell r="A33">
            <v>2029</v>
          </cell>
          <cell r="B33" t="str">
            <v>POTNIS R H</v>
          </cell>
          <cell r="C33">
            <v>3500</v>
          </cell>
        </row>
        <row r="34">
          <cell r="A34">
            <v>2030</v>
          </cell>
          <cell r="B34" t="str">
            <v>MALVANKAR H C</v>
          </cell>
          <cell r="C34">
            <v>3500</v>
          </cell>
        </row>
        <row r="35">
          <cell r="A35">
            <v>2055</v>
          </cell>
          <cell r="B35" t="str">
            <v>PANDYA R V</v>
          </cell>
          <cell r="C35">
            <v>3500</v>
          </cell>
        </row>
        <row r="36">
          <cell r="A36">
            <v>2057</v>
          </cell>
          <cell r="B36" t="str">
            <v>PANDIT D D</v>
          </cell>
          <cell r="C36">
            <v>3500</v>
          </cell>
        </row>
        <row r="37">
          <cell r="A37">
            <v>2093</v>
          </cell>
          <cell r="B37" t="str">
            <v>PRABHU  P</v>
          </cell>
          <cell r="C37">
            <v>3500</v>
          </cell>
        </row>
        <row r="38">
          <cell r="A38">
            <v>2156</v>
          </cell>
          <cell r="B38" t="str">
            <v>KEER J S</v>
          </cell>
          <cell r="C38">
            <v>3500</v>
          </cell>
        </row>
        <row r="39">
          <cell r="A39">
            <v>2167</v>
          </cell>
          <cell r="B39" t="str">
            <v>AJGAONKAR B D</v>
          </cell>
          <cell r="C39">
            <v>3500</v>
          </cell>
        </row>
        <row r="40">
          <cell r="A40">
            <v>2171</v>
          </cell>
          <cell r="B40" t="str">
            <v>NAMBIAR A</v>
          </cell>
          <cell r="C40">
            <v>3500</v>
          </cell>
        </row>
        <row r="41">
          <cell r="A41">
            <v>2220</v>
          </cell>
          <cell r="B41" t="str">
            <v>BANDEKAR V P</v>
          </cell>
          <cell r="C41">
            <v>3500</v>
          </cell>
        </row>
        <row r="42">
          <cell r="A42">
            <v>2226</v>
          </cell>
          <cell r="B42" t="str">
            <v>PRASANNA KUMAR M</v>
          </cell>
          <cell r="C42">
            <v>3500</v>
          </cell>
        </row>
        <row r="43">
          <cell r="A43">
            <v>2247</v>
          </cell>
          <cell r="B43" t="str">
            <v>SHETIYA R</v>
          </cell>
          <cell r="C43">
            <v>3500</v>
          </cell>
        </row>
        <row r="44">
          <cell r="A44">
            <v>2249</v>
          </cell>
          <cell r="B44" t="str">
            <v>VAIDYA NANDINI</v>
          </cell>
          <cell r="C44">
            <v>3500</v>
          </cell>
        </row>
        <row r="45">
          <cell r="A45">
            <v>2266</v>
          </cell>
          <cell r="B45" t="str">
            <v>JACINTA SIMOES</v>
          </cell>
          <cell r="C45">
            <v>3500</v>
          </cell>
        </row>
        <row r="46">
          <cell r="A46">
            <v>2324</v>
          </cell>
          <cell r="B46" t="str">
            <v xml:space="preserve">SWATI S. MAYEKAR </v>
          </cell>
          <cell r="C46">
            <v>3500</v>
          </cell>
        </row>
        <row r="47">
          <cell r="A47">
            <v>2330</v>
          </cell>
          <cell r="B47" t="str">
            <v>POOVANNAN K.</v>
          </cell>
          <cell r="C47">
            <v>3500</v>
          </cell>
        </row>
        <row r="48">
          <cell r="A48">
            <v>2343</v>
          </cell>
          <cell r="B48" t="str">
            <v>SEQUEIRA GLORY</v>
          </cell>
          <cell r="C48">
            <v>3500</v>
          </cell>
        </row>
        <row r="49">
          <cell r="A49">
            <v>2344</v>
          </cell>
          <cell r="B49" t="str">
            <v>ULLAL NEELA M.</v>
          </cell>
          <cell r="C49">
            <v>3500</v>
          </cell>
        </row>
        <row r="50">
          <cell r="A50">
            <v>2408</v>
          </cell>
          <cell r="B50" t="str">
            <v>SHOBHANA LELE</v>
          </cell>
          <cell r="C50">
            <v>3500</v>
          </cell>
        </row>
        <row r="51">
          <cell r="A51">
            <v>1551</v>
          </cell>
          <cell r="B51" t="str">
            <v>SRIDHAR S D</v>
          </cell>
          <cell r="C51">
            <v>3500</v>
          </cell>
        </row>
        <row r="52">
          <cell r="A52">
            <v>2026</v>
          </cell>
          <cell r="B52" t="str">
            <v>SUBRAMANYA K G</v>
          </cell>
          <cell r="C52">
            <v>3500</v>
          </cell>
        </row>
        <row r="53">
          <cell r="A53">
            <v>2209</v>
          </cell>
          <cell r="B53" t="str">
            <v>MANIKANDAN R H</v>
          </cell>
          <cell r="C53">
            <v>3500</v>
          </cell>
        </row>
        <row r="54">
          <cell r="A54">
            <v>1273</v>
          </cell>
          <cell r="B54" t="str">
            <v>SHANKARA M</v>
          </cell>
          <cell r="C54">
            <v>3500</v>
          </cell>
        </row>
        <row r="55">
          <cell r="A55">
            <v>1802</v>
          </cell>
          <cell r="B55" t="str">
            <v>GOPALAKRISHNAN T</v>
          </cell>
          <cell r="C55">
            <v>3500</v>
          </cell>
        </row>
        <row r="56">
          <cell r="A56">
            <v>1815</v>
          </cell>
          <cell r="B56" t="str">
            <v>SINGH M</v>
          </cell>
          <cell r="C56">
            <v>3500</v>
          </cell>
        </row>
        <row r="57">
          <cell r="A57">
            <v>1827</v>
          </cell>
          <cell r="B57" t="str">
            <v>SHARMA R K</v>
          </cell>
          <cell r="C57">
            <v>3500</v>
          </cell>
        </row>
        <row r="58">
          <cell r="A58">
            <v>2129</v>
          </cell>
          <cell r="B58" t="str">
            <v>KWATRA M</v>
          </cell>
          <cell r="C58">
            <v>3500</v>
          </cell>
        </row>
        <row r="59">
          <cell r="A59">
            <v>2325</v>
          </cell>
          <cell r="B59" t="str">
            <v>RAJEEV KUMAR MISHRA</v>
          </cell>
          <cell r="C59">
            <v>3500</v>
          </cell>
        </row>
        <row r="60">
          <cell r="A60">
            <v>2274</v>
          </cell>
          <cell r="B60" t="str">
            <v>KAR S</v>
          </cell>
          <cell r="C60">
            <v>3500</v>
          </cell>
        </row>
        <row r="61">
          <cell r="A61">
            <v>2321</v>
          </cell>
          <cell r="B61" t="str">
            <v>SUMAN DAS BISWAS</v>
          </cell>
          <cell r="C61">
            <v>3500</v>
          </cell>
        </row>
        <row r="62">
          <cell r="A62">
            <v>1278</v>
          </cell>
          <cell r="B62" t="str">
            <v>BALAKRISHNAN P V</v>
          </cell>
          <cell r="C62">
            <v>3500</v>
          </cell>
        </row>
        <row r="63">
          <cell r="A63">
            <v>1652</v>
          </cell>
          <cell r="B63" t="str">
            <v>MURUGESAN S</v>
          </cell>
          <cell r="C63">
            <v>3500</v>
          </cell>
        </row>
        <row r="64">
          <cell r="A64">
            <v>1670</v>
          </cell>
          <cell r="B64" t="str">
            <v>SHARMA S C</v>
          </cell>
          <cell r="C64">
            <v>3500</v>
          </cell>
        </row>
        <row r="65">
          <cell r="A65">
            <v>1696</v>
          </cell>
          <cell r="B65" t="str">
            <v>NANAVATI D J</v>
          </cell>
          <cell r="C65">
            <v>3500</v>
          </cell>
        </row>
        <row r="66">
          <cell r="A66">
            <v>1701</v>
          </cell>
          <cell r="B66" t="str">
            <v>RAHIM A K</v>
          </cell>
          <cell r="C66">
            <v>3500</v>
          </cell>
        </row>
        <row r="67">
          <cell r="A67">
            <v>1765</v>
          </cell>
          <cell r="B67" t="str">
            <v>RAVEENDRAN M A</v>
          </cell>
          <cell r="C67">
            <v>3500</v>
          </cell>
        </row>
        <row r="68">
          <cell r="A68">
            <v>1790</v>
          </cell>
          <cell r="B68" t="str">
            <v>KULKARNI V H</v>
          </cell>
          <cell r="C68">
            <v>3500</v>
          </cell>
        </row>
        <row r="69">
          <cell r="A69">
            <v>1876</v>
          </cell>
          <cell r="B69" t="str">
            <v>BEHERE B</v>
          </cell>
          <cell r="C69">
            <v>3500</v>
          </cell>
        </row>
        <row r="70">
          <cell r="A70">
            <v>1927</v>
          </cell>
          <cell r="B70" t="str">
            <v>CHELLAPANDIAN P</v>
          </cell>
          <cell r="C70">
            <v>3500</v>
          </cell>
        </row>
        <row r="71">
          <cell r="A71">
            <v>1970</v>
          </cell>
          <cell r="B71" t="str">
            <v>PATEL P M</v>
          </cell>
          <cell r="C71">
            <v>3500</v>
          </cell>
        </row>
        <row r="72">
          <cell r="A72">
            <v>2124</v>
          </cell>
          <cell r="B72" t="str">
            <v>ARYA R K</v>
          </cell>
          <cell r="C72">
            <v>3500</v>
          </cell>
        </row>
        <row r="73">
          <cell r="A73">
            <v>2143</v>
          </cell>
          <cell r="B73" t="str">
            <v xml:space="preserve">CHANDRASHEKAR G                                  </v>
          </cell>
          <cell r="C73">
            <v>3500</v>
          </cell>
        </row>
        <row r="74">
          <cell r="A74">
            <v>2181</v>
          </cell>
          <cell r="B74" t="str">
            <v>PANCHAL A</v>
          </cell>
          <cell r="C74">
            <v>3500</v>
          </cell>
        </row>
        <row r="75">
          <cell r="A75">
            <v>2196</v>
          </cell>
          <cell r="B75" t="str">
            <v>REDDY P N</v>
          </cell>
          <cell r="C75">
            <v>3500</v>
          </cell>
        </row>
        <row r="76">
          <cell r="A76">
            <v>2200</v>
          </cell>
          <cell r="B76" t="str">
            <v>RAO G U</v>
          </cell>
          <cell r="C76">
            <v>3500</v>
          </cell>
        </row>
        <row r="77">
          <cell r="A77">
            <v>2208</v>
          </cell>
          <cell r="B77" t="str">
            <v>SAINI S K</v>
          </cell>
          <cell r="C77">
            <v>3500</v>
          </cell>
        </row>
        <row r="78">
          <cell r="A78">
            <v>2215</v>
          </cell>
          <cell r="B78" t="str">
            <v>C RAJESH GOWDAR</v>
          </cell>
          <cell r="C78">
            <v>3500</v>
          </cell>
        </row>
        <row r="79">
          <cell r="A79">
            <v>2224</v>
          </cell>
          <cell r="B79" t="str">
            <v>BHAGWAT C K</v>
          </cell>
          <cell r="C79">
            <v>3500</v>
          </cell>
        </row>
        <row r="80">
          <cell r="A80">
            <v>2232</v>
          </cell>
          <cell r="B80" t="str">
            <v>APPANNA G</v>
          </cell>
          <cell r="C80">
            <v>3500</v>
          </cell>
        </row>
        <row r="81">
          <cell r="A81">
            <v>2234</v>
          </cell>
          <cell r="B81" t="str">
            <v>DWIVEDI S K</v>
          </cell>
          <cell r="C81">
            <v>3500</v>
          </cell>
        </row>
        <row r="82">
          <cell r="A82">
            <v>2238</v>
          </cell>
          <cell r="B82" t="str">
            <v>GUPTA A</v>
          </cell>
          <cell r="C82">
            <v>3500</v>
          </cell>
        </row>
        <row r="83">
          <cell r="A83">
            <v>2239</v>
          </cell>
          <cell r="B83" t="str">
            <v>MENEZES G A</v>
          </cell>
          <cell r="C83">
            <v>3500</v>
          </cell>
        </row>
        <row r="84">
          <cell r="A84">
            <v>2254</v>
          </cell>
          <cell r="B84" t="str">
            <v>MIRJI G M</v>
          </cell>
          <cell r="C84">
            <v>3500</v>
          </cell>
        </row>
        <row r="85">
          <cell r="A85">
            <v>2259</v>
          </cell>
          <cell r="B85" t="str">
            <v>DHARMA PRAKASH N</v>
          </cell>
          <cell r="C85">
            <v>3500</v>
          </cell>
        </row>
        <row r="86">
          <cell r="A86">
            <v>2261</v>
          </cell>
          <cell r="B86" t="str">
            <v>BEG M S</v>
          </cell>
          <cell r="C86">
            <v>3500</v>
          </cell>
        </row>
        <row r="87">
          <cell r="A87">
            <v>2262</v>
          </cell>
          <cell r="B87" t="str">
            <v>CHATTERJEE D S</v>
          </cell>
          <cell r="C87">
            <v>3500</v>
          </cell>
        </row>
        <row r="88">
          <cell r="A88">
            <v>2263</v>
          </cell>
          <cell r="B88" t="str">
            <v>KAUSHIK RAJESH</v>
          </cell>
          <cell r="C88">
            <v>3500</v>
          </cell>
        </row>
        <row r="89">
          <cell r="A89">
            <v>2269</v>
          </cell>
          <cell r="B89" t="str">
            <v>SHARMA D B</v>
          </cell>
          <cell r="C89">
            <v>3500</v>
          </cell>
        </row>
        <row r="90">
          <cell r="A90">
            <v>2275</v>
          </cell>
          <cell r="B90" t="str">
            <v>D'COSTA D D</v>
          </cell>
          <cell r="C90">
            <v>3500</v>
          </cell>
        </row>
        <row r="91">
          <cell r="A91">
            <v>2284</v>
          </cell>
          <cell r="B91" t="str">
            <v>PATEL N A</v>
          </cell>
          <cell r="C91">
            <v>3500</v>
          </cell>
        </row>
        <row r="92">
          <cell r="A92">
            <v>2289</v>
          </cell>
          <cell r="B92" t="str">
            <v>FAROKH BARDOLIWALA</v>
          </cell>
          <cell r="C92">
            <v>2500</v>
          </cell>
        </row>
        <row r="93">
          <cell r="A93">
            <v>2315</v>
          </cell>
          <cell r="B93" t="str">
            <v>RAMKUMAR JHA</v>
          </cell>
          <cell r="C93">
            <v>3500</v>
          </cell>
        </row>
        <row r="94">
          <cell r="A94">
            <v>2316</v>
          </cell>
          <cell r="B94" t="str">
            <v>RAGHUNANDAN S.V.</v>
          </cell>
          <cell r="C94">
            <v>3500</v>
          </cell>
        </row>
        <row r="95">
          <cell r="A95">
            <v>2318</v>
          </cell>
          <cell r="B95" t="str">
            <v>VISHWANATHAN P BHAT</v>
          </cell>
          <cell r="C95">
            <v>3500</v>
          </cell>
        </row>
        <row r="96">
          <cell r="A96">
            <v>2320</v>
          </cell>
          <cell r="B96" t="str">
            <v>JOYDEB PAL</v>
          </cell>
          <cell r="C96">
            <v>3500</v>
          </cell>
        </row>
        <row r="97">
          <cell r="A97">
            <v>2322</v>
          </cell>
          <cell r="B97" t="str">
            <v>SAMBHUNATH DE</v>
          </cell>
          <cell r="C97">
            <v>3500</v>
          </cell>
        </row>
        <row r="98">
          <cell r="A98">
            <v>2326</v>
          </cell>
          <cell r="B98" t="str">
            <v>T. VANARAJ</v>
          </cell>
          <cell r="C98">
            <v>3500</v>
          </cell>
        </row>
        <row r="99">
          <cell r="A99">
            <v>2327</v>
          </cell>
          <cell r="B99" t="str">
            <v>O.A. SUBRAMANIAN</v>
          </cell>
          <cell r="C99">
            <v>3500</v>
          </cell>
        </row>
        <row r="100">
          <cell r="A100">
            <v>2328</v>
          </cell>
          <cell r="B100" t="str">
            <v>CHAUDHARI PRADEEP KUMAR</v>
          </cell>
          <cell r="C100">
            <v>3500</v>
          </cell>
        </row>
        <row r="101">
          <cell r="A101">
            <v>2329</v>
          </cell>
          <cell r="B101" t="str">
            <v>SUDHANSHU SHARMA</v>
          </cell>
          <cell r="C101">
            <v>3500</v>
          </cell>
        </row>
        <row r="102">
          <cell r="A102">
            <v>2332</v>
          </cell>
          <cell r="B102" t="str">
            <v>SUDESH KUMAR JAIN</v>
          </cell>
          <cell r="C102">
            <v>3500</v>
          </cell>
        </row>
        <row r="103">
          <cell r="A103">
            <v>2333</v>
          </cell>
          <cell r="B103" t="str">
            <v>NIKHIL SOLANKI</v>
          </cell>
          <cell r="C103">
            <v>3500</v>
          </cell>
        </row>
        <row r="104">
          <cell r="A104">
            <v>2335</v>
          </cell>
          <cell r="B104" t="str">
            <v>MOHAMMAD SHABBIR AHMED</v>
          </cell>
          <cell r="C104">
            <v>3500</v>
          </cell>
        </row>
        <row r="105">
          <cell r="A105">
            <v>2337</v>
          </cell>
          <cell r="B105" t="str">
            <v>SHARAD AWASTHI</v>
          </cell>
          <cell r="C105">
            <v>3500</v>
          </cell>
        </row>
        <row r="106">
          <cell r="A106">
            <v>2340</v>
          </cell>
          <cell r="B106" t="str">
            <v>RAM KUMAR SINGH</v>
          </cell>
          <cell r="C106">
            <v>3500</v>
          </cell>
        </row>
        <row r="107">
          <cell r="A107">
            <v>2341</v>
          </cell>
          <cell r="B107" t="str">
            <v>VASANTKUMAR P. PRAJAPATI</v>
          </cell>
          <cell r="C107">
            <v>3500</v>
          </cell>
        </row>
        <row r="108">
          <cell r="A108">
            <v>2342</v>
          </cell>
          <cell r="B108" t="str">
            <v>RAJAN SETH</v>
          </cell>
          <cell r="C108">
            <v>3500</v>
          </cell>
        </row>
        <row r="109">
          <cell r="A109">
            <v>2347</v>
          </cell>
          <cell r="B109" t="str">
            <v xml:space="preserve">MAHESH J. DESALE </v>
          </cell>
          <cell r="C109">
            <v>3500</v>
          </cell>
        </row>
        <row r="110">
          <cell r="A110">
            <v>2348</v>
          </cell>
          <cell r="B110" t="str">
            <v>SANJAY SINGH GAUTAM</v>
          </cell>
          <cell r="C110">
            <v>3500</v>
          </cell>
        </row>
        <row r="111">
          <cell r="A111">
            <v>2349</v>
          </cell>
          <cell r="B111" t="str">
            <v>VIVEK SAXENA</v>
          </cell>
          <cell r="C111">
            <v>3500</v>
          </cell>
        </row>
        <row r="112">
          <cell r="A112">
            <v>2350</v>
          </cell>
          <cell r="B112" t="str">
            <v>HEMANT AITULWAR</v>
          </cell>
          <cell r="C112">
            <v>3500</v>
          </cell>
        </row>
        <row r="113">
          <cell r="A113">
            <v>2352</v>
          </cell>
          <cell r="B113" t="str">
            <v>SANTANU SINHARAY</v>
          </cell>
          <cell r="C113">
            <v>3500</v>
          </cell>
        </row>
        <row r="114">
          <cell r="A114">
            <v>2355</v>
          </cell>
          <cell r="B114" t="str">
            <v>MANISH JAIN</v>
          </cell>
          <cell r="C114">
            <v>3500</v>
          </cell>
        </row>
        <row r="115">
          <cell r="A115">
            <v>2356</v>
          </cell>
          <cell r="B115" t="str">
            <v>RITESH VIJAYWARGIYA</v>
          </cell>
          <cell r="C115">
            <v>3500</v>
          </cell>
        </row>
        <row r="116">
          <cell r="A116">
            <v>2357</v>
          </cell>
          <cell r="B116" t="str">
            <v>RAJESH SHARMA</v>
          </cell>
          <cell r="C116">
            <v>3500</v>
          </cell>
        </row>
        <row r="117">
          <cell r="A117">
            <v>2358</v>
          </cell>
          <cell r="B117" t="str">
            <v>SANJAY C. PANCHAL</v>
          </cell>
          <cell r="C117">
            <v>3500</v>
          </cell>
        </row>
        <row r="118">
          <cell r="A118">
            <v>2363</v>
          </cell>
          <cell r="B118" t="str">
            <v>CHANDRA SHEKHAR YADAV</v>
          </cell>
          <cell r="C118">
            <v>3500</v>
          </cell>
        </row>
        <row r="119">
          <cell r="A119">
            <v>2364</v>
          </cell>
          <cell r="B119" t="str">
            <v>K. VINEESH KUMAR</v>
          </cell>
          <cell r="C119">
            <v>3500</v>
          </cell>
        </row>
        <row r="120">
          <cell r="A120">
            <v>2365</v>
          </cell>
          <cell r="B120" t="str">
            <v>K. DHARMARAJ</v>
          </cell>
          <cell r="C120">
            <v>3500</v>
          </cell>
        </row>
        <row r="121">
          <cell r="A121">
            <v>2371</v>
          </cell>
          <cell r="B121" t="str">
            <v>JADHAV HEMANTKUMAR V</v>
          </cell>
          <cell r="C121">
            <v>2500</v>
          </cell>
        </row>
        <row r="122">
          <cell r="A122">
            <v>2372</v>
          </cell>
          <cell r="B122" t="str">
            <v>SINGH SUDHEER KUMAR</v>
          </cell>
          <cell r="C122">
            <v>2500</v>
          </cell>
        </row>
        <row r="123">
          <cell r="A123">
            <v>2373</v>
          </cell>
          <cell r="B123" t="str">
            <v>RAO MADHAV CHEEPURI</v>
          </cell>
          <cell r="C123">
            <v>2500</v>
          </cell>
        </row>
        <row r="124">
          <cell r="A124">
            <v>2375</v>
          </cell>
          <cell r="B124" t="str">
            <v>KETAN P. PATEL</v>
          </cell>
          <cell r="C124">
            <v>3500</v>
          </cell>
        </row>
        <row r="125">
          <cell r="A125">
            <v>2376</v>
          </cell>
          <cell r="B125" t="str">
            <v>TIWADE ANIL</v>
          </cell>
          <cell r="C125">
            <v>2500</v>
          </cell>
        </row>
        <row r="126">
          <cell r="A126">
            <v>2377</v>
          </cell>
          <cell r="B126" t="str">
            <v>PANCHAL HEMANT</v>
          </cell>
          <cell r="C126">
            <v>2500</v>
          </cell>
        </row>
        <row r="127">
          <cell r="A127">
            <v>2379</v>
          </cell>
          <cell r="B127" t="str">
            <v>M. JOSHUAH</v>
          </cell>
          <cell r="C127">
            <v>3500</v>
          </cell>
        </row>
        <row r="128">
          <cell r="A128">
            <v>2380</v>
          </cell>
          <cell r="B128" t="str">
            <v>VEMANA P. CHAKRAVARTHI</v>
          </cell>
          <cell r="C128">
            <v>3500</v>
          </cell>
        </row>
        <row r="129">
          <cell r="A129">
            <v>2381</v>
          </cell>
          <cell r="B129" t="str">
            <v>ABRAHAM MANOJ P</v>
          </cell>
          <cell r="C129">
            <v>2500</v>
          </cell>
        </row>
        <row r="130">
          <cell r="A130">
            <v>2387</v>
          </cell>
          <cell r="B130" t="str">
            <v>RAVAL DIVYESH D</v>
          </cell>
          <cell r="C130">
            <v>2500</v>
          </cell>
        </row>
        <row r="131">
          <cell r="A131">
            <v>2389</v>
          </cell>
          <cell r="B131" t="str">
            <v>CHIRAG B. PARIKH</v>
          </cell>
          <cell r="C131">
            <v>3500</v>
          </cell>
        </row>
        <row r="132">
          <cell r="A132">
            <v>2395</v>
          </cell>
          <cell r="B132" t="str">
            <v>OPINDER SINGH</v>
          </cell>
          <cell r="C132">
            <v>3500</v>
          </cell>
        </row>
        <row r="133">
          <cell r="A133">
            <v>2396</v>
          </cell>
          <cell r="B133" t="str">
            <v>JAI KRISHNA PANDEY</v>
          </cell>
          <cell r="C133">
            <v>3500</v>
          </cell>
        </row>
        <row r="134">
          <cell r="A134">
            <v>2397</v>
          </cell>
          <cell r="B134" t="str">
            <v>PRADEEP KUMAR GANGWAR</v>
          </cell>
          <cell r="C134">
            <v>3500</v>
          </cell>
        </row>
        <row r="135">
          <cell r="A135">
            <v>2399</v>
          </cell>
          <cell r="B135" t="str">
            <v>S. MANIKANDAN</v>
          </cell>
          <cell r="C135">
            <v>3500</v>
          </cell>
        </row>
        <row r="136">
          <cell r="A136">
            <v>2400</v>
          </cell>
          <cell r="B136" t="str">
            <v>RAJANI KANTHA</v>
          </cell>
          <cell r="C136">
            <v>3500</v>
          </cell>
        </row>
        <row r="137">
          <cell r="A137">
            <v>2402</v>
          </cell>
          <cell r="B137" t="str">
            <v>HEMANT KUMAR SINGH</v>
          </cell>
          <cell r="C137">
            <v>3500</v>
          </cell>
        </row>
        <row r="138">
          <cell r="A138">
            <v>2403</v>
          </cell>
          <cell r="B138" t="str">
            <v>BHUPINDER PAL SINGH</v>
          </cell>
          <cell r="C138">
            <v>3500</v>
          </cell>
        </row>
        <row r="139">
          <cell r="A139">
            <v>2404</v>
          </cell>
          <cell r="B139" t="str">
            <v>CHALLA SREEDHAR REDDY</v>
          </cell>
          <cell r="C139">
            <v>3500</v>
          </cell>
        </row>
        <row r="140">
          <cell r="A140">
            <v>2405</v>
          </cell>
          <cell r="B140" t="str">
            <v>PRANAB KUNDU</v>
          </cell>
          <cell r="C140">
            <v>3500</v>
          </cell>
        </row>
        <row r="141">
          <cell r="A141">
            <v>2406</v>
          </cell>
          <cell r="B141" t="str">
            <v>H. VISHWANATH</v>
          </cell>
          <cell r="C141">
            <v>3500</v>
          </cell>
        </row>
        <row r="142">
          <cell r="A142">
            <v>2407</v>
          </cell>
          <cell r="B142" t="str">
            <v>P. MAHESHWARA BABU</v>
          </cell>
          <cell r="C142">
            <v>3500</v>
          </cell>
        </row>
        <row r="143">
          <cell r="A143">
            <v>2410</v>
          </cell>
          <cell r="B143" t="str">
            <v>SAIBAL CHATTERJEE</v>
          </cell>
          <cell r="C143">
            <v>3500</v>
          </cell>
        </row>
        <row r="144">
          <cell r="A144">
            <v>2411</v>
          </cell>
          <cell r="B144" t="str">
            <v>R SHIVAPRASAD</v>
          </cell>
          <cell r="C144">
            <v>2500</v>
          </cell>
        </row>
        <row r="145">
          <cell r="A145">
            <v>2412</v>
          </cell>
          <cell r="B145" t="str">
            <v>MANOJ OJHA</v>
          </cell>
          <cell r="C145">
            <v>3500</v>
          </cell>
        </row>
        <row r="146">
          <cell r="A146">
            <v>2413</v>
          </cell>
          <cell r="B146" t="str">
            <v>SACHIN SOOD</v>
          </cell>
          <cell r="C146">
            <v>3500</v>
          </cell>
        </row>
        <row r="147">
          <cell r="A147">
            <v>2414</v>
          </cell>
          <cell r="B147" t="str">
            <v>TATHAGATHA SANYAL</v>
          </cell>
          <cell r="C147">
            <v>3500</v>
          </cell>
        </row>
        <row r="148">
          <cell r="A148">
            <v>2416</v>
          </cell>
          <cell r="B148" t="str">
            <v>MANISH PANCHAL</v>
          </cell>
          <cell r="C148">
            <v>3500</v>
          </cell>
        </row>
        <row r="149">
          <cell r="A149">
            <v>2417</v>
          </cell>
          <cell r="B149" t="str">
            <v>BIRENDRA KUMAR</v>
          </cell>
          <cell r="C149">
            <v>3500</v>
          </cell>
        </row>
        <row r="150">
          <cell r="A150">
            <v>2424</v>
          </cell>
          <cell r="B150" t="str">
            <v>NARAVANE H C</v>
          </cell>
          <cell r="C150">
            <v>3500</v>
          </cell>
        </row>
        <row r="151">
          <cell r="A151">
            <v>5010</v>
          </cell>
          <cell r="B151" t="str">
            <v>SINGH L</v>
          </cell>
          <cell r="C151">
            <v>3500</v>
          </cell>
        </row>
        <row r="152">
          <cell r="A152">
            <v>5077</v>
          </cell>
          <cell r="B152" t="str">
            <v>MAHAPATRA A K</v>
          </cell>
          <cell r="C152">
            <v>3500</v>
          </cell>
        </row>
        <row r="153">
          <cell r="A153">
            <v>1090</v>
          </cell>
          <cell r="B153" t="str">
            <v>ROZARIO N</v>
          </cell>
          <cell r="C153">
            <v>4000</v>
          </cell>
        </row>
        <row r="154">
          <cell r="A154">
            <v>1115</v>
          </cell>
          <cell r="B154" t="str">
            <v>ADAMS M</v>
          </cell>
          <cell r="C154">
            <v>4000</v>
          </cell>
        </row>
        <row r="155">
          <cell r="A155">
            <v>1131</v>
          </cell>
          <cell r="B155" t="str">
            <v>WIKHE P D</v>
          </cell>
          <cell r="C155">
            <v>4000</v>
          </cell>
        </row>
        <row r="156">
          <cell r="A156">
            <v>1153</v>
          </cell>
          <cell r="B156" t="str">
            <v>JOTHADY K B</v>
          </cell>
          <cell r="C156">
            <v>4000</v>
          </cell>
        </row>
        <row r="157">
          <cell r="A157">
            <v>1158</v>
          </cell>
          <cell r="B157" t="str">
            <v>RAMASWAMY P A</v>
          </cell>
          <cell r="C157">
            <v>4000</v>
          </cell>
        </row>
        <row r="158">
          <cell r="A158">
            <v>1169</v>
          </cell>
          <cell r="B158" t="str">
            <v>KRISHNAMURTHY N</v>
          </cell>
          <cell r="C158">
            <v>4000</v>
          </cell>
        </row>
        <row r="159">
          <cell r="A159">
            <v>1183</v>
          </cell>
          <cell r="B159" t="str">
            <v>KARNIK D V</v>
          </cell>
          <cell r="C159">
            <v>4000</v>
          </cell>
        </row>
        <row r="160">
          <cell r="A160">
            <v>1184</v>
          </cell>
          <cell r="B160" t="str">
            <v>VIRWANI R J</v>
          </cell>
          <cell r="C160">
            <v>4000</v>
          </cell>
        </row>
        <row r="161">
          <cell r="A161">
            <v>1197</v>
          </cell>
          <cell r="B161" t="str">
            <v>MISTRY M J</v>
          </cell>
          <cell r="C161">
            <v>4000</v>
          </cell>
        </row>
        <row r="162">
          <cell r="A162">
            <v>1205</v>
          </cell>
          <cell r="B162" t="str">
            <v>MARTIS B</v>
          </cell>
          <cell r="C162">
            <v>4000</v>
          </cell>
        </row>
        <row r="163">
          <cell r="A163">
            <v>1206</v>
          </cell>
          <cell r="B163" t="str">
            <v>D'SOUZA E</v>
          </cell>
          <cell r="C163">
            <v>4000</v>
          </cell>
        </row>
        <row r="164">
          <cell r="A164">
            <v>1226</v>
          </cell>
          <cell r="B164" t="str">
            <v>MANI L S</v>
          </cell>
          <cell r="C164">
            <v>4000</v>
          </cell>
        </row>
        <row r="165">
          <cell r="A165">
            <v>1235</v>
          </cell>
          <cell r="B165" t="str">
            <v>PINTO L</v>
          </cell>
          <cell r="C165">
            <v>4000</v>
          </cell>
        </row>
        <row r="166">
          <cell r="A166">
            <v>1271</v>
          </cell>
          <cell r="B166" t="str">
            <v>GARUDE D V</v>
          </cell>
          <cell r="C166">
            <v>4000</v>
          </cell>
        </row>
        <row r="167">
          <cell r="A167">
            <v>1276</v>
          </cell>
          <cell r="B167" t="str">
            <v>RAMACHANDRAN N</v>
          </cell>
          <cell r="C167">
            <v>4000</v>
          </cell>
        </row>
        <row r="168">
          <cell r="A168">
            <v>1287</v>
          </cell>
          <cell r="B168" t="str">
            <v>MULGUND B V</v>
          </cell>
          <cell r="C168">
            <v>4000</v>
          </cell>
        </row>
        <row r="169">
          <cell r="A169">
            <v>1310</v>
          </cell>
          <cell r="B169" t="str">
            <v>TANAK R K</v>
          </cell>
          <cell r="C169">
            <v>4000</v>
          </cell>
        </row>
        <row r="170">
          <cell r="A170">
            <v>1311</v>
          </cell>
          <cell r="B170" t="str">
            <v>BARODEKAR A P</v>
          </cell>
          <cell r="C170">
            <v>4000</v>
          </cell>
        </row>
        <row r="171">
          <cell r="A171">
            <v>1381</v>
          </cell>
          <cell r="B171" t="str">
            <v>NEMADE D R</v>
          </cell>
          <cell r="C171">
            <v>4000</v>
          </cell>
        </row>
        <row r="172">
          <cell r="A172">
            <v>1382</v>
          </cell>
          <cell r="B172" t="str">
            <v>PARDHAL P S</v>
          </cell>
          <cell r="C172">
            <v>4000</v>
          </cell>
        </row>
        <row r="173">
          <cell r="A173">
            <v>1384</v>
          </cell>
          <cell r="B173" t="str">
            <v>BHAGAT S N</v>
          </cell>
          <cell r="C173">
            <v>4000</v>
          </cell>
        </row>
        <row r="174">
          <cell r="A174">
            <v>1390</v>
          </cell>
          <cell r="B174" t="str">
            <v xml:space="preserve">RODRICKS S                                             </v>
          </cell>
          <cell r="C174">
            <v>4000</v>
          </cell>
        </row>
        <row r="175">
          <cell r="A175">
            <v>1410</v>
          </cell>
          <cell r="B175" t="str">
            <v>MAHAJAN V R</v>
          </cell>
          <cell r="C175">
            <v>4000</v>
          </cell>
        </row>
        <row r="176">
          <cell r="A176">
            <v>1422</v>
          </cell>
          <cell r="B176" t="str">
            <v>UPADHYAY C</v>
          </cell>
          <cell r="C176">
            <v>4000</v>
          </cell>
        </row>
        <row r="177">
          <cell r="A177">
            <v>1454</v>
          </cell>
          <cell r="B177" t="str">
            <v>SONAR N N</v>
          </cell>
          <cell r="C177">
            <v>4000</v>
          </cell>
        </row>
        <row r="178">
          <cell r="A178">
            <v>1477</v>
          </cell>
          <cell r="B178" t="str">
            <v>PEDNEKAR A S</v>
          </cell>
          <cell r="C178">
            <v>4000</v>
          </cell>
        </row>
        <row r="179">
          <cell r="A179">
            <v>1485</v>
          </cell>
          <cell r="B179" t="str">
            <v>SODAH V H</v>
          </cell>
          <cell r="C179">
            <v>4000</v>
          </cell>
        </row>
        <row r="180">
          <cell r="A180">
            <v>1493</v>
          </cell>
          <cell r="B180" t="str">
            <v>TELLIS J</v>
          </cell>
          <cell r="C180">
            <v>4000</v>
          </cell>
        </row>
        <row r="181">
          <cell r="A181">
            <v>1495</v>
          </cell>
          <cell r="B181" t="str">
            <v>SANYAL S</v>
          </cell>
          <cell r="C181">
            <v>0</v>
          </cell>
        </row>
        <row r="182">
          <cell r="A182">
            <v>1498</v>
          </cell>
          <cell r="B182" t="str">
            <v>VENKATACHALAPATHY R</v>
          </cell>
          <cell r="C182">
            <v>4000</v>
          </cell>
        </row>
        <row r="183">
          <cell r="A183">
            <v>1508</v>
          </cell>
          <cell r="B183" t="str">
            <v>MANJAREKAR P V</v>
          </cell>
          <cell r="C183">
            <v>4000</v>
          </cell>
        </row>
        <row r="184">
          <cell r="A184">
            <v>1510</v>
          </cell>
          <cell r="B184" t="str">
            <v>AIGAL S</v>
          </cell>
          <cell r="C184">
            <v>4000</v>
          </cell>
        </row>
        <row r="185">
          <cell r="A185">
            <v>1525</v>
          </cell>
          <cell r="B185" t="str">
            <v>RAO RATANKUMAR</v>
          </cell>
          <cell r="C185">
            <v>4000</v>
          </cell>
        </row>
        <row r="186">
          <cell r="A186">
            <v>1547</v>
          </cell>
          <cell r="B186" t="str">
            <v>RAO M H</v>
          </cell>
          <cell r="C186">
            <v>4000</v>
          </cell>
        </row>
        <row r="187">
          <cell r="A187">
            <v>1550</v>
          </cell>
          <cell r="B187" t="str">
            <v>KALELKAR P M</v>
          </cell>
          <cell r="C187">
            <v>4000</v>
          </cell>
        </row>
        <row r="188">
          <cell r="A188">
            <v>1608</v>
          </cell>
          <cell r="B188" t="str">
            <v>KELUSKAR C V</v>
          </cell>
          <cell r="C188">
            <v>4000</v>
          </cell>
        </row>
        <row r="189">
          <cell r="A189">
            <v>1610</v>
          </cell>
          <cell r="B189" t="str">
            <v>MENON R G</v>
          </cell>
          <cell r="C189">
            <v>4000</v>
          </cell>
        </row>
        <row r="190">
          <cell r="A190">
            <v>1618</v>
          </cell>
          <cell r="B190" t="str">
            <v>DATAR S D</v>
          </cell>
          <cell r="C190">
            <v>4000</v>
          </cell>
        </row>
        <row r="191">
          <cell r="A191">
            <v>1666</v>
          </cell>
          <cell r="B191" t="str">
            <v>HINGE S R</v>
          </cell>
          <cell r="C191">
            <v>4000</v>
          </cell>
        </row>
        <row r="192">
          <cell r="A192">
            <v>1669</v>
          </cell>
          <cell r="B192" t="str">
            <v>KAMATH S G</v>
          </cell>
          <cell r="C192">
            <v>4000</v>
          </cell>
        </row>
        <row r="193">
          <cell r="A193">
            <v>1704</v>
          </cell>
          <cell r="B193" t="str">
            <v>GUPTE S T</v>
          </cell>
          <cell r="C193">
            <v>4000</v>
          </cell>
        </row>
        <row r="194">
          <cell r="A194">
            <v>1723</v>
          </cell>
          <cell r="B194" t="str">
            <v xml:space="preserve">MHATRE P N                        </v>
          </cell>
          <cell r="C194">
            <v>4000</v>
          </cell>
        </row>
        <row r="195">
          <cell r="A195">
            <v>1741</v>
          </cell>
          <cell r="B195" t="str">
            <v>NABAR G V</v>
          </cell>
          <cell r="C195">
            <v>4000</v>
          </cell>
        </row>
        <row r="196">
          <cell r="A196">
            <v>1835</v>
          </cell>
          <cell r="B196" t="str">
            <v>WAKHARE V S</v>
          </cell>
          <cell r="C196">
            <v>4000</v>
          </cell>
        </row>
        <row r="197">
          <cell r="A197">
            <v>1867</v>
          </cell>
          <cell r="B197" t="str">
            <v>GANPATYE M M</v>
          </cell>
          <cell r="C197">
            <v>4000</v>
          </cell>
        </row>
        <row r="198">
          <cell r="A198">
            <v>1879</v>
          </cell>
          <cell r="B198" t="str">
            <v>KARHADE S S</v>
          </cell>
          <cell r="C198">
            <v>4000</v>
          </cell>
        </row>
        <row r="199">
          <cell r="A199">
            <v>1906</v>
          </cell>
          <cell r="B199" t="str">
            <v>DHAUNDIYAL S H</v>
          </cell>
          <cell r="C199">
            <v>0</v>
          </cell>
        </row>
        <row r="200">
          <cell r="A200">
            <v>1918</v>
          </cell>
          <cell r="B200" t="str">
            <v>SUBRAMANIAN N</v>
          </cell>
          <cell r="C200">
            <v>4000</v>
          </cell>
        </row>
        <row r="201">
          <cell r="A201">
            <v>1964</v>
          </cell>
          <cell r="B201" t="str">
            <v>RAJADHYAX V</v>
          </cell>
          <cell r="C201">
            <v>4000</v>
          </cell>
        </row>
        <row r="202">
          <cell r="A202">
            <v>1967</v>
          </cell>
          <cell r="B202" t="str">
            <v xml:space="preserve">SAMANT A B                         </v>
          </cell>
          <cell r="C202">
            <v>4000</v>
          </cell>
        </row>
        <row r="203">
          <cell r="A203">
            <v>1978</v>
          </cell>
          <cell r="B203" t="str">
            <v xml:space="preserve">DUTTA S                               </v>
          </cell>
          <cell r="C203">
            <v>4000</v>
          </cell>
        </row>
        <row r="204">
          <cell r="A204">
            <v>2007</v>
          </cell>
          <cell r="B204" t="str">
            <v>SENGUPTA D</v>
          </cell>
          <cell r="C204">
            <v>4000</v>
          </cell>
        </row>
        <row r="205">
          <cell r="A205">
            <v>2062</v>
          </cell>
          <cell r="B205" t="str">
            <v>SATAM R S</v>
          </cell>
          <cell r="C205">
            <v>4000</v>
          </cell>
        </row>
        <row r="206">
          <cell r="A206">
            <v>2071</v>
          </cell>
          <cell r="B206" t="str">
            <v>BAPAT K S</v>
          </cell>
          <cell r="C206">
            <v>4000</v>
          </cell>
        </row>
        <row r="207">
          <cell r="A207">
            <v>2097</v>
          </cell>
          <cell r="B207" t="str">
            <v>RAHEJA S</v>
          </cell>
          <cell r="C207">
            <v>4000</v>
          </cell>
        </row>
        <row r="208">
          <cell r="A208">
            <v>2127</v>
          </cell>
          <cell r="B208" t="str">
            <v>SHINDE YAMINI M</v>
          </cell>
          <cell r="C208">
            <v>4000</v>
          </cell>
        </row>
        <row r="209">
          <cell r="A209">
            <v>2150</v>
          </cell>
          <cell r="B209" t="str">
            <v>BASU S</v>
          </cell>
          <cell r="C209">
            <v>4000</v>
          </cell>
        </row>
        <row r="210">
          <cell r="A210">
            <v>2175</v>
          </cell>
          <cell r="B210" t="str">
            <v>RAJEEV KUMAR</v>
          </cell>
          <cell r="C210">
            <v>0</v>
          </cell>
        </row>
        <row r="211">
          <cell r="A211">
            <v>2195</v>
          </cell>
          <cell r="B211" t="str">
            <v>MANIAR K K</v>
          </cell>
          <cell r="C211">
            <v>4000</v>
          </cell>
        </row>
        <row r="212">
          <cell r="A212">
            <v>2202</v>
          </cell>
          <cell r="B212" t="str">
            <v>UMASHANKAR R</v>
          </cell>
          <cell r="C212">
            <v>4000</v>
          </cell>
        </row>
        <row r="213">
          <cell r="A213">
            <v>2219</v>
          </cell>
          <cell r="B213" t="str">
            <v>MISHRA G</v>
          </cell>
          <cell r="C213">
            <v>4000</v>
          </cell>
        </row>
        <row r="214">
          <cell r="A214">
            <v>2241</v>
          </cell>
          <cell r="B214" t="str">
            <v>D'MELLO SUNITA</v>
          </cell>
          <cell r="C214">
            <v>4000</v>
          </cell>
        </row>
        <row r="215">
          <cell r="A215">
            <v>2244</v>
          </cell>
          <cell r="B215" t="str">
            <v>BALIGA R</v>
          </cell>
          <cell r="C215">
            <v>4000</v>
          </cell>
        </row>
        <row r="216">
          <cell r="A216">
            <v>2267</v>
          </cell>
          <cell r="B216" t="str">
            <v>CHOPRA KARAN</v>
          </cell>
          <cell r="C216">
            <v>4000</v>
          </cell>
        </row>
        <row r="217">
          <cell r="A217">
            <v>2270</v>
          </cell>
          <cell r="B217" t="str">
            <v>SURYAVANSHI C V</v>
          </cell>
          <cell r="C217">
            <v>4000</v>
          </cell>
        </row>
        <row r="218">
          <cell r="A218">
            <v>2285</v>
          </cell>
          <cell r="B218" t="str">
            <v>TULSIRAM USHA</v>
          </cell>
          <cell r="C218">
            <v>4000</v>
          </cell>
        </row>
        <row r="219">
          <cell r="A219">
            <v>2308</v>
          </cell>
          <cell r="B219" t="str">
            <v>MENDON SHAILESH V</v>
          </cell>
          <cell r="C219">
            <v>4000</v>
          </cell>
        </row>
        <row r="220">
          <cell r="A220">
            <v>2309</v>
          </cell>
          <cell r="B220" t="str">
            <v>MANKANI DEEPAK M.</v>
          </cell>
          <cell r="C220">
            <v>4000</v>
          </cell>
        </row>
        <row r="221">
          <cell r="A221">
            <v>2368</v>
          </cell>
          <cell r="B221" t="str">
            <v>PRASHANT S JOSHI</v>
          </cell>
          <cell r="C221">
            <v>4000</v>
          </cell>
        </row>
        <row r="222">
          <cell r="A222">
            <v>2415</v>
          </cell>
          <cell r="B222" t="str">
            <v>S GANESH</v>
          </cell>
          <cell r="C222">
            <v>4000</v>
          </cell>
        </row>
        <row r="223">
          <cell r="A223">
            <v>2422</v>
          </cell>
          <cell r="B223" t="str">
            <v>SHAH MANISH M</v>
          </cell>
          <cell r="C223">
            <v>4000</v>
          </cell>
        </row>
        <row r="224">
          <cell r="A224">
            <v>2425</v>
          </cell>
          <cell r="B224" t="str">
            <v>S MURALI</v>
          </cell>
          <cell r="C224">
            <v>4000</v>
          </cell>
        </row>
        <row r="225">
          <cell r="A225">
            <v>2427</v>
          </cell>
          <cell r="B225" t="str">
            <v>DUJARI RAJESH</v>
          </cell>
          <cell r="C225">
            <v>4000</v>
          </cell>
        </row>
        <row r="226">
          <cell r="A226">
            <v>1981</v>
          </cell>
          <cell r="B226" t="str">
            <v>PATIL S H</v>
          </cell>
          <cell r="C226">
            <v>4000</v>
          </cell>
        </row>
        <row r="227">
          <cell r="A227">
            <v>2009</v>
          </cell>
          <cell r="B227" t="str">
            <v>MURUGAN S A</v>
          </cell>
          <cell r="C227">
            <v>4000</v>
          </cell>
        </row>
        <row r="228">
          <cell r="A228">
            <v>2250</v>
          </cell>
          <cell r="B228" t="str">
            <v>BALAKRISHNAN P</v>
          </cell>
          <cell r="C228">
            <v>4000</v>
          </cell>
        </row>
        <row r="229">
          <cell r="A229">
            <v>1100</v>
          </cell>
          <cell r="B229" t="str">
            <v>MAHAJAN J</v>
          </cell>
          <cell r="C229">
            <v>4000</v>
          </cell>
        </row>
        <row r="230">
          <cell r="A230">
            <v>1725</v>
          </cell>
          <cell r="B230" t="str">
            <v>VENKATRAMAN E N</v>
          </cell>
          <cell r="C230">
            <v>4000</v>
          </cell>
        </row>
        <row r="231">
          <cell r="A231">
            <v>2146</v>
          </cell>
          <cell r="B231" t="str">
            <v>DAS S</v>
          </cell>
          <cell r="C231">
            <v>4000</v>
          </cell>
        </row>
        <row r="232">
          <cell r="A232">
            <v>2265</v>
          </cell>
          <cell r="B232" t="str">
            <v>GUPTA PANKAJ</v>
          </cell>
          <cell r="C232">
            <v>4000</v>
          </cell>
        </row>
        <row r="233">
          <cell r="A233">
            <v>2011</v>
          </cell>
          <cell r="B233" t="str">
            <v xml:space="preserve">BASU A                                </v>
          </cell>
          <cell r="C233">
            <v>4000</v>
          </cell>
        </row>
        <row r="234">
          <cell r="A234">
            <v>2132</v>
          </cell>
          <cell r="B234" t="str">
            <v>MALLIK R K</v>
          </cell>
          <cell r="C234">
            <v>4000</v>
          </cell>
        </row>
        <row r="235">
          <cell r="A235">
            <v>2282</v>
          </cell>
          <cell r="B235" t="str">
            <v>SHARMA A M</v>
          </cell>
          <cell r="C235">
            <v>4000</v>
          </cell>
        </row>
        <row r="236">
          <cell r="A236">
            <v>2286</v>
          </cell>
          <cell r="B236" t="str">
            <v>SANTOSH KUMAR SHARMA</v>
          </cell>
          <cell r="C236">
            <v>4000</v>
          </cell>
        </row>
        <row r="237">
          <cell r="A237">
            <v>1386</v>
          </cell>
          <cell r="B237" t="str">
            <v>VALSARAJAN P</v>
          </cell>
          <cell r="C237">
            <v>4000</v>
          </cell>
        </row>
        <row r="238">
          <cell r="A238">
            <v>1855</v>
          </cell>
          <cell r="B238" t="str">
            <v>SATISH B</v>
          </cell>
          <cell r="C238">
            <v>4000</v>
          </cell>
        </row>
        <row r="239">
          <cell r="A239">
            <v>1899</v>
          </cell>
          <cell r="B239" t="str">
            <v>NANDANIA P N</v>
          </cell>
          <cell r="C239">
            <v>4000</v>
          </cell>
        </row>
        <row r="240">
          <cell r="A240">
            <v>1979</v>
          </cell>
          <cell r="B240" t="str">
            <v>JATTY S</v>
          </cell>
          <cell r="C240">
            <v>4000</v>
          </cell>
        </row>
        <row r="241">
          <cell r="A241">
            <v>2039</v>
          </cell>
          <cell r="B241" t="str">
            <v>LOBO F</v>
          </cell>
          <cell r="C241">
            <v>4000</v>
          </cell>
        </row>
        <row r="242">
          <cell r="A242">
            <v>2048</v>
          </cell>
          <cell r="B242" t="str">
            <v>PRABHU U K</v>
          </cell>
          <cell r="C242">
            <v>4000</v>
          </cell>
        </row>
        <row r="243">
          <cell r="A243">
            <v>2049</v>
          </cell>
          <cell r="B243" t="str">
            <v xml:space="preserve">NAGARAJA H S                      </v>
          </cell>
          <cell r="C243">
            <v>4000</v>
          </cell>
        </row>
        <row r="244">
          <cell r="A244">
            <v>2051</v>
          </cell>
          <cell r="B244" t="str">
            <v>GURUPRASADRAO H</v>
          </cell>
          <cell r="C244">
            <v>4000</v>
          </cell>
        </row>
        <row r="245">
          <cell r="A245">
            <v>2060</v>
          </cell>
          <cell r="B245" t="str">
            <v>SRINIVASAPRASANNA A R</v>
          </cell>
          <cell r="C245">
            <v>4000</v>
          </cell>
        </row>
        <row r="246">
          <cell r="A246">
            <v>2070</v>
          </cell>
          <cell r="B246" t="str">
            <v>MURALI G</v>
          </cell>
          <cell r="C246">
            <v>4000</v>
          </cell>
        </row>
        <row r="247">
          <cell r="A247">
            <v>2072</v>
          </cell>
          <cell r="B247" t="str">
            <v>ANANDA B</v>
          </cell>
          <cell r="C247">
            <v>4000</v>
          </cell>
        </row>
        <row r="248">
          <cell r="A248">
            <v>2091</v>
          </cell>
          <cell r="B248" t="str">
            <v>AITHAL S K</v>
          </cell>
          <cell r="C248">
            <v>4000</v>
          </cell>
        </row>
        <row r="249">
          <cell r="A249">
            <v>2111</v>
          </cell>
          <cell r="B249" t="str">
            <v>GANESH B</v>
          </cell>
          <cell r="C249">
            <v>4000</v>
          </cell>
        </row>
        <row r="250">
          <cell r="A250">
            <v>2121</v>
          </cell>
          <cell r="B250" t="str">
            <v>SRINIVAS P</v>
          </cell>
          <cell r="C250">
            <v>4000</v>
          </cell>
        </row>
        <row r="251">
          <cell r="A251">
            <v>2149</v>
          </cell>
          <cell r="B251" t="str">
            <v>BOBBY S</v>
          </cell>
          <cell r="C251">
            <v>4000</v>
          </cell>
        </row>
        <row r="252">
          <cell r="A252">
            <v>2151</v>
          </cell>
          <cell r="B252" t="str">
            <v>NAGARATHINAM A</v>
          </cell>
          <cell r="C252">
            <v>4000</v>
          </cell>
        </row>
        <row r="253">
          <cell r="A253">
            <v>2157</v>
          </cell>
          <cell r="B253" t="str">
            <v>NACHIPPAN L</v>
          </cell>
          <cell r="C253">
            <v>4000</v>
          </cell>
        </row>
        <row r="254">
          <cell r="A254">
            <v>2164</v>
          </cell>
          <cell r="B254" t="str">
            <v>ASHIMA S</v>
          </cell>
          <cell r="C254">
            <v>4000</v>
          </cell>
        </row>
        <row r="255">
          <cell r="A255">
            <v>2178</v>
          </cell>
          <cell r="B255" t="str">
            <v>BHAKARE A H</v>
          </cell>
          <cell r="C255">
            <v>4000</v>
          </cell>
        </row>
        <row r="256">
          <cell r="A256">
            <v>2187</v>
          </cell>
          <cell r="B256" t="str">
            <v>BHATTACHARYYA I</v>
          </cell>
          <cell r="C256">
            <v>4000</v>
          </cell>
        </row>
        <row r="257">
          <cell r="A257">
            <v>2188</v>
          </cell>
          <cell r="B257" t="str">
            <v>MUKHERJEE S</v>
          </cell>
          <cell r="C257">
            <v>4000</v>
          </cell>
        </row>
        <row r="258">
          <cell r="A258">
            <v>2213</v>
          </cell>
          <cell r="B258" t="str">
            <v>KIRAN B M</v>
          </cell>
          <cell r="C258">
            <v>4000</v>
          </cell>
        </row>
        <row r="259">
          <cell r="A259">
            <v>2218</v>
          </cell>
          <cell r="B259" t="str">
            <v>MUKHOPADHYAY D</v>
          </cell>
          <cell r="C259">
            <v>4000</v>
          </cell>
        </row>
        <row r="260">
          <cell r="A260">
            <v>2277</v>
          </cell>
          <cell r="B260" t="str">
            <v>MAWAL S J</v>
          </cell>
          <cell r="C260">
            <v>4000</v>
          </cell>
        </row>
        <row r="261">
          <cell r="A261">
            <v>2278</v>
          </cell>
          <cell r="B261" t="str">
            <v>SHARMA K J</v>
          </cell>
          <cell r="C261">
            <v>4000</v>
          </cell>
        </row>
        <row r="262">
          <cell r="A262">
            <v>2287</v>
          </cell>
          <cell r="B262" t="str">
            <v>SHEIKH MOHAMMAD</v>
          </cell>
          <cell r="C262">
            <v>4000</v>
          </cell>
        </row>
        <row r="263">
          <cell r="A263">
            <v>2298</v>
          </cell>
          <cell r="B263" t="str">
            <v>DUTTA JAYDEEP</v>
          </cell>
          <cell r="C263">
            <v>4000</v>
          </cell>
        </row>
        <row r="264">
          <cell r="A264">
            <v>2299</v>
          </cell>
          <cell r="B264" t="str">
            <v>GOSWAMI SUSHIL</v>
          </cell>
          <cell r="C264">
            <v>4000</v>
          </cell>
        </row>
        <row r="265">
          <cell r="A265">
            <v>2304</v>
          </cell>
          <cell r="B265" t="str">
            <v>JONPURI N K</v>
          </cell>
          <cell r="C265">
            <v>4000</v>
          </cell>
        </row>
        <row r="266">
          <cell r="A266">
            <v>2317</v>
          </cell>
          <cell r="B266" t="str">
            <v>R. SRINIVASAN</v>
          </cell>
          <cell r="C266">
            <v>4000</v>
          </cell>
        </row>
        <row r="267">
          <cell r="A267">
            <v>2345</v>
          </cell>
          <cell r="B267" t="str">
            <v>AGARWAL HIMANSHU</v>
          </cell>
          <cell r="C267">
            <v>4000</v>
          </cell>
        </row>
        <row r="268">
          <cell r="A268">
            <v>2374</v>
          </cell>
          <cell r="B268" t="str">
            <v>SONAWANE DILIP</v>
          </cell>
          <cell r="C268">
            <v>4000</v>
          </cell>
        </row>
        <row r="269">
          <cell r="A269">
            <v>2409</v>
          </cell>
          <cell r="B269" t="str">
            <v>S.P. RAJASHEKHAR</v>
          </cell>
          <cell r="C269">
            <v>4000</v>
          </cell>
        </row>
        <row r="270">
          <cell r="A270">
            <v>2420</v>
          </cell>
          <cell r="B270" t="str">
            <v>A K VERMA</v>
          </cell>
          <cell r="C270">
            <v>4000</v>
          </cell>
        </row>
        <row r="271">
          <cell r="A271">
            <v>2421</v>
          </cell>
          <cell r="B271" t="str">
            <v>LINGERI MANOJ</v>
          </cell>
          <cell r="C271">
            <v>4000</v>
          </cell>
        </row>
        <row r="272">
          <cell r="A272">
            <v>2426</v>
          </cell>
          <cell r="B272" t="str">
            <v>RAMAN GUPTA</v>
          </cell>
          <cell r="C272">
            <v>4000</v>
          </cell>
        </row>
        <row r="273">
          <cell r="A273">
            <v>5067</v>
          </cell>
          <cell r="B273" t="str">
            <v>SINHA A K</v>
          </cell>
          <cell r="C273">
            <v>4000</v>
          </cell>
        </row>
        <row r="274">
          <cell r="A274">
            <v>5070</v>
          </cell>
          <cell r="B274" t="str">
            <v>SINGH A K</v>
          </cell>
          <cell r="C274">
            <v>4000</v>
          </cell>
        </row>
        <row r="275">
          <cell r="A275">
            <v>5076</v>
          </cell>
          <cell r="B275" t="str">
            <v>SHARMA B K</v>
          </cell>
          <cell r="C275">
            <v>4000</v>
          </cell>
        </row>
        <row r="276">
          <cell r="A276">
            <v>1066</v>
          </cell>
          <cell r="B276" t="str">
            <v>BAJAJ R B</v>
          </cell>
          <cell r="C276">
            <v>6450</v>
          </cell>
        </row>
        <row r="277">
          <cell r="A277">
            <v>1149</v>
          </cell>
          <cell r="B277" t="str">
            <v>MAHAJAN A S</v>
          </cell>
          <cell r="C277">
            <v>5850</v>
          </cell>
        </row>
        <row r="278">
          <cell r="A278">
            <v>1185</v>
          </cell>
          <cell r="B278" t="str">
            <v>SAHASRABUDHE A D</v>
          </cell>
          <cell r="C278">
            <v>5450</v>
          </cell>
        </row>
        <row r="279">
          <cell r="A279">
            <v>1293</v>
          </cell>
          <cell r="B279" t="str">
            <v>KHOPKAR A C</v>
          </cell>
          <cell r="C279">
            <v>5150</v>
          </cell>
        </row>
        <row r="280">
          <cell r="A280">
            <v>1351</v>
          </cell>
          <cell r="B280" t="str">
            <v>DESHPANDE R G</v>
          </cell>
          <cell r="C280">
            <v>6000</v>
          </cell>
        </row>
        <row r="281">
          <cell r="A281">
            <v>1463</v>
          </cell>
          <cell r="B281" t="str">
            <v xml:space="preserve">BALASUBRAMANIAM V H     </v>
          </cell>
          <cell r="C281">
            <v>4800</v>
          </cell>
        </row>
        <row r="282">
          <cell r="A282">
            <v>1677</v>
          </cell>
          <cell r="B282" t="str">
            <v>SINHA S</v>
          </cell>
          <cell r="C282">
            <v>5950</v>
          </cell>
        </row>
        <row r="283">
          <cell r="A283">
            <v>1688</v>
          </cell>
          <cell r="B283" t="str">
            <v xml:space="preserve">BANDI S S                            </v>
          </cell>
          <cell r="C283">
            <v>5150</v>
          </cell>
        </row>
        <row r="284">
          <cell r="A284">
            <v>1732</v>
          </cell>
          <cell r="B284" t="str">
            <v>PARAB A T</v>
          </cell>
          <cell r="C284">
            <v>4650</v>
          </cell>
        </row>
        <row r="285">
          <cell r="A285">
            <v>1795</v>
          </cell>
          <cell r="B285" t="str">
            <v>DASGUPTA D</v>
          </cell>
          <cell r="C285">
            <v>6050</v>
          </cell>
        </row>
        <row r="286">
          <cell r="A286">
            <v>1910</v>
          </cell>
          <cell r="B286" t="str">
            <v xml:space="preserve">SANKHE K S                         </v>
          </cell>
          <cell r="C286">
            <v>5500</v>
          </cell>
        </row>
        <row r="287">
          <cell r="A287">
            <v>1982</v>
          </cell>
          <cell r="B287" t="str">
            <v xml:space="preserve">TODKAR S B                         </v>
          </cell>
          <cell r="C287">
            <v>5250</v>
          </cell>
        </row>
        <row r="288">
          <cell r="A288">
            <v>2012</v>
          </cell>
          <cell r="B288" t="str">
            <v>PRABHU S P</v>
          </cell>
          <cell r="C288">
            <v>4500</v>
          </cell>
        </row>
        <row r="289">
          <cell r="A289">
            <v>2015</v>
          </cell>
          <cell r="B289" t="str">
            <v>NAIK S S</v>
          </cell>
          <cell r="C289">
            <v>4750</v>
          </cell>
        </row>
        <row r="290">
          <cell r="A290">
            <v>2031</v>
          </cell>
          <cell r="B290" t="str">
            <v>DAS D N</v>
          </cell>
          <cell r="C290">
            <v>4950</v>
          </cell>
        </row>
        <row r="291">
          <cell r="A291">
            <v>2069</v>
          </cell>
          <cell r="B291" t="str">
            <v xml:space="preserve">BALASUBRAMANIAN N         </v>
          </cell>
          <cell r="C291">
            <v>5500</v>
          </cell>
        </row>
        <row r="292">
          <cell r="A292">
            <v>2104</v>
          </cell>
          <cell r="B292" t="str">
            <v>CHITGOPEKAR P P</v>
          </cell>
          <cell r="C292">
            <v>4900</v>
          </cell>
        </row>
        <row r="293">
          <cell r="A293">
            <v>2113</v>
          </cell>
          <cell r="B293" t="str">
            <v>JOSEPH M C</v>
          </cell>
          <cell r="C293">
            <v>5250</v>
          </cell>
        </row>
        <row r="294">
          <cell r="A294">
            <v>2120</v>
          </cell>
          <cell r="B294" t="str">
            <v>BEJOY C</v>
          </cell>
          <cell r="C294">
            <v>4499.6000000000004</v>
          </cell>
        </row>
        <row r="295">
          <cell r="A295">
            <v>2145</v>
          </cell>
          <cell r="B295" t="str">
            <v>TILVE R B</v>
          </cell>
          <cell r="C295">
            <v>4800</v>
          </cell>
        </row>
        <row r="296">
          <cell r="A296">
            <v>2172</v>
          </cell>
          <cell r="B296" t="str">
            <v>AGARWAL U</v>
          </cell>
          <cell r="C296">
            <v>4650</v>
          </cell>
        </row>
        <row r="297">
          <cell r="A297">
            <v>2186</v>
          </cell>
          <cell r="B297" t="str">
            <v>BENJAMIN Y N</v>
          </cell>
          <cell r="C297">
            <v>4800</v>
          </cell>
        </row>
        <row r="298">
          <cell r="A298">
            <v>2193</v>
          </cell>
          <cell r="B298" t="str">
            <v>KUMAR C A</v>
          </cell>
          <cell r="C298">
            <v>4550</v>
          </cell>
        </row>
        <row r="299">
          <cell r="A299">
            <v>2221</v>
          </cell>
          <cell r="B299" t="str">
            <v>BEHL R</v>
          </cell>
          <cell r="C299">
            <v>4650</v>
          </cell>
        </row>
        <row r="300">
          <cell r="A300">
            <v>2222</v>
          </cell>
          <cell r="B300" t="str">
            <v>SHIVARAM S</v>
          </cell>
          <cell r="C300">
            <v>5100</v>
          </cell>
        </row>
        <row r="301">
          <cell r="A301">
            <v>2228</v>
          </cell>
          <cell r="B301" t="str">
            <v>IYER M R</v>
          </cell>
          <cell r="C301">
            <v>4750</v>
          </cell>
        </row>
        <row r="302">
          <cell r="A302">
            <v>2242</v>
          </cell>
          <cell r="B302" t="str">
            <v>YADAV S</v>
          </cell>
          <cell r="C302">
            <v>4400</v>
          </cell>
        </row>
        <row r="303">
          <cell r="A303">
            <v>2251</v>
          </cell>
          <cell r="B303" t="str">
            <v>TRIVEDI S P</v>
          </cell>
          <cell r="C303">
            <v>4400</v>
          </cell>
        </row>
        <row r="304">
          <cell r="A304">
            <v>2255</v>
          </cell>
          <cell r="B304" t="str">
            <v>SULE S M</v>
          </cell>
          <cell r="C304">
            <v>4400</v>
          </cell>
        </row>
        <row r="305">
          <cell r="A305">
            <v>2256</v>
          </cell>
          <cell r="B305" t="str">
            <v>SRIRAM K</v>
          </cell>
          <cell r="C305">
            <v>5800</v>
          </cell>
        </row>
        <row r="306">
          <cell r="A306">
            <v>2257</v>
          </cell>
          <cell r="B306" t="str">
            <v>D'SILVA E</v>
          </cell>
          <cell r="C306">
            <v>4750</v>
          </cell>
        </row>
        <row r="307">
          <cell r="A307">
            <v>2273</v>
          </cell>
          <cell r="B307" t="str">
            <v>GHOTEKAR C V</v>
          </cell>
          <cell r="C307">
            <v>4550</v>
          </cell>
        </row>
        <row r="308">
          <cell r="A308">
            <v>2288</v>
          </cell>
          <cell r="B308" t="str">
            <v>BHAMGARA H D P</v>
          </cell>
          <cell r="C308">
            <v>6300</v>
          </cell>
        </row>
        <row r="309">
          <cell r="A309">
            <v>2359</v>
          </cell>
          <cell r="B309" t="str">
            <v>VARGHESE JOJI</v>
          </cell>
          <cell r="C309">
            <v>4400</v>
          </cell>
        </row>
        <row r="310">
          <cell r="A310">
            <v>2418</v>
          </cell>
          <cell r="B310" t="str">
            <v>D'SOUZA BETTY</v>
          </cell>
          <cell r="C310">
            <v>5000</v>
          </cell>
        </row>
        <row r="311">
          <cell r="A311">
            <v>2423</v>
          </cell>
          <cell r="B311" t="str">
            <v>UPADHYAY S P</v>
          </cell>
          <cell r="C311">
            <v>4050</v>
          </cell>
        </row>
        <row r="312">
          <cell r="A312">
            <v>1971</v>
          </cell>
          <cell r="B312" t="str">
            <v>VINOD K U</v>
          </cell>
          <cell r="C312">
            <v>4650</v>
          </cell>
        </row>
        <row r="313">
          <cell r="A313">
            <v>2006</v>
          </cell>
          <cell r="B313" t="str">
            <v>ASHOK S</v>
          </cell>
          <cell r="C313">
            <v>4600</v>
          </cell>
        </row>
        <row r="314">
          <cell r="A314">
            <v>2168</v>
          </cell>
          <cell r="B314" t="str">
            <v>SARAVANAN M S</v>
          </cell>
          <cell r="C314">
            <v>4850</v>
          </cell>
        </row>
        <row r="315">
          <cell r="A315">
            <v>2312</v>
          </cell>
          <cell r="B315" t="str">
            <v>M. RAVIKUMAR</v>
          </cell>
          <cell r="C315">
            <v>4050</v>
          </cell>
        </row>
        <row r="316">
          <cell r="A316">
            <v>2367</v>
          </cell>
          <cell r="B316" t="str">
            <v>J. UNNIKRISHNAN</v>
          </cell>
          <cell r="C316">
            <v>4000</v>
          </cell>
        </row>
        <row r="317">
          <cell r="A317">
            <v>1440</v>
          </cell>
          <cell r="B317" t="str">
            <v>GOPALAKRISHNAN P A</v>
          </cell>
          <cell r="C317">
            <v>4600</v>
          </cell>
        </row>
        <row r="318">
          <cell r="A318">
            <v>2084</v>
          </cell>
          <cell r="B318" t="str">
            <v>ROY B</v>
          </cell>
          <cell r="C318">
            <v>4650</v>
          </cell>
        </row>
        <row r="319">
          <cell r="A319">
            <v>2160</v>
          </cell>
          <cell r="B319" t="str">
            <v>GUPTA A K</v>
          </cell>
          <cell r="C319">
            <v>0</v>
          </cell>
        </row>
        <row r="320">
          <cell r="A320">
            <v>2313</v>
          </cell>
          <cell r="B320" t="str">
            <v>BHUPENDRA SHARMA</v>
          </cell>
          <cell r="C320">
            <v>4000</v>
          </cell>
        </row>
        <row r="321">
          <cell r="A321">
            <v>2339</v>
          </cell>
          <cell r="B321" t="str">
            <v>GAURAV KATYAL</v>
          </cell>
          <cell r="C321">
            <v>4000</v>
          </cell>
        </row>
        <row r="322">
          <cell r="A322">
            <v>1926</v>
          </cell>
          <cell r="B322" t="str">
            <v>GHATAK B</v>
          </cell>
          <cell r="C322">
            <v>4950</v>
          </cell>
        </row>
        <row r="323">
          <cell r="A323">
            <v>2216</v>
          </cell>
          <cell r="B323" t="str">
            <v>CHATTOPADHYAY R</v>
          </cell>
          <cell r="C323">
            <v>4900</v>
          </cell>
        </row>
        <row r="324">
          <cell r="A324">
            <v>2245</v>
          </cell>
          <cell r="B324" t="str">
            <v>PANDEY P</v>
          </cell>
          <cell r="C324">
            <v>4400</v>
          </cell>
        </row>
        <row r="325">
          <cell r="A325">
            <v>2292</v>
          </cell>
          <cell r="B325" t="str">
            <v>KALIDAS DATTA</v>
          </cell>
          <cell r="C325">
            <v>0</v>
          </cell>
        </row>
        <row r="326">
          <cell r="A326">
            <v>2300</v>
          </cell>
          <cell r="B326" t="str">
            <v>GHOSH MATI LAL</v>
          </cell>
          <cell r="C326">
            <v>5700</v>
          </cell>
        </row>
        <row r="327">
          <cell r="A327">
            <v>1104</v>
          </cell>
          <cell r="B327" t="str">
            <v>NAYAK S A</v>
          </cell>
          <cell r="C327">
            <v>6149.85</v>
          </cell>
        </row>
        <row r="328">
          <cell r="A328">
            <v>1442</v>
          </cell>
          <cell r="B328" t="str">
            <v>GUNASEKHARAN S</v>
          </cell>
          <cell r="C328">
            <v>5100</v>
          </cell>
        </row>
        <row r="329">
          <cell r="A329">
            <v>1501</v>
          </cell>
          <cell r="B329" t="str">
            <v>MANOHARAN G P</v>
          </cell>
          <cell r="C329">
            <v>5000</v>
          </cell>
        </row>
        <row r="330">
          <cell r="A330">
            <v>1566</v>
          </cell>
          <cell r="B330" t="str">
            <v>GAJAB D J</v>
          </cell>
          <cell r="C330">
            <v>4600</v>
          </cell>
        </row>
        <row r="331">
          <cell r="A331">
            <v>1622</v>
          </cell>
          <cell r="B331" t="str">
            <v>KALATHIA B T</v>
          </cell>
          <cell r="C331">
            <v>4000</v>
          </cell>
        </row>
        <row r="332">
          <cell r="A332">
            <v>1623</v>
          </cell>
          <cell r="B332" t="str">
            <v>CHITNIS A</v>
          </cell>
          <cell r="C332">
            <v>4350</v>
          </cell>
        </row>
        <row r="333">
          <cell r="A333">
            <v>1631</v>
          </cell>
          <cell r="B333" t="str">
            <v>BADGUJAR P S</v>
          </cell>
          <cell r="C333">
            <v>4000</v>
          </cell>
        </row>
        <row r="334">
          <cell r="A334">
            <v>1649</v>
          </cell>
          <cell r="B334" t="str">
            <v>RAWAT H S</v>
          </cell>
          <cell r="C334">
            <v>4550</v>
          </cell>
        </row>
        <row r="335">
          <cell r="A335">
            <v>1698</v>
          </cell>
          <cell r="B335" t="str">
            <v>DESHMUKH A R</v>
          </cell>
          <cell r="C335">
            <v>5150</v>
          </cell>
        </row>
        <row r="336">
          <cell r="A336">
            <v>1789</v>
          </cell>
          <cell r="B336" t="str">
            <v>BOGLE V B</v>
          </cell>
          <cell r="C336">
            <v>4000</v>
          </cell>
        </row>
        <row r="337">
          <cell r="A337">
            <v>1893</v>
          </cell>
          <cell r="B337" t="str">
            <v>JYOTHISH M E</v>
          </cell>
          <cell r="C337">
            <v>4550</v>
          </cell>
        </row>
        <row r="338">
          <cell r="A338">
            <v>1900</v>
          </cell>
          <cell r="B338" t="str">
            <v>RAO H R</v>
          </cell>
          <cell r="C338">
            <v>4850</v>
          </cell>
        </row>
        <row r="339">
          <cell r="A339">
            <v>1905</v>
          </cell>
          <cell r="B339" t="str">
            <v>REDDY C R</v>
          </cell>
          <cell r="C339">
            <v>4000</v>
          </cell>
        </row>
        <row r="340">
          <cell r="A340">
            <v>1914</v>
          </cell>
          <cell r="B340" t="str">
            <v>GUPTA A K</v>
          </cell>
          <cell r="C340">
            <v>4700</v>
          </cell>
        </row>
        <row r="341">
          <cell r="A341">
            <v>1949</v>
          </cell>
          <cell r="B341" t="str">
            <v>RAMAN S K</v>
          </cell>
          <cell r="C341">
            <v>4650</v>
          </cell>
        </row>
        <row r="342">
          <cell r="A342">
            <v>1954</v>
          </cell>
          <cell r="B342" t="str">
            <v>MURALI V</v>
          </cell>
          <cell r="C342">
            <v>5100</v>
          </cell>
        </row>
        <row r="343">
          <cell r="A343">
            <v>1984</v>
          </cell>
          <cell r="B343" t="str">
            <v xml:space="preserve">HEGDE S                              </v>
          </cell>
          <cell r="C343">
            <v>5200</v>
          </cell>
        </row>
        <row r="344">
          <cell r="A344">
            <v>2010</v>
          </cell>
          <cell r="B344" t="str">
            <v>KADLASKAR S G</v>
          </cell>
          <cell r="C344">
            <v>4600</v>
          </cell>
        </row>
        <row r="345">
          <cell r="A345">
            <v>2035</v>
          </cell>
          <cell r="B345" t="str">
            <v xml:space="preserve">MOHAN J S                           </v>
          </cell>
          <cell r="C345">
            <v>4400</v>
          </cell>
        </row>
        <row r="346">
          <cell r="A346">
            <v>2045</v>
          </cell>
          <cell r="B346" t="str">
            <v xml:space="preserve">PHANISHANKAR K                </v>
          </cell>
          <cell r="C346">
            <v>5100</v>
          </cell>
        </row>
        <row r="347">
          <cell r="A347">
            <v>2081</v>
          </cell>
          <cell r="B347" t="str">
            <v>VARGHESE J</v>
          </cell>
          <cell r="C347">
            <v>4550</v>
          </cell>
        </row>
        <row r="348">
          <cell r="A348">
            <v>2094</v>
          </cell>
          <cell r="B348" t="str">
            <v>NAWATHE V V</v>
          </cell>
          <cell r="C348">
            <v>4850</v>
          </cell>
        </row>
        <row r="349">
          <cell r="A349">
            <v>2098</v>
          </cell>
          <cell r="B349" t="str">
            <v>SHARMA S</v>
          </cell>
          <cell r="C349">
            <v>0</v>
          </cell>
        </row>
        <row r="350">
          <cell r="A350">
            <v>2108</v>
          </cell>
          <cell r="B350" t="str">
            <v>GIDO CHACKO K</v>
          </cell>
          <cell r="C350">
            <v>4600</v>
          </cell>
        </row>
        <row r="351">
          <cell r="A351">
            <v>2119</v>
          </cell>
          <cell r="B351" t="str">
            <v>ANAND V S</v>
          </cell>
          <cell r="C351">
            <v>4500</v>
          </cell>
        </row>
        <row r="352">
          <cell r="A352">
            <v>2122</v>
          </cell>
          <cell r="B352" t="str">
            <v xml:space="preserve">VASANTHKUMAR T T </v>
          </cell>
          <cell r="C352">
            <v>4600</v>
          </cell>
        </row>
        <row r="353">
          <cell r="A353">
            <v>2126</v>
          </cell>
          <cell r="B353" t="str">
            <v>PILLAI S S</v>
          </cell>
          <cell r="C353">
            <v>4950</v>
          </cell>
        </row>
        <row r="354">
          <cell r="A354">
            <v>2135</v>
          </cell>
          <cell r="B354" t="str">
            <v>SETHI Y K</v>
          </cell>
          <cell r="C354">
            <v>4650</v>
          </cell>
        </row>
        <row r="355">
          <cell r="A355">
            <v>2138</v>
          </cell>
          <cell r="B355" t="str">
            <v>SHAH P S</v>
          </cell>
          <cell r="C355">
            <v>4650</v>
          </cell>
        </row>
        <row r="356">
          <cell r="A356">
            <v>2140</v>
          </cell>
          <cell r="B356" t="str">
            <v>RENGASAMY V</v>
          </cell>
          <cell r="C356">
            <v>4950</v>
          </cell>
        </row>
        <row r="357">
          <cell r="A357">
            <v>2201</v>
          </cell>
          <cell r="B357" t="str">
            <v>DHAWAN P K</v>
          </cell>
          <cell r="C357">
            <v>4550</v>
          </cell>
        </row>
        <row r="358">
          <cell r="A358">
            <v>2207</v>
          </cell>
          <cell r="B358" t="str">
            <v>KAUSHAL N</v>
          </cell>
          <cell r="C358">
            <v>4550</v>
          </cell>
        </row>
        <row r="359">
          <cell r="A359">
            <v>2231</v>
          </cell>
          <cell r="B359" t="str">
            <v>MHALGI J J</v>
          </cell>
          <cell r="C359">
            <v>4400</v>
          </cell>
        </row>
        <row r="360">
          <cell r="A360">
            <v>2246</v>
          </cell>
          <cell r="B360" t="str">
            <v>DUBEY T</v>
          </cell>
          <cell r="C360">
            <v>4000</v>
          </cell>
        </row>
        <row r="361">
          <cell r="A361">
            <v>2291</v>
          </cell>
          <cell r="B361" t="str">
            <v>S.C. DHAR</v>
          </cell>
          <cell r="C361">
            <v>4700</v>
          </cell>
        </row>
        <row r="362">
          <cell r="A362">
            <v>2295</v>
          </cell>
          <cell r="B362" t="str">
            <v>AJIT KUMAR</v>
          </cell>
          <cell r="C362">
            <v>4500</v>
          </cell>
        </row>
        <row r="363">
          <cell r="A363">
            <v>2305</v>
          </cell>
          <cell r="B363" t="str">
            <v>T. SHRIRAM BHUPAL REDDY</v>
          </cell>
          <cell r="C363">
            <v>4200</v>
          </cell>
        </row>
        <row r="364">
          <cell r="A364">
            <v>2307</v>
          </cell>
          <cell r="B364" t="str">
            <v>KHEMA B PATEL</v>
          </cell>
          <cell r="C364">
            <v>4900</v>
          </cell>
        </row>
        <row r="365">
          <cell r="A365">
            <v>2310</v>
          </cell>
          <cell r="B365" t="str">
            <v>Y. SIVA SANKARA REDDY</v>
          </cell>
          <cell r="C365">
            <v>4000</v>
          </cell>
        </row>
        <row r="366">
          <cell r="A366">
            <v>2311</v>
          </cell>
          <cell r="B366" t="str">
            <v>A.M. BHALODIA</v>
          </cell>
          <cell r="C366">
            <v>4200</v>
          </cell>
        </row>
        <row r="367">
          <cell r="A367">
            <v>2338</v>
          </cell>
          <cell r="B367" t="str">
            <v>MUKESH NARAYAN</v>
          </cell>
          <cell r="C367">
            <v>4050</v>
          </cell>
        </row>
        <row r="368">
          <cell r="A368">
            <v>2362</v>
          </cell>
          <cell r="B368" t="str">
            <v>VERMA SARVESH S</v>
          </cell>
          <cell r="C368">
            <v>6900</v>
          </cell>
        </row>
        <row r="369">
          <cell r="A369">
            <v>2366</v>
          </cell>
          <cell r="B369" t="str">
            <v>MIRANDA JAMES J</v>
          </cell>
        </row>
        <row r="370">
          <cell r="A370">
            <v>2369</v>
          </cell>
          <cell r="B370" t="str">
            <v>PRADEEP MENON</v>
          </cell>
        </row>
        <row r="371">
          <cell r="A371">
            <v>2390</v>
          </cell>
          <cell r="B371" t="str">
            <v>CHAVA RAMESH BABU</v>
          </cell>
          <cell r="C371">
            <v>4000</v>
          </cell>
        </row>
        <row r="372">
          <cell r="A372">
            <v>2391</v>
          </cell>
          <cell r="B372" t="str">
            <v>P.PRASAD</v>
          </cell>
          <cell r="C372">
            <v>4000</v>
          </cell>
        </row>
        <row r="373">
          <cell r="A373">
            <v>2392</v>
          </cell>
          <cell r="B373" t="str">
            <v>MADHUKAR CHUGH</v>
          </cell>
          <cell r="C373">
            <v>4000</v>
          </cell>
        </row>
        <row r="374">
          <cell r="A374">
            <v>2394</v>
          </cell>
          <cell r="B374" t="str">
            <v>DHAMNASKAR SHEKHAR</v>
          </cell>
          <cell r="C374">
            <v>6150</v>
          </cell>
        </row>
        <row r="375">
          <cell r="A375">
            <v>1152</v>
          </cell>
          <cell r="B375" t="str">
            <v>SARKAR J A</v>
          </cell>
          <cell r="C375">
            <v>8000</v>
          </cell>
        </row>
        <row r="376">
          <cell r="A376">
            <v>1179</v>
          </cell>
          <cell r="B376" t="str">
            <v>UNNI T S</v>
          </cell>
          <cell r="C376">
            <v>8150</v>
          </cell>
        </row>
        <row r="377">
          <cell r="A377">
            <v>1208</v>
          </cell>
          <cell r="B377" t="str">
            <v>NARAYAN P P</v>
          </cell>
          <cell r="C377">
            <v>7450</v>
          </cell>
        </row>
        <row r="378">
          <cell r="A378">
            <v>1220</v>
          </cell>
          <cell r="B378" t="str">
            <v>DAMLE V G</v>
          </cell>
          <cell r="C378">
            <v>7800</v>
          </cell>
        </row>
        <row r="379">
          <cell r="A379">
            <v>1322</v>
          </cell>
          <cell r="B379" t="str">
            <v>SAWANT P G</v>
          </cell>
          <cell r="C379">
            <v>6500</v>
          </cell>
        </row>
        <row r="380">
          <cell r="A380">
            <v>1388</v>
          </cell>
          <cell r="B380" t="str">
            <v>ARAVINDAKSHAN C N</v>
          </cell>
          <cell r="C380">
            <v>6950</v>
          </cell>
        </row>
        <row r="381">
          <cell r="A381">
            <v>1414</v>
          </cell>
          <cell r="B381" t="str">
            <v>SABLE R S</v>
          </cell>
          <cell r="C381">
            <v>7400</v>
          </cell>
        </row>
        <row r="382">
          <cell r="A382">
            <v>1453</v>
          </cell>
          <cell r="B382" t="str">
            <v>BHATTACHARYA P</v>
          </cell>
          <cell r="C382">
            <v>6850</v>
          </cell>
        </row>
        <row r="383">
          <cell r="A383">
            <v>1459</v>
          </cell>
          <cell r="B383" t="str">
            <v>GOKHALE A R</v>
          </cell>
          <cell r="C383">
            <v>7650</v>
          </cell>
        </row>
        <row r="384">
          <cell r="A384">
            <v>1481</v>
          </cell>
          <cell r="B384" t="str">
            <v>MAHATO K K</v>
          </cell>
          <cell r="C384">
            <v>7350</v>
          </cell>
        </row>
        <row r="385">
          <cell r="A385">
            <v>1640</v>
          </cell>
          <cell r="B385" t="str">
            <v>KUMAR S</v>
          </cell>
          <cell r="C385">
            <v>0</v>
          </cell>
        </row>
        <row r="386">
          <cell r="A386">
            <v>1645</v>
          </cell>
          <cell r="B386" t="str">
            <v>VITHALDAS P P</v>
          </cell>
          <cell r="C386">
            <v>6850</v>
          </cell>
        </row>
        <row r="387">
          <cell r="A387">
            <v>1721</v>
          </cell>
          <cell r="B387" t="str">
            <v>PATIL P D</v>
          </cell>
          <cell r="C387">
            <v>7000</v>
          </cell>
        </row>
        <row r="388">
          <cell r="A388">
            <v>1734</v>
          </cell>
          <cell r="B388" t="str">
            <v>SATHE H A</v>
          </cell>
          <cell r="C388">
            <v>7000</v>
          </cell>
        </row>
        <row r="389">
          <cell r="A389">
            <v>1769</v>
          </cell>
          <cell r="B389" t="str">
            <v>BANE Y D</v>
          </cell>
          <cell r="C389">
            <v>0</v>
          </cell>
        </row>
        <row r="390">
          <cell r="A390">
            <v>1791</v>
          </cell>
          <cell r="B390" t="str">
            <v>LALWANI R M</v>
          </cell>
          <cell r="C390">
            <v>7550</v>
          </cell>
        </row>
        <row r="391">
          <cell r="A391">
            <v>1829</v>
          </cell>
          <cell r="B391" t="str">
            <v>GOLAM M K</v>
          </cell>
          <cell r="C391">
            <v>6300</v>
          </cell>
        </row>
        <row r="392">
          <cell r="A392">
            <v>1853</v>
          </cell>
          <cell r="B392" t="str">
            <v>BHATTACHARJEE B</v>
          </cell>
          <cell r="C392">
            <v>0</v>
          </cell>
        </row>
        <row r="393">
          <cell r="A393">
            <v>1946</v>
          </cell>
          <cell r="B393" t="str">
            <v>PANDIT U W</v>
          </cell>
          <cell r="C393">
            <v>7200</v>
          </cell>
        </row>
        <row r="394">
          <cell r="A394">
            <v>1992</v>
          </cell>
          <cell r="B394" t="str">
            <v>BAPAT V</v>
          </cell>
          <cell r="C394">
            <v>6150</v>
          </cell>
        </row>
        <row r="395">
          <cell r="A395">
            <v>1998</v>
          </cell>
          <cell r="B395" t="str">
            <v>JAGTAP V N</v>
          </cell>
          <cell r="C395">
            <v>6300</v>
          </cell>
        </row>
        <row r="396">
          <cell r="A396">
            <v>1999</v>
          </cell>
          <cell r="B396" t="str">
            <v>RAJA S V V</v>
          </cell>
          <cell r="C396">
            <v>6800</v>
          </cell>
        </row>
        <row r="397">
          <cell r="A397">
            <v>2024</v>
          </cell>
          <cell r="B397" t="str">
            <v>ARAS P S</v>
          </cell>
          <cell r="C397">
            <v>7150</v>
          </cell>
        </row>
        <row r="398">
          <cell r="A398">
            <v>2028</v>
          </cell>
          <cell r="B398" t="str">
            <v>THOMBRE P Y</v>
          </cell>
          <cell r="C398">
            <v>6456</v>
          </cell>
        </row>
        <row r="399">
          <cell r="A399">
            <v>2044</v>
          </cell>
          <cell r="B399" t="str">
            <v xml:space="preserve">BAAL N Y                             </v>
          </cell>
          <cell r="C399">
            <v>6200</v>
          </cell>
        </row>
        <row r="400">
          <cell r="A400">
            <v>2052</v>
          </cell>
          <cell r="B400" t="str">
            <v>RAO S V</v>
          </cell>
          <cell r="C400">
            <v>6850</v>
          </cell>
        </row>
        <row r="401">
          <cell r="A401">
            <v>2075</v>
          </cell>
          <cell r="B401" t="str">
            <v>JOSHI M P</v>
          </cell>
          <cell r="C401">
            <v>6300</v>
          </cell>
        </row>
        <row r="402">
          <cell r="A402">
            <v>2077</v>
          </cell>
          <cell r="B402" t="str">
            <v>RAMKUMAR D</v>
          </cell>
        </row>
        <row r="403">
          <cell r="A403">
            <v>2079</v>
          </cell>
          <cell r="B403" t="str">
            <v>SAREEN R</v>
          </cell>
          <cell r="C403">
            <v>6300</v>
          </cell>
        </row>
        <row r="404">
          <cell r="A404">
            <v>2153</v>
          </cell>
          <cell r="B404" t="str">
            <v>SOALI K V</v>
          </cell>
          <cell r="C404">
            <v>8300</v>
          </cell>
        </row>
        <row r="405">
          <cell r="A405">
            <v>2194</v>
          </cell>
          <cell r="B405" t="str">
            <v>DHAMDHERE S</v>
          </cell>
          <cell r="C405">
            <v>6400</v>
          </cell>
        </row>
        <row r="406">
          <cell r="A406">
            <v>2211</v>
          </cell>
          <cell r="B406" t="str">
            <v>DATTA S K</v>
          </cell>
          <cell r="C406">
            <v>6900</v>
          </cell>
        </row>
        <row r="407">
          <cell r="A407">
            <v>2229</v>
          </cell>
          <cell r="B407" t="str">
            <v>SHUKLA C</v>
          </cell>
          <cell r="C407">
            <v>0</v>
          </cell>
        </row>
        <row r="408">
          <cell r="A408">
            <v>2258</v>
          </cell>
          <cell r="B408" t="str">
            <v>SAWANT R S</v>
          </cell>
          <cell r="C408">
            <v>6300</v>
          </cell>
        </row>
        <row r="409">
          <cell r="A409">
            <v>2268</v>
          </cell>
          <cell r="B409" t="str">
            <v>PURI SANDEEP</v>
          </cell>
          <cell r="C409">
            <v>7000</v>
          </cell>
        </row>
        <row r="410">
          <cell r="A410">
            <v>2293</v>
          </cell>
          <cell r="B410" t="str">
            <v>SRINIVAS SRIPADA</v>
          </cell>
          <cell r="C410">
            <v>0</v>
          </cell>
        </row>
        <row r="411">
          <cell r="A411">
            <v>2297</v>
          </cell>
          <cell r="B411" t="str">
            <v>G.K. SINGH</v>
          </cell>
          <cell r="C411">
            <v>0</v>
          </cell>
        </row>
        <row r="412">
          <cell r="A412">
            <v>2331</v>
          </cell>
          <cell r="B412" t="str">
            <v>RAJENDRA VELAGALA</v>
          </cell>
          <cell r="C412">
            <v>0</v>
          </cell>
        </row>
        <row r="413">
          <cell r="A413">
            <v>2419</v>
          </cell>
          <cell r="B413" t="str">
            <v>MITTAL SUSHEEL</v>
          </cell>
          <cell r="C413">
            <v>7700</v>
          </cell>
        </row>
        <row r="414">
          <cell r="A414">
            <v>1873</v>
          </cell>
          <cell r="B414" t="str">
            <v>MAITRA S N</v>
          </cell>
          <cell r="C414">
            <v>7000</v>
          </cell>
        </row>
        <row r="415">
          <cell r="A415">
            <v>1932</v>
          </cell>
          <cell r="B415" t="str">
            <v>SIBI G</v>
          </cell>
          <cell r="C415">
            <v>6750</v>
          </cell>
        </row>
        <row r="416">
          <cell r="A416">
            <v>2022</v>
          </cell>
          <cell r="B416" t="str">
            <v>RAMESH G S</v>
          </cell>
          <cell r="C416">
            <v>6900</v>
          </cell>
        </row>
        <row r="417">
          <cell r="A417">
            <v>1887</v>
          </cell>
          <cell r="B417" t="str">
            <v>KHASNAVIS M</v>
          </cell>
          <cell r="C417">
            <v>0</v>
          </cell>
        </row>
        <row r="418">
          <cell r="A418">
            <v>2041</v>
          </cell>
          <cell r="B418" t="str">
            <v>PAL S N</v>
          </cell>
          <cell r="C418">
            <v>7400</v>
          </cell>
        </row>
        <row r="419">
          <cell r="A419">
            <v>2136</v>
          </cell>
          <cell r="B419" t="str">
            <v xml:space="preserve">ANAND R K                            </v>
          </cell>
          <cell r="C419">
            <v>7350</v>
          </cell>
        </row>
        <row r="420">
          <cell r="A420">
            <v>2294</v>
          </cell>
          <cell r="B420" t="str">
            <v>N.B. REDDY</v>
          </cell>
        </row>
        <row r="421">
          <cell r="A421">
            <v>1647</v>
          </cell>
          <cell r="B421" t="str">
            <v>BHATTACHARJEE S</v>
          </cell>
          <cell r="C421">
            <v>7050</v>
          </cell>
        </row>
        <row r="422">
          <cell r="A422">
            <v>2351</v>
          </cell>
          <cell r="B422" t="str">
            <v>BIJIT SARMAH</v>
          </cell>
        </row>
        <row r="423">
          <cell r="A423">
            <v>1290</v>
          </cell>
          <cell r="B423" t="str">
            <v>KULKARNI P A</v>
          </cell>
          <cell r="C423">
            <v>6550</v>
          </cell>
        </row>
        <row r="424">
          <cell r="A424">
            <v>1331</v>
          </cell>
          <cell r="B424" t="str">
            <v>BALACHANDRAN   S</v>
          </cell>
          <cell r="C424">
            <v>7250</v>
          </cell>
        </row>
        <row r="425">
          <cell r="A425">
            <v>1589</v>
          </cell>
          <cell r="B425" t="str">
            <v xml:space="preserve">MUKHERJEE B                     </v>
          </cell>
          <cell r="C425">
            <v>6600</v>
          </cell>
        </row>
        <row r="426">
          <cell r="A426">
            <v>1713</v>
          </cell>
          <cell r="B426" t="str">
            <v>RAO B</v>
          </cell>
          <cell r="C426">
            <v>7100</v>
          </cell>
        </row>
        <row r="427">
          <cell r="A427">
            <v>1808</v>
          </cell>
          <cell r="B427" t="str">
            <v xml:space="preserve">DEY K                                  </v>
          </cell>
          <cell r="C427">
            <v>7000</v>
          </cell>
        </row>
        <row r="428">
          <cell r="A428">
            <v>1934</v>
          </cell>
          <cell r="B428" t="str">
            <v>RAJASEKARAN P</v>
          </cell>
          <cell r="C428">
            <v>6850</v>
          </cell>
        </row>
        <row r="429">
          <cell r="A429">
            <v>1988</v>
          </cell>
          <cell r="B429" t="str">
            <v xml:space="preserve">DASGUPTA S                       </v>
          </cell>
          <cell r="C429">
            <v>6750</v>
          </cell>
        </row>
        <row r="430">
          <cell r="A430">
            <v>2021</v>
          </cell>
          <cell r="B430" t="str">
            <v>KUMAR K P</v>
          </cell>
          <cell r="C430">
            <v>7400</v>
          </cell>
        </row>
        <row r="431">
          <cell r="A431">
            <v>2240</v>
          </cell>
          <cell r="B431" t="str">
            <v>SRINIVASULU P T</v>
          </cell>
          <cell r="C431">
            <v>6850</v>
          </cell>
        </row>
        <row r="432">
          <cell r="A432">
            <v>2301</v>
          </cell>
          <cell r="B432" t="str">
            <v>SAURIN H. SHAH</v>
          </cell>
          <cell r="C432">
            <v>0</v>
          </cell>
        </row>
        <row r="433">
          <cell r="A433">
            <v>2303</v>
          </cell>
          <cell r="B433" t="str">
            <v>G. SAMBAMURTHY</v>
          </cell>
          <cell r="C433">
            <v>7050</v>
          </cell>
        </row>
        <row r="434">
          <cell r="A434">
            <v>2334</v>
          </cell>
          <cell r="B434" t="str">
            <v>CHOUDHARY VIBHA</v>
          </cell>
        </row>
        <row r="435">
          <cell r="A435">
            <v>2346</v>
          </cell>
          <cell r="B435" t="str">
            <v>TEKADE NITIN B</v>
          </cell>
        </row>
        <row r="436">
          <cell r="A436">
            <v>2361</v>
          </cell>
          <cell r="B436" t="str">
            <v>R.K. GULKOTWAR</v>
          </cell>
        </row>
        <row r="437">
          <cell r="A437">
            <v>1187</v>
          </cell>
          <cell r="B437" t="str">
            <v>CHAUDHARI P R</v>
          </cell>
          <cell r="C437">
            <v>12150</v>
          </cell>
        </row>
        <row r="438">
          <cell r="A438">
            <v>1299</v>
          </cell>
          <cell r="B438" t="str">
            <v>KHARADE B S</v>
          </cell>
          <cell r="C438">
            <v>11100</v>
          </cell>
        </row>
        <row r="439">
          <cell r="A439">
            <v>1317</v>
          </cell>
          <cell r="B439" t="str">
            <v>PADMANABHAN B P</v>
          </cell>
          <cell r="C439">
            <v>10600</v>
          </cell>
        </row>
        <row r="440">
          <cell r="A440">
            <v>1335</v>
          </cell>
          <cell r="B440" t="str">
            <v>RAO K V</v>
          </cell>
          <cell r="C440">
            <v>10750</v>
          </cell>
        </row>
        <row r="441">
          <cell r="A441">
            <v>1429</v>
          </cell>
          <cell r="B441" t="str">
            <v>VENKAT RAMAN K</v>
          </cell>
          <cell r="C441">
            <v>9800</v>
          </cell>
        </row>
        <row r="442">
          <cell r="A442">
            <v>1469</v>
          </cell>
          <cell r="B442" t="str">
            <v>THUSE D R</v>
          </cell>
          <cell r="C442">
            <v>10800</v>
          </cell>
        </row>
        <row r="443">
          <cell r="A443">
            <v>1486</v>
          </cell>
          <cell r="B443" t="str">
            <v>KULKARNI P K</v>
          </cell>
          <cell r="C443">
            <v>10800</v>
          </cell>
        </row>
        <row r="444">
          <cell r="A444">
            <v>1533</v>
          </cell>
          <cell r="B444" t="str">
            <v>NADGOUDA S A</v>
          </cell>
          <cell r="C444">
            <v>11700</v>
          </cell>
        </row>
        <row r="445">
          <cell r="A445">
            <v>1556</v>
          </cell>
          <cell r="B445" t="str">
            <v>SHIRVAIKAR A M</v>
          </cell>
          <cell r="C445">
            <v>11750</v>
          </cell>
        </row>
        <row r="446">
          <cell r="A446">
            <v>1557</v>
          </cell>
          <cell r="B446" t="str">
            <v>MUKHERJEE T</v>
          </cell>
          <cell r="C446">
            <v>10400</v>
          </cell>
        </row>
        <row r="447">
          <cell r="A447">
            <v>1587</v>
          </cell>
          <cell r="B447" t="str">
            <v>PRABHU A M</v>
          </cell>
          <cell r="C447">
            <v>9700</v>
          </cell>
        </row>
        <row r="448">
          <cell r="A448">
            <v>1597</v>
          </cell>
          <cell r="B448" t="str">
            <v>FAKIH S M</v>
          </cell>
          <cell r="C448">
            <v>10950</v>
          </cell>
        </row>
        <row r="449">
          <cell r="A449">
            <v>1660</v>
          </cell>
          <cell r="B449" t="str">
            <v>CHOPRA R B</v>
          </cell>
          <cell r="C449">
            <v>10850</v>
          </cell>
        </row>
        <row r="450">
          <cell r="A450">
            <v>1678</v>
          </cell>
          <cell r="B450" t="str">
            <v>DESHPANDE C V</v>
          </cell>
          <cell r="C450">
            <v>10350</v>
          </cell>
        </row>
        <row r="451">
          <cell r="A451">
            <v>1719</v>
          </cell>
          <cell r="B451" t="str">
            <v>MALLAPUR R G</v>
          </cell>
          <cell r="C451">
            <v>10900</v>
          </cell>
        </row>
        <row r="452">
          <cell r="A452">
            <v>1737</v>
          </cell>
          <cell r="B452" t="str">
            <v>BANERJEE G</v>
          </cell>
          <cell r="C452">
            <v>9100</v>
          </cell>
        </row>
        <row r="453">
          <cell r="A453">
            <v>1750</v>
          </cell>
          <cell r="B453" t="str">
            <v>RAO S S</v>
          </cell>
          <cell r="C453">
            <v>9300</v>
          </cell>
        </row>
        <row r="454">
          <cell r="A454">
            <v>1961</v>
          </cell>
          <cell r="B454" t="str">
            <v>MANDHARE S L</v>
          </cell>
          <cell r="C454">
            <v>9950</v>
          </cell>
        </row>
        <row r="455">
          <cell r="A455">
            <v>1977</v>
          </cell>
          <cell r="B455" t="str">
            <v>MEHTA M R</v>
          </cell>
          <cell r="C455">
            <v>0</v>
          </cell>
        </row>
        <row r="456">
          <cell r="A456">
            <v>2078</v>
          </cell>
          <cell r="B456" t="str">
            <v>MURALI R</v>
          </cell>
          <cell r="C456">
            <v>10150</v>
          </cell>
        </row>
        <row r="457">
          <cell r="A457">
            <v>2125</v>
          </cell>
          <cell r="B457" t="str">
            <v>ITRAJ G R</v>
          </cell>
          <cell r="C457">
            <v>11250</v>
          </cell>
        </row>
        <row r="458">
          <cell r="A458">
            <v>2141</v>
          </cell>
          <cell r="B458" t="str">
            <v>CHANDAN P M</v>
          </cell>
          <cell r="C458">
            <v>11300</v>
          </cell>
        </row>
        <row r="459">
          <cell r="A459">
            <v>2161</v>
          </cell>
          <cell r="B459" t="str">
            <v>SINGHAL G M</v>
          </cell>
          <cell r="C459">
            <v>0</v>
          </cell>
        </row>
        <row r="460">
          <cell r="A460">
            <v>2170</v>
          </cell>
          <cell r="B460" t="str">
            <v>DEVARAJ C R</v>
          </cell>
          <cell r="C460">
            <v>10400</v>
          </cell>
        </row>
        <row r="461">
          <cell r="A461">
            <v>2248</v>
          </cell>
          <cell r="B461" t="str">
            <v>POTNIS S V</v>
          </cell>
        </row>
        <row r="462">
          <cell r="A462">
            <v>2296</v>
          </cell>
          <cell r="B462" t="str">
            <v>NAIR RAJENDRAN A. S.</v>
          </cell>
        </row>
        <row r="463">
          <cell r="A463">
            <v>2398</v>
          </cell>
          <cell r="B463" t="str">
            <v>B. SIVAPRASAD</v>
          </cell>
          <cell r="C463">
            <v>11200</v>
          </cell>
        </row>
        <row r="464">
          <cell r="A464">
            <v>1599</v>
          </cell>
          <cell r="B464" t="str">
            <v>GUPTA M</v>
          </cell>
          <cell r="C464">
            <v>10900</v>
          </cell>
        </row>
        <row r="465">
          <cell r="A465">
            <v>1577</v>
          </cell>
          <cell r="B465" t="str">
            <v>AJGAONKAR P</v>
          </cell>
          <cell r="C465">
            <v>0</v>
          </cell>
        </row>
        <row r="466">
          <cell r="A466">
            <v>1940</v>
          </cell>
          <cell r="B466" t="str">
            <v>SHETTY P P</v>
          </cell>
          <cell r="C466">
            <v>11200</v>
          </cell>
        </row>
        <row r="467">
          <cell r="A467">
            <v>2038</v>
          </cell>
          <cell r="B467" t="str">
            <v>GOPALAKRISHNA</v>
          </cell>
          <cell r="C467">
            <v>0</v>
          </cell>
        </row>
        <row r="468">
          <cell r="A468">
            <v>1336</v>
          </cell>
          <cell r="B468" t="str">
            <v>BADOLA D M</v>
          </cell>
          <cell r="C468">
            <v>0</v>
          </cell>
        </row>
        <row r="469">
          <cell r="A469">
            <v>1371</v>
          </cell>
          <cell r="B469" t="str">
            <v>DESHMUKH B D</v>
          </cell>
          <cell r="C469">
            <v>17150</v>
          </cell>
        </row>
        <row r="470">
          <cell r="A470">
            <v>1578</v>
          </cell>
          <cell r="B470" t="str">
            <v>GHOSH D</v>
          </cell>
          <cell r="C470">
            <v>12150</v>
          </cell>
        </row>
        <row r="471">
          <cell r="A471">
            <v>1595</v>
          </cell>
          <cell r="B471" t="str">
            <v>RAMASESHAN G</v>
          </cell>
          <cell r="C471">
            <v>0</v>
          </cell>
        </row>
        <row r="472">
          <cell r="A472">
            <v>1768</v>
          </cell>
          <cell r="B472" t="str">
            <v xml:space="preserve">CHOBE P M </v>
          </cell>
          <cell r="C472">
            <v>14000</v>
          </cell>
        </row>
        <row r="473">
          <cell r="A473">
            <v>1912</v>
          </cell>
          <cell r="B473" t="str">
            <v>IYER V V</v>
          </cell>
          <cell r="C473">
            <v>0</v>
          </cell>
        </row>
        <row r="474">
          <cell r="A474">
            <v>2053</v>
          </cell>
          <cell r="B474" t="str">
            <v>PRADHAN C M</v>
          </cell>
          <cell r="C474">
            <v>15250</v>
          </cell>
        </row>
        <row r="475">
          <cell r="A475">
            <v>2095</v>
          </cell>
          <cell r="B475" t="str">
            <v>RAMNATH S</v>
          </cell>
          <cell r="C475">
            <v>15500</v>
          </cell>
        </row>
        <row r="476">
          <cell r="A476">
            <v>2147</v>
          </cell>
          <cell r="B476" t="str">
            <v>GANGULY P</v>
          </cell>
          <cell r="C476">
            <v>0</v>
          </cell>
        </row>
        <row r="477">
          <cell r="A477">
            <v>2230</v>
          </cell>
          <cell r="B477" t="str">
            <v>MADAN P</v>
          </cell>
          <cell r="C477">
            <v>0</v>
          </cell>
        </row>
        <row r="478">
          <cell r="A478">
            <v>2260</v>
          </cell>
          <cell r="B478" t="str">
            <v>THYAGARAJAN K S</v>
          </cell>
        </row>
        <row r="479">
          <cell r="A479">
            <v>2283</v>
          </cell>
          <cell r="B479" t="str">
            <v>KHANOLKAR S S</v>
          </cell>
        </row>
        <row r="480">
          <cell r="A480">
            <v>2290</v>
          </cell>
          <cell r="B480" t="str">
            <v>N. JANAKIRAM RAJU</v>
          </cell>
          <cell r="C480">
            <v>0</v>
          </cell>
        </row>
        <row r="481">
          <cell r="A481">
            <v>2302</v>
          </cell>
          <cell r="B481" t="str">
            <v>FAIZ PATHAN</v>
          </cell>
          <cell r="C481">
            <v>0</v>
          </cell>
        </row>
        <row r="482">
          <cell r="A482">
            <v>2360</v>
          </cell>
          <cell r="B482" t="str">
            <v>MADHAV K DESAI</v>
          </cell>
          <cell r="C482">
            <v>24500</v>
          </cell>
        </row>
        <row r="483">
          <cell r="A483">
            <v>2105</v>
          </cell>
          <cell r="B483" t="str">
            <v>VAIDYA R Y</v>
          </cell>
          <cell r="C483">
            <v>0</v>
          </cell>
        </row>
        <row r="484">
          <cell r="A484">
            <v>1773</v>
          </cell>
          <cell r="B484" t="str">
            <v xml:space="preserve">IYER M R  </v>
          </cell>
          <cell r="C484">
            <v>18600</v>
          </cell>
        </row>
        <row r="485">
          <cell r="A485">
            <v>1840</v>
          </cell>
          <cell r="B485" t="str">
            <v>NAIR R</v>
          </cell>
          <cell r="C485">
            <v>0</v>
          </cell>
        </row>
        <row r="486">
          <cell r="A486">
            <v>2198</v>
          </cell>
          <cell r="B486" t="str">
            <v>DAVE K B</v>
          </cell>
          <cell r="C486">
            <v>0</v>
          </cell>
        </row>
        <row r="487">
          <cell r="A487">
            <v>1898</v>
          </cell>
          <cell r="B487" t="str">
            <v>NAIK L S</v>
          </cell>
          <cell r="C487">
            <v>0</v>
          </cell>
        </row>
        <row r="488">
          <cell r="A488">
            <v>1140</v>
          </cell>
          <cell r="B488" t="str">
            <v>VAZ R E</v>
          </cell>
          <cell r="C488">
            <v>45000</v>
          </cell>
        </row>
        <row r="489">
          <cell r="A489">
            <v>1433</v>
          </cell>
          <cell r="B489" t="str">
            <v>BHATTACHARYA P K</v>
          </cell>
          <cell r="C489">
            <v>0</v>
          </cell>
        </row>
        <row r="490">
          <cell r="A490">
            <v>1672</v>
          </cell>
          <cell r="B490" t="str">
            <v>DARSHAN LAL</v>
          </cell>
          <cell r="C490">
            <v>0</v>
          </cell>
        </row>
        <row r="491">
          <cell r="A491">
            <v>1238</v>
          </cell>
          <cell r="B491" t="str">
            <v>KUMARASAMY S</v>
          </cell>
          <cell r="C491">
            <v>0</v>
          </cell>
        </row>
      </sheetData>
      <sheetData sheetId="1" refreshError="1">
        <row r="25">
          <cell r="A25" t="str">
            <v>CL</v>
          </cell>
          <cell r="B25">
            <v>650</v>
          </cell>
          <cell r="C25">
            <v>850</v>
          </cell>
          <cell r="D25">
            <v>1500</v>
          </cell>
          <cell r="E25">
            <v>2000</v>
          </cell>
          <cell r="F25">
            <v>2500</v>
          </cell>
          <cell r="G25">
            <v>3500</v>
          </cell>
        </row>
        <row r="26">
          <cell r="A26" t="str">
            <v>CA</v>
          </cell>
          <cell r="B26">
            <v>750</v>
          </cell>
          <cell r="C26">
            <v>950</v>
          </cell>
          <cell r="D26">
            <v>1650</v>
          </cell>
          <cell r="E26">
            <v>2200</v>
          </cell>
          <cell r="F26">
            <v>2750</v>
          </cell>
          <cell r="G26">
            <v>4250</v>
          </cell>
        </row>
        <row r="27">
          <cell r="A27" t="str">
            <v>CP</v>
          </cell>
          <cell r="B27">
            <v>800</v>
          </cell>
          <cell r="C27">
            <v>1050</v>
          </cell>
          <cell r="D27">
            <v>2000</v>
          </cell>
          <cell r="E27">
            <v>2500</v>
          </cell>
          <cell r="G27">
            <v>5000</v>
          </cell>
        </row>
        <row r="28">
          <cell r="A28" t="str">
            <v>BL</v>
          </cell>
          <cell r="B28">
            <v>950</v>
          </cell>
          <cell r="C28">
            <v>1150</v>
          </cell>
          <cell r="D28">
            <v>2150</v>
          </cell>
          <cell r="E28">
            <v>2750</v>
          </cell>
          <cell r="G28">
            <v>5250</v>
          </cell>
        </row>
        <row r="29">
          <cell r="A29" t="str">
            <v>BA</v>
          </cell>
          <cell r="B29">
            <v>1100</v>
          </cell>
          <cell r="C29">
            <v>1250</v>
          </cell>
          <cell r="D29">
            <v>2300</v>
          </cell>
          <cell r="E29">
            <v>3100</v>
          </cell>
          <cell r="F29">
            <v>3250</v>
          </cell>
          <cell r="G29">
            <v>5500</v>
          </cell>
        </row>
        <row r="30">
          <cell r="A30" t="str">
            <v>BP</v>
          </cell>
          <cell r="B30">
            <v>1200</v>
          </cell>
          <cell r="C30">
            <v>1500</v>
          </cell>
          <cell r="D30">
            <v>2700</v>
          </cell>
          <cell r="E30">
            <v>3600</v>
          </cell>
          <cell r="F30">
            <v>4200</v>
          </cell>
          <cell r="G30">
            <v>6750</v>
          </cell>
        </row>
        <row r="31">
          <cell r="A31" t="str">
            <v>D</v>
          </cell>
          <cell r="B31">
            <v>350</v>
          </cell>
          <cell r="C31">
            <v>450</v>
          </cell>
          <cell r="D31">
            <v>750</v>
          </cell>
        </row>
      </sheetData>
      <sheetData sheetId="2"/>
      <sheetData sheetId="3"/>
      <sheetData sheetId="4">
        <row r="10">
          <cell r="G10">
            <v>1283</v>
          </cell>
          <cell r="H10" t="str">
            <v>MR D'SOUZA J</v>
          </cell>
          <cell r="I10">
            <v>17693</v>
          </cell>
          <cell r="J10">
            <v>28436</v>
          </cell>
          <cell r="K10">
            <v>19585</v>
          </cell>
          <cell r="L10" t="str">
            <v>MA</v>
          </cell>
          <cell r="M10">
            <v>21</v>
          </cell>
          <cell r="O10" t="str">
            <v>MAM</v>
          </cell>
          <cell r="P10">
            <v>1</v>
          </cell>
          <cell r="Q10" t="str">
            <v>Mumbai</v>
          </cell>
          <cell r="R10" t="str">
            <v>Ho</v>
          </cell>
          <cell r="S10" t="str">
            <v xml:space="preserve"> </v>
          </cell>
          <cell r="T10" t="str">
            <v>CL</v>
          </cell>
          <cell r="U10">
            <v>2001</v>
          </cell>
          <cell r="V10">
            <v>18000</v>
          </cell>
          <cell r="W10">
            <v>9290</v>
          </cell>
          <cell r="X10">
            <v>3500</v>
          </cell>
          <cell r="AA10">
            <v>500</v>
          </cell>
          <cell r="AB10">
            <v>150</v>
          </cell>
          <cell r="AC10">
            <v>800</v>
          </cell>
          <cell r="AE10">
            <v>1000</v>
          </cell>
          <cell r="AG10">
            <v>2750</v>
          </cell>
          <cell r="AH10">
            <v>17990</v>
          </cell>
          <cell r="AI10">
            <v>215880</v>
          </cell>
          <cell r="AJ10">
            <v>17500</v>
          </cell>
          <cell r="AK10">
            <v>20000</v>
          </cell>
          <cell r="AL10">
            <v>10000</v>
          </cell>
          <cell r="AQ10">
            <v>30100</v>
          </cell>
          <cell r="AR10">
            <v>293480</v>
          </cell>
        </row>
        <row r="11">
          <cell r="M11">
            <v>21</v>
          </cell>
          <cell r="P11">
            <v>1</v>
          </cell>
          <cell r="S11" t="str">
            <v xml:space="preserve"> </v>
          </cell>
          <cell r="U11">
            <v>2002</v>
          </cell>
          <cell r="W11">
            <v>9940</v>
          </cell>
          <cell r="X11">
            <v>5500</v>
          </cell>
          <cell r="Z11">
            <v>0</v>
          </cell>
          <cell r="AA11">
            <v>500</v>
          </cell>
          <cell r="AB11">
            <v>150</v>
          </cell>
          <cell r="AC11">
            <v>800</v>
          </cell>
          <cell r="AF11">
            <v>0</v>
          </cell>
          <cell r="AG11">
            <v>2750</v>
          </cell>
          <cell r="AH11">
            <v>19640</v>
          </cell>
          <cell r="AI11">
            <v>235680</v>
          </cell>
          <cell r="AJ11">
            <v>17500</v>
          </cell>
          <cell r="AK11">
            <v>20000</v>
          </cell>
          <cell r="AL11">
            <v>15000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32206</v>
          </cell>
          <cell r="AR11">
            <v>320386</v>
          </cell>
          <cell r="AS11">
            <v>0</v>
          </cell>
        </row>
        <row r="12">
          <cell r="P12">
            <v>1</v>
          </cell>
          <cell r="S12" t="str">
            <v xml:space="preserve"> </v>
          </cell>
          <cell r="U12" t="str">
            <v>DIFF.</v>
          </cell>
          <cell r="W12">
            <v>650</v>
          </cell>
          <cell r="X12">
            <v>2000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-1000</v>
          </cell>
          <cell r="AF12">
            <v>0</v>
          </cell>
          <cell r="AG12">
            <v>0</v>
          </cell>
          <cell r="AH12">
            <v>1650</v>
          </cell>
          <cell r="AI12">
            <v>19800</v>
          </cell>
          <cell r="AJ12">
            <v>0</v>
          </cell>
          <cell r="AK12">
            <v>0</v>
          </cell>
          <cell r="AL12">
            <v>5000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2106</v>
          </cell>
          <cell r="AR12">
            <v>26906</v>
          </cell>
          <cell r="AS12">
            <v>9.17</v>
          </cell>
        </row>
        <row r="13">
          <cell r="P13">
            <v>1</v>
          </cell>
          <cell r="S13" t="str">
            <v xml:space="preserve"> </v>
          </cell>
        </row>
        <row r="14">
          <cell r="G14">
            <v>1551</v>
          </cell>
          <cell r="H14" t="str">
            <v>MR SRIDHAR S D</v>
          </cell>
          <cell r="I14">
            <v>21345</v>
          </cell>
          <cell r="J14">
            <v>30286</v>
          </cell>
          <cell r="K14">
            <v>15933</v>
          </cell>
          <cell r="L14" t="str">
            <v>MA</v>
          </cell>
          <cell r="M14">
            <v>21</v>
          </cell>
          <cell r="N14" t="str">
            <v>A2</v>
          </cell>
          <cell r="O14" t="str">
            <v>MAM</v>
          </cell>
          <cell r="P14">
            <v>2</v>
          </cell>
          <cell r="Q14" t="str">
            <v>Chennai</v>
          </cell>
          <cell r="R14" t="str">
            <v>Chennai</v>
          </cell>
          <cell r="S14" t="str">
            <v xml:space="preserve"> </v>
          </cell>
          <cell r="T14" t="str">
            <v>CL</v>
          </cell>
          <cell r="U14">
            <v>2001</v>
          </cell>
          <cell r="V14">
            <v>18000</v>
          </cell>
          <cell r="W14">
            <v>8477</v>
          </cell>
          <cell r="X14">
            <v>3500</v>
          </cell>
          <cell r="AA14">
            <v>500</v>
          </cell>
          <cell r="AB14">
            <v>150</v>
          </cell>
          <cell r="AC14">
            <v>800</v>
          </cell>
          <cell r="AE14">
            <v>450</v>
          </cell>
          <cell r="AF14">
            <v>500</v>
          </cell>
          <cell r="AG14">
            <v>2750</v>
          </cell>
          <cell r="AH14">
            <v>17127</v>
          </cell>
          <cell r="AI14">
            <v>205524</v>
          </cell>
          <cell r="AJ14">
            <v>17500</v>
          </cell>
          <cell r="AK14">
            <v>20000</v>
          </cell>
          <cell r="AL14">
            <v>10000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27465</v>
          </cell>
          <cell r="AR14">
            <v>280489</v>
          </cell>
          <cell r="AS14">
            <v>0</v>
          </cell>
        </row>
        <row r="15">
          <cell r="M15">
            <v>21</v>
          </cell>
          <cell r="N15" t="str">
            <v>A2</v>
          </cell>
          <cell r="P15">
            <v>2</v>
          </cell>
          <cell r="S15" t="str">
            <v xml:space="preserve"> </v>
          </cell>
          <cell r="U15">
            <v>2002</v>
          </cell>
          <cell r="W15">
            <v>9127</v>
          </cell>
          <cell r="X15">
            <v>4500</v>
          </cell>
          <cell r="Z15">
            <v>0</v>
          </cell>
          <cell r="AA15">
            <v>500</v>
          </cell>
          <cell r="AB15">
            <v>150</v>
          </cell>
          <cell r="AC15">
            <v>800</v>
          </cell>
          <cell r="AF15">
            <v>500</v>
          </cell>
          <cell r="AG15">
            <v>2750</v>
          </cell>
          <cell r="AH15">
            <v>18327</v>
          </cell>
          <cell r="AI15">
            <v>219924</v>
          </cell>
          <cell r="AJ15">
            <v>17500</v>
          </cell>
          <cell r="AK15">
            <v>20000</v>
          </cell>
          <cell r="AL15">
            <v>15000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29571</v>
          </cell>
          <cell r="AR15">
            <v>301995</v>
          </cell>
          <cell r="AS15">
            <v>0</v>
          </cell>
        </row>
        <row r="16">
          <cell r="P16">
            <v>2</v>
          </cell>
          <cell r="S16" t="str">
            <v xml:space="preserve"> </v>
          </cell>
          <cell r="U16" t="str">
            <v>DIFF.</v>
          </cell>
          <cell r="W16">
            <v>650</v>
          </cell>
          <cell r="X16">
            <v>1000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-450</v>
          </cell>
          <cell r="AF16">
            <v>0</v>
          </cell>
          <cell r="AG16">
            <v>0</v>
          </cell>
          <cell r="AH16">
            <v>1200</v>
          </cell>
          <cell r="AI16">
            <v>14400</v>
          </cell>
          <cell r="AJ16">
            <v>0</v>
          </cell>
          <cell r="AK16">
            <v>0</v>
          </cell>
          <cell r="AL16">
            <v>5000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2106</v>
          </cell>
          <cell r="AR16">
            <v>21506</v>
          </cell>
          <cell r="AS16">
            <v>7.67</v>
          </cell>
        </row>
        <row r="17">
          <cell r="P17">
            <v>2</v>
          </cell>
          <cell r="S17" t="str">
            <v xml:space="preserve"> </v>
          </cell>
        </row>
        <row r="18">
          <cell r="G18">
            <v>1571</v>
          </cell>
          <cell r="H18" t="str">
            <v>MR ASOKAN J M</v>
          </cell>
          <cell r="I18">
            <v>21253</v>
          </cell>
          <cell r="J18">
            <v>30501</v>
          </cell>
          <cell r="K18">
            <v>16025</v>
          </cell>
          <cell r="L18" t="str">
            <v>MA</v>
          </cell>
          <cell r="M18">
            <v>21</v>
          </cell>
          <cell r="O18" t="str">
            <v>MAM</v>
          </cell>
          <cell r="P18">
            <v>1</v>
          </cell>
          <cell r="Q18" t="str">
            <v>Mumbai</v>
          </cell>
          <cell r="R18" t="str">
            <v>Ho</v>
          </cell>
          <cell r="S18" t="str">
            <v xml:space="preserve"> </v>
          </cell>
          <cell r="T18" t="str">
            <v>CL</v>
          </cell>
          <cell r="U18">
            <v>2001</v>
          </cell>
          <cell r="V18">
            <v>18000</v>
          </cell>
          <cell r="W18">
            <v>6963</v>
          </cell>
          <cell r="X18">
            <v>3500</v>
          </cell>
          <cell r="AA18">
            <v>500</v>
          </cell>
          <cell r="AB18">
            <v>150</v>
          </cell>
          <cell r="AC18">
            <v>800</v>
          </cell>
          <cell r="AE18">
            <v>1000</v>
          </cell>
          <cell r="AG18">
            <v>2750</v>
          </cell>
          <cell r="AH18">
            <v>15663</v>
          </cell>
          <cell r="AI18">
            <v>187956</v>
          </cell>
          <cell r="AJ18">
            <v>17500</v>
          </cell>
          <cell r="AK18">
            <v>20000</v>
          </cell>
          <cell r="AL18">
            <v>10000</v>
          </cell>
          <cell r="AQ18">
            <v>22560</v>
          </cell>
          <cell r="AR18">
            <v>258016</v>
          </cell>
        </row>
        <row r="19">
          <cell r="M19">
            <v>21</v>
          </cell>
          <cell r="P19">
            <v>1</v>
          </cell>
          <cell r="S19" t="str">
            <v xml:space="preserve"> </v>
          </cell>
          <cell r="U19">
            <v>2002</v>
          </cell>
          <cell r="W19">
            <v>7613</v>
          </cell>
          <cell r="X19">
            <v>5500</v>
          </cell>
          <cell r="Z19">
            <v>0</v>
          </cell>
          <cell r="AA19">
            <v>500</v>
          </cell>
          <cell r="AB19">
            <v>150</v>
          </cell>
          <cell r="AC19">
            <v>800</v>
          </cell>
          <cell r="AF19">
            <v>0</v>
          </cell>
          <cell r="AG19">
            <v>2750</v>
          </cell>
          <cell r="AH19">
            <v>17313</v>
          </cell>
          <cell r="AI19">
            <v>207756</v>
          </cell>
          <cell r="AJ19">
            <v>17500</v>
          </cell>
          <cell r="AK19">
            <v>20000</v>
          </cell>
          <cell r="AL19">
            <v>15000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24666</v>
          </cell>
          <cell r="AR19">
            <v>284922</v>
          </cell>
          <cell r="AS19">
            <v>0</v>
          </cell>
        </row>
        <row r="20">
          <cell r="P20">
            <v>1</v>
          </cell>
          <cell r="S20" t="str">
            <v xml:space="preserve"> </v>
          </cell>
          <cell r="U20" t="str">
            <v>DIFF.</v>
          </cell>
          <cell r="W20">
            <v>650</v>
          </cell>
          <cell r="X20">
            <v>2000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-1000</v>
          </cell>
          <cell r="AF20">
            <v>0</v>
          </cell>
          <cell r="AG20">
            <v>0</v>
          </cell>
          <cell r="AH20">
            <v>1650</v>
          </cell>
          <cell r="AI20">
            <v>19800</v>
          </cell>
          <cell r="AJ20">
            <v>0</v>
          </cell>
          <cell r="AK20">
            <v>0</v>
          </cell>
          <cell r="AL20">
            <v>5000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2106</v>
          </cell>
          <cell r="AR20">
            <v>26906</v>
          </cell>
          <cell r="AS20">
            <v>10.43</v>
          </cell>
        </row>
        <row r="21">
          <cell r="P21">
            <v>1</v>
          </cell>
          <cell r="S21" t="str">
            <v xml:space="preserve"> </v>
          </cell>
        </row>
        <row r="22">
          <cell r="G22">
            <v>1573</v>
          </cell>
          <cell r="H22" t="str">
            <v>MR PAULRAJ P</v>
          </cell>
          <cell r="I22">
            <v>21688</v>
          </cell>
          <cell r="J22">
            <v>30501</v>
          </cell>
          <cell r="K22">
            <v>15590</v>
          </cell>
          <cell r="L22" t="str">
            <v>MA</v>
          </cell>
          <cell r="M22">
            <v>21</v>
          </cell>
          <cell r="O22" t="str">
            <v>MAM</v>
          </cell>
          <cell r="P22">
            <v>1</v>
          </cell>
          <cell r="Q22" t="str">
            <v>Mumbai</v>
          </cell>
          <cell r="R22" t="str">
            <v>Ho</v>
          </cell>
          <cell r="S22" t="str">
            <v xml:space="preserve"> </v>
          </cell>
          <cell r="T22" t="str">
            <v>CA</v>
          </cell>
          <cell r="U22">
            <v>2001</v>
          </cell>
          <cell r="V22">
            <v>18000</v>
          </cell>
          <cell r="W22">
            <v>7704</v>
          </cell>
          <cell r="X22">
            <v>3500</v>
          </cell>
          <cell r="AA22">
            <v>500</v>
          </cell>
          <cell r="AB22">
            <v>150</v>
          </cell>
          <cell r="AC22">
            <v>800</v>
          </cell>
          <cell r="AE22">
            <v>1000</v>
          </cell>
          <cell r="AG22">
            <v>2750</v>
          </cell>
          <cell r="AH22">
            <v>16404</v>
          </cell>
          <cell r="AI22">
            <v>196848</v>
          </cell>
          <cell r="AJ22">
            <v>17500</v>
          </cell>
          <cell r="AK22">
            <v>20000</v>
          </cell>
          <cell r="AL22">
            <v>10000</v>
          </cell>
          <cell r="AQ22">
            <v>24961</v>
          </cell>
          <cell r="AR22">
            <v>269309</v>
          </cell>
        </row>
        <row r="23">
          <cell r="M23">
            <v>21</v>
          </cell>
          <cell r="P23">
            <v>1</v>
          </cell>
          <cell r="S23" t="str">
            <v xml:space="preserve"> </v>
          </cell>
          <cell r="U23">
            <v>2002</v>
          </cell>
          <cell r="W23">
            <v>8454</v>
          </cell>
          <cell r="X23">
            <v>5500</v>
          </cell>
          <cell r="Z23">
            <v>0</v>
          </cell>
          <cell r="AA23">
            <v>500</v>
          </cell>
          <cell r="AB23">
            <v>150</v>
          </cell>
          <cell r="AC23">
            <v>800</v>
          </cell>
          <cell r="AF23">
            <v>0</v>
          </cell>
          <cell r="AG23">
            <v>2750</v>
          </cell>
          <cell r="AH23">
            <v>18154</v>
          </cell>
          <cell r="AI23">
            <v>217848</v>
          </cell>
          <cell r="AJ23">
            <v>17500</v>
          </cell>
          <cell r="AK23">
            <v>20000</v>
          </cell>
          <cell r="AL23">
            <v>15000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27391</v>
          </cell>
          <cell r="AR23">
            <v>297739</v>
          </cell>
          <cell r="AS23">
            <v>0</v>
          </cell>
        </row>
        <row r="24">
          <cell r="P24">
            <v>1</v>
          </cell>
          <cell r="S24" t="str">
            <v xml:space="preserve"> </v>
          </cell>
          <cell r="U24" t="str">
            <v>DIFF.</v>
          </cell>
          <cell r="W24">
            <v>750</v>
          </cell>
          <cell r="X24">
            <v>2000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-1000</v>
          </cell>
          <cell r="AF24">
            <v>0</v>
          </cell>
          <cell r="AG24">
            <v>0</v>
          </cell>
          <cell r="AH24">
            <v>1750</v>
          </cell>
          <cell r="AI24">
            <v>21000</v>
          </cell>
          <cell r="AJ24">
            <v>0</v>
          </cell>
          <cell r="AK24">
            <v>0</v>
          </cell>
          <cell r="AL24">
            <v>5000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2430</v>
          </cell>
          <cell r="AR24">
            <v>28430</v>
          </cell>
          <cell r="AS24">
            <v>10.56</v>
          </cell>
        </row>
        <row r="25">
          <cell r="P25">
            <v>1</v>
          </cell>
          <cell r="S25" t="str">
            <v xml:space="preserve"> </v>
          </cell>
        </row>
        <row r="26">
          <cell r="G26">
            <v>1652</v>
          </cell>
          <cell r="H26" t="str">
            <v>MR MURUGESAN S</v>
          </cell>
          <cell r="I26">
            <v>20094</v>
          </cell>
          <cell r="J26">
            <v>31107</v>
          </cell>
          <cell r="K26">
            <v>17184</v>
          </cell>
          <cell r="L26" t="str">
            <v>MA</v>
          </cell>
          <cell r="M26">
            <v>21</v>
          </cell>
          <cell r="N26" t="str">
            <v>A2</v>
          </cell>
          <cell r="O26" t="str">
            <v>MAM</v>
          </cell>
          <cell r="P26">
            <v>7</v>
          </cell>
          <cell r="Q26" t="str">
            <v>Other Locations</v>
          </cell>
          <cell r="R26" t="str">
            <v>Villupuram (  )</v>
          </cell>
          <cell r="S26" t="str">
            <v xml:space="preserve"> </v>
          </cell>
          <cell r="T26" t="str">
            <v>CL</v>
          </cell>
          <cell r="U26">
            <v>2001</v>
          </cell>
          <cell r="V26">
            <v>18000</v>
          </cell>
          <cell r="W26">
            <v>8640</v>
          </cell>
          <cell r="X26">
            <v>3500</v>
          </cell>
          <cell r="AA26">
            <v>500</v>
          </cell>
          <cell r="AB26">
            <v>150</v>
          </cell>
          <cell r="AC26">
            <v>0</v>
          </cell>
          <cell r="AD26" t="str">
            <v>CV</v>
          </cell>
          <cell r="AE26">
            <v>0</v>
          </cell>
          <cell r="AF26">
            <v>500</v>
          </cell>
          <cell r="AG26">
            <v>2750</v>
          </cell>
          <cell r="AH26">
            <v>16040</v>
          </cell>
          <cell r="AI26">
            <v>192480</v>
          </cell>
          <cell r="AJ26">
            <v>17500</v>
          </cell>
          <cell r="AK26">
            <v>20000</v>
          </cell>
          <cell r="AL26">
            <v>10000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27994</v>
          </cell>
          <cell r="AR26">
            <v>267974</v>
          </cell>
          <cell r="AS26">
            <v>0</v>
          </cell>
        </row>
        <row r="27">
          <cell r="M27">
            <v>21</v>
          </cell>
          <cell r="N27" t="str">
            <v>A2</v>
          </cell>
          <cell r="P27">
            <v>7</v>
          </cell>
          <cell r="S27" t="str">
            <v xml:space="preserve"> </v>
          </cell>
          <cell r="U27">
            <v>2002</v>
          </cell>
          <cell r="W27">
            <v>9290</v>
          </cell>
          <cell r="X27">
            <v>4000</v>
          </cell>
          <cell r="Z27">
            <v>0</v>
          </cell>
          <cell r="AA27">
            <v>500</v>
          </cell>
          <cell r="AB27">
            <v>150</v>
          </cell>
          <cell r="AC27">
            <v>0</v>
          </cell>
          <cell r="AF27">
            <v>500</v>
          </cell>
          <cell r="AG27">
            <v>2750</v>
          </cell>
          <cell r="AH27">
            <v>17190</v>
          </cell>
          <cell r="AI27">
            <v>206280</v>
          </cell>
          <cell r="AJ27">
            <v>17500</v>
          </cell>
          <cell r="AK27">
            <v>20000</v>
          </cell>
          <cell r="AL27">
            <v>15000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30100</v>
          </cell>
          <cell r="AR27">
            <v>288880</v>
          </cell>
          <cell r="AS27">
            <v>0</v>
          </cell>
        </row>
        <row r="28">
          <cell r="P28">
            <v>7</v>
          </cell>
          <cell r="S28" t="str">
            <v xml:space="preserve"> </v>
          </cell>
          <cell r="U28" t="str">
            <v>DIFF.</v>
          </cell>
          <cell r="W28">
            <v>650</v>
          </cell>
          <cell r="X28">
            <v>500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1150</v>
          </cell>
          <cell r="AI28">
            <v>13800</v>
          </cell>
          <cell r="AJ28">
            <v>0</v>
          </cell>
          <cell r="AK28">
            <v>0</v>
          </cell>
          <cell r="AL28">
            <v>5000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2106</v>
          </cell>
          <cell r="AR28">
            <v>20906</v>
          </cell>
          <cell r="AS28">
            <v>7.8</v>
          </cell>
        </row>
        <row r="29">
          <cell r="P29">
            <v>7</v>
          </cell>
          <cell r="S29" t="str">
            <v xml:space="preserve"> </v>
          </cell>
        </row>
        <row r="30">
          <cell r="G30">
            <v>1670</v>
          </cell>
          <cell r="H30" t="str">
            <v>MR SHARMA S C</v>
          </cell>
          <cell r="I30">
            <v>20443</v>
          </cell>
          <cell r="J30">
            <v>31191</v>
          </cell>
          <cell r="K30">
            <v>16835</v>
          </cell>
          <cell r="L30" t="str">
            <v>MA</v>
          </cell>
          <cell r="M30">
            <v>21</v>
          </cell>
          <cell r="N30" t="str">
            <v>A1</v>
          </cell>
          <cell r="O30" t="str">
            <v>MAM</v>
          </cell>
          <cell r="P30">
            <v>7</v>
          </cell>
          <cell r="Q30" t="str">
            <v>Other Locations</v>
          </cell>
          <cell r="R30" t="str">
            <v>Amd</v>
          </cell>
          <cell r="S30" t="str">
            <v xml:space="preserve"> </v>
          </cell>
          <cell r="T30" t="str">
            <v>CL</v>
          </cell>
          <cell r="U30">
            <v>2001</v>
          </cell>
          <cell r="V30">
            <v>18000</v>
          </cell>
          <cell r="W30">
            <v>8000</v>
          </cell>
          <cell r="X30">
            <v>3500</v>
          </cell>
          <cell r="AA30">
            <v>500</v>
          </cell>
          <cell r="AB30">
            <v>150</v>
          </cell>
          <cell r="AC30">
            <v>800</v>
          </cell>
          <cell r="AE30">
            <v>0</v>
          </cell>
          <cell r="AG30">
            <v>2750</v>
          </cell>
          <cell r="AH30">
            <v>15700</v>
          </cell>
          <cell r="AI30">
            <v>188400</v>
          </cell>
          <cell r="AJ30">
            <v>17500</v>
          </cell>
          <cell r="AK30">
            <v>20000</v>
          </cell>
          <cell r="AL30">
            <v>10000</v>
          </cell>
          <cell r="AQ30">
            <v>25920</v>
          </cell>
          <cell r="AR30">
            <v>261820</v>
          </cell>
        </row>
        <row r="31">
          <cell r="M31">
            <v>21</v>
          </cell>
          <cell r="N31" t="str">
            <v>A1</v>
          </cell>
          <cell r="P31">
            <v>7</v>
          </cell>
          <cell r="S31" t="str">
            <v xml:space="preserve"> </v>
          </cell>
          <cell r="U31">
            <v>2002</v>
          </cell>
          <cell r="W31">
            <v>8650</v>
          </cell>
          <cell r="X31">
            <v>4000</v>
          </cell>
          <cell r="Z31">
            <v>0</v>
          </cell>
          <cell r="AA31">
            <v>500</v>
          </cell>
          <cell r="AB31">
            <v>150</v>
          </cell>
          <cell r="AC31">
            <v>800</v>
          </cell>
          <cell r="AF31">
            <v>0</v>
          </cell>
          <cell r="AG31">
            <v>2750</v>
          </cell>
          <cell r="AH31">
            <v>16850</v>
          </cell>
          <cell r="AI31">
            <v>202200</v>
          </cell>
          <cell r="AJ31">
            <v>17500</v>
          </cell>
          <cell r="AK31">
            <v>20000</v>
          </cell>
          <cell r="AL31">
            <v>15000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28026</v>
          </cell>
          <cell r="AR31">
            <v>282726</v>
          </cell>
          <cell r="AS31">
            <v>0</v>
          </cell>
        </row>
        <row r="32">
          <cell r="P32">
            <v>7</v>
          </cell>
          <cell r="S32" t="str">
            <v xml:space="preserve"> </v>
          </cell>
          <cell r="U32" t="str">
            <v>DIFF.</v>
          </cell>
          <cell r="W32">
            <v>650</v>
          </cell>
          <cell r="X32">
            <v>500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1150</v>
          </cell>
          <cell r="AI32">
            <v>13800</v>
          </cell>
          <cell r="AJ32">
            <v>0</v>
          </cell>
          <cell r="AK32">
            <v>0</v>
          </cell>
          <cell r="AL32">
            <v>5000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2106</v>
          </cell>
          <cell r="AR32">
            <v>20906</v>
          </cell>
          <cell r="AS32">
            <v>7.98</v>
          </cell>
        </row>
        <row r="33">
          <cell r="P33">
            <v>7</v>
          </cell>
          <cell r="S33" t="str">
            <v xml:space="preserve"> </v>
          </cell>
        </row>
        <row r="34">
          <cell r="G34">
            <v>1696</v>
          </cell>
          <cell r="H34" t="str">
            <v>MR NANAVATI D J</v>
          </cell>
          <cell r="I34">
            <v>20657</v>
          </cell>
          <cell r="J34">
            <v>31565</v>
          </cell>
          <cell r="K34">
            <v>16621</v>
          </cell>
          <cell r="L34" t="str">
            <v>MA</v>
          </cell>
          <cell r="M34">
            <v>21</v>
          </cell>
          <cell r="N34" t="str">
            <v>A2</v>
          </cell>
          <cell r="O34" t="str">
            <v>MAM</v>
          </cell>
          <cell r="P34">
            <v>7</v>
          </cell>
          <cell r="Q34" t="str">
            <v>Other Locations</v>
          </cell>
          <cell r="R34" t="str">
            <v>Junagadh (Guj)</v>
          </cell>
          <cell r="S34" t="str">
            <v xml:space="preserve"> </v>
          </cell>
          <cell r="T34" t="str">
            <v>BL</v>
          </cell>
          <cell r="U34">
            <v>2001</v>
          </cell>
          <cell r="V34">
            <v>21150</v>
          </cell>
          <cell r="W34">
            <v>8628</v>
          </cell>
          <cell r="X34">
            <v>3500</v>
          </cell>
          <cell r="AA34">
            <v>500</v>
          </cell>
          <cell r="AB34">
            <v>150</v>
          </cell>
          <cell r="AC34">
            <v>0</v>
          </cell>
          <cell r="AD34" t="str">
            <v>CV</v>
          </cell>
          <cell r="AE34">
            <v>0</v>
          </cell>
          <cell r="AF34">
            <v>500</v>
          </cell>
          <cell r="AG34">
            <v>2750</v>
          </cell>
          <cell r="AH34">
            <v>16028</v>
          </cell>
          <cell r="AI34">
            <v>192336</v>
          </cell>
          <cell r="AJ34">
            <v>17500</v>
          </cell>
          <cell r="AK34">
            <v>20000</v>
          </cell>
          <cell r="AL34">
            <v>10000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27955</v>
          </cell>
          <cell r="AR34">
            <v>267791</v>
          </cell>
          <cell r="AS34">
            <v>0</v>
          </cell>
        </row>
        <row r="35">
          <cell r="M35">
            <v>21</v>
          </cell>
          <cell r="N35" t="str">
            <v>A2</v>
          </cell>
          <cell r="P35">
            <v>7</v>
          </cell>
          <cell r="S35" t="str">
            <v xml:space="preserve"> </v>
          </cell>
          <cell r="U35">
            <v>2002</v>
          </cell>
          <cell r="W35">
            <v>9578</v>
          </cell>
          <cell r="X35">
            <v>4000</v>
          </cell>
          <cell r="Z35">
            <v>0</v>
          </cell>
          <cell r="AA35">
            <v>500</v>
          </cell>
          <cell r="AB35">
            <v>150</v>
          </cell>
          <cell r="AC35">
            <v>0</v>
          </cell>
          <cell r="AF35">
            <v>500</v>
          </cell>
          <cell r="AG35">
            <v>2750</v>
          </cell>
          <cell r="AH35">
            <v>17478</v>
          </cell>
          <cell r="AI35">
            <v>209736</v>
          </cell>
          <cell r="AJ35">
            <v>17500</v>
          </cell>
          <cell r="AK35">
            <v>20000</v>
          </cell>
          <cell r="AL35">
            <v>15000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31033</v>
          </cell>
          <cell r="AR35">
            <v>293269</v>
          </cell>
          <cell r="AS35">
            <v>0</v>
          </cell>
        </row>
        <row r="36">
          <cell r="P36">
            <v>7</v>
          </cell>
          <cell r="S36" t="str">
            <v xml:space="preserve"> </v>
          </cell>
          <cell r="U36" t="str">
            <v>DIFF.</v>
          </cell>
          <cell r="W36">
            <v>950</v>
          </cell>
          <cell r="X36">
            <v>500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1450</v>
          </cell>
          <cell r="AI36">
            <v>17400</v>
          </cell>
          <cell r="AJ36">
            <v>0</v>
          </cell>
          <cell r="AK36">
            <v>0</v>
          </cell>
          <cell r="AL36">
            <v>5000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3078</v>
          </cell>
          <cell r="AR36">
            <v>25478</v>
          </cell>
          <cell r="AS36">
            <v>9.51</v>
          </cell>
        </row>
        <row r="37">
          <cell r="P37">
            <v>7</v>
          </cell>
          <cell r="S37" t="str">
            <v xml:space="preserve"> </v>
          </cell>
        </row>
        <row r="38">
          <cell r="G38">
            <v>1701</v>
          </cell>
          <cell r="H38" t="str">
            <v>MR RAHIM A K</v>
          </cell>
          <cell r="I38">
            <v>21662</v>
          </cell>
          <cell r="J38">
            <v>31565</v>
          </cell>
          <cell r="K38">
            <v>15616</v>
          </cell>
          <cell r="L38" t="str">
            <v>MA</v>
          </cell>
          <cell r="M38">
            <v>21</v>
          </cell>
          <cell r="N38" t="str">
            <v>A2</v>
          </cell>
          <cell r="O38" t="str">
            <v>MAM</v>
          </cell>
          <cell r="P38">
            <v>7</v>
          </cell>
          <cell r="Q38" t="str">
            <v>Other Locations</v>
          </cell>
          <cell r="R38" t="str">
            <v>Madurai (Tn)</v>
          </cell>
          <cell r="S38" t="str">
            <v xml:space="preserve"> </v>
          </cell>
          <cell r="T38" t="str">
            <v>CA</v>
          </cell>
          <cell r="U38">
            <v>2001</v>
          </cell>
          <cell r="V38">
            <v>18000</v>
          </cell>
          <cell r="W38">
            <v>8465</v>
          </cell>
          <cell r="X38">
            <v>3500</v>
          </cell>
          <cell r="AA38">
            <v>500</v>
          </cell>
          <cell r="AB38">
            <v>150</v>
          </cell>
          <cell r="AC38">
            <v>0</v>
          </cell>
          <cell r="AD38" t="str">
            <v>CV</v>
          </cell>
          <cell r="AE38">
            <v>0</v>
          </cell>
          <cell r="AF38">
            <v>500</v>
          </cell>
          <cell r="AG38">
            <v>2750</v>
          </cell>
          <cell r="AH38">
            <v>15865</v>
          </cell>
          <cell r="AI38">
            <v>190380</v>
          </cell>
          <cell r="AJ38">
            <v>17500</v>
          </cell>
          <cell r="AK38">
            <v>20000</v>
          </cell>
          <cell r="AL38">
            <v>10000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27427</v>
          </cell>
          <cell r="AR38">
            <v>265307</v>
          </cell>
          <cell r="AS38">
            <v>0</v>
          </cell>
        </row>
        <row r="39">
          <cell r="M39">
            <v>21</v>
          </cell>
          <cell r="N39" t="str">
            <v>A2</v>
          </cell>
          <cell r="P39">
            <v>7</v>
          </cell>
          <cell r="S39" t="str">
            <v xml:space="preserve"> </v>
          </cell>
          <cell r="U39">
            <v>2002</v>
          </cell>
          <cell r="W39">
            <v>9215</v>
          </cell>
          <cell r="X39">
            <v>4000</v>
          </cell>
          <cell r="Z39">
            <v>0</v>
          </cell>
          <cell r="AA39">
            <v>500</v>
          </cell>
          <cell r="AB39">
            <v>150</v>
          </cell>
          <cell r="AC39">
            <v>0</v>
          </cell>
          <cell r="AF39">
            <v>500</v>
          </cell>
          <cell r="AG39">
            <v>2750</v>
          </cell>
          <cell r="AH39">
            <v>17115</v>
          </cell>
          <cell r="AI39">
            <v>205380</v>
          </cell>
          <cell r="AJ39">
            <v>17500</v>
          </cell>
          <cell r="AK39">
            <v>20000</v>
          </cell>
          <cell r="AL39">
            <v>15000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29857</v>
          </cell>
          <cell r="AR39">
            <v>287737</v>
          </cell>
          <cell r="AS39">
            <v>0</v>
          </cell>
        </row>
        <row r="40">
          <cell r="P40">
            <v>7</v>
          </cell>
          <cell r="S40" t="str">
            <v xml:space="preserve"> </v>
          </cell>
          <cell r="U40" t="str">
            <v>DIFF.</v>
          </cell>
          <cell r="W40">
            <v>750</v>
          </cell>
          <cell r="X40">
            <v>500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1250</v>
          </cell>
          <cell r="AI40">
            <v>15000</v>
          </cell>
          <cell r="AJ40">
            <v>0</v>
          </cell>
          <cell r="AK40">
            <v>0</v>
          </cell>
          <cell r="AL40">
            <v>5000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2430</v>
          </cell>
          <cell r="AR40">
            <v>22430</v>
          </cell>
          <cell r="AS40">
            <v>8.4499999999999993</v>
          </cell>
        </row>
        <row r="41">
          <cell r="P41">
            <v>7</v>
          </cell>
          <cell r="S41" t="str">
            <v xml:space="preserve"> </v>
          </cell>
        </row>
        <row r="42">
          <cell r="G42">
            <v>1765</v>
          </cell>
          <cell r="H42" t="str">
            <v>MR RAVEENDRAN M A</v>
          </cell>
          <cell r="I42">
            <v>19694</v>
          </cell>
          <cell r="J42">
            <v>32419</v>
          </cell>
          <cell r="K42">
            <v>17584</v>
          </cell>
          <cell r="L42" t="str">
            <v>MA</v>
          </cell>
          <cell r="M42">
            <v>21</v>
          </cell>
          <cell r="N42" t="str">
            <v>A2</v>
          </cell>
          <cell r="O42" t="str">
            <v>MAM</v>
          </cell>
          <cell r="P42">
            <v>7</v>
          </cell>
          <cell r="Q42" t="str">
            <v>Other Locations</v>
          </cell>
          <cell r="R42" t="str">
            <v>Anantpur (Ap)</v>
          </cell>
          <cell r="S42" t="str">
            <v xml:space="preserve"> </v>
          </cell>
          <cell r="T42" t="str">
            <v>CA</v>
          </cell>
          <cell r="U42">
            <v>2001</v>
          </cell>
          <cell r="V42">
            <v>18000</v>
          </cell>
          <cell r="W42">
            <v>8178</v>
          </cell>
          <cell r="X42">
            <v>3500</v>
          </cell>
          <cell r="AA42">
            <v>500</v>
          </cell>
          <cell r="AB42">
            <v>150</v>
          </cell>
          <cell r="AC42">
            <v>0</v>
          </cell>
          <cell r="AD42" t="str">
            <v>CV</v>
          </cell>
          <cell r="AE42">
            <v>0</v>
          </cell>
          <cell r="AF42">
            <v>500</v>
          </cell>
          <cell r="AG42">
            <v>2750</v>
          </cell>
          <cell r="AH42">
            <v>15578</v>
          </cell>
          <cell r="AI42">
            <v>186936</v>
          </cell>
          <cell r="AJ42">
            <v>17500</v>
          </cell>
          <cell r="AK42">
            <v>20000</v>
          </cell>
          <cell r="AL42">
            <v>10000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26497</v>
          </cell>
          <cell r="AR42">
            <v>260933</v>
          </cell>
          <cell r="AS42">
            <v>0</v>
          </cell>
        </row>
        <row r="43">
          <cell r="M43">
            <v>21</v>
          </cell>
          <cell r="N43" t="str">
            <v>A2</v>
          </cell>
          <cell r="P43">
            <v>7</v>
          </cell>
          <cell r="S43" t="str">
            <v xml:space="preserve"> </v>
          </cell>
          <cell r="U43">
            <v>2002</v>
          </cell>
          <cell r="W43">
            <v>8928</v>
          </cell>
          <cell r="X43">
            <v>4000</v>
          </cell>
          <cell r="Z43">
            <v>0</v>
          </cell>
          <cell r="AA43">
            <v>500</v>
          </cell>
          <cell r="AB43">
            <v>150</v>
          </cell>
          <cell r="AC43">
            <v>0</v>
          </cell>
          <cell r="AF43">
            <v>500</v>
          </cell>
          <cell r="AG43">
            <v>2750</v>
          </cell>
          <cell r="AH43">
            <v>16828</v>
          </cell>
          <cell r="AI43">
            <v>201936</v>
          </cell>
          <cell r="AJ43">
            <v>17500</v>
          </cell>
          <cell r="AK43">
            <v>20000</v>
          </cell>
          <cell r="AL43">
            <v>15000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28927</v>
          </cell>
          <cell r="AR43">
            <v>283363</v>
          </cell>
          <cell r="AS43">
            <v>0</v>
          </cell>
        </row>
        <row r="44">
          <cell r="P44">
            <v>7</v>
          </cell>
          <cell r="S44" t="str">
            <v xml:space="preserve"> </v>
          </cell>
          <cell r="U44" t="str">
            <v>DIFF.</v>
          </cell>
          <cell r="W44">
            <v>750</v>
          </cell>
          <cell r="X44">
            <v>500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1250</v>
          </cell>
          <cell r="AI44">
            <v>15000</v>
          </cell>
          <cell r="AJ44">
            <v>0</v>
          </cell>
          <cell r="AK44">
            <v>0</v>
          </cell>
          <cell r="AL44">
            <v>5000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2430</v>
          </cell>
          <cell r="AR44">
            <v>22430</v>
          </cell>
          <cell r="AS44">
            <v>8.6</v>
          </cell>
        </row>
        <row r="45">
          <cell r="P45">
            <v>7</v>
          </cell>
          <cell r="S45" t="str">
            <v xml:space="preserve"> </v>
          </cell>
        </row>
        <row r="46">
          <cell r="G46">
            <v>1790</v>
          </cell>
          <cell r="H46" t="str">
            <v>MR KULKARNI V H</v>
          </cell>
          <cell r="I46">
            <v>22215</v>
          </cell>
          <cell r="J46">
            <v>32736</v>
          </cell>
          <cell r="K46">
            <v>15063</v>
          </cell>
          <cell r="L46" t="str">
            <v>MA</v>
          </cell>
          <cell r="M46">
            <v>21</v>
          </cell>
          <cell r="N46" t="str">
            <v>A2</v>
          </cell>
          <cell r="O46" t="str">
            <v>MAM</v>
          </cell>
          <cell r="P46">
            <v>7</v>
          </cell>
          <cell r="Q46" t="str">
            <v>Other Locations</v>
          </cell>
          <cell r="R46" t="str">
            <v>Jalgaon (Maharashtra)</v>
          </cell>
          <cell r="S46" t="str">
            <v xml:space="preserve"> </v>
          </cell>
          <cell r="T46" t="str">
            <v>CA</v>
          </cell>
          <cell r="U46">
            <v>2001</v>
          </cell>
          <cell r="V46">
            <v>18000</v>
          </cell>
          <cell r="W46">
            <v>8090</v>
          </cell>
          <cell r="X46">
            <v>3500</v>
          </cell>
          <cell r="AA46">
            <v>500</v>
          </cell>
          <cell r="AB46">
            <v>150</v>
          </cell>
          <cell r="AC46">
            <v>0</v>
          </cell>
          <cell r="AD46" t="str">
            <v>CV</v>
          </cell>
          <cell r="AE46">
            <v>0</v>
          </cell>
          <cell r="AF46">
            <v>500</v>
          </cell>
          <cell r="AG46">
            <v>2750</v>
          </cell>
          <cell r="AH46">
            <v>15490</v>
          </cell>
          <cell r="AI46">
            <v>185880</v>
          </cell>
          <cell r="AJ46">
            <v>17500</v>
          </cell>
          <cell r="AK46">
            <v>20000</v>
          </cell>
          <cell r="AL46">
            <v>10000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26212</v>
          </cell>
          <cell r="AR46">
            <v>259592</v>
          </cell>
          <cell r="AS46">
            <v>0</v>
          </cell>
        </row>
        <row r="47">
          <cell r="M47">
            <v>21</v>
          </cell>
          <cell r="N47" t="str">
            <v>A2</v>
          </cell>
          <cell r="P47">
            <v>7</v>
          </cell>
          <cell r="S47" t="str">
            <v xml:space="preserve"> </v>
          </cell>
          <cell r="U47">
            <v>2002</v>
          </cell>
          <cell r="W47">
            <v>8840</v>
          </cell>
          <cell r="X47">
            <v>4000</v>
          </cell>
          <cell r="Z47">
            <v>0</v>
          </cell>
          <cell r="AA47">
            <v>500</v>
          </cell>
          <cell r="AB47">
            <v>150</v>
          </cell>
          <cell r="AC47">
            <v>0</v>
          </cell>
          <cell r="AF47">
            <v>500</v>
          </cell>
          <cell r="AG47">
            <v>2750</v>
          </cell>
          <cell r="AH47">
            <v>16740</v>
          </cell>
          <cell r="AI47">
            <v>200880</v>
          </cell>
          <cell r="AJ47">
            <v>17500</v>
          </cell>
          <cell r="AK47">
            <v>20000</v>
          </cell>
          <cell r="AL47">
            <v>15000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28642</v>
          </cell>
          <cell r="AR47">
            <v>282022</v>
          </cell>
          <cell r="AS47">
            <v>0</v>
          </cell>
        </row>
        <row r="48">
          <cell r="P48">
            <v>7</v>
          </cell>
          <cell r="S48" t="str">
            <v xml:space="preserve"> </v>
          </cell>
          <cell r="U48" t="str">
            <v>DIFF.</v>
          </cell>
          <cell r="W48">
            <v>750</v>
          </cell>
          <cell r="X48">
            <v>500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1250</v>
          </cell>
          <cell r="AI48">
            <v>15000</v>
          </cell>
          <cell r="AJ48">
            <v>0</v>
          </cell>
          <cell r="AK48">
            <v>0</v>
          </cell>
          <cell r="AL48">
            <v>5000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2430</v>
          </cell>
          <cell r="AR48">
            <v>22430</v>
          </cell>
          <cell r="AS48">
            <v>8.64</v>
          </cell>
        </row>
        <row r="49">
          <cell r="P49">
            <v>7</v>
          </cell>
          <cell r="S49" t="str">
            <v xml:space="preserve"> </v>
          </cell>
        </row>
        <row r="50">
          <cell r="G50">
            <v>1876</v>
          </cell>
          <cell r="H50" t="str">
            <v>MR BEHERE B</v>
          </cell>
          <cell r="I50">
            <v>20118</v>
          </cell>
          <cell r="J50">
            <v>33604</v>
          </cell>
          <cell r="K50">
            <v>17160</v>
          </cell>
          <cell r="L50" t="str">
            <v>MA</v>
          </cell>
          <cell r="M50">
            <v>21</v>
          </cell>
          <cell r="N50" t="str">
            <v>A2</v>
          </cell>
          <cell r="O50" t="str">
            <v>MAM</v>
          </cell>
          <cell r="P50">
            <v>7</v>
          </cell>
          <cell r="Q50" t="str">
            <v>Other Locations</v>
          </cell>
          <cell r="R50" t="str">
            <v>Cuttack  (  )</v>
          </cell>
          <cell r="S50" t="str">
            <v xml:space="preserve"> </v>
          </cell>
          <cell r="T50" t="str">
            <v>CL</v>
          </cell>
          <cell r="U50">
            <v>2001</v>
          </cell>
          <cell r="V50">
            <v>18000</v>
          </cell>
          <cell r="W50">
            <v>8927</v>
          </cell>
          <cell r="X50">
            <v>3500</v>
          </cell>
          <cell r="AA50">
            <v>500</v>
          </cell>
          <cell r="AB50">
            <v>150</v>
          </cell>
          <cell r="AC50">
            <v>0</v>
          </cell>
          <cell r="AD50" t="str">
            <v>CV</v>
          </cell>
          <cell r="AE50">
            <v>0</v>
          </cell>
          <cell r="AF50">
            <v>500</v>
          </cell>
          <cell r="AG50">
            <v>2750</v>
          </cell>
          <cell r="AH50">
            <v>16327</v>
          </cell>
          <cell r="AI50">
            <v>195924</v>
          </cell>
          <cell r="AJ50">
            <v>17500</v>
          </cell>
          <cell r="AK50">
            <v>20000</v>
          </cell>
          <cell r="AL50">
            <v>10000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28923</v>
          </cell>
          <cell r="AR50">
            <v>272347</v>
          </cell>
          <cell r="AS50">
            <v>0</v>
          </cell>
        </row>
        <row r="51">
          <cell r="M51">
            <v>21</v>
          </cell>
          <cell r="N51" t="str">
            <v>A2</v>
          </cell>
          <cell r="P51">
            <v>7</v>
          </cell>
          <cell r="S51" t="str">
            <v xml:space="preserve"> </v>
          </cell>
          <cell r="U51">
            <v>2002</v>
          </cell>
          <cell r="W51">
            <v>9577</v>
          </cell>
          <cell r="X51">
            <v>4000</v>
          </cell>
          <cell r="Z51">
            <v>0</v>
          </cell>
          <cell r="AA51">
            <v>500</v>
          </cell>
          <cell r="AB51">
            <v>150</v>
          </cell>
          <cell r="AC51">
            <v>0</v>
          </cell>
          <cell r="AF51">
            <v>500</v>
          </cell>
          <cell r="AG51">
            <v>2750</v>
          </cell>
          <cell r="AH51">
            <v>17477</v>
          </cell>
          <cell r="AI51">
            <v>209724</v>
          </cell>
          <cell r="AJ51">
            <v>17500</v>
          </cell>
          <cell r="AK51">
            <v>20000</v>
          </cell>
          <cell r="AL51">
            <v>15000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31029</v>
          </cell>
          <cell r="AR51">
            <v>293253</v>
          </cell>
          <cell r="AS51">
            <v>0</v>
          </cell>
        </row>
        <row r="52">
          <cell r="P52">
            <v>7</v>
          </cell>
          <cell r="S52" t="str">
            <v xml:space="preserve"> </v>
          </cell>
          <cell r="U52" t="str">
            <v>DIFF.</v>
          </cell>
          <cell r="W52">
            <v>650</v>
          </cell>
          <cell r="X52">
            <v>500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1150</v>
          </cell>
          <cell r="AI52">
            <v>13800</v>
          </cell>
          <cell r="AJ52">
            <v>0</v>
          </cell>
          <cell r="AK52">
            <v>0</v>
          </cell>
          <cell r="AL52">
            <v>5000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2106</v>
          </cell>
          <cell r="AR52">
            <v>20906</v>
          </cell>
          <cell r="AS52">
            <v>7.68</v>
          </cell>
        </row>
        <row r="53">
          <cell r="P53">
            <v>7</v>
          </cell>
          <cell r="S53" t="str">
            <v xml:space="preserve"> </v>
          </cell>
        </row>
        <row r="54">
          <cell r="G54">
            <v>1927</v>
          </cell>
          <cell r="H54" t="str">
            <v>MR CHELLAPANDIAN P</v>
          </cell>
          <cell r="I54">
            <v>23793</v>
          </cell>
          <cell r="J54">
            <v>34197</v>
          </cell>
          <cell r="K54">
            <v>13485</v>
          </cell>
          <cell r="L54" t="str">
            <v>MA</v>
          </cell>
          <cell r="M54">
            <v>21</v>
          </cell>
          <cell r="N54" t="str">
            <v>A2</v>
          </cell>
          <cell r="O54" t="str">
            <v>MAM</v>
          </cell>
          <cell r="P54">
            <v>7</v>
          </cell>
          <cell r="Q54" t="str">
            <v>Other Locations</v>
          </cell>
          <cell r="R54" t="str">
            <v>Gangavathi (Karnataka)</v>
          </cell>
          <cell r="S54" t="str">
            <v xml:space="preserve"> </v>
          </cell>
          <cell r="T54" t="str">
            <v>CL</v>
          </cell>
          <cell r="U54">
            <v>2001</v>
          </cell>
          <cell r="V54">
            <v>18000</v>
          </cell>
          <cell r="W54">
            <v>7615</v>
          </cell>
          <cell r="X54">
            <v>3500</v>
          </cell>
          <cell r="AA54">
            <v>500</v>
          </cell>
          <cell r="AB54">
            <v>150</v>
          </cell>
          <cell r="AC54">
            <v>0</v>
          </cell>
          <cell r="AD54" t="str">
            <v>CV</v>
          </cell>
          <cell r="AE54">
            <v>0</v>
          </cell>
          <cell r="AF54">
            <v>500</v>
          </cell>
          <cell r="AG54">
            <v>2750</v>
          </cell>
          <cell r="AH54">
            <v>15015</v>
          </cell>
          <cell r="AI54">
            <v>180180</v>
          </cell>
          <cell r="AJ54">
            <v>17500</v>
          </cell>
          <cell r="AK54">
            <v>20000</v>
          </cell>
          <cell r="AL54">
            <v>10000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24673</v>
          </cell>
          <cell r="AR54">
            <v>252353</v>
          </cell>
          <cell r="AS54">
            <v>0</v>
          </cell>
        </row>
        <row r="55">
          <cell r="M55">
            <v>21</v>
          </cell>
          <cell r="N55" t="str">
            <v>A2</v>
          </cell>
          <cell r="P55">
            <v>7</v>
          </cell>
          <cell r="S55" t="str">
            <v xml:space="preserve"> </v>
          </cell>
          <cell r="U55">
            <v>2002</v>
          </cell>
          <cell r="W55">
            <v>8265</v>
          </cell>
          <cell r="X55">
            <v>4000</v>
          </cell>
          <cell r="Z55">
            <v>0</v>
          </cell>
          <cell r="AA55">
            <v>500</v>
          </cell>
          <cell r="AB55">
            <v>150</v>
          </cell>
          <cell r="AC55">
            <v>0</v>
          </cell>
          <cell r="AF55">
            <v>500</v>
          </cell>
          <cell r="AG55">
            <v>2750</v>
          </cell>
          <cell r="AH55">
            <v>16165</v>
          </cell>
          <cell r="AI55">
            <v>193980</v>
          </cell>
          <cell r="AJ55">
            <v>17500</v>
          </cell>
          <cell r="AK55">
            <v>20000</v>
          </cell>
          <cell r="AL55">
            <v>15000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26779</v>
          </cell>
          <cell r="AR55">
            <v>273259</v>
          </cell>
          <cell r="AS55">
            <v>0</v>
          </cell>
        </row>
        <row r="56">
          <cell r="P56">
            <v>7</v>
          </cell>
          <cell r="S56" t="str">
            <v xml:space="preserve"> </v>
          </cell>
          <cell r="U56" t="str">
            <v>DIFF.</v>
          </cell>
          <cell r="W56">
            <v>650</v>
          </cell>
          <cell r="X56">
            <v>500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1150</v>
          </cell>
          <cell r="AI56">
            <v>13800</v>
          </cell>
          <cell r="AJ56">
            <v>0</v>
          </cell>
          <cell r="AK56">
            <v>0</v>
          </cell>
          <cell r="AL56">
            <v>5000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2106</v>
          </cell>
          <cell r="AR56">
            <v>20906</v>
          </cell>
          <cell r="AS56">
            <v>8.2799999999999994</v>
          </cell>
        </row>
        <row r="57">
          <cell r="P57">
            <v>7</v>
          </cell>
          <cell r="S57" t="str">
            <v xml:space="preserve"> </v>
          </cell>
        </row>
        <row r="58">
          <cell r="G58">
            <v>1970</v>
          </cell>
          <cell r="H58" t="str">
            <v>MR PATEL P M</v>
          </cell>
          <cell r="I58">
            <v>25294</v>
          </cell>
          <cell r="J58">
            <v>34512</v>
          </cell>
          <cell r="K58">
            <v>11984</v>
          </cell>
          <cell r="L58" t="str">
            <v>MA</v>
          </cell>
          <cell r="M58">
            <v>21</v>
          </cell>
          <cell r="N58" t="str">
            <v>A2</v>
          </cell>
          <cell r="O58" t="str">
            <v>MAM</v>
          </cell>
          <cell r="P58">
            <v>7</v>
          </cell>
          <cell r="Q58" t="str">
            <v>Other Locations</v>
          </cell>
          <cell r="R58" t="str">
            <v>Bhavnagar (Guj)</v>
          </cell>
          <cell r="S58" t="str">
            <v xml:space="preserve"> </v>
          </cell>
          <cell r="T58" t="str">
            <v>BA</v>
          </cell>
          <cell r="U58">
            <v>2001</v>
          </cell>
          <cell r="V58">
            <v>21150</v>
          </cell>
          <cell r="W58">
            <v>7628</v>
          </cell>
          <cell r="X58">
            <v>3500</v>
          </cell>
          <cell r="AA58">
            <v>500</v>
          </cell>
          <cell r="AB58">
            <v>150</v>
          </cell>
          <cell r="AC58">
            <v>0</v>
          </cell>
          <cell r="AD58" t="str">
            <v>CV</v>
          </cell>
          <cell r="AE58">
            <v>0</v>
          </cell>
          <cell r="AF58">
            <v>500</v>
          </cell>
          <cell r="AG58">
            <v>2750</v>
          </cell>
          <cell r="AH58">
            <v>15028</v>
          </cell>
          <cell r="AI58">
            <v>180336</v>
          </cell>
          <cell r="AJ58">
            <v>17500</v>
          </cell>
          <cell r="AK58">
            <v>20000</v>
          </cell>
          <cell r="AL58">
            <v>10000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24715</v>
          </cell>
          <cell r="AR58">
            <v>252551</v>
          </cell>
          <cell r="AS58">
            <v>0</v>
          </cell>
        </row>
        <row r="59">
          <cell r="M59">
            <v>21</v>
          </cell>
          <cell r="N59" t="str">
            <v>A2</v>
          </cell>
          <cell r="P59">
            <v>7</v>
          </cell>
          <cell r="S59" t="str">
            <v xml:space="preserve"> </v>
          </cell>
          <cell r="U59">
            <v>2002</v>
          </cell>
          <cell r="W59">
            <v>8728</v>
          </cell>
          <cell r="X59">
            <v>4000</v>
          </cell>
          <cell r="Z59">
            <v>0</v>
          </cell>
          <cell r="AA59">
            <v>500</v>
          </cell>
          <cell r="AB59">
            <v>150</v>
          </cell>
          <cell r="AC59">
            <v>0</v>
          </cell>
          <cell r="AF59">
            <v>500</v>
          </cell>
          <cell r="AG59">
            <v>2750</v>
          </cell>
          <cell r="AH59">
            <v>16628</v>
          </cell>
          <cell r="AI59">
            <v>199536</v>
          </cell>
          <cell r="AJ59">
            <v>17500</v>
          </cell>
          <cell r="AK59">
            <v>20000</v>
          </cell>
          <cell r="AL59">
            <v>15000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28279</v>
          </cell>
          <cell r="AR59">
            <v>280315</v>
          </cell>
          <cell r="AS59">
            <v>0</v>
          </cell>
        </row>
        <row r="60">
          <cell r="P60">
            <v>7</v>
          </cell>
          <cell r="S60" t="str">
            <v xml:space="preserve"> </v>
          </cell>
          <cell r="U60" t="str">
            <v>DIFF.</v>
          </cell>
          <cell r="W60">
            <v>1100</v>
          </cell>
          <cell r="X60">
            <v>500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1600</v>
          </cell>
          <cell r="AI60">
            <v>19200</v>
          </cell>
          <cell r="AJ60">
            <v>0</v>
          </cell>
          <cell r="AK60">
            <v>0</v>
          </cell>
          <cell r="AL60">
            <v>5000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3564</v>
          </cell>
          <cell r="AR60">
            <v>27764</v>
          </cell>
          <cell r="AS60">
            <v>10.99</v>
          </cell>
        </row>
        <row r="61">
          <cell r="P61">
            <v>7</v>
          </cell>
          <cell r="S61" t="str">
            <v xml:space="preserve"> </v>
          </cell>
        </row>
        <row r="62">
          <cell r="G62">
            <v>2026</v>
          </cell>
          <cell r="H62" t="str">
            <v>MR SUBRAMANYA K G</v>
          </cell>
          <cell r="I62">
            <v>25733</v>
          </cell>
          <cell r="J62">
            <v>35034</v>
          </cell>
          <cell r="K62">
            <v>11545</v>
          </cell>
          <cell r="L62" t="str">
            <v>MA</v>
          </cell>
          <cell r="M62">
            <v>21</v>
          </cell>
          <cell r="N62" t="str">
            <v>A1</v>
          </cell>
          <cell r="O62" t="str">
            <v>MAM</v>
          </cell>
          <cell r="P62">
            <v>2</v>
          </cell>
          <cell r="Q62" t="str">
            <v>Chennai</v>
          </cell>
          <cell r="R62" t="str">
            <v>Chennai</v>
          </cell>
          <cell r="S62" t="str">
            <v xml:space="preserve"> </v>
          </cell>
          <cell r="T62" t="str">
            <v>BA</v>
          </cell>
          <cell r="U62">
            <v>2001</v>
          </cell>
          <cell r="V62">
            <v>21150</v>
          </cell>
          <cell r="W62">
            <v>7000</v>
          </cell>
          <cell r="X62">
            <v>3500</v>
          </cell>
          <cell r="AA62">
            <v>500</v>
          </cell>
          <cell r="AB62">
            <v>150</v>
          </cell>
          <cell r="AC62">
            <v>800</v>
          </cell>
          <cell r="AE62">
            <v>450</v>
          </cell>
          <cell r="AG62">
            <v>2750</v>
          </cell>
          <cell r="AH62">
            <v>15150</v>
          </cell>
          <cell r="AI62">
            <v>181800</v>
          </cell>
          <cell r="AJ62">
            <v>17500</v>
          </cell>
          <cell r="AK62">
            <v>20000</v>
          </cell>
          <cell r="AL62">
            <v>10000</v>
          </cell>
          <cell r="AQ62">
            <v>22680</v>
          </cell>
          <cell r="AR62">
            <v>251980</v>
          </cell>
        </row>
        <row r="63">
          <cell r="M63">
            <v>21</v>
          </cell>
          <cell r="N63" t="str">
            <v>A1</v>
          </cell>
          <cell r="P63">
            <v>2</v>
          </cell>
          <cell r="S63" t="str">
            <v xml:space="preserve"> </v>
          </cell>
          <cell r="U63">
            <v>2002</v>
          </cell>
          <cell r="W63">
            <v>8100</v>
          </cell>
          <cell r="X63">
            <v>4500</v>
          </cell>
          <cell r="Z63">
            <v>0</v>
          </cell>
          <cell r="AA63">
            <v>500</v>
          </cell>
          <cell r="AB63">
            <v>150</v>
          </cell>
          <cell r="AC63">
            <v>800</v>
          </cell>
          <cell r="AF63">
            <v>0</v>
          </cell>
          <cell r="AG63">
            <v>2750</v>
          </cell>
          <cell r="AH63">
            <v>16800</v>
          </cell>
          <cell r="AI63">
            <v>201600</v>
          </cell>
          <cell r="AJ63">
            <v>17500</v>
          </cell>
          <cell r="AK63">
            <v>20000</v>
          </cell>
          <cell r="AL63">
            <v>15000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26244</v>
          </cell>
          <cell r="AR63">
            <v>280344</v>
          </cell>
          <cell r="AS63">
            <v>0</v>
          </cell>
        </row>
        <row r="64">
          <cell r="P64">
            <v>2</v>
          </cell>
          <cell r="S64" t="str">
            <v xml:space="preserve"> </v>
          </cell>
          <cell r="U64" t="str">
            <v>DIFF.</v>
          </cell>
          <cell r="W64">
            <v>1100</v>
          </cell>
          <cell r="X64">
            <v>1000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E64">
            <v>-450</v>
          </cell>
          <cell r="AF64">
            <v>0</v>
          </cell>
          <cell r="AG64">
            <v>0</v>
          </cell>
          <cell r="AH64">
            <v>1650</v>
          </cell>
          <cell r="AI64">
            <v>19800</v>
          </cell>
          <cell r="AJ64">
            <v>0</v>
          </cell>
          <cell r="AK64">
            <v>0</v>
          </cell>
          <cell r="AL64">
            <v>5000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3564</v>
          </cell>
          <cell r="AR64">
            <v>28364</v>
          </cell>
          <cell r="AS64">
            <v>11.26</v>
          </cell>
        </row>
        <row r="65">
          <cell r="P65">
            <v>2</v>
          </cell>
          <cell r="S65" t="str">
            <v xml:space="preserve"> </v>
          </cell>
        </row>
        <row r="66">
          <cell r="G66">
            <v>2124</v>
          </cell>
          <cell r="H66" t="str">
            <v>MR ARYA R K</v>
          </cell>
          <cell r="I66">
            <v>23818</v>
          </cell>
          <cell r="J66">
            <v>35590</v>
          </cell>
          <cell r="K66">
            <v>13460</v>
          </cell>
          <cell r="L66" t="str">
            <v>MA</v>
          </cell>
          <cell r="M66">
            <v>21</v>
          </cell>
          <cell r="N66" t="str">
            <v>A2</v>
          </cell>
          <cell r="O66" t="str">
            <v>MAM</v>
          </cell>
          <cell r="P66">
            <v>7</v>
          </cell>
          <cell r="Q66" t="str">
            <v>Other Locations</v>
          </cell>
          <cell r="R66" t="str">
            <v>Meerut (Up)</v>
          </cell>
          <cell r="S66" t="str">
            <v xml:space="preserve"> </v>
          </cell>
          <cell r="T66" t="str">
            <v>CL</v>
          </cell>
          <cell r="U66">
            <v>2001</v>
          </cell>
          <cell r="V66">
            <v>18000</v>
          </cell>
          <cell r="W66">
            <v>7678</v>
          </cell>
          <cell r="X66">
            <v>3500</v>
          </cell>
          <cell r="AA66">
            <v>500</v>
          </cell>
          <cell r="AB66">
            <v>150</v>
          </cell>
          <cell r="AC66">
            <v>0</v>
          </cell>
          <cell r="AD66" t="str">
            <v>CV</v>
          </cell>
          <cell r="AE66">
            <v>0</v>
          </cell>
          <cell r="AF66">
            <v>500</v>
          </cell>
          <cell r="AG66">
            <v>2750</v>
          </cell>
          <cell r="AH66">
            <v>15078</v>
          </cell>
          <cell r="AI66">
            <v>180936</v>
          </cell>
          <cell r="AJ66">
            <v>17500</v>
          </cell>
          <cell r="AK66">
            <v>20000</v>
          </cell>
          <cell r="AL66">
            <v>10000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24877</v>
          </cell>
          <cell r="AR66">
            <v>253313</v>
          </cell>
          <cell r="AS66">
            <v>0</v>
          </cell>
        </row>
        <row r="67">
          <cell r="M67">
            <v>21</v>
          </cell>
          <cell r="N67" t="str">
            <v>A2</v>
          </cell>
          <cell r="P67">
            <v>7</v>
          </cell>
          <cell r="S67" t="str">
            <v xml:space="preserve"> </v>
          </cell>
          <cell r="U67">
            <v>2002</v>
          </cell>
          <cell r="W67">
            <v>8328</v>
          </cell>
          <cell r="X67">
            <v>4000</v>
          </cell>
          <cell r="Z67">
            <v>0</v>
          </cell>
          <cell r="AA67">
            <v>500</v>
          </cell>
          <cell r="AB67">
            <v>150</v>
          </cell>
          <cell r="AC67">
            <v>0</v>
          </cell>
          <cell r="AF67">
            <v>500</v>
          </cell>
          <cell r="AG67">
            <v>2750</v>
          </cell>
          <cell r="AH67">
            <v>16228</v>
          </cell>
          <cell r="AI67">
            <v>194736</v>
          </cell>
          <cell r="AJ67">
            <v>17500</v>
          </cell>
          <cell r="AK67">
            <v>20000</v>
          </cell>
          <cell r="AL67">
            <v>15000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26983</v>
          </cell>
          <cell r="AR67">
            <v>274219</v>
          </cell>
          <cell r="AS67">
            <v>0</v>
          </cell>
        </row>
        <row r="68">
          <cell r="P68">
            <v>7</v>
          </cell>
          <cell r="S68" t="str">
            <v xml:space="preserve"> </v>
          </cell>
          <cell r="U68" t="str">
            <v>DIFF.</v>
          </cell>
          <cell r="W68">
            <v>650</v>
          </cell>
          <cell r="X68">
            <v>500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1150</v>
          </cell>
          <cell r="AI68">
            <v>13800</v>
          </cell>
          <cell r="AJ68">
            <v>0</v>
          </cell>
          <cell r="AK68">
            <v>0</v>
          </cell>
          <cell r="AL68">
            <v>5000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2106</v>
          </cell>
          <cell r="AR68">
            <v>20906</v>
          </cell>
          <cell r="AS68">
            <v>8.25</v>
          </cell>
        </row>
        <row r="69">
          <cell r="P69">
            <v>7</v>
          </cell>
          <cell r="S69" t="str">
            <v xml:space="preserve"> </v>
          </cell>
        </row>
        <row r="70">
          <cell r="G70">
            <v>2129</v>
          </cell>
          <cell r="H70" t="str">
            <v>MR KWATRA M</v>
          </cell>
          <cell r="I70">
            <v>25353</v>
          </cell>
          <cell r="J70">
            <v>35612</v>
          </cell>
          <cell r="K70">
            <v>11925</v>
          </cell>
          <cell r="L70" t="str">
            <v>MA</v>
          </cell>
          <cell r="M70">
            <v>21</v>
          </cell>
          <cell r="N70" t="str">
            <v>A2</v>
          </cell>
          <cell r="O70" t="str">
            <v>MAM</v>
          </cell>
          <cell r="P70">
            <v>3</v>
          </cell>
          <cell r="Q70" t="str">
            <v>Delhi</v>
          </cell>
          <cell r="R70" t="str">
            <v>Delhi</v>
          </cell>
          <cell r="S70" t="str">
            <v xml:space="preserve"> </v>
          </cell>
          <cell r="T70" t="str">
            <v>CA</v>
          </cell>
          <cell r="U70">
            <v>2001</v>
          </cell>
          <cell r="V70">
            <v>18000</v>
          </cell>
          <cell r="W70">
            <v>8754</v>
          </cell>
          <cell r="X70">
            <v>3500</v>
          </cell>
          <cell r="AA70">
            <v>500</v>
          </cell>
          <cell r="AB70">
            <v>150</v>
          </cell>
          <cell r="AC70">
            <v>800</v>
          </cell>
          <cell r="AE70">
            <v>450</v>
          </cell>
          <cell r="AF70">
            <v>500</v>
          </cell>
          <cell r="AG70">
            <v>2750</v>
          </cell>
          <cell r="AH70">
            <v>17404</v>
          </cell>
          <cell r="AI70">
            <v>208848</v>
          </cell>
          <cell r="AJ70">
            <v>17500</v>
          </cell>
          <cell r="AK70">
            <v>20000</v>
          </cell>
          <cell r="AL70">
            <v>10000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28363</v>
          </cell>
          <cell r="AR70">
            <v>284711</v>
          </cell>
          <cell r="AS70">
            <v>0</v>
          </cell>
        </row>
        <row r="71">
          <cell r="M71">
            <v>21</v>
          </cell>
          <cell r="N71" t="str">
            <v>A2</v>
          </cell>
          <cell r="P71">
            <v>3</v>
          </cell>
          <cell r="S71" t="str">
            <v xml:space="preserve"> </v>
          </cell>
          <cell r="U71">
            <v>2002</v>
          </cell>
          <cell r="W71">
            <v>9504</v>
          </cell>
          <cell r="X71">
            <v>4500</v>
          </cell>
          <cell r="Z71">
            <v>0</v>
          </cell>
          <cell r="AA71">
            <v>500</v>
          </cell>
          <cell r="AB71">
            <v>150</v>
          </cell>
          <cell r="AC71">
            <v>800</v>
          </cell>
          <cell r="AF71">
            <v>500</v>
          </cell>
          <cell r="AG71">
            <v>2750</v>
          </cell>
          <cell r="AH71">
            <v>18704</v>
          </cell>
          <cell r="AI71">
            <v>224448</v>
          </cell>
          <cell r="AJ71">
            <v>17500</v>
          </cell>
          <cell r="AK71">
            <v>20000</v>
          </cell>
          <cell r="AL71">
            <v>15000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30793</v>
          </cell>
          <cell r="AR71">
            <v>307741</v>
          </cell>
          <cell r="AS71">
            <v>0</v>
          </cell>
        </row>
        <row r="72">
          <cell r="P72">
            <v>3</v>
          </cell>
          <cell r="S72" t="str">
            <v xml:space="preserve"> </v>
          </cell>
          <cell r="U72" t="str">
            <v>DIFF.</v>
          </cell>
          <cell r="W72">
            <v>750</v>
          </cell>
          <cell r="X72">
            <v>1000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-450</v>
          </cell>
          <cell r="AF72">
            <v>0</v>
          </cell>
          <cell r="AG72">
            <v>0</v>
          </cell>
          <cell r="AH72">
            <v>1300</v>
          </cell>
          <cell r="AI72">
            <v>15600</v>
          </cell>
          <cell r="AJ72">
            <v>0</v>
          </cell>
          <cell r="AK72">
            <v>0</v>
          </cell>
          <cell r="AL72">
            <v>5000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2430</v>
          </cell>
          <cell r="AR72">
            <v>23030</v>
          </cell>
          <cell r="AS72">
            <v>8.09</v>
          </cell>
        </row>
        <row r="73">
          <cell r="P73">
            <v>3</v>
          </cell>
          <cell r="S73" t="str">
            <v xml:space="preserve"> </v>
          </cell>
        </row>
        <row r="74">
          <cell r="G74">
            <v>2143</v>
          </cell>
          <cell r="H74" t="str">
            <v xml:space="preserve">MR CHANDRASHEKAR G                                  </v>
          </cell>
          <cell r="I74">
            <v>24259</v>
          </cell>
          <cell r="J74">
            <v>35658</v>
          </cell>
          <cell r="K74">
            <v>13019</v>
          </cell>
          <cell r="L74" t="str">
            <v>MA</v>
          </cell>
          <cell r="M74">
            <v>21</v>
          </cell>
          <cell r="N74" t="str">
            <v>A2</v>
          </cell>
          <cell r="O74" t="str">
            <v>MAM</v>
          </cell>
          <cell r="P74">
            <v>7</v>
          </cell>
          <cell r="Q74" t="str">
            <v>Other Locations</v>
          </cell>
          <cell r="R74" t="str">
            <v>Dharawar (Karnataka)</v>
          </cell>
          <cell r="S74" t="str">
            <v xml:space="preserve"> </v>
          </cell>
          <cell r="T74" t="str">
            <v>CL</v>
          </cell>
          <cell r="U74">
            <v>2001</v>
          </cell>
          <cell r="V74">
            <v>18000</v>
          </cell>
          <cell r="W74">
            <v>7150</v>
          </cell>
          <cell r="X74">
            <v>3500</v>
          </cell>
          <cell r="AA74">
            <v>500</v>
          </cell>
          <cell r="AB74">
            <v>150</v>
          </cell>
          <cell r="AC74">
            <v>0</v>
          </cell>
          <cell r="AD74" t="str">
            <v>CV</v>
          </cell>
          <cell r="AE74">
            <v>0</v>
          </cell>
          <cell r="AF74">
            <v>500</v>
          </cell>
          <cell r="AG74">
            <v>2750</v>
          </cell>
          <cell r="AH74">
            <v>14550</v>
          </cell>
          <cell r="AI74">
            <v>174600</v>
          </cell>
          <cell r="AJ74">
            <v>17500</v>
          </cell>
          <cell r="AK74">
            <v>20000</v>
          </cell>
          <cell r="AL74">
            <v>10000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23166</v>
          </cell>
          <cell r="AR74">
            <v>245266</v>
          </cell>
          <cell r="AS74">
            <v>0</v>
          </cell>
        </row>
        <row r="75">
          <cell r="M75">
            <v>21</v>
          </cell>
          <cell r="N75" t="str">
            <v>A2</v>
          </cell>
          <cell r="P75">
            <v>7</v>
          </cell>
          <cell r="S75" t="str">
            <v xml:space="preserve"> </v>
          </cell>
          <cell r="U75">
            <v>2002</v>
          </cell>
          <cell r="W75">
            <v>7800</v>
          </cell>
          <cell r="X75">
            <v>4000</v>
          </cell>
          <cell r="Z75">
            <v>0</v>
          </cell>
          <cell r="AA75">
            <v>500</v>
          </cell>
          <cell r="AB75">
            <v>150</v>
          </cell>
          <cell r="AC75">
            <v>0</v>
          </cell>
          <cell r="AF75">
            <v>500</v>
          </cell>
          <cell r="AG75">
            <v>2750</v>
          </cell>
          <cell r="AH75">
            <v>15700</v>
          </cell>
          <cell r="AI75">
            <v>188400</v>
          </cell>
          <cell r="AJ75">
            <v>17500</v>
          </cell>
          <cell r="AK75">
            <v>20000</v>
          </cell>
          <cell r="AL75">
            <v>15000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25272</v>
          </cell>
          <cell r="AR75">
            <v>266172</v>
          </cell>
          <cell r="AS75">
            <v>0</v>
          </cell>
        </row>
        <row r="76">
          <cell r="P76">
            <v>7</v>
          </cell>
          <cell r="S76" t="str">
            <v xml:space="preserve"> </v>
          </cell>
          <cell r="U76" t="str">
            <v>DIFF.</v>
          </cell>
          <cell r="W76">
            <v>650</v>
          </cell>
          <cell r="X76">
            <v>500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1150</v>
          </cell>
          <cell r="AI76">
            <v>13800</v>
          </cell>
          <cell r="AJ76">
            <v>0</v>
          </cell>
          <cell r="AK76">
            <v>0</v>
          </cell>
          <cell r="AL76">
            <v>5000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2106</v>
          </cell>
          <cell r="AR76">
            <v>20906</v>
          </cell>
          <cell r="AS76">
            <v>8.52</v>
          </cell>
        </row>
        <row r="77">
          <cell r="P77">
            <v>7</v>
          </cell>
          <cell r="S77" t="str">
            <v xml:space="preserve"> </v>
          </cell>
        </row>
        <row r="78">
          <cell r="G78">
            <v>2181</v>
          </cell>
          <cell r="H78" t="str">
            <v>MR PANCHAL A</v>
          </cell>
          <cell r="I78">
            <v>25529</v>
          </cell>
          <cell r="J78">
            <v>36007</v>
          </cell>
          <cell r="K78">
            <v>11749</v>
          </cell>
          <cell r="L78" t="str">
            <v>MA</v>
          </cell>
          <cell r="M78">
            <v>21</v>
          </cell>
          <cell r="N78" t="str">
            <v>A2</v>
          </cell>
          <cell r="O78" t="str">
            <v>MAM</v>
          </cell>
          <cell r="P78">
            <v>7</v>
          </cell>
          <cell r="Q78" t="str">
            <v>Other Locations</v>
          </cell>
          <cell r="R78" t="str">
            <v>Amd</v>
          </cell>
          <cell r="S78" t="str">
            <v xml:space="preserve"> </v>
          </cell>
          <cell r="T78" t="str">
            <v>CA</v>
          </cell>
          <cell r="U78">
            <v>2001</v>
          </cell>
          <cell r="V78">
            <v>18000</v>
          </cell>
          <cell r="W78">
            <v>7765</v>
          </cell>
          <cell r="X78">
            <v>3500</v>
          </cell>
          <cell r="AA78">
            <v>500</v>
          </cell>
          <cell r="AB78">
            <v>150</v>
          </cell>
          <cell r="AC78">
            <v>800</v>
          </cell>
          <cell r="AE78">
            <v>0</v>
          </cell>
          <cell r="AF78">
            <v>500</v>
          </cell>
          <cell r="AG78">
            <v>2750</v>
          </cell>
          <cell r="AH78">
            <v>15965</v>
          </cell>
          <cell r="AI78">
            <v>191580</v>
          </cell>
          <cell r="AJ78">
            <v>17500</v>
          </cell>
          <cell r="AK78">
            <v>20000</v>
          </cell>
          <cell r="AL78">
            <v>10000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25159</v>
          </cell>
          <cell r="AR78">
            <v>264239</v>
          </cell>
          <cell r="AS78">
            <v>0</v>
          </cell>
        </row>
        <row r="79">
          <cell r="M79">
            <v>21</v>
          </cell>
          <cell r="N79" t="str">
            <v>A2</v>
          </cell>
          <cell r="P79">
            <v>7</v>
          </cell>
          <cell r="S79" t="str">
            <v xml:space="preserve"> </v>
          </cell>
          <cell r="U79">
            <v>2002</v>
          </cell>
          <cell r="W79">
            <v>8515</v>
          </cell>
          <cell r="X79">
            <v>4000</v>
          </cell>
          <cell r="Z79">
            <v>0</v>
          </cell>
          <cell r="AA79">
            <v>500</v>
          </cell>
          <cell r="AB79">
            <v>150</v>
          </cell>
          <cell r="AC79">
            <v>800</v>
          </cell>
          <cell r="AF79">
            <v>500</v>
          </cell>
          <cell r="AG79">
            <v>2750</v>
          </cell>
          <cell r="AH79">
            <v>17215</v>
          </cell>
          <cell r="AI79">
            <v>206580</v>
          </cell>
          <cell r="AJ79">
            <v>17500</v>
          </cell>
          <cell r="AK79">
            <v>20000</v>
          </cell>
          <cell r="AL79">
            <v>15000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27589</v>
          </cell>
          <cell r="AR79">
            <v>286669</v>
          </cell>
          <cell r="AS79">
            <v>0</v>
          </cell>
        </row>
        <row r="80">
          <cell r="P80">
            <v>7</v>
          </cell>
          <cell r="S80" t="str">
            <v xml:space="preserve"> </v>
          </cell>
          <cell r="U80" t="str">
            <v>DIFF.</v>
          </cell>
          <cell r="W80">
            <v>750</v>
          </cell>
          <cell r="X80">
            <v>500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1250</v>
          </cell>
          <cell r="AI80">
            <v>15000</v>
          </cell>
          <cell r="AJ80">
            <v>0</v>
          </cell>
          <cell r="AK80">
            <v>0</v>
          </cell>
          <cell r="AL80">
            <v>5000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2430</v>
          </cell>
          <cell r="AR80">
            <v>22430</v>
          </cell>
          <cell r="AS80">
            <v>8.49</v>
          </cell>
        </row>
        <row r="81">
          <cell r="P81">
            <v>7</v>
          </cell>
          <cell r="S81" t="str">
            <v xml:space="preserve"> </v>
          </cell>
        </row>
        <row r="82">
          <cell r="G82">
            <v>2196</v>
          </cell>
          <cell r="H82" t="str">
            <v>MR REDDY P N</v>
          </cell>
          <cell r="I82">
            <v>26124</v>
          </cell>
          <cell r="J82">
            <v>36179</v>
          </cell>
          <cell r="K82">
            <v>11154</v>
          </cell>
          <cell r="L82" t="str">
            <v>MA</v>
          </cell>
          <cell r="M82">
            <v>21</v>
          </cell>
          <cell r="N82" t="str">
            <v>A2</v>
          </cell>
          <cell r="O82" t="str">
            <v>MAM</v>
          </cell>
          <cell r="P82">
            <v>7</v>
          </cell>
          <cell r="Q82" t="str">
            <v>Other Locations</v>
          </cell>
          <cell r="R82" t="str">
            <v>Khammam (Ap)</v>
          </cell>
          <cell r="S82" t="str">
            <v xml:space="preserve"> </v>
          </cell>
          <cell r="T82" t="str">
            <v>BL</v>
          </cell>
          <cell r="U82">
            <v>2001</v>
          </cell>
          <cell r="V82">
            <v>21150</v>
          </cell>
          <cell r="W82">
            <v>7640</v>
          </cell>
          <cell r="X82">
            <v>3500</v>
          </cell>
          <cell r="AA82">
            <v>500</v>
          </cell>
          <cell r="AB82">
            <v>150</v>
          </cell>
          <cell r="AC82">
            <v>0</v>
          </cell>
          <cell r="AD82" t="str">
            <v>CV</v>
          </cell>
          <cell r="AE82">
            <v>0</v>
          </cell>
          <cell r="AF82">
            <v>500</v>
          </cell>
          <cell r="AG82">
            <v>2750</v>
          </cell>
          <cell r="AH82">
            <v>15040</v>
          </cell>
          <cell r="AI82">
            <v>180480</v>
          </cell>
          <cell r="AJ82">
            <v>17500</v>
          </cell>
          <cell r="AK82">
            <v>20000</v>
          </cell>
          <cell r="AL82">
            <v>10000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24754</v>
          </cell>
          <cell r="AR82">
            <v>252734</v>
          </cell>
          <cell r="AS82">
            <v>0</v>
          </cell>
        </row>
        <row r="83">
          <cell r="M83">
            <v>21</v>
          </cell>
          <cell r="N83" t="str">
            <v>A2</v>
          </cell>
          <cell r="P83">
            <v>7</v>
          </cell>
          <cell r="S83" t="str">
            <v xml:space="preserve"> </v>
          </cell>
          <cell r="U83">
            <v>2002</v>
          </cell>
          <cell r="W83">
            <v>8590</v>
          </cell>
          <cell r="X83">
            <v>4000</v>
          </cell>
          <cell r="Z83">
            <v>0</v>
          </cell>
          <cell r="AA83">
            <v>500</v>
          </cell>
          <cell r="AB83">
            <v>150</v>
          </cell>
          <cell r="AC83">
            <v>0</v>
          </cell>
          <cell r="AF83">
            <v>500</v>
          </cell>
          <cell r="AG83">
            <v>2750</v>
          </cell>
          <cell r="AH83">
            <v>16490</v>
          </cell>
          <cell r="AI83">
            <v>197880</v>
          </cell>
          <cell r="AJ83">
            <v>17500</v>
          </cell>
          <cell r="AK83">
            <v>20000</v>
          </cell>
          <cell r="AL83">
            <v>15000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27832</v>
          </cell>
          <cell r="AR83">
            <v>278212</v>
          </cell>
          <cell r="AS83">
            <v>0</v>
          </cell>
        </row>
        <row r="84">
          <cell r="P84">
            <v>7</v>
          </cell>
          <cell r="S84" t="str">
            <v xml:space="preserve"> </v>
          </cell>
          <cell r="U84" t="str">
            <v>DIFF.</v>
          </cell>
          <cell r="W84">
            <v>950</v>
          </cell>
          <cell r="X84">
            <v>500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1450</v>
          </cell>
          <cell r="AI84">
            <v>17400</v>
          </cell>
          <cell r="AJ84">
            <v>0</v>
          </cell>
          <cell r="AK84">
            <v>0</v>
          </cell>
          <cell r="AL84">
            <v>5000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3078</v>
          </cell>
          <cell r="AR84">
            <v>25478</v>
          </cell>
          <cell r="AS84">
            <v>10.08</v>
          </cell>
        </row>
        <row r="85">
          <cell r="P85">
            <v>7</v>
          </cell>
          <cell r="S85" t="str">
            <v xml:space="preserve"> </v>
          </cell>
        </row>
        <row r="86">
          <cell r="G86">
            <v>2200</v>
          </cell>
          <cell r="H86" t="str">
            <v>MR RAO G U</v>
          </cell>
          <cell r="I86">
            <v>26526</v>
          </cell>
          <cell r="J86">
            <v>36269</v>
          </cell>
          <cell r="K86">
            <v>10752</v>
          </cell>
          <cell r="L86" t="str">
            <v>MA</v>
          </cell>
          <cell r="M86">
            <v>21</v>
          </cell>
          <cell r="N86" t="str">
            <v>A2</v>
          </cell>
          <cell r="O86" t="str">
            <v>MAM</v>
          </cell>
          <cell r="P86">
            <v>7</v>
          </cell>
          <cell r="Q86" t="str">
            <v>Other Locations</v>
          </cell>
          <cell r="R86" t="str">
            <v>Narasaraopet (Ap)</v>
          </cell>
          <cell r="S86" t="str">
            <v xml:space="preserve"> </v>
          </cell>
          <cell r="T86" t="str">
            <v>BA</v>
          </cell>
          <cell r="U86">
            <v>2001</v>
          </cell>
          <cell r="V86">
            <v>21150</v>
          </cell>
          <cell r="W86">
            <v>8240</v>
          </cell>
          <cell r="X86">
            <v>3500</v>
          </cell>
          <cell r="AA86">
            <v>500</v>
          </cell>
          <cell r="AB86">
            <v>150</v>
          </cell>
          <cell r="AC86">
            <v>0</v>
          </cell>
          <cell r="AD86" t="str">
            <v>CV</v>
          </cell>
          <cell r="AE86">
            <v>0</v>
          </cell>
          <cell r="AF86">
            <v>500</v>
          </cell>
          <cell r="AG86">
            <v>2750</v>
          </cell>
          <cell r="AH86">
            <v>15640</v>
          </cell>
          <cell r="AI86">
            <v>187680</v>
          </cell>
          <cell r="AJ86">
            <v>17500</v>
          </cell>
          <cell r="AK86">
            <v>20000</v>
          </cell>
          <cell r="AL86">
            <v>10000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26698</v>
          </cell>
          <cell r="AR86">
            <v>261878</v>
          </cell>
          <cell r="AS86">
            <v>0</v>
          </cell>
        </row>
        <row r="87">
          <cell r="M87">
            <v>21</v>
          </cell>
          <cell r="N87" t="str">
            <v>A2</v>
          </cell>
          <cell r="P87">
            <v>7</v>
          </cell>
          <cell r="S87" t="str">
            <v xml:space="preserve"> </v>
          </cell>
          <cell r="U87">
            <v>2002</v>
          </cell>
          <cell r="W87">
            <v>9340</v>
          </cell>
          <cell r="X87">
            <v>4000</v>
          </cell>
          <cell r="Z87">
            <v>0</v>
          </cell>
          <cell r="AA87">
            <v>500</v>
          </cell>
          <cell r="AB87">
            <v>150</v>
          </cell>
          <cell r="AC87">
            <v>0</v>
          </cell>
          <cell r="AF87">
            <v>500</v>
          </cell>
          <cell r="AG87">
            <v>2750</v>
          </cell>
          <cell r="AH87">
            <v>17240</v>
          </cell>
          <cell r="AI87">
            <v>206880</v>
          </cell>
          <cell r="AJ87">
            <v>17500</v>
          </cell>
          <cell r="AK87">
            <v>20000</v>
          </cell>
          <cell r="AL87">
            <v>15000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30262</v>
          </cell>
          <cell r="AR87">
            <v>289642</v>
          </cell>
          <cell r="AS87">
            <v>0</v>
          </cell>
        </row>
        <row r="88">
          <cell r="P88">
            <v>7</v>
          </cell>
          <cell r="S88" t="str">
            <v xml:space="preserve"> </v>
          </cell>
          <cell r="U88" t="str">
            <v>DIFF.</v>
          </cell>
          <cell r="W88">
            <v>1100</v>
          </cell>
          <cell r="X88">
            <v>500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1600</v>
          </cell>
          <cell r="AI88">
            <v>19200</v>
          </cell>
          <cell r="AJ88">
            <v>0</v>
          </cell>
          <cell r="AK88">
            <v>0</v>
          </cell>
          <cell r="AL88">
            <v>5000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3564</v>
          </cell>
          <cell r="AR88">
            <v>27764</v>
          </cell>
          <cell r="AS88">
            <v>10.6</v>
          </cell>
        </row>
        <row r="89">
          <cell r="P89">
            <v>7</v>
          </cell>
          <cell r="S89" t="str">
            <v xml:space="preserve"> </v>
          </cell>
        </row>
        <row r="90">
          <cell r="G90">
            <v>2208</v>
          </cell>
          <cell r="H90" t="str">
            <v>MR SAINI S K</v>
          </cell>
          <cell r="I90">
            <v>26643</v>
          </cell>
          <cell r="J90">
            <v>36327</v>
          </cell>
          <cell r="K90">
            <v>10635</v>
          </cell>
          <cell r="L90" t="str">
            <v>MA</v>
          </cell>
          <cell r="M90">
            <v>21</v>
          </cell>
          <cell r="N90" t="str">
            <v>A2</v>
          </cell>
          <cell r="O90" t="str">
            <v>MAM</v>
          </cell>
          <cell r="P90">
            <v>7</v>
          </cell>
          <cell r="Q90" t="str">
            <v>Other Locations</v>
          </cell>
          <cell r="R90" t="str">
            <v>Sirsa (  )</v>
          </cell>
          <cell r="S90" t="str">
            <v xml:space="preserve"> </v>
          </cell>
          <cell r="T90" t="str">
            <v>BA</v>
          </cell>
          <cell r="U90">
            <v>2001</v>
          </cell>
          <cell r="V90">
            <v>21150</v>
          </cell>
          <cell r="W90">
            <v>7553</v>
          </cell>
          <cell r="X90">
            <v>3500</v>
          </cell>
          <cell r="AA90">
            <v>500</v>
          </cell>
          <cell r="AB90">
            <v>150</v>
          </cell>
          <cell r="AC90">
            <v>0</v>
          </cell>
          <cell r="AD90" t="str">
            <v>CV</v>
          </cell>
          <cell r="AE90">
            <v>0</v>
          </cell>
          <cell r="AF90">
            <v>500</v>
          </cell>
          <cell r="AG90">
            <v>2750</v>
          </cell>
          <cell r="AH90">
            <v>14953</v>
          </cell>
          <cell r="AI90">
            <v>179436</v>
          </cell>
          <cell r="AJ90">
            <v>17500</v>
          </cell>
          <cell r="AK90">
            <v>20000</v>
          </cell>
          <cell r="AL90">
            <v>10000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24472</v>
          </cell>
          <cell r="AR90">
            <v>251408</v>
          </cell>
          <cell r="AS90">
            <v>0</v>
          </cell>
        </row>
        <row r="91">
          <cell r="M91">
            <v>21</v>
          </cell>
          <cell r="N91" t="str">
            <v>A2</v>
          </cell>
          <cell r="P91">
            <v>7</v>
          </cell>
          <cell r="S91" t="str">
            <v xml:space="preserve"> </v>
          </cell>
          <cell r="U91">
            <v>2002</v>
          </cell>
          <cell r="W91">
            <v>8653</v>
          </cell>
          <cell r="X91">
            <v>4000</v>
          </cell>
          <cell r="Z91">
            <v>0</v>
          </cell>
          <cell r="AA91">
            <v>500</v>
          </cell>
          <cell r="AB91">
            <v>150</v>
          </cell>
          <cell r="AC91">
            <v>0</v>
          </cell>
          <cell r="AF91">
            <v>500</v>
          </cell>
          <cell r="AG91">
            <v>2750</v>
          </cell>
          <cell r="AH91">
            <v>16553</v>
          </cell>
          <cell r="AI91">
            <v>198636</v>
          </cell>
          <cell r="AJ91">
            <v>17500</v>
          </cell>
          <cell r="AK91">
            <v>20000</v>
          </cell>
          <cell r="AL91">
            <v>15000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28036</v>
          </cell>
          <cell r="AR91">
            <v>279172</v>
          </cell>
          <cell r="AS91">
            <v>0</v>
          </cell>
        </row>
        <row r="92">
          <cell r="P92">
            <v>7</v>
          </cell>
          <cell r="S92" t="str">
            <v xml:space="preserve"> </v>
          </cell>
          <cell r="U92" t="str">
            <v>DIFF.</v>
          </cell>
          <cell r="W92">
            <v>1100</v>
          </cell>
          <cell r="X92">
            <v>500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1600</v>
          </cell>
          <cell r="AI92">
            <v>19200</v>
          </cell>
          <cell r="AJ92">
            <v>0</v>
          </cell>
          <cell r="AK92">
            <v>0</v>
          </cell>
          <cell r="AL92">
            <v>5000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3564</v>
          </cell>
          <cell r="AR92">
            <v>27764</v>
          </cell>
          <cell r="AS92">
            <v>11.04</v>
          </cell>
        </row>
        <row r="93">
          <cell r="P93">
            <v>7</v>
          </cell>
          <cell r="S93" t="str">
            <v xml:space="preserve"> </v>
          </cell>
        </row>
        <row r="94">
          <cell r="G94">
            <v>2232</v>
          </cell>
          <cell r="H94" t="str">
            <v>MR APPANNA G</v>
          </cell>
          <cell r="I94">
            <v>25420</v>
          </cell>
          <cell r="J94">
            <v>36586</v>
          </cell>
          <cell r="K94">
            <v>11858</v>
          </cell>
          <cell r="L94" t="str">
            <v>MA</v>
          </cell>
          <cell r="M94">
            <v>21</v>
          </cell>
          <cell r="N94" t="str">
            <v>A2</v>
          </cell>
          <cell r="O94" t="str">
            <v>MAM</v>
          </cell>
          <cell r="P94">
            <v>7</v>
          </cell>
          <cell r="Q94" t="str">
            <v>Other Locations</v>
          </cell>
          <cell r="R94" t="str">
            <v>Nellore (Ap)</v>
          </cell>
          <cell r="S94" t="str">
            <v xml:space="preserve"> </v>
          </cell>
          <cell r="T94" t="str">
            <v>BA</v>
          </cell>
          <cell r="U94">
            <v>2001</v>
          </cell>
          <cell r="V94">
            <v>21150</v>
          </cell>
          <cell r="W94">
            <v>7150</v>
          </cell>
          <cell r="X94">
            <v>3500</v>
          </cell>
          <cell r="AA94">
            <v>500</v>
          </cell>
          <cell r="AB94">
            <v>150</v>
          </cell>
          <cell r="AC94">
            <v>0</v>
          </cell>
          <cell r="AD94" t="str">
            <v>CV</v>
          </cell>
          <cell r="AE94">
            <v>0</v>
          </cell>
          <cell r="AF94">
            <v>500</v>
          </cell>
          <cell r="AG94">
            <v>2750</v>
          </cell>
          <cell r="AH94">
            <v>14550</v>
          </cell>
          <cell r="AI94">
            <v>174600</v>
          </cell>
          <cell r="AJ94">
            <v>17500</v>
          </cell>
          <cell r="AK94">
            <v>20000</v>
          </cell>
          <cell r="AL94">
            <v>10000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23166</v>
          </cell>
          <cell r="AR94">
            <v>245266</v>
          </cell>
          <cell r="AS94">
            <v>0</v>
          </cell>
        </row>
        <row r="95">
          <cell r="M95">
            <v>21</v>
          </cell>
          <cell r="N95" t="str">
            <v>A2</v>
          </cell>
          <cell r="P95">
            <v>7</v>
          </cell>
          <cell r="S95" t="str">
            <v xml:space="preserve"> </v>
          </cell>
          <cell r="U95">
            <v>2002</v>
          </cell>
          <cell r="W95">
            <v>8250</v>
          </cell>
          <cell r="X95">
            <v>4000</v>
          </cell>
          <cell r="Z95">
            <v>0</v>
          </cell>
          <cell r="AA95">
            <v>500</v>
          </cell>
          <cell r="AB95">
            <v>150</v>
          </cell>
          <cell r="AC95">
            <v>0</v>
          </cell>
          <cell r="AF95">
            <v>500</v>
          </cell>
          <cell r="AG95">
            <v>2750</v>
          </cell>
          <cell r="AH95">
            <v>16150</v>
          </cell>
          <cell r="AI95">
            <v>193800</v>
          </cell>
          <cell r="AJ95">
            <v>17500</v>
          </cell>
          <cell r="AK95">
            <v>20000</v>
          </cell>
          <cell r="AL95">
            <v>15000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26730</v>
          </cell>
          <cell r="AR95">
            <v>273030</v>
          </cell>
          <cell r="AS95">
            <v>0</v>
          </cell>
        </row>
        <row r="96">
          <cell r="P96">
            <v>7</v>
          </cell>
          <cell r="S96" t="str">
            <v xml:space="preserve"> </v>
          </cell>
          <cell r="U96" t="str">
            <v>DIFF.</v>
          </cell>
          <cell r="W96">
            <v>1100</v>
          </cell>
          <cell r="X96">
            <v>500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1600</v>
          </cell>
          <cell r="AI96">
            <v>19200</v>
          </cell>
          <cell r="AJ96">
            <v>0</v>
          </cell>
          <cell r="AK96">
            <v>0</v>
          </cell>
          <cell r="AL96">
            <v>5000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3564</v>
          </cell>
          <cell r="AR96">
            <v>27764</v>
          </cell>
          <cell r="AS96">
            <v>11.32</v>
          </cell>
        </row>
        <row r="97">
          <cell r="P97">
            <v>7</v>
          </cell>
          <cell r="S97" t="str">
            <v xml:space="preserve"> </v>
          </cell>
        </row>
        <row r="98">
          <cell r="G98">
            <v>2234</v>
          </cell>
          <cell r="H98" t="str">
            <v>MR DWIVEDI S K</v>
          </cell>
          <cell r="I98">
            <v>25588</v>
          </cell>
          <cell r="J98">
            <v>36588</v>
          </cell>
          <cell r="K98">
            <v>11690</v>
          </cell>
          <cell r="L98" t="str">
            <v>MA</v>
          </cell>
          <cell r="M98">
            <v>21</v>
          </cell>
          <cell r="N98" t="str">
            <v>A2</v>
          </cell>
          <cell r="O98" t="str">
            <v>MAM</v>
          </cell>
          <cell r="P98">
            <v>7</v>
          </cell>
          <cell r="Q98" t="str">
            <v>Other Locations</v>
          </cell>
          <cell r="R98" t="str">
            <v>Ratlam</v>
          </cell>
          <cell r="S98" t="str">
            <v xml:space="preserve"> </v>
          </cell>
          <cell r="T98" t="str">
            <v>CA</v>
          </cell>
          <cell r="U98">
            <v>2001</v>
          </cell>
          <cell r="V98">
            <v>18000</v>
          </cell>
          <cell r="W98">
            <v>7150</v>
          </cell>
          <cell r="X98">
            <v>3500</v>
          </cell>
          <cell r="AA98">
            <v>500</v>
          </cell>
          <cell r="AB98">
            <v>150</v>
          </cell>
          <cell r="AC98">
            <v>0</v>
          </cell>
          <cell r="AD98" t="str">
            <v>CV</v>
          </cell>
          <cell r="AE98">
            <v>0</v>
          </cell>
          <cell r="AF98">
            <v>500</v>
          </cell>
          <cell r="AG98">
            <v>2750</v>
          </cell>
          <cell r="AH98">
            <v>14550</v>
          </cell>
          <cell r="AI98">
            <v>174600</v>
          </cell>
          <cell r="AJ98">
            <v>17500</v>
          </cell>
          <cell r="AK98">
            <v>20000</v>
          </cell>
          <cell r="AL98">
            <v>10000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23166</v>
          </cell>
          <cell r="AR98">
            <v>245266</v>
          </cell>
          <cell r="AS98">
            <v>0</v>
          </cell>
        </row>
        <row r="99">
          <cell r="M99">
            <v>21</v>
          </cell>
          <cell r="N99" t="str">
            <v>A2</v>
          </cell>
          <cell r="P99">
            <v>7</v>
          </cell>
          <cell r="S99" t="str">
            <v xml:space="preserve"> </v>
          </cell>
          <cell r="U99">
            <v>2002</v>
          </cell>
          <cell r="W99">
            <v>7900</v>
          </cell>
          <cell r="X99">
            <v>4000</v>
          </cell>
          <cell r="Z99">
            <v>0</v>
          </cell>
          <cell r="AA99">
            <v>500</v>
          </cell>
          <cell r="AB99">
            <v>150</v>
          </cell>
          <cell r="AC99">
            <v>0</v>
          </cell>
          <cell r="AF99">
            <v>500</v>
          </cell>
          <cell r="AG99">
            <v>2750</v>
          </cell>
          <cell r="AH99">
            <v>15800</v>
          </cell>
          <cell r="AI99">
            <v>189600</v>
          </cell>
          <cell r="AJ99">
            <v>17500</v>
          </cell>
          <cell r="AK99">
            <v>20000</v>
          </cell>
          <cell r="AL99">
            <v>15000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25596</v>
          </cell>
          <cell r="AR99">
            <v>267696</v>
          </cell>
          <cell r="AS99">
            <v>0</v>
          </cell>
        </row>
        <row r="100">
          <cell r="P100">
            <v>7</v>
          </cell>
          <cell r="S100" t="str">
            <v xml:space="preserve"> </v>
          </cell>
          <cell r="U100" t="str">
            <v>DIFF.</v>
          </cell>
          <cell r="W100">
            <v>750</v>
          </cell>
          <cell r="X100">
            <v>500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1250</v>
          </cell>
          <cell r="AI100">
            <v>15000</v>
          </cell>
          <cell r="AJ100">
            <v>0</v>
          </cell>
          <cell r="AK100">
            <v>0</v>
          </cell>
          <cell r="AL100">
            <v>5000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2430</v>
          </cell>
          <cell r="AR100">
            <v>22430</v>
          </cell>
          <cell r="AS100">
            <v>9.15</v>
          </cell>
        </row>
        <row r="101">
          <cell r="P101">
            <v>7</v>
          </cell>
          <cell r="S101" t="str">
            <v xml:space="preserve"> </v>
          </cell>
        </row>
        <row r="102">
          <cell r="G102">
            <v>2238</v>
          </cell>
          <cell r="H102" t="str">
            <v>MR GUPTA A</v>
          </cell>
          <cell r="I102">
            <v>27081</v>
          </cell>
          <cell r="J102">
            <v>36614</v>
          </cell>
          <cell r="K102">
            <v>10197</v>
          </cell>
          <cell r="L102" t="str">
            <v>MA</v>
          </cell>
          <cell r="M102">
            <v>21</v>
          </cell>
          <cell r="N102" t="str">
            <v>A2</v>
          </cell>
          <cell r="O102" t="str">
            <v>MAM</v>
          </cell>
          <cell r="P102">
            <v>7</v>
          </cell>
          <cell r="Q102" t="str">
            <v>Other Locations</v>
          </cell>
          <cell r="R102" t="str">
            <v>Muktsar (Haryana)</v>
          </cell>
          <cell r="S102" t="str">
            <v xml:space="preserve"> </v>
          </cell>
          <cell r="T102" t="str">
            <v>BA</v>
          </cell>
          <cell r="U102">
            <v>2001</v>
          </cell>
          <cell r="V102">
            <v>21150</v>
          </cell>
          <cell r="W102">
            <v>7150</v>
          </cell>
          <cell r="X102">
            <v>3500</v>
          </cell>
          <cell r="AA102">
            <v>500</v>
          </cell>
          <cell r="AB102">
            <v>150</v>
          </cell>
          <cell r="AC102">
            <v>0</v>
          </cell>
          <cell r="AD102" t="str">
            <v>CV</v>
          </cell>
          <cell r="AE102">
            <v>0</v>
          </cell>
          <cell r="AF102">
            <v>500</v>
          </cell>
          <cell r="AG102">
            <v>2750</v>
          </cell>
          <cell r="AH102">
            <v>14550</v>
          </cell>
          <cell r="AI102">
            <v>174600</v>
          </cell>
          <cell r="AJ102">
            <v>17500</v>
          </cell>
          <cell r="AK102">
            <v>20000</v>
          </cell>
          <cell r="AL102">
            <v>10000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23166</v>
          </cell>
          <cell r="AR102">
            <v>245266</v>
          </cell>
          <cell r="AS102">
            <v>0</v>
          </cell>
        </row>
        <row r="103">
          <cell r="M103">
            <v>21</v>
          </cell>
          <cell r="N103" t="str">
            <v>A2</v>
          </cell>
          <cell r="P103">
            <v>7</v>
          </cell>
          <cell r="S103" t="str">
            <v xml:space="preserve"> </v>
          </cell>
          <cell r="U103">
            <v>2002</v>
          </cell>
          <cell r="W103">
            <v>8250</v>
          </cell>
          <cell r="X103">
            <v>4000</v>
          </cell>
          <cell r="Z103">
            <v>0</v>
          </cell>
          <cell r="AA103">
            <v>500</v>
          </cell>
          <cell r="AB103">
            <v>150</v>
          </cell>
          <cell r="AC103">
            <v>0</v>
          </cell>
          <cell r="AF103">
            <v>500</v>
          </cell>
          <cell r="AG103">
            <v>2750</v>
          </cell>
          <cell r="AH103">
            <v>16150</v>
          </cell>
          <cell r="AI103">
            <v>193800</v>
          </cell>
          <cell r="AJ103">
            <v>17500</v>
          </cell>
          <cell r="AK103">
            <v>20000</v>
          </cell>
          <cell r="AL103">
            <v>15000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26730</v>
          </cell>
          <cell r="AR103">
            <v>273030</v>
          </cell>
          <cell r="AS103">
            <v>0</v>
          </cell>
        </row>
        <row r="104">
          <cell r="P104">
            <v>7</v>
          </cell>
          <cell r="S104" t="str">
            <v xml:space="preserve"> </v>
          </cell>
          <cell r="U104" t="str">
            <v>DIFF.</v>
          </cell>
          <cell r="W104">
            <v>1100</v>
          </cell>
          <cell r="X104">
            <v>500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1600</v>
          </cell>
          <cell r="AI104">
            <v>19200</v>
          </cell>
          <cell r="AJ104">
            <v>0</v>
          </cell>
          <cell r="AK104">
            <v>0</v>
          </cell>
          <cell r="AL104">
            <v>5000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3564</v>
          </cell>
          <cell r="AR104">
            <v>27764</v>
          </cell>
          <cell r="AS104">
            <v>11.32</v>
          </cell>
        </row>
        <row r="105">
          <cell r="P105">
            <v>7</v>
          </cell>
          <cell r="S105" t="str">
            <v xml:space="preserve"> </v>
          </cell>
        </row>
        <row r="106">
          <cell r="G106">
            <v>2261</v>
          </cell>
          <cell r="H106" t="str">
            <v>MR BEG M S</v>
          </cell>
          <cell r="I106">
            <v>24298</v>
          </cell>
          <cell r="J106">
            <v>36892</v>
          </cell>
          <cell r="K106">
            <v>12980</v>
          </cell>
          <cell r="L106" t="str">
            <v>MA</v>
          </cell>
          <cell r="M106">
            <v>21</v>
          </cell>
          <cell r="N106" t="str">
            <v>A1</v>
          </cell>
          <cell r="O106" t="str">
            <v>MAM</v>
          </cell>
          <cell r="P106">
            <v>7</v>
          </cell>
          <cell r="Q106" t="str">
            <v>Other Locations</v>
          </cell>
          <cell r="R106" t="str">
            <v>Bareilly (Up)</v>
          </cell>
          <cell r="S106" t="str">
            <v xml:space="preserve"> </v>
          </cell>
          <cell r="T106" t="str">
            <v>CL</v>
          </cell>
          <cell r="U106">
            <v>2001</v>
          </cell>
          <cell r="V106">
            <v>18000</v>
          </cell>
          <cell r="W106">
            <v>7150</v>
          </cell>
          <cell r="X106">
            <v>3500</v>
          </cell>
          <cell r="AA106">
            <v>500</v>
          </cell>
          <cell r="AB106">
            <v>150</v>
          </cell>
          <cell r="AD106" t="str">
            <v>CV</v>
          </cell>
          <cell r="AE106">
            <v>0</v>
          </cell>
          <cell r="AG106">
            <v>2750</v>
          </cell>
          <cell r="AH106">
            <v>14050</v>
          </cell>
          <cell r="AI106">
            <v>168600</v>
          </cell>
          <cell r="AJ106">
            <v>17500</v>
          </cell>
          <cell r="AK106">
            <v>20000</v>
          </cell>
          <cell r="AL106">
            <v>10000</v>
          </cell>
          <cell r="AQ106">
            <v>23166</v>
          </cell>
          <cell r="AR106">
            <v>239266</v>
          </cell>
        </row>
        <row r="107">
          <cell r="M107">
            <v>21</v>
          </cell>
          <cell r="N107" t="str">
            <v>A1</v>
          </cell>
          <cell r="P107">
            <v>7</v>
          </cell>
          <cell r="S107" t="str">
            <v xml:space="preserve"> </v>
          </cell>
          <cell r="U107">
            <v>2002</v>
          </cell>
          <cell r="W107">
            <v>7800</v>
          </cell>
          <cell r="X107">
            <v>4000</v>
          </cell>
          <cell r="Z107">
            <v>0</v>
          </cell>
          <cell r="AA107">
            <v>500</v>
          </cell>
          <cell r="AB107">
            <v>150</v>
          </cell>
          <cell r="AC107">
            <v>0</v>
          </cell>
          <cell r="AF107">
            <v>0</v>
          </cell>
          <cell r="AG107">
            <v>2750</v>
          </cell>
          <cell r="AH107">
            <v>15200</v>
          </cell>
          <cell r="AI107">
            <v>182400</v>
          </cell>
          <cell r="AJ107">
            <v>17500</v>
          </cell>
          <cell r="AK107">
            <v>20000</v>
          </cell>
          <cell r="AL107">
            <v>15000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25272</v>
          </cell>
          <cell r="AR107">
            <v>260172</v>
          </cell>
          <cell r="AS107">
            <v>0</v>
          </cell>
        </row>
        <row r="108">
          <cell r="P108">
            <v>7</v>
          </cell>
          <cell r="S108" t="str">
            <v xml:space="preserve"> </v>
          </cell>
          <cell r="U108" t="str">
            <v>DIFF.</v>
          </cell>
          <cell r="W108">
            <v>650</v>
          </cell>
          <cell r="X108">
            <v>500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1150</v>
          </cell>
          <cell r="AI108">
            <v>13800</v>
          </cell>
          <cell r="AJ108">
            <v>0</v>
          </cell>
          <cell r="AK108">
            <v>0</v>
          </cell>
          <cell r="AL108">
            <v>5000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2106</v>
          </cell>
          <cell r="AR108">
            <v>20906</v>
          </cell>
          <cell r="AS108">
            <v>8.74</v>
          </cell>
        </row>
        <row r="109">
          <cell r="P109">
            <v>7</v>
          </cell>
          <cell r="S109" t="str">
            <v xml:space="preserve"> </v>
          </cell>
        </row>
        <row r="110">
          <cell r="G110">
            <v>2262</v>
          </cell>
          <cell r="H110" t="str">
            <v>MR CHATTERJEE D S</v>
          </cell>
          <cell r="I110">
            <v>27376</v>
          </cell>
          <cell r="J110">
            <v>36892</v>
          </cell>
          <cell r="K110">
            <v>9902</v>
          </cell>
          <cell r="L110" t="str">
            <v>MA</v>
          </cell>
          <cell r="M110">
            <v>21</v>
          </cell>
          <cell r="N110" t="str">
            <v>A1</v>
          </cell>
          <cell r="O110" t="str">
            <v>MAM</v>
          </cell>
          <cell r="P110">
            <v>7</v>
          </cell>
          <cell r="Q110" t="str">
            <v>Other Locations</v>
          </cell>
          <cell r="R110" t="str">
            <v>Malda (Wb)</v>
          </cell>
          <cell r="S110" t="str">
            <v xml:space="preserve"> </v>
          </cell>
          <cell r="T110" t="str">
            <v>CA</v>
          </cell>
          <cell r="U110">
            <v>2001</v>
          </cell>
          <cell r="V110">
            <v>18000</v>
          </cell>
          <cell r="W110">
            <v>7150</v>
          </cell>
          <cell r="X110">
            <v>3500</v>
          </cell>
          <cell r="AA110">
            <v>500</v>
          </cell>
          <cell r="AB110">
            <v>150</v>
          </cell>
          <cell r="AD110" t="str">
            <v>CV</v>
          </cell>
          <cell r="AE110">
            <v>0</v>
          </cell>
          <cell r="AG110">
            <v>2750</v>
          </cell>
          <cell r="AH110">
            <v>14050</v>
          </cell>
          <cell r="AI110">
            <v>168600</v>
          </cell>
          <cell r="AJ110">
            <v>17500</v>
          </cell>
          <cell r="AK110">
            <v>20000</v>
          </cell>
          <cell r="AL110">
            <v>10000</v>
          </cell>
          <cell r="AQ110">
            <v>23166</v>
          </cell>
          <cell r="AR110">
            <v>239266</v>
          </cell>
        </row>
        <row r="111">
          <cell r="M111">
            <v>21</v>
          </cell>
          <cell r="N111" t="str">
            <v>A1</v>
          </cell>
          <cell r="P111">
            <v>7</v>
          </cell>
          <cell r="S111" t="str">
            <v xml:space="preserve"> </v>
          </cell>
          <cell r="U111">
            <v>2002</v>
          </cell>
          <cell r="W111">
            <v>7900</v>
          </cell>
          <cell r="X111">
            <v>4000</v>
          </cell>
          <cell r="Z111">
            <v>0</v>
          </cell>
          <cell r="AA111">
            <v>500</v>
          </cell>
          <cell r="AB111">
            <v>150</v>
          </cell>
          <cell r="AC111">
            <v>0</v>
          </cell>
          <cell r="AF111">
            <v>0</v>
          </cell>
          <cell r="AG111">
            <v>2750</v>
          </cell>
          <cell r="AH111">
            <v>15300</v>
          </cell>
          <cell r="AI111">
            <v>183600</v>
          </cell>
          <cell r="AJ111">
            <v>17500</v>
          </cell>
          <cell r="AK111">
            <v>20000</v>
          </cell>
          <cell r="AL111">
            <v>15000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25596</v>
          </cell>
          <cell r="AR111">
            <v>261696</v>
          </cell>
          <cell r="AS111">
            <v>0</v>
          </cell>
        </row>
        <row r="112">
          <cell r="P112">
            <v>7</v>
          </cell>
          <cell r="S112" t="str">
            <v xml:space="preserve"> </v>
          </cell>
          <cell r="U112" t="str">
            <v>DIFF.</v>
          </cell>
          <cell r="W112">
            <v>750</v>
          </cell>
          <cell r="X112">
            <v>500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1250</v>
          </cell>
          <cell r="AI112">
            <v>15000</v>
          </cell>
          <cell r="AJ112">
            <v>0</v>
          </cell>
          <cell r="AK112">
            <v>0</v>
          </cell>
          <cell r="AL112">
            <v>5000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2430</v>
          </cell>
          <cell r="AR112">
            <v>22430</v>
          </cell>
          <cell r="AS112">
            <v>9.3699999999999992</v>
          </cell>
        </row>
        <row r="113">
          <cell r="P113">
            <v>7</v>
          </cell>
          <cell r="S113" t="str">
            <v xml:space="preserve"> </v>
          </cell>
        </row>
        <row r="114">
          <cell r="G114">
            <v>2263</v>
          </cell>
          <cell r="H114" t="str">
            <v>MR KAUSHIK RAJESH</v>
          </cell>
          <cell r="I114">
            <v>26208</v>
          </cell>
          <cell r="J114">
            <v>36892</v>
          </cell>
          <cell r="K114">
            <v>11070</v>
          </cell>
          <cell r="L114" t="str">
            <v>MA</v>
          </cell>
          <cell r="M114">
            <v>21</v>
          </cell>
          <cell r="N114" t="str">
            <v>A1</v>
          </cell>
          <cell r="O114" t="str">
            <v>MAM</v>
          </cell>
          <cell r="P114">
            <v>7</v>
          </cell>
          <cell r="Q114" t="str">
            <v>Other Locations</v>
          </cell>
          <cell r="R114" t="str">
            <v>Mansa (  )</v>
          </cell>
          <cell r="S114" t="str">
            <v xml:space="preserve"> </v>
          </cell>
          <cell r="T114" t="str">
            <v>BP</v>
          </cell>
          <cell r="U114">
            <v>2001</v>
          </cell>
          <cell r="V114">
            <v>21150</v>
          </cell>
          <cell r="W114">
            <v>7150</v>
          </cell>
          <cell r="X114">
            <v>3500</v>
          </cell>
          <cell r="AA114">
            <v>500</v>
          </cell>
          <cell r="AB114">
            <v>150</v>
          </cell>
          <cell r="AD114" t="str">
            <v>CV</v>
          </cell>
          <cell r="AE114">
            <v>0</v>
          </cell>
          <cell r="AG114">
            <v>2750</v>
          </cell>
          <cell r="AH114">
            <v>14050</v>
          </cell>
          <cell r="AI114">
            <v>168600</v>
          </cell>
          <cell r="AJ114">
            <v>17500</v>
          </cell>
          <cell r="AK114">
            <v>20000</v>
          </cell>
          <cell r="AL114">
            <v>10000</v>
          </cell>
          <cell r="AQ114">
            <v>23166</v>
          </cell>
          <cell r="AR114">
            <v>239266</v>
          </cell>
        </row>
        <row r="115">
          <cell r="M115">
            <v>21</v>
          </cell>
          <cell r="N115" t="str">
            <v>A1</v>
          </cell>
          <cell r="P115">
            <v>7</v>
          </cell>
          <cell r="S115" t="str">
            <v xml:space="preserve"> </v>
          </cell>
          <cell r="U115">
            <v>2002</v>
          </cell>
          <cell r="W115">
            <v>8350</v>
          </cell>
          <cell r="X115">
            <v>4000</v>
          </cell>
          <cell r="Z115">
            <v>0</v>
          </cell>
          <cell r="AA115">
            <v>500</v>
          </cell>
          <cell r="AB115">
            <v>150</v>
          </cell>
          <cell r="AC115">
            <v>0</v>
          </cell>
          <cell r="AF115">
            <v>0</v>
          </cell>
          <cell r="AG115">
            <v>2750</v>
          </cell>
          <cell r="AH115">
            <v>15750</v>
          </cell>
          <cell r="AI115">
            <v>189000</v>
          </cell>
          <cell r="AJ115">
            <v>17500</v>
          </cell>
          <cell r="AK115">
            <v>20000</v>
          </cell>
          <cell r="AL115">
            <v>15000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27054</v>
          </cell>
          <cell r="AR115">
            <v>268554</v>
          </cell>
          <cell r="AS115">
            <v>0</v>
          </cell>
        </row>
        <row r="116">
          <cell r="P116">
            <v>7</v>
          </cell>
          <cell r="S116" t="str">
            <v xml:space="preserve"> </v>
          </cell>
          <cell r="U116" t="str">
            <v>DIFF.</v>
          </cell>
          <cell r="W116">
            <v>1200</v>
          </cell>
          <cell r="X116">
            <v>500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1700</v>
          </cell>
          <cell r="AI116">
            <v>20400</v>
          </cell>
          <cell r="AJ116">
            <v>0</v>
          </cell>
          <cell r="AK116">
            <v>0</v>
          </cell>
          <cell r="AL116">
            <v>5000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3888</v>
          </cell>
          <cell r="AR116">
            <v>29288</v>
          </cell>
          <cell r="AS116">
            <v>12.24</v>
          </cell>
        </row>
        <row r="117">
          <cell r="P117">
            <v>7</v>
          </cell>
          <cell r="S117" t="str">
            <v xml:space="preserve"> </v>
          </cell>
        </row>
        <row r="118">
          <cell r="G118">
            <v>2266</v>
          </cell>
          <cell r="H118" t="str">
            <v>MRS JACINTA SIMOES</v>
          </cell>
          <cell r="I118">
            <v>24767</v>
          </cell>
          <cell r="J118">
            <v>36986</v>
          </cell>
          <cell r="K118">
            <v>12511</v>
          </cell>
          <cell r="L118" t="str">
            <v>MA</v>
          </cell>
          <cell r="M118">
            <v>21</v>
          </cell>
          <cell r="O118" t="str">
            <v>MAT</v>
          </cell>
          <cell r="P118">
            <v>1</v>
          </cell>
          <cell r="Q118" t="str">
            <v>Mumbai</v>
          </cell>
          <cell r="R118" t="str">
            <v>Ho</v>
          </cell>
          <cell r="S118" t="str">
            <v xml:space="preserve"> </v>
          </cell>
          <cell r="T118" t="str">
            <v>CL</v>
          </cell>
          <cell r="U118">
            <v>2001</v>
          </cell>
          <cell r="V118">
            <v>13500</v>
          </cell>
          <cell r="W118">
            <v>7000</v>
          </cell>
          <cell r="X118">
            <v>3500</v>
          </cell>
          <cell r="AA118">
            <v>500</v>
          </cell>
          <cell r="AB118">
            <v>150</v>
          </cell>
          <cell r="AC118">
            <v>800</v>
          </cell>
          <cell r="AE118">
            <v>1000</v>
          </cell>
          <cell r="AG118">
            <v>2750</v>
          </cell>
          <cell r="AH118">
            <v>15700</v>
          </cell>
          <cell r="AI118">
            <v>188400</v>
          </cell>
          <cell r="AJ118">
            <v>17500</v>
          </cell>
          <cell r="AK118">
            <v>20000</v>
          </cell>
          <cell r="AL118">
            <v>10000</v>
          </cell>
          <cell r="AQ118">
            <v>22680</v>
          </cell>
          <cell r="AR118">
            <v>258580</v>
          </cell>
        </row>
        <row r="119">
          <cell r="M119">
            <v>21</v>
          </cell>
          <cell r="P119">
            <v>1</v>
          </cell>
          <cell r="S119" t="str">
            <v xml:space="preserve"> </v>
          </cell>
          <cell r="U119">
            <v>2002</v>
          </cell>
          <cell r="W119">
            <v>7650</v>
          </cell>
          <cell r="X119">
            <v>5500</v>
          </cell>
          <cell r="Z119">
            <v>0</v>
          </cell>
          <cell r="AA119">
            <v>500</v>
          </cell>
          <cell r="AB119">
            <v>150</v>
          </cell>
          <cell r="AC119">
            <v>800</v>
          </cell>
          <cell r="AF119">
            <v>0</v>
          </cell>
          <cell r="AG119">
            <v>2750</v>
          </cell>
          <cell r="AH119">
            <v>17350</v>
          </cell>
          <cell r="AI119">
            <v>208200</v>
          </cell>
          <cell r="AJ119">
            <v>17500</v>
          </cell>
          <cell r="AK119">
            <v>20000</v>
          </cell>
          <cell r="AL119">
            <v>15000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24786</v>
          </cell>
          <cell r="AR119">
            <v>285486</v>
          </cell>
          <cell r="AS119">
            <v>0</v>
          </cell>
        </row>
        <row r="120">
          <cell r="P120">
            <v>1</v>
          </cell>
          <cell r="S120" t="str">
            <v xml:space="preserve"> </v>
          </cell>
          <cell r="U120" t="str">
            <v>DIFF.</v>
          </cell>
          <cell r="W120">
            <v>650</v>
          </cell>
          <cell r="X120">
            <v>2000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-1000</v>
          </cell>
          <cell r="AF120">
            <v>0</v>
          </cell>
          <cell r="AG120">
            <v>0</v>
          </cell>
          <cell r="AH120">
            <v>1650</v>
          </cell>
          <cell r="AI120">
            <v>19800</v>
          </cell>
          <cell r="AJ120">
            <v>0</v>
          </cell>
          <cell r="AK120">
            <v>0</v>
          </cell>
          <cell r="AL120">
            <v>5000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2106</v>
          </cell>
          <cell r="AR120">
            <v>26906</v>
          </cell>
          <cell r="AS120">
            <v>10.41</v>
          </cell>
        </row>
        <row r="121">
          <cell r="P121">
            <v>1</v>
          </cell>
          <cell r="S121" t="str">
            <v xml:space="preserve"> </v>
          </cell>
        </row>
        <row r="122">
          <cell r="G122">
            <v>2284</v>
          </cell>
          <cell r="H122" t="str">
            <v>MR PATEL N A</v>
          </cell>
          <cell r="I122">
            <v>27277</v>
          </cell>
          <cell r="J122">
            <v>37067</v>
          </cell>
          <cell r="K122">
            <v>10001</v>
          </cell>
          <cell r="L122" t="str">
            <v>MA</v>
          </cell>
          <cell r="M122">
            <v>21</v>
          </cell>
          <cell r="N122" t="str">
            <v>A1</v>
          </cell>
          <cell r="O122" t="str">
            <v>MAM</v>
          </cell>
          <cell r="P122">
            <v>7</v>
          </cell>
          <cell r="Q122" t="str">
            <v>Other Locations</v>
          </cell>
          <cell r="R122" t="str">
            <v>Amd</v>
          </cell>
          <cell r="S122" t="str">
            <v xml:space="preserve"> </v>
          </cell>
          <cell r="T122" t="str">
            <v>CL</v>
          </cell>
          <cell r="U122">
            <v>2001</v>
          </cell>
          <cell r="V122">
            <v>10500</v>
          </cell>
          <cell r="W122">
            <v>6750</v>
          </cell>
          <cell r="X122">
            <v>3500</v>
          </cell>
          <cell r="AA122">
            <v>500</v>
          </cell>
          <cell r="AB122">
            <v>150</v>
          </cell>
          <cell r="AD122" t="str">
            <v>CV</v>
          </cell>
          <cell r="AE122">
            <v>0</v>
          </cell>
          <cell r="AG122">
            <v>2750</v>
          </cell>
          <cell r="AH122">
            <v>13650</v>
          </cell>
          <cell r="AI122">
            <v>163800</v>
          </cell>
          <cell r="AJ122">
            <v>17500</v>
          </cell>
          <cell r="AK122">
            <v>20000</v>
          </cell>
          <cell r="AL122">
            <v>10000</v>
          </cell>
          <cell r="AQ122">
            <v>21870</v>
          </cell>
          <cell r="AR122">
            <v>233170</v>
          </cell>
        </row>
        <row r="123">
          <cell r="M123">
            <v>21</v>
          </cell>
          <cell r="N123" t="str">
            <v>A1</v>
          </cell>
          <cell r="P123">
            <v>7</v>
          </cell>
          <cell r="S123" t="str">
            <v xml:space="preserve"> </v>
          </cell>
          <cell r="U123">
            <v>2002</v>
          </cell>
          <cell r="W123">
            <v>7400</v>
          </cell>
          <cell r="X123">
            <v>4000</v>
          </cell>
          <cell r="Z123">
            <v>0</v>
          </cell>
          <cell r="AA123">
            <v>500</v>
          </cell>
          <cell r="AB123">
            <v>150</v>
          </cell>
          <cell r="AC123">
            <v>0</v>
          </cell>
          <cell r="AF123">
            <v>0</v>
          </cell>
          <cell r="AG123">
            <v>2750</v>
          </cell>
          <cell r="AH123">
            <v>14800</v>
          </cell>
          <cell r="AI123">
            <v>177600</v>
          </cell>
          <cell r="AJ123">
            <v>17500</v>
          </cell>
          <cell r="AK123">
            <v>20000</v>
          </cell>
          <cell r="AL123">
            <v>15000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23976</v>
          </cell>
          <cell r="AR123">
            <v>254076</v>
          </cell>
          <cell r="AS123">
            <v>0</v>
          </cell>
        </row>
        <row r="124">
          <cell r="P124">
            <v>7</v>
          </cell>
          <cell r="S124" t="str">
            <v xml:space="preserve"> </v>
          </cell>
          <cell r="U124" t="str">
            <v>DIFF.</v>
          </cell>
          <cell r="W124">
            <v>650</v>
          </cell>
          <cell r="X124">
            <v>500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1150</v>
          </cell>
          <cell r="AI124">
            <v>13800</v>
          </cell>
          <cell r="AJ124">
            <v>0</v>
          </cell>
          <cell r="AK124">
            <v>0</v>
          </cell>
          <cell r="AL124">
            <v>5000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2106</v>
          </cell>
          <cell r="AR124">
            <v>20906</v>
          </cell>
          <cell r="AS124">
            <v>8.9700000000000006</v>
          </cell>
        </row>
        <row r="125">
          <cell r="P125">
            <v>7</v>
          </cell>
          <cell r="S125" t="str">
            <v xml:space="preserve"> </v>
          </cell>
        </row>
        <row r="126">
          <cell r="G126">
            <v>2315</v>
          </cell>
          <cell r="H126" t="str">
            <v>MR RAMKUMAR JHA</v>
          </cell>
          <cell r="I126">
            <v>25530</v>
          </cell>
          <cell r="J126">
            <v>34853</v>
          </cell>
          <cell r="K126">
            <v>11748</v>
          </cell>
          <cell r="L126" t="str">
            <v>MA</v>
          </cell>
          <cell r="M126">
            <v>21</v>
          </cell>
          <cell r="N126" t="str">
            <v>A2</v>
          </cell>
          <cell r="O126" t="str">
            <v>MA</v>
          </cell>
          <cell r="P126">
            <v>7</v>
          </cell>
          <cell r="Q126" t="str">
            <v>Other Locations</v>
          </cell>
          <cell r="R126" t="str">
            <v>Ujjain (Mp)</v>
          </cell>
          <cell r="S126" t="str">
            <v xml:space="preserve"> </v>
          </cell>
          <cell r="T126" t="str">
            <v>CA</v>
          </cell>
          <cell r="U126">
            <v>2001</v>
          </cell>
          <cell r="V126">
            <v>18000</v>
          </cell>
          <cell r="W126">
            <v>7530</v>
          </cell>
          <cell r="X126">
            <v>3500</v>
          </cell>
          <cell r="AA126">
            <v>500</v>
          </cell>
          <cell r="AB126">
            <v>150</v>
          </cell>
          <cell r="AD126" t="str">
            <v>CV</v>
          </cell>
          <cell r="AE126">
            <v>0</v>
          </cell>
          <cell r="AF126">
            <v>500</v>
          </cell>
          <cell r="AG126">
            <v>2750</v>
          </cell>
          <cell r="AH126">
            <v>14930</v>
          </cell>
          <cell r="AI126">
            <v>179160</v>
          </cell>
          <cell r="AJ126">
            <v>17500</v>
          </cell>
          <cell r="AK126">
            <v>20000</v>
          </cell>
          <cell r="AL126">
            <v>10000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24397</v>
          </cell>
          <cell r="AR126">
            <v>251057</v>
          </cell>
          <cell r="AS126">
            <v>0</v>
          </cell>
        </row>
        <row r="127">
          <cell r="M127">
            <v>21</v>
          </cell>
          <cell r="N127" t="str">
            <v>A2</v>
          </cell>
          <cell r="P127">
            <v>7</v>
          </cell>
          <cell r="S127" t="str">
            <v xml:space="preserve"> </v>
          </cell>
          <cell r="U127">
            <v>2002</v>
          </cell>
          <cell r="W127">
            <v>8280</v>
          </cell>
          <cell r="X127">
            <v>4000</v>
          </cell>
          <cell r="Z127">
            <v>0</v>
          </cell>
          <cell r="AA127">
            <v>500</v>
          </cell>
          <cell r="AB127">
            <v>150</v>
          </cell>
          <cell r="AC127">
            <v>0</v>
          </cell>
          <cell r="AF127">
            <v>500</v>
          </cell>
          <cell r="AG127">
            <v>2750</v>
          </cell>
          <cell r="AH127">
            <v>16180</v>
          </cell>
          <cell r="AI127">
            <v>194160</v>
          </cell>
          <cell r="AJ127">
            <v>17500</v>
          </cell>
          <cell r="AK127">
            <v>20000</v>
          </cell>
          <cell r="AL127">
            <v>15000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26827</v>
          </cell>
          <cell r="AR127">
            <v>273487</v>
          </cell>
          <cell r="AS127">
            <v>0</v>
          </cell>
        </row>
        <row r="128">
          <cell r="P128">
            <v>7</v>
          </cell>
          <cell r="S128" t="str">
            <v xml:space="preserve"> </v>
          </cell>
          <cell r="U128" t="str">
            <v>DIFF.</v>
          </cell>
          <cell r="W128">
            <v>750</v>
          </cell>
          <cell r="X128">
            <v>500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1250</v>
          </cell>
          <cell r="AI128">
            <v>15000</v>
          </cell>
          <cell r="AJ128">
            <v>0</v>
          </cell>
          <cell r="AK128">
            <v>0</v>
          </cell>
          <cell r="AL128">
            <v>5000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2430</v>
          </cell>
          <cell r="AR128">
            <v>22430</v>
          </cell>
          <cell r="AS128">
            <v>8.93</v>
          </cell>
        </row>
        <row r="129">
          <cell r="P129">
            <v>7</v>
          </cell>
          <cell r="S129" t="str">
            <v xml:space="preserve"> </v>
          </cell>
        </row>
        <row r="130">
          <cell r="G130">
            <v>2316</v>
          </cell>
          <cell r="H130" t="str">
            <v>MR RAGHUNANDAN S.V.</v>
          </cell>
          <cell r="I130">
            <v>24367</v>
          </cell>
          <cell r="J130">
            <v>34907</v>
          </cell>
          <cell r="K130">
            <v>12911</v>
          </cell>
          <cell r="L130" t="str">
            <v>MA</v>
          </cell>
          <cell r="M130">
            <v>21</v>
          </cell>
          <cell r="N130" t="str">
            <v>A1</v>
          </cell>
          <cell r="O130" t="str">
            <v>MA</v>
          </cell>
          <cell r="P130">
            <v>7</v>
          </cell>
          <cell r="Q130" t="str">
            <v>Other Locations</v>
          </cell>
          <cell r="R130" t="str">
            <v>Karim Nagar (Ap)</v>
          </cell>
          <cell r="S130" t="str">
            <v xml:space="preserve"> </v>
          </cell>
          <cell r="T130" t="str">
            <v>CA</v>
          </cell>
          <cell r="U130">
            <v>2001</v>
          </cell>
          <cell r="V130">
            <v>18000</v>
          </cell>
          <cell r="W130">
            <v>6020</v>
          </cell>
          <cell r="X130">
            <v>3500</v>
          </cell>
          <cell r="AA130">
            <v>500</v>
          </cell>
          <cell r="AB130">
            <v>150</v>
          </cell>
          <cell r="AD130" t="str">
            <v>CV</v>
          </cell>
          <cell r="AE130">
            <v>0</v>
          </cell>
          <cell r="AG130">
            <v>2750</v>
          </cell>
          <cell r="AH130">
            <v>12920</v>
          </cell>
          <cell r="AI130">
            <v>155040</v>
          </cell>
          <cell r="AJ130">
            <v>17500</v>
          </cell>
          <cell r="AK130">
            <v>20000</v>
          </cell>
          <cell r="AL130">
            <v>10000</v>
          </cell>
          <cell r="AQ130">
            <v>19505</v>
          </cell>
          <cell r="AR130">
            <v>222045</v>
          </cell>
        </row>
        <row r="131">
          <cell r="M131">
            <v>21</v>
          </cell>
          <cell r="N131" t="str">
            <v>A1</v>
          </cell>
          <cell r="P131">
            <v>7</v>
          </cell>
          <cell r="S131" t="str">
            <v xml:space="preserve"> </v>
          </cell>
          <cell r="U131">
            <v>2002</v>
          </cell>
          <cell r="W131">
            <v>6770</v>
          </cell>
          <cell r="X131">
            <v>4000</v>
          </cell>
          <cell r="Z131">
            <v>0</v>
          </cell>
          <cell r="AA131">
            <v>500</v>
          </cell>
          <cell r="AB131">
            <v>150</v>
          </cell>
          <cell r="AC131">
            <v>0</v>
          </cell>
          <cell r="AF131">
            <v>0</v>
          </cell>
          <cell r="AG131">
            <v>2750</v>
          </cell>
          <cell r="AH131">
            <v>14170</v>
          </cell>
          <cell r="AI131">
            <v>170040</v>
          </cell>
          <cell r="AJ131">
            <v>17500</v>
          </cell>
          <cell r="AK131">
            <v>20000</v>
          </cell>
          <cell r="AL131">
            <v>15000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21935</v>
          </cell>
          <cell r="AR131">
            <v>244475</v>
          </cell>
          <cell r="AS131">
            <v>0</v>
          </cell>
        </row>
        <row r="132">
          <cell r="P132">
            <v>7</v>
          </cell>
          <cell r="S132" t="str">
            <v xml:space="preserve"> </v>
          </cell>
          <cell r="U132" t="str">
            <v>DIFF.</v>
          </cell>
          <cell r="W132">
            <v>750</v>
          </cell>
          <cell r="X132">
            <v>500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1250</v>
          </cell>
          <cell r="AI132">
            <v>15000</v>
          </cell>
          <cell r="AJ132">
            <v>0</v>
          </cell>
          <cell r="AK132">
            <v>0</v>
          </cell>
          <cell r="AL132">
            <v>5000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2430</v>
          </cell>
          <cell r="AR132">
            <v>22430</v>
          </cell>
          <cell r="AS132">
            <v>10.1</v>
          </cell>
        </row>
        <row r="133">
          <cell r="P133">
            <v>7</v>
          </cell>
          <cell r="S133" t="str">
            <v xml:space="preserve"> </v>
          </cell>
        </row>
        <row r="134">
          <cell r="G134">
            <v>2318</v>
          </cell>
          <cell r="H134" t="str">
            <v>MR VISHWANATHAN P BHAT</v>
          </cell>
          <cell r="I134">
            <v>25203</v>
          </cell>
          <cell r="J134">
            <v>34939</v>
          </cell>
          <cell r="K134">
            <v>12075</v>
          </cell>
          <cell r="L134" t="str">
            <v>MA</v>
          </cell>
          <cell r="M134">
            <v>21</v>
          </cell>
          <cell r="N134" t="str">
            <v>A2</v>
          </cell>
          <cell r="O134" t="str">
            <v>MA</v>
          </cell>
          <cell r="P134">
            <v>7</v>
          </cell>
          <cell r="Q134" t="str">
            <v>Other Locations</v>
          </cell>
          <cell r="R134" t="str">
            <v>Bellari (Karnataka)</v>
          </cell>
          <cell r="S134" t="str">
            <v xml:space="preserve"> </v>
          </cell>
          <cell r="T134" t="str">
            <v>CA</v>
          </cell>
          <cell r="U134">
            <v>2001</v>
          </cell>
          <cell r="V134">
            <v>18000</v>
          </cell>
          <cell r="W134">
            <v>6935</v>
          </cell>
          <cell r="X134">
            <v>3500</v>
          </cell>
          <cell r="AA134">
            <v>500</v>
          </cell>
          <cell r="AB134">
            <v>150</v>
          </cell>
          <cell r="AD134" t="str">
            <v>CV</v>
          </cell>
          <cell r="AE134">
            <v>0</v>
          </cell>
          <cell r="AF134">
            <v>500</v>
          </cell>
          <cell r="AG134">
            <v>2750</v>
          </cell>
          <cell r="AH134">
            <v>14335</v>
          </cell>
          <cell r="AI134">
            <v>172020</v>
          </cell>
          <cell r="AJ134">
            <v>17500</v>
          </cell>
          <cell r="AK134">
            <v>20000</v>
          </cell>
          <cell r="AL134">
            <v>10000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22469</v>
          </cell>
          <cell r="AR134">
            <v>241989</v>
          </cell>
          <cell r="AS134">
            <v>0</v>
          </cell>
        </row>
        <row r="135">
          <cell r="M135">
            <v>21</v>
          </cell>
          <cell r="N135" t="str">
            <v>A2</v>
          </cell>
          <cell r="P135">
            <v>7</v>
          </cell>
          <cell r="S135" t="str">
            <v xml:space="preserve"> </v>
          </cell>
          <cell r="U135">
            <v>2002</v>
          </cell>
          <cell r="W135">
            <v>7685</v>
          </cell>
          <cell r="X135">
            <v>4000</v>
          </cell>
          <cell r="Z135">
            <v>0</v>
          </cell>
          <cell r="AA135">
            <v>500</v>
          </cell>
          <cell r="AB135">
            <v>150</v>
          </cell>
          <cell r="AC135">
            <v>0</v>
          </cell>
          <cell r="AF135">
            <v>500</v>
          </cell>
          <cell r="AG135">
            <v>2750</v>
          </cell>
          <cell r="AH135">
            <v>15585</v>
          </cell>
          <cell r="AI135">
            <v>187020</v>
          </cell>
          <cell r="AJ135">
            <v>17500</v>
          </cell>
          <cell r="AK135">
            <v>20000</v>
          </cell>
          <cell r="AL135">
            <v>15000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24899</v>
          </cell>
          <cell r="AR135">
            <v>264419</v>
          </cell>
          <cell r="AS135">
            <v>0</v>
          </cell>
        </row>
        <row r="136">
          <cell r="P136">
            <v>7</v>
          </cell>
          <cell r="S136" t="str">
            <v xml:space="preserve"> </v>
          </cell>
          <cell r="U136" t="str">
            <v>DIFF.</v>
          </cell>
          <cell r="W136">
            <v>750</v>
          </cell>
          <cell r="X136">
            <v>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1250</v>
          </cell>
          <cell r="AI136">
            <v>15000</v>
          </cell>
          <cell r="AJ136">
            <v>0</v>
          </cell>
          <cell r="AK136">
            <v>0</v>
          </cell>
          <cell r="AL136">
            <v>5000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2430</v>
          </cell>
          <cell r="AR136">
            <v>22430</v>
          </cell>
          <cell r="AS136">
            <v>9.27</v>
          </cell>
        </row>
        <row r="137">
          <cell r="P137">
            <v>7</v>
          </cell>
          <cell r="S137" t="str">
            <v xml:space="preserve"> </v>
          </cell>
        </row>
        <row r="138">
          <cell r="G138">
            <v>2320</v>
          </cell>
          <cell r="H138" t="str">
            <v>MR JOYDEB PAL</v>
          </cell>
          <cell r="I138">
            <v>25408</v>
          </cell>
          <cell r="J138">
            <v>34968</v>
          </cell>
          <cell r="K138">
            <v>11870</v>
          </cell>
          <cell r="L138" t="str">
            <v>MA</v>
          </cell>
          <cell r="M138">
            <v>21</v>
          </cell>
          <cell r="N138" t="str">
            <v>A2</v>
          </cell>
          <cell r="O138" t="str">
            <v>MA</v>
          </cell>
          <cell r="P138">
            <v>7</v>
          </cell>
          <cell r="Q138" t="str">
            <v>Other Locations</v>
          </cell>
          <cell r="R138" t="str">
            <v>Jorhat (Assam)</v>
          </cell>
          <cell r="S138" t="str">
            <v xml:space="preserve"> </v>
          </cell>
          <cell r="T138" t="str">
            <v>BA</v>
          </cell>
          <cell r="U138">
            <v>2001</v>
          </cell>
          <cell r="V138">
            <v>21150</v>
          </cell>
          <cell r="W138">
            <v>8265</v>
          </cell>
          <cell r="X138">
            <v>3500</v>
          </cell>
          <cell r="AA138">
            <v>500</v>
          </cell>
          <cell r="AB138">
            <v>150</v>
          </cell>
          <cell r="AC138">
            <v>800</v>
          </cell>
          <cell r="AD138" t="str">
            <v>CV</v>
          </cell>
          <cell r="AE138">
            <v>0</v>
          </cell>
          <cell r="AF138">
            <v>500</v>
          </cell>
          <cell r="AG138">
            <v>2750</v>
          </cell>
          <cell r="AH138">
            <v>16465</v>
          </cell>
          <cell r="AI138">
            <v>197580</v>
          </cell>
          <cell r="AJ138">
            <v>17500</v>
          </cell>
          <cell r="AK138">
            <v>20000</v>
          </cell>
          <cell r="AL138">
            <v>10000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26779</v>
          </cell>
          <cell r="AR138">
            <v>271859</v>
          </cell>
          <cell r="AS138">
            <v>0</v>
          </cell>
        </row>
        <row r="139">
          <cell r="M139">
            <v>21</v>
          </cell>
          <cell r="N139" t="str">
            <v>A2</v>
          </cell>
          <cell r="P139">
            <v>7</v>
          </cell>
          <cell r="S139" t="str">
            <v xml:space="preserve"> </v>
          </cell>
          <cell r="U139">
            <v>2002</v>
          </cell>
          <cell r="W139">
            <v>9365</v>
          </cell>
          <cell r="X139">
            <v>4000</v>
          </cell>
          <cell r="Z139">
            <v>0</v>
          </cell>
          <cell r="AA139">
            <v>500</v>
          </cell>
          <cell r="AB139">
            <v>150</v>
          </cell>
          <cell r="AC139">
            <v>800</v>
          </cell>
          <cell r="AF139">
            <v>500</v>
          </cell>
          <cell r="AG139">
            <v>2750</v>
          </cell>
          <cell r="AH139">
            <v>18065</v>
          </cell>
          <cell r="AI139">
            <v>216780</v>
          </cell>
          <cell r="AJ139">
            <v>17500</v>
          </cell>
          <cell r="AK139">
            <v>20000</v>
          </cell>
          <cell r="AL139">
            <v>15000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30343</v>
          </cell>
          <cell r="AR139">
            <v>299623</v>
          </cell>
          <cell r="AS139">
            <v>0</v>
          </cell>
        </row>
        <row r="140">
          <cell r="P140">
            <v>7</v>
          </cell>
          <cell r="S140" t="str">
            <v xml:space="preserve"> </v>
          </cell>
          <cell r="U140" t="str">
            <v>DIFF.</v>
          </cell>
          <cell r="W140">
            <v>1100</v>
          </cell>
          <cell r="X140">
            <v>500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1600</v>
          </cell>
          <cell r="AI140">
            <v>19200</v>
          </cell>
          <cell r="AJ140">
            <v>0</v>
          </cell>
          <cell r="AK140">
            <v>0</v>
          </cell>
          <cell r="AL140">
            <v>5000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3564</v>
          </cell>
          <cell r="AR140">
            <v>27764</v>
          </cell>
          <cell r="AS140">
            <v>10.210000000000001</v>
          </cell>
        </row>
        <row r="141">
          <cell r="P141">
            <v>7</v>
          </cell>
          <cell r="S141" t="str">
            <v xml:space="preserve"> </v>
          </cell>
        </row>
        <row r="142">
          <cell r="G142">
            <v>2321</v>
          </cell>
          <cell r="H142" t="str">
            <v>MR SUMAN DAS BISWAS</v>
          </cell>
          <cell r="I142">
            <v>24807</v>
          </cell>
          <cell r="J142">
            <v>35018</v>
          </cell>
          <cell r="K142">
            <v>12471</v>
          </cell>
          <cell r="L142" t="str">
            <v>MA</v>
          </cell>
          <cell r="M142">
            <v>21</v>
          </cell>
          <cell r="N142" t="str">
            <v>A1</v>
          </cell>
          <cell r="O142" t="str">
            <v>MA</v>
          </cell>
          <cell r="P142">
            <v>4</v>
          </cell>
          <cell r="Q142" t="str">
            <v>Kolkatta</v>
          </cell>
          <cell r="R142" t="str">
            <v>Kolkatta</v>
          </cell>
          <cell r="S142" t="str">
            <v xml:space="preserve"> </v>
          </cell>
          <cell r="T142" t="str">
            <v>CL</v>
          </cell>
          <cell r="U142">
            <v>2001</v>
          </cell>
          <cell r="V142">
            <v>18000</v>
          </cell>
          <cell r="W142">
            <v>5350</v>
          </cell>
          <cell r="X142">
            <v>3500</v>
          </cell>
          <cell r="AA142">
            <v>500</v>
          </cell>
          <cell r="AB142">
            <v>150</v>
          </cell>
          <cell r="AD142" t="str">
            <v>CV</v>
          </cell>
          <cell r="AE142">
            <v>450</v>
          </cell>
          <cell r="AG142">
            <v>2750</v>
          </cell>
          <cell r="AH142">
            <v>12700</v>
          </cell>
          <cell r="AI142">
            <v>152400</v>
          </cell>
          <cell r="AJ142">
            <v>17500</v>
          </cell>
          <cell r="AK142">
            <v>20000</v>
          </cell>
          <cell r="AL142">
            <v>10000</v>
          </cell>
          <cell r="AQ142">
            <v>17334</v>
          </cell>
          <cell r="AR142">
            <v>217234</v>
          </cell>
        </row>
        <row r="143">
          <cell r="M143">
            <v>21</v>
          </cell>
          <cell r="N143" t="str">
            <v>A1</v>
          </cell>
          <cell r="P143">
            <v>4</v>
          </cell>
          <cell r="S143" t="str">
            <v xml:space="preserve"> </v>
          </cell>
          <cell r="U143">
            <v>2002</v>
          </cell>
          <cell r="W143">
            <v>6000</v>
          </cell>
          <cell r="X143">
            <v>4500</v>
          </cell>
          <cell r="Z143">
            <v>0</v>
          </cell>
          <cell r="AA143">
            <v>500</v>
          </cell>
          <cell r="AB143">
            <v>150</v>
          </cell>
          <cell r="AC143">
            <v>0</v>
          </cell>
          <cell r="AF143">
            <v>0</v>
          </cell>
          <cell r="AG143">
            <v>2750</v>
          </cell>
          <cell r="AH143">
            <v>13900</v>
          </cell>
          <cell r="AI143">
            <v>166800</v>
          </cell>
          <cell r="AJ143">
            <v>17500</v>
          </cell>
          <cell r="AK143">
            <v>20000</v>
          </cell>
          <cell r="AL143">
            <v>15000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19440</v>
          </cell>
          <cell r="AR143">
            <v>238740</v>
          </cell>
          <cell r="AS143">
            <v>0</v>
          </cell>
        </row>
        <row r="144">
          <cell r="P144">
            <v>4</v>
          </cell>
          <cell r="S144" t="str">
            <v xml:space="preserve"> </v>
          </cell>
          <cell r="U144" t="str">
            <v>DIFF.</v>
          </cell>
          <cell r="W144">
            <v>650</v>
          </cell>
          <cell r="X144">
            <v>1000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-450</v>
          </cell>
          <cell r="AF144">
            <v>0</v>
          </cell>
          <cell r="AG144">
            <v>0</v>
          </cell>
          <cell r="AH144">
            <v>1200</v>
          </cell>
          <cell r="AI144">
            <v>14400</v>
          </cell>
          <cell r="AJ144">
            <v>0</v>
          </cell>
          <cell r="AK144">
            <v>0</v>
          </cell>
          <cell r="AL144">
            <v>5000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2106</v>
          </cell>
          <cell r="AR144">
            <v>21506</v>
          </cell>
          <cell r="AS144">
            <v>9.9</v>
          </cell>
        </row>
        <row r="145">
          <cell r="P145">
            <v>4</v>
          </cell>
          <cell r="S145" t="str">
            <v xml:space="preserve"> </v>
          </cell>
        </row>
        <row r="146">
          <cell r="G146">
            <v>2322</v>
          </cell>
          <cell r="H146" t="str">
            <v>MR SAMBHUNATH DE</v>
          </cell>
          <cell r="I146">
            <v>25574</v>
          </cell>
          <cell r="J146">
            <v>35018</v>
          </cell>
          <cell r="K146">
            <v>11704</v>
          </cell>
          <cell r="L146" t="str">
            <v>MA</v>
          </cell>
          <cell r="M146">
            <v>21</v>
          </cell>
          <cell r="N146" t="str">
            <v>A2</v>
          </cell>
          <cell r="O146" t="str">
            <v>MA</v>
          </cell>
          <cell r="P146">
            <v>7</v>
          </cell>
          <cell r="Q146" t="str">
            <v>Other Locations</v>
          </cell>
          <cell r="R146" t="str">
            <v>Patna (Bihar)</v>
          </cell>
          <cell r="S146" t="str">
            <v xml:space="preserve"> </v>
          </cell>
          <cell r="T146" t="str">
            <v>CA</v>
          </cell>
          <cell r="U146">
            <v>2001</v>
          </cell>
          <cell r="V146">
            <v>18000</v>
          </cell>
          <cell r="W146">
            <v>6500</v>
          </cell>
          <cell r="X146">
            <v>3500</v>
          </cell>
          <cell r="AA146">
            <v>500</v>
          </cell>
          <cell r="AB146">
            <v>150</v>
          </cell>
          <cell r="AD146" t="str">
            <v>CV</v>
          </cell>
          <cell r="AE146">
            <v>0</v>
          </cell>
          <cell r="AF146">
            <v>500</v>
          </cell>
          <cell r="AG146">
            <v>2750</v>
          </cell>
          <cell r="AH146">
            <v>13900</v>
          </cell>
          <cell r="AI146">
            <v>166800</v>
          </cell>
          <cell r="AJ146">
            <v>17500</v>
          </cell>
          <cell r="AK146">
            <v>20000</v>
          </cell>
          <cell r="AL146">
            <v>10000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21060</v>
          </cell>
          <cell r="AR146">
            <v>235360</v>
          </cell>
          <cell r="AS146">
            <v>0</v>
          </cell>
        </row>
        <row r="147">
          <cell r="M147">
            <v>21</v>
          </cell>
          <cell r="N147" t="str">
            <v>A2</v>
          </cell>
          <cell r="P147">
            <v>7</v>
          </cell>
          <cell r="S147" t="str">
            <v xml:space="preserve"> </v>
          </cell>
          <cell r="U147">
            <v>2002</v>
          </cell>
          <cell r="W147">
            <v>7250</v>
          </cell>
          <cell r="X147">
            <v>4000</v>
          </cell>
          <cell r="Z147">
            <v>0</v>
          </cell>
          <cell r="AA147">
            <v>500</v>
          </cell>
          <cell r="AB147">
            <v>150</v>
          </cell>
          <cell r="AC147">
            <v>0</v>
          </cell>
          <cell r="AF147">
            <v>500</v>
          </cell>
          <cell r="AG147">
            <v>2750</v>
          </cell>
          <cell r="AH147">
            <v>15150</v>
          </cell>
          <cell r="AI147">
            <v>181800</v>
          </cell>
          <cell r="AJ147">
            <v>17500</v>
          </cell>
          <cell r="AK147">
            <v>20000</v>
          </cell>
          <cell r="AL147">
            <v>15000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23490</v>
          </cell>
          <cell r="AR147">
            <v>257790</v>
          </cell>
          <cell r="AS147">
            <v>0</v>
          </cell>
        </row>
        <row r="148">
          <cell r="P148">
            <v>7</v>
          </cell>
          <cell r="S148" t="str">
            <v xml:space="preserve"> </v>
          </cell>
          <cell r="U148" t="str">
            <v>DIFF.</v>
          </cell>
          <cell r="W148">
            <v>750</v>
          </cell>
          <cell r="X148">
            <v>500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1250</v>
          </cell>
          <cell r="AI148">
            <v>15000</v>
          </cell>
          <cell r="AJ148">
            <v>0</v>
          </cell>
          <cell r="AK148">
            <v>0</v>
          </cell>
          <cell r="AL148">
            <v>5000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2430</v>
          </cell>
          <cell r="AR148">
            <v>22430</v>
          </cell>
          <cell r="AS148">
            <v>9.5299999999999994</v>
          </cell>
        </row>
        <row r="149">
          <cell r="P149">
            <v>7</v>
          </cell>
          <cell r="S149" t="str">
            <v xml:space="preserve"> </v>
          </cell>
        </row>
        <row r="150">
          <cell r="G150">
            <v>2324</v>
          </cell>
          <cell r="H150" t="str">
            <v xml:space="preserve">MS SWATI S. MAYEKAR </v>
          </cell>
          <cell r="I150">
            <v>25711</v>
          </cell>
          <cell r="J150">
            <v>35110</v>
          </cell>
          <cell r="K150">
            <v>11567</v>
          </cell>
          <cell r="L150" t="str">
            <v>MA</v>
          </cell>
          <cell r="M150">
            <v>21</v>
          </cell>
          <cell r="O150" t="str">
            <v>MA</v>
          </cell>
          <cell r="P150">
            <v>1</v>
          </cell>
          <cell r="Q150" t="str">
            <v>Mumbai</v>
          </cell>
          <cell r="R150" t="str">
            <v>Ho</v>
          </cell>
          <cell r="S150" t="str">
            <v xml:space="preserve"> </v>
          </cell>
          <cell r="T150" t="str">
            <v>CA</v>
          </cell>
          <cell r="U150">
            <v>2001</v>
          </cell>
          <cell r="V150">
            <v>18000</v>
          </cell>
          <cell r="W150">
            <v>6380</v>
          </cell>
          <cell r="X150">
            <v>3500</v>
          </cell>
          <cell r="AA150">
            <v>500</v>
          </cell>
          <cell r="AB150">
            <v>150</v>
          </cell>
          <cell r="AC150">
            <v>800</v>
          </cell>
          <cell r="AE150">
            <v>1000</v>
          </cell>
          <cell r="AG150">
            <v>2750</v>
          </cell>
          <cell r="AH150">
            <v>15080</v>
          </cell>
          <cell r="AI150">
            <v>180960</v>
          </cell>
          <cell r="AJ150">
            <v>17500</v>
          </cell>
          <cell r="AK150">
            <v>20000</v>
          </cell>
          <cell r="AL150">
            <v>10000</v>
          </cell>
          <cell r="AQ150">
            <v>20671</v>
          </cell>
          <cell r="AR150">
            <v>249131</v>
          </cell>
        </row>
        <row r="151">
          <cell r="M151">
            <v>21</v>
          </cell>
          <cell r="P151">
            <v>1</v>
          </cell>
          <cell r="S151" t="str">
            <v xml:space="preserve"> </v>
          </cell>
          <cell r="U151">
            <v>2002</v>
          </cell>
          <cell r="W151">
            <v>7130</v>
          </cell>
          <cell r="X151">
            <v>5500</v>
          </cell>
          <cell r="Z151">
            <v>0</v>
          </cell>
          <cell r="AA151">
            <v>500</v>
          </cell>
          <cell r="AB151">
            <v>150</v>
          </cell>
          <cell r="AC151">
            <v>800</v>
          </cell>
          <cell r="AF151">
            <v>0</v>
          </cell>
          <cell r="AG151">
            <v>2750</v>
          </cell>
          <cell r="AH151">
            <v>16830</v>
          </cell>
          <cell r="AI151">
            <v>201960</v>
          </cell>
          <cell r="AJ151">
            <v>17500</v>
          </cell>
          <cell r="AK151">
            <v>20000</v>
          </cell>
          <cell r="AL151">
            <v>15000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23101</v>
          </cell>
          <cell r="AR151">
            <v>277561</v>
          </cell>
          <cell r="AS151">
            <v>0</v>
          </cell>
        </row>
        <row r="152">
          <cell r="P152">
            <v>1</v>
          </cell>
          <cell r="S152" t="str">
            <v xml:space="preserve"> </v>
          </cell>
          <cell r="U152" t="str">
            <v>DIFF.</v>
          </cell>
          <cell r="W152">
            <v>750</v>
          </cell>
          <cell r="X152">
            <v>2000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-1000</v>
          </cell>
          <cell r="AF152">
            <v>0</v>
          </cell>
          <cell r="AG152">
            <v>0</v>
          </cell>
          <cell r="AH152">
            <v>1750</v>
          </cell>
          <cell r="AI152">
            <v>21000</v>
          </cell>
          <cell r="AJ152">
            <v>0</v>
          </cell>
          <cell r="AK152">
            <v>0</v>
          </cell>
          <cell r="AL152">
            <v>5000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2430</v>
          </cell>
          <cell r="AR152">
            <v>28430</v>
          </cell>
          <cell r="AS152">
            <v>11.41</v>
          </cell>
        </row>
        <row r="153">
          <cell r="P153">
            <v>1</v>
          </cell>
          <cell r="S153" t="str">
            <v xml:space="preserve"> </v>
          </cell>
        </row>
        <row r="154">
          <cell r="G154">
            <v>2325</v>
          </cell>
          <cell r="H154" t="str">
            <v>MR RAJEEV KUMAR MISHRA</v>
          </cell>
          <cell r="I154">
            <v>24473</v>
          </cell>
          <cell r="J154">
            <v>35157</v>
          </cell>
          <cell r="K154">
            <v>12805</v>
          </cell>
          <cell r="L154" t="str">
            <v>MA</v>
          </cell>
          <cell r="M154">
            <v>21</v>
          </cell>
          <cell r="N154" t="str">
            <v>A2</v>
          </cell>
          <cell r="O154" t="str">
            <v>MA</v>
          </cell>
          <cell r="P154">
            <v>3</v>
          </cell>
          <cell r="Q154" t="str">
            <v>Delhi</v>
          </cell>
          <cell r="R154" t="str">
            <v>Delhi</v>
          </cell>
          <cell r="S154" t="str">
            <v xml:space="preserve"> </v>
          </cell>
          <cell r="T154" t="str">
            <v>CA</v>
          </cell>
          <cell r="U154">
            <v>2001</v>
          </cell>
          <cell r="V154">
            <v>18000</v>
          </cell>
          <cell r="W154">
            <v>5780</v>
          </cell>
          <cell r="X154">
            <v>3500</v>
          </cell>
          <cell r="AA154">
            <v>500</v>
          </cell>
          <cell r="AB154">
            <v>150</v>
          </cell>
          <cell r="AC154">
            <v>800</v>
          </cell>
          <cell r="AE154">
            <v>450</v>
          </cell>
          <cell r="AF154">
            <v>500</v>
          </cell>
          <cell r="AG154">
            <v>2750</v>
          </cell>
          <cell r="AH154">
            <v>14430</v>
          </cell>
          <cell r="AI154">
            <v>173160</v>
          </cell>
          <cell r="AJ154">
            <v>17500</v>
          </cell>
          <cell r="AK154">
            <v>20000</v>
          </cell>
          <cell r="AL154">
            <v>10000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18727</v>
          </cell>
          <cell r="AR154">
            <v>239387</v>
          </cell>
          <cell r="AS154">
            <v>0</v>
          </cell>
        </row>
        <row r="155">
          <cell r="M155">
            <v>21</v>
          </cell>
          <cell r="N155" t="str">
            <v>A2</v>
          </cell>
          <cell r="P155">
            <v>3</v>
          </cell>
          <cell r="S155" t="str">
            <v xml:space="preserve"> </v>
          </cell>
          <cell r="U155">
            <v>2002</v>
          </cell>
          <cell r="W155">
            <v>6530</v>
          </cell>
          <cell r="X155">
            <v>4500</v>
          </cell>
          <cell r="Z155">
            <v>0</v>
          </cell>
          <cell r="AA155">
            <v>500</v>
          </cell>
          <cell r="AB155">
            <v>150</v>
          </cell>
          <cell r="AC155">
            <v>800</v>
          </cell>
          <cell r="AF155">
            <v>500</v>
          </cell>
          <cell r="AG155">
            <v>2750</v>
          </cell>
          <cell r="AH155">
            <v>15730</v>
          </cell>
          <cell r="AI155">
            <v>188760</v>
          </cell>
          <cell r="AJ155">
            <v>17500</v>
          </cell>
          <cell r="AK155">
            <v>20000</v>
          </cell>
          <cell r="AL155">
            <v>15000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21157</v>
          </cell>
          <cell r="AR155">
            <v>262417</v>
          </cell>
          <cell r="AS155">
            <v>0</v>
          </cell>
        </row>
        <row r="156">
          <cell r="P156">
            <v>3</v>
          </cell>
          <cell r="S156" t="str">
            <v xml:space="preserve"> </v>
          </cell>
          <cell r="U156" t="str">
            <v>DIFF.</v>
          </cell>
          <cell r="W156">
            <v>750</v>
          </cell>
          <cell r="X156">
            <v>1000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-450</v>
          </cell>
          <cell r="AF156">
            <v>0</v>
          </cell>
          <cell r="AG156">
            <v>0</v>
          </cell>
          <cell r="AH156">
            <v>1300</v>
          </cell>
          <cell r="AI156">
            <v>15600</v>
          </cell>
          <cell r="AJ156">
            <v>0</v>
          </cell>
          <cell r="AK156">
            <v>0</v>
          </cell>
          <cell r="AL156">
            <v>5000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2430</v>
          </cell>
          <cell r="AR156">
            <v>23030</v>
          </cell>
          <cell r="AS156">
            <v>9.6199999999999992</v>
          </cell>
        </row>
        <row r="157">
          <cell r="P157">
            <v>3</v>
          </cell>
          <cell r="S157" t="str">
            <v xml:space="preserve"> </v>
          </cell>
        </row>
        <row r="158">
          <cell r="G158">
            <v>2326</v>
          </cell>
          <cell r="H158" t="str">
            <v>MR T. VANARAJ</v>
          </cell>
          <cell r="I158">
            <v>25708</v>
          </cell>
          <cell r="J158">
            <v>35180</v>
          </cell>
          <cell r="K158">
            <v>11570</v>
          </cell>
          <cell r="L158" t="str">
            <v>MA</v>
          </cell>
          <cell r="M158">
            <v>21</v>
          </cell>
          <cell r="N158" t="str">
            <v>A2</v>
          </cell>
          <cell r="O158" t="str">
            <v>MA</v>
          </cell>
          <cell r="P158">
            <v>7</v>
          </cell>
          <cell r="Q158" t="str">
            <v>Other Locations</v>
          </cell>
          <cell r="R158" t="str">
            <v>Trichy (Tn)</v>
          </cell>
          <cell r="S158" t="str">
            <v xml:space="preserve"> </v>
          </cell>
          <cell r="T158" t="str">
            <v>CL</v>
          </cell>
          <cell r="U158">
            <v>2001</v>
          </cell>
          <cell r="V158">
            <v>18000</v>
          </cell>
          <cell r="W158">
            <v>6265</v>
          </cell>
          <cell r="X158">
            <v>3500</v>
          </cell>
          <cell r="AA158">
            <v>500</v>
          </cell>
          <cell r="AB158">
            <v>150</v>
          </cell>
          <cell r="AD158" t="str">
            <v>CV</v>
          </cell>
          <cell r="AE158">
            <v>0</v>
          </cell>
          <cell r="AF158">
            <v>500</v>
          </cell>
          <cell r="AG158">
            <v>2750</v>
          </cell>
          <cell r="AH158">
            <v>13665</v>
          </cell>
          <cell r="AI158">
            <v>163980</v>
          </cell>
          <cell r="AJ158">
            <v>17500</v>
          </cell>
          <cell r="AK158">
            <v>20000</v>
          </cell>
          <cell r="AL158">
            <v>10000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20299</v>
          </cell>
          <cell r="AR158">
            <v>231779</v>
          </cell>
          <cell r="AS158">
            <v>0</v>
          </cell>
        </row>
        <row r="159">
          <cell r="M159">
            <v>21</v>
          </cell>
          <cell r="N159" t="str">
            <v>A2</v>
          </cell>
          <cell r="P159">
            <v>7</v>
          </cell>
          <cell r="S159" t="str">
            <v xml:space="preserve"> </v>
          </cell>
          <cell r="U159">
            <v>2002</v>
          </cell>
          <cell r="W159">
            <v>6915</v>
          </cell>
          <cell r="X159">
            <v>4000</v>
          </cell>
          <cell r="Z159">
            <v>0</v>
          </cell>
          <cell r="AA159">
            <v>500</v>
          </cell>
          <cell r="AB159">
            <v>150</v>
          </cell>
          <cell r="AC159">
            <v>0</v>
          </cell>
          <cell r="AF159">
            <v>500</v>
          </cell>
          <cell r="AG159">
            <v>2750</v>
          </cell>
          <cell r="AH159">
            <v>14815</v>
          </cell>
          <cell r="AI159">
            <v>177780</v>
          </cell>
          <cell r="AJ159">
            <v>17500</v>
          </cell>
          <cell r="AK159">
            <v>20000</v>
          </cell>
          <cell r="AL159">
            <v>15000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22405</v>
          </cell>
          <cell r="AR159">
            <v>252685</v>
          </cell>
          <cell r="AS159">
            <v>0</v>
          </cell>
        </row>
        <row r="160">
          <cell r="P160">
            <v>7</v>
          </cell>
          <cell r="S160" t="str">
            <v xml:space="preserve"> </v>
          </cell>
          <cell r="U160" t="str">
            <v>DIFF.</v>
          </cell>
          <cell r="W160">
            <v>650</v>
          </cell>
          <cell r="X160">
            <v>500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1150</v>
          </cell>
          <cell r="AI160">
            <v>13800</v>
          </cell>
          <cell r="AJ160">
            <v>0</v>
          </cell>
          <cell r="AK160">
            <v>0</v>
          </cell>
          <cell r="AL160">
            <v>5000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2106</v>
          </cell>
          <cell r="AR160">
            <v>20906</v>
          </cell>
          <cell r="AS160">
            <v>9.02</v>
          </cell>
        </row>
        <row r="161">
          <cell r="P161">
            <v>7</v>
          </cell>
          <cell r="S161" t="str">
            <v xml:space="preserve"> </v>
          </cell>
        </row>
        <row r="162">
          <cell r="G162">
            <v>2327</v>
          </cell>
          <cell r="H162" t="str">
            <v>MR O.A. SUBRAMANIAN</v>
          </cell>
          <cell r="I162">
            <v>24280</v>
          </cell>
          <cell r="J162">
            <v>35188</v>
          </cell>
          <cell r="K162">
            <v>12998</v>
          </cell>
          <cell r="L162" t="str">
            <v>MA</v>
          </cell>
          <cell r="M162">
            <v>21</v>
          </cell>
          <cell r="N162" t="str">
            <v>A2</v>
          </cell>
          <cell r="O162" t="str">
            <v>MA</v>
          </cell>
          <cell r="P162">
            <v>7</v>
          </cell>
          <cell r="Q162" t="str">
            <v>Other Locations</v>
          </cell>
          <cell r="R162" t="str">
            <v>Nandyal (Ap)</v>
          </cell>
          <cell r="S162" t="str">
            <v xml:space="preserve"> </v>
          </cell>
          <cell r="T162" t="str">
            <v>BL</v>
          </cell>
          <cell r="U162">
            <v>2001</v>
          </cell>
          <cell r="V162">
            <v>21150</v>
          </cell>
          <cell r="W162">
            <v>6215</v>
          </cell>
          <cell r="X162">
            <v>3500</v>
          </cell>
          <cell r="AA162">
            <v>500</v>
          </cell>
          <cell r="AB162">
            <v>150</v>
          </cell>
          <cell r="AD162" t="str">
            <v>CV</v>
          </cell>
          <cell r="AE162">
            <v>0</v>
          </cell>
          <cell r="AF162">
            <v>500</v>
          </cell>
          <cell r="AG162">
            <v>2750</v>
          </cell>
          <cell r="AH162">
            <v>13615</v>
          </cell>
          <cell r="AI162">
            <v>163380</v>
          </cell>
          <cell r="AJ162">
            <v>17500</v>
          </cell>
          <cell r="AK162">
            <v>20000</v>
          </cell>
          <cell r="AL162">
            <v>10000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20137</v>
          </cell>
          <cell r="AR162">
            <v>231017</v>
          </cell>
          <cell r="AS162">
            <v>0</v>
          </cell>
        </row>
        <row r="163">
          <cell r="M163">
            <v>21</v>
          </cell>
          <cell r="N163" t="str">
            <v>A2</v>
          </cell>
          <cell r="P163">
            <v>7</v>
          </cell>
          <cell r="S163" t="str">
            <v xml:space="preserve"> </v>
          </cell>
          <cell r="U163">
            <v>2002</v>
          </cell>
          <cell r="W163">
            <v>7165</v>
          </cell>
          <cell r="X163">
            <v>4000</v>
          </cell>
          <cell r="Z163">
            <v>0</v>
          </cell>
          <cell r="AA163">
            <v>500</v>
          </cell>
          <cell r="AB163">
            <v>150</v>
          </cell>
          <cell r="AC163">
            <v>0</v>
          </cell>
          <cell r="AF163">
            <v>500</v>
          </cell>
          <cell r="AG163">
            <v>2750</v>
          </cell>
          <cell r="AH163">
            <v>15065</v>
          </cell>
          <cell r="AI163">
            <v>180780</v>
          </cell>
          <cell r="AJ163">
            <v>17500</v>
          </cell>
          <cell r="AK163">
            <v>20000</v>
          </cell>
          <cell r="AL163">
            <v>15000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23215</v>
          </cell>
          <cell r="AR163">
            <v>256495</v>
          </cell>
          <cell r="AS163">
            <v>0</v>
          </cell>
        </row>
        <row r="164">
          <cell r="P164">
            <v>7</v>
          </cell>
          <cell r="S164" t="str">
            <v xml:space="preserve"> </v>
          </cell>
          <cell r="U164" t="str">
            <v>DIFF.</v>
          </cell>
          <cell r="W164">
            <v>950</v>
          </cell>
          <cell r="X164">
            <v>500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1450</v>
          </cell>
          <cell r="AI164">
            <v>17400</v>
          </cell>
          <cell r="AJ164">
            <v>0</v>
          </cell>
          <cell r="AK164">
            <v>0</v>
          </cell>
          <cell r="AL164">
            <v>5000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3078</v>
          </cell>
          <cell r="AR164">
            <v>25478</v>
          </cell>
          <cell r="AS164">
            <v>11.03</v>
          </cell>
        </row>
        <row r="165">
          <cell r="P165">
            <v>7</v>
          </cell>
          <cell r="S165" t="str">
            <v xml:space="preserve"> </v>
          </cell>
        </row>
        <row r="166">
          <cell r="G166">
            <v>2328</v>
          </cell>
          <cell r="H166" t="str">
            <v>MR CHAUDHARI PRADEEP KUMAR</v>
          </cell>
          <cell r="I166">
            <v>25001</v>
          </cell>
          <cell r="J166">
            <v>35328</v>
          </cell>
          <cell r="K166">
            <v>12277</v>
          </cell>
          <cell r="L166" t="str">
            <v>MA</v>
          </cell>
          <cell r="M166">
            <v>21</v>
          </cell>
          <cell r="N166" t="str">
            <v>A1</v>
          </cell>
          <cell r="O166" t="str">
            <v>MA</v>
          </cell>
          <cell r="P166">
            <v>7</v>
          </cell>
          <cell r="Q166" t="str">
            <v>Other Locations</v>
          </cell>
          <cell r="R166" t="str">
            <v>Kanpur</v>
          </cell>
          <cell r="S166" t="str">
            <v xml:space="preserve"> </v>
          </cell>
          <cell r="T166" t="str">
            <v>D</v>
          </cell>
          <cell r="U166">
            <v>2001</v>
          </cell>
          <cell r="V166">
            <v>11000</v>
          </cell>
          <cell r="W166">
            <v>5415</v>
          </cell>
          <cell r="X166">
            <v>3500</v>
          </cell>
          <cell r="AA166">
            <v>500</v>
          </cell>
          <cell r="AB166">
            <v>150</v>
          </cell>
          <cell r="AD166" t="str">
            <v>CV</v>
          </cell>
          <cell r="AE166">
            <v>0</v>
          </cell>
          <cell r="AG166">
            <v>2750</v>
          </cell>
          <cell r="AH166">
            <v>12315</v>
          </cell>
          <cell r="AI166">
            <v>147780</v>
          </cell>
          <cell r="AJ166">
            <v>17500</v>
          </cell>
          <cell r="AK166">
            <v>20000</v>
          </cell>
          <cell r="AL166">
            <v>10000</v>
          </cell>
          <cell r="AQ166">
            <v>17545</v>
          </cell>
          <cell r="AR166">
            <v>212825</v>
          </cell>
        </row>
        <row r="167">
          <cell r="M167">
            <v>21</v>
          </cell>
          <cell r="N167" t="str">
            <v>A1</v>
          </cell>
          <cell r="P167">
            <v>7</v>
          </cell>
          <cell r="S167" t="str">
            <v xml:space="preserve"> </v>
          </cell>
          <cell r="U167">
            <v>2002</v>
          </cell>
          <cell r="W167">
            <v>5765</v>
          </cell>
          <cell r="X167">
            <v>4000</v>
          </cell>
          <cell r="Z167">
            <v>0</v>
          </cell>
          <cell r="AA167">
            <v>500</v>
          </cell>
          <cell r="AB167">
            <v>150</v>
          </cell>
          <cell r="AC167">
            <v>0</v>
          </cell>
          <cell r="AF167">
            <v>0</v>
          </cell>
          <cell r="AG167">
            <v>2750</v>
          </cell>
          <cell r="AH167">
            <v>13165</v>
          </cell>
          <cell r="AI167">
            <v>157980</v>
          </cell>
          <cell r="AJ167">
            <v>17500</v>
          </cell>
          <cell r="AK167">
            <v>20000</v>
          </cell>
          <cell r="AL167">
            <v>15000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18679</v>
          </cell>
          <cell r="AR167">
            <v>229159</v>
          </cell>
          <cell r="AS167">
            <v>0</v>
          </cell>
        </row>
        <row r="168">
          <cell r="P168">
            <v>7</v>
          </cell>
          <cell r="S168" t="str">
            <v xml:space="preserve"> </v>
          </cell>
          <cell r="U168" t="str">
            <v>DIFF.</v>
          </cell>
          <cell r="W168">
            <v>350</v>
          </cell>
          <cell r="X168">
            <v>500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850</v>
          </cell>
          <cell r="AI168">
            <v>10200</v>
          </cell>
          <cell r="AJ168">
            <v>0</v>
          </cell>
          <cell r="AK168">
            <v>0</v>
          </cell>
          <cell r="AL168">
            <v>5000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1134</v>
          </cell>
          <cell r="AR168">
            <v>16334</v>
          </cell>
          <cell r="AS168">
            <v>7.67</v>
          </cell>
        </row>
        <row r="169">
          <cell r="P169">
            <v>7</v>
          </cell>
          <cell r="S169" t="str">
            <v xml:space="preserve"> </v>
          </cell>
        </row>
        <row r="170">
          <cell r="G170">
            <v>2329</v>
          </cell>
          <cell r="H170" t="str">
            <v>MR SUDHANSHU SHARMA</v>
          </cell>
          <cell r="I170">
            <v>24531</v>
          </cell>
          <cell r="J170">
            <v>35362</v>
          </cell>
          <cell r="K170">
            <v>12747</v>
          </cell>
          <cell r="L170" t="str">
            <v>MA</v>
          </cell>
          <cell r="M170">
            <v>21</v>
          </cell>
          <cell r="N170" t="str">
            <v>A2</v>
          </cell>
          <cell r="O170" t="str">
            <v>MA</v>
          </cell>
          <cell r="P170">
            <v>7</v>
          </cell>
          <cell r="Q170" t="str">
            <v>Other Locations</v>
          </cell>
          <cell r="R170" t="str">
            <v>Khargaon (Mp)</v>
          </cell>
          <cell r="S170" t="str">
            <v xml:space="preserve"> </v>
          </cell>
          <cell r="T170" t="str">
            <v>CA</v>
          </cell>
          <cell r="U170">
            <v>2001</v>
          </cell>
          <cell r="V170">
            <v>18000</v>
          </cell>
          <cell r="W170">
            <v>5040</v>
          </cell>
          <cell r="X170">
            <v>3500</v>
          </cell>
          <cell r="AA170">
            <v>500</v>
          </cell>
          <cell r="AB170">
            <v>150</v>
          </cell>
          <cell r="AD170" t="str">
            <v>CV</v>
          </cell>
          <cell r="AE170">
            <v>0</v>
          </cell>
          <cell r="AF170">
            <v>500</v>
          </cell>
          <cell r="AG170">
            <v>2750</v>
          </cell>
          <cell r="AH170">
            <v>12440</v>
          </cell>
          <cell r="AI170">
            <v>149280</v>
          </cell>
          <cell r="AJ170">
            <v>17500</v>
          </cell>
          <cell r="AK170">
            <v>20000</v>
          </cell>
          <cell r="AL170">
            <v>10000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16330</v>
          </cell>
          <cell r="AR170">
            <v>213110</v>
          </cell>
          <cell r="AS170">
            <v>0</v>
          </cell>
        </row>
        <row r="171">
          <cell r="M171">
            <v>21</v>
          </cell>
          <cell r="N171" t="str">
            <v>A2</v>
          </cell>
          <cell r="P171">
            <v>7</v>
          </cell>
          <cell r="S171" t="str">
            <v xml:space="preserve"> </v>
          </cell>
          <cell r="U171">
            <v>2002</v>
          </cell>
          <cell r="W171">
            <v>5790</v>
          </cell>
          <cell r="X171">
            <v>4000</v>
          </cell>
          <cell r="Z171">
            <v>0</v>
          </cell>
          <cell r="AA171">
            <v>500</v>
          </cell>
          <cell r="AB171">
            <v>150</v>
          </cell>
          <cell r="AC171">
            <v>0</v>
          </cell>
          <cell r="AF171">
            <v>500</v>
          </cell>
          <cell r="AG171">
            <v>2750</v>
          </cell>
          <cell r="AH171">
            <v>13690</v>
          </cell>
          <cell r="AI171">
            <v>164280</v>
          </cell>
          <cell r="AJ171">
            <v>17500</v>
          </cell>
          <cell r="AK171">
            <v>20000</v>
          </cell>
          <cell r="AL171">
            <v>15000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18760</v>
          </cell>
          <cell r="AR171">
            <v>235540</v>
          </cell>
          <cell r="AS171">
            <v>0</v>
          </cell>
        </row>
        <row r="172">
          <cell r="P172">
            <v>7</v>
          </cell>
          <cell r="S172" t="str">
            <v xml:space="preserve"> </v>
          </cell>
          <cell r="U172" t="str">
            <v>DIFF.</v>
          </cell>
          <cell r="W172">
            <v>750</v>
          </cell>
          <cell r="X172">
            <v>500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1250</v>
          </cell>
          <cell r="AI172">
            <v>15000</v>
          </cell>
          <cell r="AJ172">
            <v>0</v>
          </cell>
          <cell r="AK172">
            <v>0</v>
          </cell>
          <cell r="AL172">
            <v>5000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2430</v>
          </cell>
          <cell r="AR172">
            <v>22430</v>
          </cell>
          <cell r="AS172">
            <v>10.53</v>
          </cell>
        </row>
        <row r="173">
          <cell r="P173">
            <v>7</v>
          </cell>
          <cell r="S173" t="str">
            <v xml:space="preserve"> </v>
          </cell>
        </row>
        <row r="174">
          <cell r="G174">
            <v>2332</v>
          </cell>
          <cell r="H174" t="str">
            <v>MR SUDESH KUMAR JAIN</v>
          </cell>
          <cell r="I174">
            <v>25277</v>
          </cell>
          <cell r="J174">
            <v>35476</v>
          </cell>
          <cell r="K174">
            <v>12001</v>
          </cell>
          <cell r="L174" t="str">
            <v>MA</v>
          </cell>
          <cell r="M174">
            <v>21</v>
          </cell>
          <cell r="N174" t="str">
            <v>A1</v>
          </cell>
          <cell r="O174" t="str">
            <v>MA</v>
          </cell>
          <cell r="P174">
            <v>7</v>
          </cell>
          <cell r="Q174" t="str">
            <v>Other Locations</v>
          </cell>
          <cell r="R174" t="str">
            <v>Ujjain (Mp)</v>
          </cell>
          <cell r="S174" t="str">
            <v xml:space="preserve"> </v>
          </cell>
          <cell r="T174" t="str">
            <v>CL</v>
          </cell>
          <cell r="U174">
            <v>2001</v>
          </cell>
          <cell r="V174">
            <v>18000</v>
          </cell>
          <cell r="W174">
            <v>4360</v>
          </cell>
          <cell r="X174">
            <v>3500</v>
          </cell>
          <cell r="AA174">
            <v>500</v>
          </cell>
          <cell r="AB174">
            <v>150</v>
          </cell>
          <cell r="AD174" t="str">
            <v>CV</v>
          </cell>
          <cell r="AE174">
            <v>0</v>
          </cell>
          <cell r="AG174">
            <v>2750</v>
          </cell>
          <cell r="AH174">
            <v>11260</v>
          </cell>
          <cell r="AI174">
            <v>135120</v>
          </cell>
          <cell r="AJ174">
            <v>17500</v>
          </cell>
          <cell r="AK174">
            <v>20000</v>
          </cell>
          <cell r="AL174">
            <v>10000</v>
          </cell>
          <cell r="AQ174">
            <v>14126</v>
          </cell>
          <cell r="AR174">
            <v>196746</v>
          </cell>
        </row>
        <row r="175">
          <cell r="M175">
            <v>21</v>
          </cell>
          <cell r="N175" t="str">
            <v>A1</v>
          </cell>
          <cell r="P175">
            <v>7</v>
          </cell>
          <cell r="S175" t="str">
            <v xml:space="preserve"> </v>
          </cell>
          <cell r="U175">
            <v>2002</v>
          </cell>
          <cell r="W175">
            <v>5010</v>
          </cell>
          <cell r="X175">
            <v>4000</v>
          </cell>
          <cell r="Z175">
            <v>0</v>
          </cell>
          <cell r="AA175">
            <v>500</v>
          </cell>
          <cell r="AB175">
            <v>150</v>
          </cell>
          <cell r="AC175">
            <v>0</v>
          </cell>
          <cell r="AF175">
            <v>0</v>
          </cell>
          <cell r="AG175">
            <v>2750</v>
          </cell>
          <cell r="AH175">
            <v>12410</v>
          </cell>
          <cell r="AI175">
            <v>148920</v>
          </cell>
          <cell r="AJ175">
            <v>17500</v>
          </cell>
          <cell r="AK175">
            <v>20000</v>
          </cell>
          <cell r="AL175">
            <v>15000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16232</v>
          </cell>
          <cell r="AR175">
            <v>217652</v>
          </cell>
          <cell r="AS175">
            <v>0</v>
          </cell>
        </row>
        <row r="176">
          <cell r="P176">
            <v>7</v>
          </cell>
          <cell r="S176" t="str">
            <v xml:space="preserve"> </v>
          </cell>
          <cell r="U176" t="str">
            <v>DIFF.</v>
          </cell>
          <cell r="W176">
            <v>650</v>
          </cell>
          <cell r="X176">
            <v>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1150</v>
          </cell>
          <cell r="AI176">
            <v>13800</v>
          </cell>
          <cell r="AJ176">
            <v>0</v>
          </cell>
          <cell r="AK176">
            <v>0</v>
          </cell>
          <cell r="AL176">
            <v>5000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2106</v>
          </cell>
          <cell r="AR176">
            <v>20906</v>
          </cell>
          <cell r="AS176">
            <v>10.63</v>
          </cell>
        </row>
        <row r="177">
          <cell r="P177">
            <v>7</v>
          </cell>
          <cell r="S177" t="str">
            <v xml:space="preserve"> </v>
          </cell>
        </row>
        <row r="178">
          <cell r="G178">
            <v>2333</v>
          </cell>
          <cell r="H178" t="str">
            <v>MR NIKHIL SOLANKI</v>
          </cell>
          <cell r="I178">
            <v>26692</v>
          </cell>
          <cell r="J178">
            <v>35480</v>
          </cell>
          <cell r="K178">
            <v>10586</v>
          </cell>
          <cell r="L178" t="str">
            <v>MA</v>
          </cell>
          <cell r="M178">
            <v>21</v>
          </cell>
          <cell r="N178" t="str">
            <v>A2</v>
          </cell>
          <cell r="O178" t="str">
            <v>MA</v>
          </cell>
          <cell r="P178">
            <v>7</v>
          </cell>
          <cell r="Q178" t="str">
            <v>Other Locations</v>
          </cell>
          <cell r="R178" t="str">
            <v>Indore</v>
          </cell>
          <cell r="S178" t="str">
            <v xml:space="preserve"> </v>
          </cell>
          <cell r="T178" t="str">
            <v>CA</v>
          </cell>
          <cell r="U178">
            <v>2001</v>
          </cell>
          <cell r="V178">
            <v>18000</v>
          </cell>
          <cell r="W178">
            <v>5485</v>
          </cell>
          <cell r="X178">
            <v>3500</v>
          </cell>
          <cell r="AA178">
            <v>500</v>
          </cell>
          <cell r="AB178">
            <v>150</v>
          </cell>
          <cell r="AD178" t="str">
            <v>CV</v>
          </cell>
          <cell r="AE178">
            <v>0</v>
          </cell>
          <cell r="AF178">
            <v>500</v>
          </cell>
          <cell r="AG178">
            <v>2750</v>
          </cell>
          <cell r="AH178">
            <v>12885</v>
          </cell>
          <cell r="AI178">
            <v>154620</v>
          </cell>
          <cell r="AJ178">
            <v>17500</v>
          </cell>
          <cell r="AK178">
            <v>20000</v>
          </cell>
          <cell r="AL178">
            <v>10000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17771</v>
          </cell>
          <cell r="AR178">
            <v>219891</v>
          </cell>
          <cell r="AS178">
            <v>0</v>
          </cell>
        </row>
        <row r="179">
          <cell r="M179">
            <v>21</v>
          </cell>
          <cell r="N179" t="str">
            <v>A2</v>
          </cell>
          <cell r="P179">
            <v>7</v>
          </cell>
          <cell r="S179" t="str">
            <v xml:space="preserve"> </v>
          </cell>
          <cell r="U179">
            <v>2002</v>
          </cell>
          <cell r="W179">
            <v>6235</v>
          </cell>
          <cell r="X179">
            <v>4000</v>
          </cell>
          <cell r="Z179">
            <v>0</v>
          </cell>
          <cell r="AA179">
            <v>500</v>
          </cell>
          <cell r="AB179">
            <v>150</v>
          </cell>
          <cell r="AC179">
            <v>0</v>
          </cell>
          <cell r="AF179">
            <v>500</v>
          </cell>
          <cell r="AG179">
            <v>2750</v>
          </cell>
          <cell r="AH179">
            <v>14135</v>
          </cell>
          <cell r="AI179">
            <v>169620</v>
          </cell>
          <cell r="AJ179">
            <v>17500</v>
          </cell>
          <cell r="AK179">
            <v>20000</v>
          </cell>
          <cell r="AL179">
            <v>15000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20201</v>
          </cell>
          <cell r="AR179">
            <v>242321</v>
          </cell>
          <cell r="AS179">
            <v>0</v>
          </cell>
        </row>
        <row r="180">
          <cell r="P180">
            <v>7</v>
          </cell>
          <cell r="S180" t="str">
            <v xml:space="preserve"> </v>
          </cell>
          <cell r="U180" t="str">
            <v>DIFF.</v>
          </cell>
          <cell r="W180">
            <v>750</v>
          </cell>
          <cell r="X180">
            <v>500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1250</v>
          </cell>
          <cell r="AI180">
            <v>15000</v>
          </cell>
          <cell r="AJ180">
            <v>0</v>
          </cell>
          <cell r="AK180">
            <v>0</v>
          </cell>
          <cell r="AL180">
            <v>5000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2430</v>
          </cell>
          <cell r="AR180">
            <v>22430</v>
          </cell>
          <cell r="AS180">
            <v>10.199999999999999</v>
          </cell>
        </row>
        <row r="181">
          <cell r="P181">
            <v>7</v>
          </cell>
          <cell r="S181" t="str">
            <v xml:space="preserve"> </v>
          </cell>
        </row>
        <row r="182">
          <cell r="G182">
            <v>2335</v>
          </cell>
          <cell r="H182" t="str">
            <v>MR MOHAMMAD SHABBIR AHMED</v>
          </cell>
          <cell r="I182">
            <v>24654</v>
          </cell>
          <cell r="J182">
            <v>35521</v>
          </cell>
          <cell r="K182">
            <v>12624</v>
          </cell>
          <cell r="L182" t="str">
            <v>MA</v>
          </cell>
          <cell r="M182">
            <v>21</v>
          </cell>
          <cell r="N182" t="str">
            <v>A2</v>
          </cell>
          <cell r="O182" t="str">
            <v>MA</v>
          </cell>
          <cell r="P182">
            <v>7</v>
          </cell>
          <cell r="Q182" t="str">
            <v>Other Locations</v>
          </cell>
          <cell r="R182" t="str">
            <v>Hyderabad</v>
          </cell>
          <cell r="S182" t="str">
            <v xml:space="preserve"> </v>
          </cell>
          <cell r="T182" t="str">
            <v>CA</v>
          </cell>
          <cell r="U182">
            <v>2001</v>
          </cell>
          <cell r="V182">
            <v>18000</v>
          </cell>
          <cell r="W182">
            <v>6165</v>
          </cell>
          <cell r="X182">
            <v>3500</v>
          </cell>
          <cell r="AA182">
            <v>500</v>
          </cell>
          <cell r="AB182">
            <v>150</v>
          </cell>
          <cell r="AD182" t="str">
            <v>CV</v>
          </cell>
          <cell r="AE182">
            <v>0</v>
          </cell>
          <cell r="AF182">
            <v>500</v>
          </cell>
          <cell r="AG182">
            <v>2750</v>
          </cell>
          <cell r="AH182">
            <v>13565</v>
          </cell>
          <cell r="AI182">
            <v>162780</v>
          </cell>
          <cell r="AJ182">
            <v>17500</v>
          </cell>
          <cell r="AK182">
            <v>20000</v>
          </cell>
          <cell r="AL182">
            <v>10000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19975</v>
          </cell>
          <cell r="AR182">
            <v>230255</v>
          </cell>
          <cell r="AS182">
            <v>0</v>
          </cell>
        </row>
        <row r="183">
          <cell r="M183">
            <v>21</v>
          </cell>
          <cell r="N183" t="str">
            <v>A2</v>
          </cell>
          <cell r="P183">
            <v>7</v>
          </cell>
          <cell r="S183" t="str">
            <v xml:space="preserve"> </v>
          </cell>
          <cell r="U183">
            <v>2002</v>
          </cell>
          <cell r="W183">
            <v>6915</v>
          </cell>
          <cell r="X183">
            <v>4000</v>
          </cell>
          <cell r="Z183">
            <v>0</v>
          </cell>
          <cell r="AA183">
            <v>500</v>
          </cell>
          <cell r="AB183">
            <v>150</v>
          </cell>
          <cell r="AC183">
            <v>0</v>
          </cell>
          <cell r="AF183">
            <v>500</v>
          </cell>
          <cell r="AG183">
            <v>2750</v>
          </cell>
          <cell r="AH183">
            <v>14815</v>
          </cell>
          <cell r="AI183">
            <v>177780</v>
          </cell>
          <cell r="AJ183">
            <v>17500</v>
          </cell>
          <cell r="AK183">
            <v>20000</v>
          </cell>
          <cell r="AL183">
            <v>15000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22405</v>
          </cell>
          <cell r="AR183">
            <v>252685</v>
          </cell>
          <cell r="AS183">
            <v>0</v>
          </cell>
        </row>
        <row r="184">
          <cell r="P184">
            <v>7</v>
          </cell>
          <cell r="S184" t="str">
            <v xml:space="preserve"> </v>
          </cell>
          <cell r="U184" t="str">
            <v>DIFF.</v>
          </cell>
          <cell r="W184">
            <v>750</v>
          </cell>
          <cell r="X184">
            <v>500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1250</v>
          </cell>
          <cell r="AI184">
            <v>15000</v>
          </cell>
          <cell r="AJ184">
            <v>0</v>
          </cell>
          <cell r="AK184">
            <v>0</v>
          </cell>
          <cell r="AL184">
            <v>5000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2430</v>
          </cell>
          <cell r="AR184">
            <v>22430</v>
          </cell>
          <cell r="AS184">
            <v>9.74</v>
          </cell>
        </row>
        <row r="185">
          <cell r="P185">
            <v>7</v>
          </cell>
          <cell r="S185" t="str">
            <v xml:space="preserve"> </v>
          </cell>
        </row>
        <row r="186">
          <cell r="G186">
            <v>2337</v>
          </cell>
          <cell r="H186" t="str">
            <v>MR SHARAD AWASTHI</v>
          </cell>
          <cell r="I186">
            <v>25614</v>
          </cell>
          <cell r="J186">
            <v>35555</v>
          </cell>
          <cell r="K186">
            <v>11664</v>
          </cell>
          <cell r="L186" t="str">
            <v>MA</v>
          </cell>
          <cell r="M186">
            <v>21</v>
          </cell>
          <cell r="N186" t="str">
            <v>A2</v>
          </cell>
          <cell r="O186" t="str">
            <v>MA</v>
          </cell>
          <cell r="P186">
            <v>7</v>
          </cell>
          <cell r="Q186" t="str">
            <v>Other Locations</v>
          </cell>
          <cell r="R186" t="str">
            <v>Karnal (Haryana)</v>
          </cell>
          <cell r="S186" t="str">
            <v xml:space="preserve"> </v>
          </cell>
          <cell r="T186" t="str">
            <v>BA</v>
          </cell>
          <cell r="U186">
            <v>2001</v>
          </cell>
          <cell r="V186">
            <v>21150</v>
          </cell>
          <cell r="W186">
            <v>5645</v>
          </cell>
          <cell r="X186">
            <v>3500</v>
          </cell>
          <cell r="AA186">
            <v>500</v>
          </cell>
          <cell r="AB186">
            <v>150</v>
          </cell>
          <cell r="AD186" t="str">
            <v>CV</v>
          </cell>
          <cell r="AE186">
            <v>0</v>
          </cell>
          <cell r="AF186">
            <v>500</v>
          </cell>
          <cell r="AG186">
            <v>2750</v>
          </cell>
          <cell r="AH186">
            <v>13045</v>
          </cell>
          <cell r="AI186">
            <v>156540</v>
          </cell>
          <cell r="AJ186">
            <v>17500</v>
          </cell>
          <cell r="AK186">
            <v>20000</v>
          </cell>
          <cell r="AL186">
            <v>10000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18290</v>
          </cell>
          <cell r="AR186">
            <v>222330</v>
          </cell>
          <cell r="AS186">
            <v>0</v>
          </cell>
        </row>
        <row r="187">
          <cell r="M187">
            <v>21</v>
          </cell>
          <cell r="N187" t="str">
            <v>A2</v>
          </cell>
          <cell r="P187">
            <v>7</v>
          </cell>
          <cell r="S187" t="str">
            <v xml:space="preserve"> </v>
          </cell>
          <cell r="U187">
            <v>2002</v>
          </cell>
          <cell r="W187">
            <v>6745</v>
          </cell>
          <cell r="X187">
            <v>4000</v>
          </cell>
          <cell r="Z187">
            <v>0</v>
          </cell>
          <cell r="AA187">
            <v>500</v>
          </cell>
          <cell r="AB187">
            <v>150</v>
          </cell>
          <cell r="AC187">
            <v>0</v>
          </cell>
          <cell r="AF187">
            <v>500</v>
          </cell>
          <cell r="AG187">
            <v>2750</v>
          </cell>
          <cell r="AH187">
            <v>14645</v>
          </cell>
          <cell r="AI187">
            <v>175740</v>
          </cell>
          <cell r="AJ187">
            <v>17500</v>
          </cell>
          <cell r="AK187">
            <v>20000</v>
          </cell>
          <cell r="AL187">
            <v>15000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21854</v>
          </cell>
          <cell r="AR187">
            <v>250094</v>
          </cell>
          <cell r="AS187">
            <v>0</v>
          </cell>
        </row>
        <row r="188">
          <cell r="P188">
            <v>7</v>
          </cell>
          <cell r="S188" t="str">
            <v xml:space="preserve"> </v>
          </cell>
          <cell r="U188" t="str">
            <v>DIFF.</v>
          </cell>
          <cell r="W188">
            <v>1100</v>
          </cell>
          <cell r="X188">
            <v>500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1600</v>
          </cell>
          <cell r="AI188">
            <v>19200</v>
          </cell>
          <cell r="AJ188">
            <v>0</v>
          </cell>
          <cell r="AK188">
            <v>0</v>
          </cell>
          <cell r="AL188">
            <v>5000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3564</v>
          </cell>
          <cell r="AR188">
            <v>27764</v>
          </cell>
          <cell r="AS188">
            <v>12.49</v>
          </cell>
        </row>
        <row r="189">
          <cell r="P189">
            <v>7</v>
          </cell>
          <cell r="S189" t="str">
            <v xml:space="preserve"> </v>
          </cell>
        </row>
        <row r="190">
          <cell r="G190">
            <v>2340</v>
          </cell>
          <cell r="H190" t="str">
            <v>MR RAM KUMAR SINGH</v>
          </cell>
          <cell r="I190">
            <v>26204</v>
          </cell>
          <cell r="J190">
            <v>35653</v>
          </cell>
          <cell r="K190">
            <v>11074</v>
          </cell>
          <cell r="L190" t="str">
            <v>MA</v>
          </cell>
          <cell r="M190">
            <v>21</v>
          </cell>
          <cell r="N190" t="str">
            <v>A2</v>
          </cell>
          <cell r="O190" t="str">
            <v>MA</v>
          </cell>
          <cell r="P190">
            <v>7</v>
          </cell>
          <cell r="Q190" t="str">
            <v>Other Locations</v>
          </cell>
          <cell r="R190" t="str">
            <v>Simla (Hp)</v>
          </cell>
          <cell r="S190" t="str">
            <v xml:space="preserve"> </v>
          </cell>
          <cell r="T190" t="str">
            <v>BA</v>
          </cell>
          <cell r="U190">
            <v>2001</v>
          </cell>
          <cell r="V190">
            <v>21150</v>
          </cell>
          <cell r="W190">
            <v>5280</v>
          </cell>
          <cell r="X190">
            <v>3500</v>
          </cell>
          <cell r="AA190">
            <v>500</v>
          </cell>
          <cell r="AB190">
            <v>150</v>
          </cell>
          <cell r="AD190" t="str">
            <v>CV</v>
          </cell>
          <cell r="AE190">
            <v>0</v>
          </cell>
          <cell r="AF190">
            <v>500</v>
          </cell>
          <cell r="AG190">
            <v>2750</v>
          </cell>
          <cell r="AH190">
            <v>12680</v>
          </cell>
          <cell r="AI190">
            <v>152160</v>
          </cell>
          <cell r="AJ190">
            <v>17500</v>
          </cell>
          <cell r="AK190">
            <v>20000</v>
          </cell>
          <cell r="AL190">
            <v>10000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17107</v>
          </cell>
          <cell r="AR190">
            <v>216767</v>
          </cell>
          <cell r="AS190">
            <v>0</v>
          </cell>
        </row>
        <row r="191">
          <cell r="M191">
            <v>21</v>
          </cell>
          <cell r="N191" t="str">
            <v>A2</v>
          </cell>
          <cell r="P191">
            <v>7</v>
          </cell>
          <cell r="S191" t="str">
            <v xml:space="preserve"> </v>
          </cell>
          <cell r="U191">
            <v>2002</v>
          </cell>
          <cell r="W191">
            <v>6380</v>
          </cell>
          <cell r="X191">
            <v>4000</v>
          </cell>
          <cell r="Z191">
            <v>0</v>
          </cell>
          <cell r="AA191">
            <v>500</v>
          </cell>
          <cell r="AB191">
            <v>150</v>
          </cell>
          <cell r="AC191">
            <v>0</v>
          </cell>
          <cell r="AF191">
            <v>500</v>
          </cell>
          <cell r="AG191">
            <v>2750</v>
          </cell>
          <cell r="AH191">
            <v>14280</v>
          </cell>
          <cell r="AI191">
            <v>171360</v>
          </cell>
          <cell r="AJ191">
            <v>17500</v>
          </cell>
          <cell r="AK191">
            <v>20000</v>
          </cell>
          <cell r="AL191">
            <v>15000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20671</v>
          </cell>
          <cell r="AR191">
            <v>244531</v>
          </cell>
          <cell r="AS191">
            <v>0</v>
          </cell>
        </row>
        <row r="192">
          <cell r="P192">
            <v>7</v>
          </cell>
          <cell r="S192" t="str">
            <v xml:space="preserve"> </v>
          </cell>
          <cell r="U192" t="str">
            <v>DIFF.</v>
          </cell>
          <cell r="W192">
            <v>1100</v>
          </cell>
          <cell r="X192">
            <v>500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1600</v>
          </cell>
          <cell r="AI192">
            <v>19200</v>
          </cell>
          <cell r="AJ192">
            <v>0</v>
          </cell>
          <cell r="AK192">
            <v>0</v>
          </cell>
          <cell r="AL192">
            <v>5000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3564</v>
          </cell>
          <cell r="AR192">
            <v>27764</v>
          </cell>
          <cell r="AS192">
            <v>12.81</v>
          </cell>
        </row>
        <row r="193">
          <cell r="P193">
            <v>7</v>
          </cell>
          <cell r="S193" t="str">
            <v xml:space="preserve"> </v>
          </cell>
        </row>
        <row r="194">
          <cell r="G194">
            <v>2341</v>
          </cell>
          <cell r="H194" t="str">
            <v>MR VASANTKUMAR P. PRAJAPATI</v>
          </cell>
          <cell r="I194">
            <v>26188</v>
          </cell>
          <cell r="J194">
            <v>35677</v>
          </cell>
          <cell r="K194">
            <v>11090</v>
          </cell>
          <cell r="L194" t="str">
            <v>MA</v>
          </cell>
          <cell r="M194">
            <v>21</v>
          </cell>
          <cell r="N194" t="str">
            <v>A1</v>
          </cell>
          <cell r="O194" t="str">
            <v>MA</v>
          </cell>
          <cell r="P194">
            <v>7</v>
          </cell>
          <cell r="Q194" t="str">
            <v>Other Locations</v>
          </cell>
          <cell r="R194" t="str">
            <v>Rajkot</v>
          </cell>
          <cell r="S194" t="str">
            <v xml:space="preserve"> </v>
          </cell>
          <cell r="T194" t="str">
            <v>BL</v>
          </cell>
          <cell r="U194">
            <v>2001</v>
          </cell>
          <cell r="V194">
            <v>21150</v>
          </cell>
          <cell r="W194">
            <v>5145</v>
          </cell>
          <cell r="X194">
            <v>3500</v>
          </cell>
          <cell r="AA194">
            <v>500</v>
          </cell>
          <cell r="AB194">
            <v>150</v>
          </cell>
          <cell r="AD194" t="str">
            <v>CV</v>
          </cell>
          <cell r="AE194">
            <v>0</v>
          </cell>
          <cell r="AG194">
            <v>2750</v>
          </cell>
          <cell r="AH194">
            <v>12045</v>
          </cell>
          <cell r="AI194">
            <v>144540</v>
          </cell>
          <cell r="AJ194">
            <v>17500</v>
          </cell>
          <cell r="AK194">
            <v>20000</v>
          </cell>
          <cell r="AL194">
            <v>10000</v>
          </cell>
          <cell r="AQ194">
            <v>16670</v>
          </cell>
          <cell r="AR194">
            <v>208710</v>
          </cell>
        </row>
        <row r="195">
          <cell r="M195">
            <v>21</v>
          </cell>
          <cell r="N195" t="str">
            <v>A1</v>
          </cell>
          <cell r="P195">
            <v>7</v>
          </cell>
          <cell r="S195" t="str">
            <v xml:space="preserve"> </v>
          </cell>
          <cell r="U195">
            <v>2002</v>
          </cell>
          <cell r="W195">
            <v>6095</v>
          </cell>
          <cell r="X195">
            <v>4000</v>
          </cell>
          <cell r="Z195">
            <v>0</v>
          </cell>
          <cell r="AA195">
            <v>500</v>
          </cell>
          <cell r="AB195">
            <v>150</v>
          </cell>
          <cell r="AC195">
            <v>0</v>
          </cell>
          <cell r="AF195">
            <v>0</v>
          </cell>
          <cell r="AG195">
            <v>2750</v>
          </cell>
          <cell r="AH195">
            <v>13495</v>
          </cell>
          <cell r="AI195">
            <v>161940</v>
          </cell>
          <cell r="AJ195">
            <v>17500</v>
          </cell>
          <cell r="AK195">
            <v>20000</v>
          </cell>
          <cell r="AL195">
            <v>15000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19748</v>
          </cell>
          <cell r="AR195">
            <v>234188</v>
          </cell>
          <cell r="AS195">
            <v>0</v>
          </cell>
        </row>
        <row r="196">
          <cell r="P196">
            <v>7</v>
          </cell>
          <cell r="S196" t="str">
            <v xml:space="preserve"> </v>
          </cell>
          <cell r="U196" t="str">
            <v>DIFF.</v>
          </cell>
          <cell r="W196">
            <v>950</v>
          </cell>
          <cell r="X196">
            <v>500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1450</v>
          </cell>
          <cell r="AI196">
            <v>17400</v>
          </cell>
          <cell r="AJ196">
            <v>0</v>
          </cell>
          <cell r="AK196">
            <v>0</v>
          </cell>
          <cell r="AL196">
            <v>5000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3078</v>
          </cell>
          <cell r="AR196">
            <v>25478</v>
          </cell>
          <cell r="AS196">
            <v>12.21</v>
          </cell>
        </row>
        <row r="197">
          <cell r="P197">
            <v>7</v>
          </cell>
          <cell r="S197" t="str">
            <v xml:space="preserve"> </v>
          </cell>
        </row>
        <row r="198">
          <cell r="G198">
            <v>2342</v>
          </cell>
          <cell r="H198" t="str">
            <v>MR RAJAN SETH</v>
          </cell>
          <cell r="I198">
            <v>26545</v>
          </cell>
          <cell r="J198">
            <v>35688</v>
          </cell>
          <cell r="K198">
            <v>10733</v>
          </cell>
          <cell r="L198" t="str">
            <v>MA</v>
          </cell>
          <cell r="M198">
            <v>21</v>
          </cell>
          <cell r="N198" t="str">
            <v>A1</v>
          </cell>
          <cell r="O198" t="str">
            <v>MA</v>
          </cell>
          <cell r="P198">
            <v>7</v>
          </cell>
          <cell r="Q198" t="str">
            <v>Other Locations</v>
          </cell>
          <cell r="R198" t="str">
            <v>Amritsar (Punjab)</v>
          </cell>
          <cell r="S198" t="str">
            <v xml:space="preserve"> </v>
          </cell>
          <cell r="T198" t="str">
            <v>D</v>
          </cell>
          <cell r="U198">
            <v>2001</v>
          </cell>
          <cell r="V198">
            <v>11000</v>
          </cell>
          <cell r="W198">
            <v>5150</v>
          </cell>
          <cell r="X198">
            <v>3500</v>
          </cell>
          <cell r="AA198">
            <v>500</v>
          </cell>
          <cell r="AB198">
            <v>150</v>
          </cell>
          <cell r="AD198" t="str">
            <v>CV</v>
          </cell>
          <cell r="AE198">
            <v>0</v>
          </cell>
          <cell r="AG198">
            <v>2750</v>
          </cell>
          <cell r="AH198">
            <v>12050</v>
          </cell>
          <cell r="AI198">
            <v>144600</v>
          </cell>
          <cell r="AJ198">
            <v>17500</v>
          </cell>
          <cell r="AK198">
            <v>20000</v>
          </cell>
          <cell r="AL198">
            <v>10000</v>
          </cell>
          <cell r="AQ198">
            <v>16686</v>
          </cell>
          <cell r="AR198">
            <v>208786</v>
          </cell>
        </row>
        <row r="199">
          <cell r="M199">
            <v>21</v>
          </cell>
          <cell r="N199" t="str">
            <v>A1</v>
          </cell>
          <cell r="P199">
            <v>7</v>
          </cell>
          <cell r="S199" t="str">
            <v xml:space="preserve"> </v>
          </cell>
          <cell r="U199">
            <v>2002</v>
          </cell>
          <cell r="W199">
            <v>5500</v>
          </cell>
          <cell r="X199">
            <v>4000</v>
          </cell>
          <cell r="Z199">
            <v>0</v>
          </cell>
          <cell r="AA199">
            <v>500</v>
          </cell>
          <cell r="AB199">
            <v>150</v>
          </cell>
          <cell r="AC199">
            <v>0</v>
          </cell>
          <cell r="AF199">
            <v>0</v>
          </cell>
          <cell r="AG199">
            <v>2750</v>
          </cell>
          <cell r="AH199">
            <v>12900</v>
          </cell>
          <cell r="AI199">
            <v>154800</v>
          </cell>
          <cell r="AJ199">
            <v>17500</v>
          </cell>
          <cell r="AK199">
            <v>20000</v>
          </cell>
          <cell r="AL199">
            <v>15000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17820</v>
          </cell>
          <cell r="AR199">
            <v>225120</v>
          </cell>
          <cell r="AS199">
            <v>0</v>
          </cell>
        </row>
        <row r="200">
          <cell r="P200">
            <v>7</v>
          </cell>
          <cell r="S200" t="str">
            <v xml:space="preserve"> </v>
          </cell>
          <cell r="U200" t="str">
            <v>DIFF.</v>
          </cell>
          <cell r="W200">
            <v>350</v>
          </cell>
          <cell r="X200">
            <v>500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850</v>
          </cell>
          <cell r="AI200">
            <v>10200</v>
          </cell>
          <cell r="AJ200">
            <v>0</v>
          </cell>
          <cell r="AK200">
            <v>0</v>
          </cell>
          <cell r="AL200">
            <v>5000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1134</v>
          </cell>
          <cell r="AR200">
            <v>16334</v>
          </cell>
          <cell r="AS200">
            <v>7.82</v>
          </cell>
        </row>
        <row r="201">
          <cell r="P201">
            <v>7</v>
          </cell>
          <cell r="S201" t="str">
            <v xml:space="preserve"> </v>
          </cell>
        </row>
        <row r="202">
          <cell r="G202">
            <v>2343</v>
          </cell>
          <cell r="H202" t="str">
            <v>MRS SEQUEIRA GLORY</v>
          </cell>
          <cell r="I202">
            <v>23375</v>
          </cell>
          <cell r="J202">
            <v>35692</v>
          </cell>
          <cell r="K202">
            <v>13903</v>
          </cell>
          <cell r="L202" t="str">
            <v>MA</v>
          </cell>
          <cell r="M202">
            <v>21</v>
          </cell>
          <cell r="O202" t="str">
            <v>MA</v>
          </cell>
          <cell r="P202">
            <v>1</v>
          </cell>
          <cell r="Q202" t="str">
            <v>Mumbai</v>
          </cell>
          <cell r="R202" t="str">
            <v>Ho</v>
          </cell>
          <cell r="S202" t="str">
            <v xml:space="preserve"> </v>
          </cell>
          <cell r="T202" t="str">
            <v>CL</v>
          </cell>
          <cell r="U202">
            <v>2001</v>
          </cell>
          <cell r="V202">
            <v>18000</v>
          </cell>
          <cell r="W202">
            <v>8355</v>
          </cell>
          <cell r="X202">
            <v>3500</v>
          </cell>
          <cell r="AA202">
            <v>500</v>
          </cell>
          <cell r="AB202">
            <v>150</v>
          </cell>
          <cell r="AC202">
            <v>800</v>
          </cell>
          <cell r="AE202">
            <v>1000</v>
          </cell>
          <cell r="AG202">
            <v>2750</v>
          </cell>
          <cell r="AH202">
            <v>17055</v>
          </cell>
          <cell r="AI202">
            <v>204660</v>
          </cell>
          <cell r="AJ202">
            <v>17500</v>
          </cell>
          <cell r="AK202">
            <v>20000</v>
          </cell>
          <cell r="AL202">
            <v>10000</v>
          </cell>
          <cell r="AQ202">
            <v>27070</v>
          </cell>
          <cell r="AR202">
            <v>279230</v>
          </cell>
        </row>
        <row r="203">
          <cell r="M203">
            <v>21</v>
          </cell>
          <cell r="P203">
            <v>1</v>
          </cell>
          <cell r="S203" t="str">
            <v xml:space="preserve"> </v>
          </cell>
          <cell r="U203">
            <v>2002</v>
          </cell>
          <cell r="W203">
            <v>9005</v>
          </cell>
          <cell r="X203">
            <v>5500</v>
          </cell>
          <cell r="Z203">
            <v>0</v>
          </cell>
          <cell r="AA203">
            <v>500</v>
          </cell>
          <cell r="AB203">
            <v>150</v>
          </cell>
          <cell r="AC203">
            <v>800</v>
          </cell>
          <cell r="AF203">
            <v>0</v>
          </cell>
          <cell r="AG203">
            <v>2750</v>
          </cell>
          <cell r="AH203">
            <v>18705</v>
          </cell>
          <cell r="AI203">
            <v>224460</v>
          </cell>
          <cell r="AJ203">
            <v>17500</v>
          </cell>
          <cell r="AK203">
            <v>20000</v>
          </cell>
          <cell r="AL203">
            <v>15000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29176</v>
          </cell>
          <cell r="AR203">
            <v>306136</v>
          </cell>
          <cell r="AS203">
            <v>0</v>
          </cell>
        </row>
        <row r="204">
          <cell r="P204">
            <v>1</v>
          </cell>
          <cell r="S204" t="str">
            <v xml:space="preserve"> </v>
          </cell>
          <cell r="U204" t="str">
            <v>DIFF.</v>
          </cell>
          <cell r="W204">
            <v>650</v>
          </cell>
          <cell r="X204">
            <v>2000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-1000</v>
          </cell>
          <cell r="AF204">
            <v>0</v>
          </cell>
          <cell r="AG204">
            <v>0</v>
          </cell>
          <cell r="AH204">
            <v>1650</v>
          </cell>
          <cell r="AI204">
            <v>19800</v>
          </cell>
          <cell r="AJ204">
            <v>0</v>
          </cell>
          <cell r="AK204">
            <v>0</v>
          </cell>
          <cell r="AL204">
            <v>5000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2106</v>
          </cell>
          <cell r="AR204">
            <v>26906</v>
          </cell>
          <cell r="AS204">
            <v>9.64</v>
          </cell>
        </row>
        <row r="205">
          <cell r="P205">
            <v>1</v>
          </cell>
          <cell r="S205" t="str">
            <v xml:space="preserve"> </v>
          </cell>
        </row>
        <row r="206">
          <cell r="G206">
            <v>2347</v>
          </cell>
          <cell r="H206" t="str">
            <v xml:space="preserve">DR MAHESH J. DESALE </v>
          </cell>
          <cell r="I206">
            <v>25758</v>
          </cell>
          <cell r="J206">
            <v>35798</v>
          </cell>
          <cell r="K206">
            <v>11520</v>
          </cell>
          <cell r="L206" t="str">
            <v>MA</v>
          </cell>
          <cell r="M206">
            <v>21</v>
          </cell>
          <cell r="N206" t="str">
            <v>A2</v>
          </cell>
          <cell r="O206" t="str">
            <v>MA</v>
          </cell>
          <cell r="P206">
            <v>7</v>
          </cell>
          <cell r="Q206" t="str">
            <v>Other Locations</v>
          </cell>
          <cell r="R206" t="str">
            <v>Pune</v>
          </cell>
          <cell r="S206" t="str">
            <v xml:space="preserve"> </v>
          </cell>
          <cell r="T206" t="str">
            <v>CL</v>
          </cell>
          <cell r="U206">
            <v>2001</v>
          </cell>
          <cell r="V206">
            <v>18000</v>
          </cell>
          <cell r="W206">
            <v>5250</v>
          </cell>
          <cell r="X206">
            <v>3500</v>
          </cell>
          <cell r="AA206">
            <v>500</v>
          </cell>
          <cell r="AB206">
            <v>150</v>
          </cell>
          <cell r="AD206" t="str">
            <v>CV</v>
          </cell>
          <cell r="AE206">
            <v>0</v>
          </cell>
          <cell r="AF206">
            <v>500</v>
          </cell>
          <cell r="AG206">
            <v>2750</v>
          </cell>
          <cell r="AH206">
            <v>12650</v>
          </cell>
          <cell r="AI206">
            <v>151800</v>
          </cell>
          <cell r="AJ206">
            <v>17500</v>
          </cell>
          <cell r="AK206">
            <v>20000</v>
          </cell>
          <cell r="AL206">
            <v>10000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17010</v>
          </cell>
          <cell r="AR206">
            <v>216310</v>
          </cell>
          <cell r="AS206">
            <v>0</v>
          </cell>
        </row>
        <row r="207">
          <cell r="M207">
            <v>21</v>
          </cell>
          <cell r="N207" t="str">
            <v>A2</v>
          </cell>
          <cell r="P207">
            <v>7</v>
          </cell>
          <cell r="S207" t="str">
            <v xml:space="preserve"> </v>
          </cell>
          <cell r="U207">
            <v>2002</v>
          </cell>
          <cell r="W207">
            <v>5900</v>
          </cell>
          <cell r="X207">
            <v>4000</v>
          </cell>
          <cell r="Z207">
            <v>0</v>
          </cell>
          <cell r="AA207">
            <v>500</v>
          </cell>
          <cell r="AB207">
            <v>150</v>
          </cell>
          <cell r="AC207">
            <v>0</v>
          </cell>
          <cell r="AF207">
            <v>500</v>
          </cell>
          <cell r="AG207">
            <v>2750</v>
          </cell>
          <cell r="AH207">
            <v>13800</v>
          </cell>
          <cell r="AI207">
            <v>165600</v>
          </cell>
          <cell r="AJ207">
            <v>17500</v>
          </cell>
          <cell r="AK207">
            <v>20000</v>
          </cell>
          <cell r="AL207">
            <v>15000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19116</v>
          </cell>
          <cell r="AR207">
            <v>237216</v>
          </cell>
          <cell r="AS207">
            <v>0</v>
          </cell>
        </row>
        <row r="208">
          <cell r="P208">
            <v>7</v>
          </cell>
          <cell r="S208" t="str">
            <v xml:space="preserve"> </v>
          </cell>
          <cell r="U208" t="str">
            <v>DIFF.</v>
          </cell>
          <cell r="W208">
            <v>650</v>
          </cell>
          <cell r="X208">
            <v>500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1150</v>
          </cell>
          <cell r="AI208">
            <v>13800</v>
          </cell>
          <cell r="AJ208">
            <v>0</v>
          </cell>
          <cell r="AK208">
            <v>0</v>
          </cell>
          <cell r="AL208">
            <v>5000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2106</v>
          </cell>
          <cell r="AR208">
            <v>20906</v>
          </cell>
          <cell r="AS208">
            <v>9.66</v>
          </cell>
        </row>
        <row r="209">
          <cell r="P209">
            <v>7</v>
          </cell>
          <cell r="S209" t="str">
            <v xml:space="preserve"> </v>
          </cell>
        </row>
        <row r="210">
          <cell r="G210">
            <v>2348</v>
          </cell>
          <cell r="H210" t="str">
            <v>MR SANJAY SINGH GAUTAM</v>
          </cell>
          <cell r="I210">
            <v>26775</v>
          </cell>
          <cell r="J210">
            <v>35805</v>
          </cell>
          <cell r="K210">
            <v>10503</v>
          </cell>
          <cell r="L210" t="str">
            <v>MA</v>
          </cell>
          <cell r="M210">
            <v>21</v>
          </cell>
          <cell r="N210" t="str">
            <v>A1</v>
          </cell>
          <cell r="O210" t="str">
            <v>MA</v>
          </cell>
          <cell r="P210">
            <v>7</v>
          </cell>
          <cell r="Q210" t="str">
            <v>Other Locations</v>
          </cell>
          <cell r="R210" t="str">
            <v>Badnagar (W B)</v>
          </cell>
          <cell r="S210" t="str">
            <v xml:space="preserve"> </v>
          </cell>
          <cell r="T210" t="str">
            <v>CA</v>
          </cell>
          <cell r="U210">
            <v>2001</v>
          </cell>
          <cell r="V210">
            <v>18000</v>
          </cell>
          <cell r="W210">
            <v>4525</v>
          </cell>
          <cell r="X210">
            <v>3500</v>
          </cell>
          <cell r="AA210">
            <v>500</v>
          </cell>
          <cell r="AB210">
            <v>150</v>
          </cell>
          <cell r="AD210" t="str">
            <v>CV</v>
          </cell>
          <cell r="AE210">
            <v>0</v>
          </cell>
          <cell r="AG210">
            <v>2750</v>
          </cell>
          <cell r="AH210">
            <v>11425</v>
          </cell>
          <cell r="AI210">
            <v>137100</v>
          </cell>
          <cell r="AJ210">
            <v>17500</v>
          </cell>
          <cell r="AK210">
            <v>20000</v>
          </cell>
          <cell r="AL210">
            <v>10000</v>
          </cell>
          <cell r="AQ210">
            <v>14661</v>
          </cell>
          <cell r="AR210">
            <v>199261</v>
          </cell>
        </row>
        <row r="211">
          <cell r="M211">
            <v>21</v>
          </cell>
          <cell r="N211" t="str">
            <v>A1</v>
          </cell>
          <cell r="P211">
            <v>7</v>
          </cell>
          <cell r="S211" t="str">
            <v xml:space="preserve"> </v>
          </cell>
          <cell r="U211">
            <v>2002</v>
          </cell>
          <cell r="W211">
            <v>5275</v>
          </cell>
          <cell r="X211">
            <v>4000</v>
          </cell>
          <cell r="Z211">
            <v>0</v>
          </cell>
          <cell r="AA211">
            <v>500</v>
          </cell>
          <cell r="AB211">
            <v>150</v>
          </cell>
          <cell r="AC211">
            <v>0</v>
          </cell>
          <cell r="AF211">
            <v>0</v>
          </cell>
          <cell r="AG211">
            <v>2750</v>
          </cell>
          <cell r="AH211">
            <v>12675</v>
          </cell>
          <cell r="AI211">
            <v>152100</v>
          </cell>
          <cell r="AJ211">
            <v>17500</v>
          </cell>
          <cell r="AK211">
            <v>20000</v>
          </cell>
          <cell r="AL211">
            <v>15000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17091</v>
          </cell>
          <cell r="AR211">
            <v>221691</v>
          </cell>
          <cell r="AS211">
            <v>0</v>
          </cell>
        </row>
        <row r="212">
          <cell r="P212">
            <v>7</v>
          </cell>
          <cell r="S212" t="str">
            <v xml:space="preserve"> </v>
          </cell>
          <cell r="U212" t="str">
            <v>DIFF.</v>
          </cell>
          <cell r="W212">
            <v>750</v>
          </cell>
          <cell r="X212">
            <v>500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1250</v>
          </cell>
          <cell r="AI212">
            <v>15000</v>
          </cell>
          <cell r="AJ212">
            <v>0</v>
          </cell>
          <cell r="AK212">
            <v>0</v>
          </cell>
          <cell r="AL212">
            <v>5000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2430</v>
          </cell>
          <cell r="AR212">
            <v>22430</v>
          </cell>
          <cell r="AS212">
            <v>11.26</v>
          </cell>
        </row>
        <row r="213">
          <cell r="P213">
            <v>7</v>
          </cell>
          <cell r="S213" t="str">
            <v xml:space="preserve"> </v>
          </cell>
        </row>
        <row r="214">
          <cell r="G214">
            <v>2349</v>
          </cell>
          <cell r="H214" t="str">
            <v>MR VIVEK SAXENA</v>
          </cell>
          <cell r="I214">
            <v>26025</v>
          </cell>
          <cell r="J214">
            <v>35813</v>
          </cell>
          <cell r="K214">
            <v>11253</v>
          </cell>
          <cell r="L214" t="str">
            <v>MA</v>
          </cell>
          <cell r="M214">
            <v>21</v>
          </cell>
          <cell r="N214" t="str">
            <v>A1</v>
          </cell>
          <cell r="O214" t="str">
            <v>MA</v>
          </cell>
          <cell r="P214">
            <v>7</v>
          </cell>
          <cell r="Q214" t="str">
            <v>Other Locations</v>
          </cell>
          <cell r="R214" t="str">
            <v>Harda (Mp)</v>
          </cell>
          <cell r="S214" t="str">
            <v xml:space="preserve"> </v>
          </cell>
          <cell r="T214" t="str">
            <v>BL</v>
          </cell>
          <cell r="U214">
            <v>2001</v>
          </cell>
          <cell r="V214">
            <v>21150</v>
          </cell>
          <cell r="W214">
            <v>4705</v>
          </cell>
          <cell r="X214">
            <v>3500</v>
          </cell>
          <cell r="AA214">
            <v>500</v>
          </cell>
          <cell r="AB214">
            <v>150</v>
          </cell>
          <cell r="AD214" t="str">
            <v>CV</v>
          </cell>
          <cell r="AE214">
            <v>0</v>
          </cell>
          <cell r="AG214">
            <v>2750</v>
          </cell>
          <cell r="AH214">
            <v>11605</v>
          </cell>
          <cell r="AI214">
            <v>139260</v>
          </cell>
          <cell r="AJ214">
            <v>17500</v>
          </cell>
          <cell r="AK214">
            <v>20000</v>
          </cell>
          <cell r="AL214">
            <v>10000</v>
          </cell>
          <cell r="AQ214">
            <v>15244</v>
          </cell>
          <cell r="AR214">
            <v>202004</v>
          </cell>
        </row>
        <row r="215">
          <cell r="M215">
            <v>21</v>
          </cell>
          <cell r="N215" t="str">
            <v>A1</v>
          </cell>
          <cell r="P215">
            <v>7</v>
          </cell>
          <cell r="S215" t="str">
            <v xml:space="preserve"> </v>
          </cell>
          <cell r="U215">
            <v>2002</v>
          </cell>
          <cell r="W215">
            <v>5655</v>
          </cell>
          <cell r="X215">
            <v>4000</v>
          </cell>
          <cell r="Z215">
            <v>0</v>
          </cell>
          <cell r="AA215">
            <v>500</v>
          </cell>
          <cell r="AB215">
            <v>150</v>
          </cell>
          <cell r="AC215">
            <v>0</v>
          </cell>
          <cell r="AF215">
            <v>0</v>
          </cell>
          <cell r="AG215">
            <v>2750</v>
          </cell>
          <cell r="AH215">
            <v>13055</v>
          </cell>
          <cell r="AI215">
            <v>156660</v>
          </cell>
          <cell r="AJ215">
            <v>17500</v>
          </cell>
          <cell r="AK215">
            <v>20000</v>
          </cell>
          <cell r="AL215">
            <v>15000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18322</v>
          </cell>
          <cell r="AR215">
            <v>227482</v>
          </cell>
          <cell r="AS215">
            <v>0</v>
          </cell>
        </row>
        <row r="216">
          <cell r="P216">
            <v>7</v>
          </cell>
          <cell r="S216" t="str">
            <v xml:space="preserve"> </v>
          </cell>
          <cell r="U216" t="str">
            <v>DIFF.</v>
          </cell>
          <cell r="W216">
            <v>950</v>
          </cell>
          <cell r="X216">
            <v>500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1450</v>
          </cell>
          <cell r="AI216">
            <v>17400</v>
          </cell>
          <cell r="AJ216">
            <v>0</v>
          </cell>
          <cell r="AK216">
            <v>0</v>
          </cell>
          <cell r="AL216">
            <v>5000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3078</v>
          </cell>
          <cell r="AR216">
            <v>25478</v>
          </cell>
          <cell r="AS216">
            <v>12.61</v>
          </cell>
        </row>
        <row r="217">
          <cell r="P217">
            <v>7</v>
          </cell>
          <cell r="S217" t="str">
            <v xml:space="preserve"> </v>
          </cell>
        </row>
        <row r="218">
          <cell r="G218">
            <v>2350</v>
          </cell>
          <cell r="H218" t="str">
            <v>MR HEMANT AITULWAR</v>
          </cell>
          <cell r="I218">
            <v>26820</v>
          </cell>
          <cell r="J218">
            <v>35821</v>
          </cell>
          <cell r="K218">
            <v>10458</v>
          </cell>
          <cell r="L218" t="str">
            <v>MA</v>
          </cell>
          <cell r="M218">
            <v>21</v>
          </cell>
          <cell r="N218" t="str">
            <v>A1</v>
          </cell>
          <cell r="O218" t="str">
            <v>MA</v>
          </cell>
          <cell r="P218">
            <v>7</v>
          </cell>
          <cell r="Q218" t="str">
            <v>Other Locations</v>
          </cell>
          <cell r="R218" t="str">
            <v>Hoshangabad (Mp)</v>
          </cell>
          <cell r="S218" t="str">
            <v xml:space="preserve"> </v>
          </cell>
          <cell r="T218" t="str">
            <v>BA</v>
          </cell>
          <cell r="U218">
            <v>2001</v>
          </cell>
          <cell r="V218">
            <v>21150</v>
          </cell>
          <cell r="W218">
            <v>4505</v>
          </cell>
          <cell r="X218">
            <v>3500</v>
          </cell>
          <cell r="AA218">
            <v>500</v>
          </cell>
          <cell r="AB218">
            <v>150</v>
          </cell>
          <cell r="AD218" t="str">
            <v>CV</v>
          </cell>
          <cell r="AE218">
            <v>0</v>
          </cell>
          <cell r="AG218">
            <v>2750</v>
          </cell>
          <cell r="AH218">
            <v>11405</v>
          </cell>
          <cell r="AI218">
            <v>136860</v>
          </cell>
          <cell r="AJ218">
            <v>17500</v>
          </cell>
          <cell r="AK218">
            <v>20000</v>
          </cell>
          <cell r="AL218">
            <v>10000</v>
          </cell>
          <cell r="AQ218">
            <v>14596</v>
          </cell>
          <cell r="AR218">
            <v>198956</v>
          </cell>
        </row>
        <row r="219">
          <cell r="M219">
            <v>21</v>
          </cell>
          <cell r="N219" t="str">
            <v>A1</v>
          </cell>
          <cell r="P219">
            <v>7</v>
          </cell>
          <cell r="S219" t="str">
            <v xml:space="preserve"> </v>
          </cell>
          <cell r="U219">
            <v>2002</v>
          </cell>
          <cell r="W219">
            <v>5605</v>
          </cell>
          <cell r="X219">
            <v>4000</v>
          </cell>
          <cell r="Z219">
            <v>0</v>
          </cell>
          <cell r="AA219">
            <v>500</v>
          </cell>
          <cell r="AB219">
            <v>150</v>
          </cell>
          <cell r="AC219">
            <v>0</v>
          </cell>
          <cell r="AF219">
            <v>0</v>
          </cell>
          <cell r="AG219">
            <v>2750</v>
          </cell>
          <cell r="AH219">
            <v>13005</v>
          </cell>
          <cell r="AI219">
            <v>156060</v>
          </cell>
          <cell r="AJ219">
            <v>17500</v>
          </cell>
          <cell r="AK219">
            <v>20000</v>
          </cell>
          <cell r="AL219">
            <v>15000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18160</v>
          </cell>
          <cell r="AR219">
            <v>226720</v>
          </cell>
          <cell r="AS219">
            <v>0</v>
          </cell>
        </row>
        <row r="220">
          <cell r="P220">
            <v>7</v>
          </cell>
          <cell r="S220" t="str">
            <v xml:space="preserve"> </v>
          </cell>
          <cell r="U220" t="str">
            <v>DIFF.</v>
          </cell>
          <cell r="W220">
            <v>1100</v>
          </cell>
          <cell r="X220">
            <v>500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1600</v>
          </cell>
          <cell r="AI220">
            <v>19200</v>
          </cell>
          <cell r="AJ220">
            <v>0</v>
          </cell>
          <cell r="AK220">
            <v>0</v>
          </cell>
          <cell r="AL220">
            <v>5000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3564</v>
          </cell>
          <cell r="AR220">
            <v>27764</v>
          </cell>
          <cell r="AS220">
            <v>13.95</v>
          </cell>
        </row>
        <row r="221">
          <cell r="P221">
            <v>7</v>
          </cell>
          <cell r="S221" t="str">
            <v xml:space="preserve"> </v>
          </cell>
        </row>
        <row r="222">
          <cell r="G222">
            <v>2352</v>
          </cell>
          <cell r="H222" t="str">
            <v>MR SANTANU SINHARAY</v>
          </cell>
          <cell r="I222">
            <v>26858</v>
          </cell>
          <cell r="J222">
            <v>35828</v>
          </cell>
          <cell r="K222">
            <v>10420</v>
          </cell>
          <cell r="L222" t="str">
            <v>MA</v>
          </cell>
          <cell r="M222">
            <v>21</v>
          </cell>
          <cell r="N222" t="str">
            <v>A1</v>
          </cell>
          <cell r="O222" t="str">
            <v>MA</v>
          </cell>
          <cell r="P222">
            <v>7</v>
          </cell>
          <cell r="Q222" t="str">
            <v>Other Locations</v>
          </cell>
          <cell r="R222" t="str">
            <v>Burdwan (Wb)</v>
          </cell>
          <cell r="S222" t="str">
            <v xml:space="preserve"> </v>
          </cell>
          <cell r="T222" t="str">
            <v>BP</v>
          </cell>
          <cell r="U222">
            <v>2001</v>
          </cell>
          <cell r="V222">
            <v>21150</v>
          </cell>
          <cell r="W222">
            <v>4680</v>
          </cell>
          <cell r="X222">
            <v>3500</v>
          </cell>
          <cell r="AA222">
            <v>500</v>
          </cell>
          <cell r="AB222">
            <v>150</v>
          </cell>
          <cell r="AD222" t="str">
            <v>CV</v>
          </cell>
          <cell r="AE222">
            <v>0</v>
          </cell>
          <cell r="AG222">
            <v>2750</v>
          </cell>
          <cell r="AH222">
            <v>11580</v>
          </cell>
          <cell r="AI222">
            <v>138960</v>
          </cell>
          <cell r="AJ222">
            <v>17500</v>
          </cell>
          <cell r="AK222">
            <v>20000</v>
          </cell>
          <cell r="AL222">
            <v>10000</v>
          </cell>
          <cell r="AQ222">
            <v>15163</v>
          </cell>
          <cell r="AR222">
            <v>201623</v>
          </cell>
        </row>
        <row r="223">
          <cell r="M223">
            <v>21</v>
          </cell>
          <cell r="N223" t="str">
            <v>A1</v>
          </cell>
          <cell r="P223">
            <v>7</v>
          </cell>
          <cell r="S223" t="str">
            <v xml:space="preserve"> </v>
          </cell>
          <cell r="U223">
            <v>2002</v>
          </cell>
          <cell r="W223">
            <v>5880</v>
          </cell>
          <cell r="X223">
            <v>4000</v>
          </cell>
          <cell r="Z223">
            <v>0</v>
          </cell>
          <cell r="AA223">
            <v>500</v>
          </cell>
          <cell r="AB223">
            <v>150</v>
          </cell>
          <cell r="AC223">
            <v>0</v>
          </cell>
          <cell r="AF223">
            <v>0</v>
          </cell>
          <cell r="AG223">
            <v>2750</v>
          </cell>
          <cell r="AH223">
            <v>13280</v>
          </cell>
          <cell r="AI223">
            <v>159360</v>
          </cell>
          <cell r="AJ223">
            <v>17500</v>
          </cell>
          <cell r="AK223">
            <v>20000</v>
          </cell>
          <cell r="AL223">
            <v>15000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19051</v>
          </cell>
          <cell r="AR223">
            <v>230911</v>
          </cell>
          <cell r="AS223">
            <v>0</v>
          </cell>
        </row>
        <row r="224">
          <cell r="P224">
            <v>7</v>
          </cell>
          <cell r="S224" t="str">
            <v xml:space="preserve"> </v>
          </cell>
          <cell r="U224" t="str">
            <v>DIFF.</v>
          </cell>
          <cell r="W224">
            <v>1200</v>
          </cell>
          <cell r="X224">
            <v>500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1700</v>
          </cell>
          <cell r="AI224">
            <v>20400</v>
          </cell>
          <cell r="AJ224">
            <v>0</v>
          </cell>
          <cell r="AK224">
            <v>0</v>
          </cell>
          <cell r="AL224">
            <v>5000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3888</v>
          </cell>
          <cell r="AR224">
            <v>29288</v>
          </cell>
          <cell r="AS224">
            <v>14.53</v>
          </cell>
        </row>
        <row r="225">
          <cell r="P225">
            <v>7</v>
          </cell>
          <cell r="S225" t="str">
            <v xml:space="preserve"> </v>
          </cell>
        </row>
        <row r="226">
          <cell r="G226">
            <v>2355</v>
          </cell>
          <cell r="H226" t="str">
            <v>MR MANISH JAIN</v>
          </cell>
          <cell r="I226">
            <v>25791</v>
          </cell>
          <cell r="J226">
            <v>35856</v>
          </cell>
          <cell r="K226">
            <v>11487</v>
          </cell>
          <cell r="L226" t="str">
            <v>MA</v>
          </cell>
          <cell r="M226">
            <v>21</v>
          </cell>
          <cell r="N226" t="str">
            <v>A1</v>
          </cell>
          <cell r="O226" t="str">
            <v>MA</v>
          </cell>
          <cell r="P226">
            <v>7</v>
          </cell>
          <cell r="Q226" t="str">
            <v>Other Locations</v>
          </cell>
          <cell r="R226" t="str">
            <v>Jaipur (Rajasthan)</v>
          </cell>
          <cell r="S226" t="str">
            <v xml:space="preserve"> </v>
          </cell>
          <cell r="T226" t="str">
            <v>CA</v>
          </cell>
          <cell r="U226">
            <v>2001</v>
          </cell>
          <cell r="V226">
            <v>18000</v>
          </cell>
          <cell r="W226">
            <v>3915</v>
          </cell>
          <cell r="X226">
            <v>3500</v>
          </cell>
          <cell r="AA226">
            <v>500</v>
          </cell>
          <cell r="AB226">
            <v>150</v>
          </cell>
          <cell r="AD226" t="str">
            <v>CV</v>
          </cell>
          <cell r="AE226">
            <v>0</v>
          </cell>
          <cell r="AG226">
            <v>2750</v>
          </cell>
          <cell r="AH226">
            <v>10815</v>
          </cell>
          <cell r="AI226">
            <v>129780</v>
          </cell>
          <cell r="AJ226">
            <v>17500</v>
          </cell>
          <cell r="AK226">
            <v>20000</v>
          </cell>
          <cell r="AL226">
            <v>10000</v>
          </cell>
          <cell r="AQ226">
            <v>12685</v>
          </cell>
          <cell r="AR226">
            <v>189965</v>
          </cell>
        </row>
        <row r="227">
          <cell r="M227">
            <v>21</v>
          </cell>
          <cell r="N227" t="str">
            <v>A1</v>
          </cell>
          <cell r="P227">
            <v>7</v>
          </cell>
          <cell r="S227" t="str">
            <v xml:space="preserve"> </v>
          </cell>
          <cell r="U227">
            <v>2002</v>
          </cell>
          <cell r="W227">
            <v>4665</v>
          </cell>
          <cell r="X227">
            <v>4000</v>
          </cell>
          <cell r="Z227">
            <v>0</v>
          </cell>
          <cell r="AA227">
            <v>500</v>
          </cell>
          <cell r="AB227">
            <v>150</v>
          </cell>
          <cell r="AC227">
            <v>0</v>
          </cell>
          <cell r="AF227">
            <v>0</v>
          </cell>
          <cell r="AG227">
            <v>2750</v>
          </cell>
          <cell r="AH227">
            <v>12065</v>
          </cell>
          <cell r="AI227">
            <v>144780</v>
          </cell>
          <cell r="AJ227">
            <v>17500</v>
          </cell>
          <cell r="AK227">
            <v>20000</v>
          </cell>
          <cell r="AL227">
            <v>15000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15115</v>
          </cell>
          <cell r="AR227">
            <v>212395</v>
          </cell>
          <cell r="AS227">
            <v>0</v>
          </cell>
        </row>
        <row r="228">
          <cell r="P228">
            <v>7</v>
          </cell>
          <cell r="S228" t="str">
            <v xml:space="preserve"> </v>
          </cell>
          <cell r="U228" t="str">
            <v>DIFF.</v>
          </cell>
          <cell r="W228">
            <v>750</v>
          </cell>
          <cell r="X228">
            <v>500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1250</v>
          </cell>
          <cell r="AI228">
            <v>15000</v>
          </cell>
          <cell r="AJ228">
            <v>0</v>
          </cell>
          <cell r="AK228">
            <v>0</v>
          </cell>
          <cell r="AL228">
            <v>5000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2430</v>
          </cell>
          <cell r="AR228">
            <v>22430</v>
          </cell>
          <cell r="AS228">
            <v>11.81</v>
          </cell>
        </row>
        <row r="229">
          <cell r="P229">
            <v>7</v>
          </cell>
          <cell r="S229" t="str">
            <v xml:space="preserve"> </v>
          </cell>
        </row>
        <row r="230">
          <cell r="G230">
            <v>2356</v>
          </cell>
          <cell r="H230" t="str">
            <v>MR RITESH VIJAYWARGIYA</v>
          </cell>
          <cell r="I230">
            <v>26731</v>
          </cell>
          <cell r="J230">
            <v>35856</v>
          </cell>
          <cell r="K230">
            <v>10547</v>
          </cell>
          <cell r="L230" t="str">
            <v>MA</v>
          </cell>
          <cell r="M230">
            <v>21</v>
          </cell>
          <cell r="N230" t="str">
            <v>A1</v>
          </cell>
          <cell r="O230" t="str">
            <v>MA</v>
          </cell>
          <cell r="P230">
            <v>7</v>
          </cell>
          <cell r="Q230" t="str">
            <v>Other Locations</v>
          </cell>
          <cell r="R230" t="str">
            <v>Narsinghpor (Mp)</v>
          </cell>
          <cell r="S230" t="str">
            <v xml:space="preserve"> </v>
          </cell>
          <cell r="T230" t="str">
            <v>CL</v>
          </cell>
          <cell r="U230">
            <v>2001</v>
          </cell>
          <cell r="V230">
            <v>18000</v>
          </cell>
          <cell r="W230">
            <v>4235</v>
          </cell>
          <cell r="X230">
            <v>3500</v>
          </cell>
          <cell r="AA230">
            <v>500</v>
          </cell>
          <cell r="AB230">
            <v>150</v>
          </cell>
          <cell r="AD230" t="str">
            <v>CV</v>
          </cell>
          <cell r="AE230">
            <v>0</v>
          </cell>
          <cell r="AG230">
            <v>2750</v>
          </cell>
          <cell r="AH230">
            <v>11135</v>
          </cell>
          <cell r="AI230">
            <v>133620</v>
          </cell>
          <cell r="AJ230">
            <v>17500</v>
          </cell>
          <cell r="AK230">
            <v>20000</v>
          </cell>
          <cell r="AL230">
            <v>10000</v>
          </cell>
          <cell r="AQ230">
            <v>13721</v>
          </cell>
          <cell r="AR230">
            <v>194841</v>
          </cell>
        </row>
        <row r="231">
          <cell r="M231">
            <v>21</v>
          </cell>
          <cell r="N231" t="str">
            <v>A1</v>
          </cell>
          <cell r="P231">
            <v>7</v>
          </cell>
          <cell r="S231" t="str">
            <v xml:space="preserve"> </v>
          </cell>
          <cell r="U231">
            <v>2002</v>
          </cell>
          <cell r="W231">
            <v>4885</v>
          </cell>
          <cell r="X231">
            <v>4000</v>
          </cell>
          <cell r="Z231">
            <v>0</v>
          </cell>
          <cell r="AA231">
            <v>500</v>
          </cell>
          <cell r="AB231">
            <v>150</v>
          </cell>
          <cell r="AC231">
            <v>0</v>
          </cell>
          <cell r="AF231">
            <v>0</v>
          </cell>
          <cell r="AG231">
            <v>2750</v>
          </cell>
          <cell r="AH231">
            <v>12285</v>
          </cell>
          <cell r="AI231">
            <v>147420</v>
          </cell>
          <cell r="AJ231">
            <v>17500</v>
          </cell>
          <cell r="AK231">
            <v>20000</v>
          </cell>
          <cell r="AL231">
            <v>15000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15827</v>
          </cell>
          <cell r="AR231">
            <v>215747</v>
          </cell>
          <cell r="AS231">
            <v>0</v>
          </cell>
        </row>
        <row r="232">
          <cell r="P232">
            <v>7</v>
          </cell>
          <cell r="S232" t="str">
            <v xml:space="preserve"> </v>
          </cell>
          <cell r="U232" t="str">
            <v>DIFF.</v>
          </cell>
          <cell r="W232">
            <v>650</v>
          </cell>
          <cell r="X232">
            <v>500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1150</v>
          </cell>
          <cell r="AI232">
            <v>13800</v>
          </cell>
          <cell r="AJ232">
            <v>0</v>
          </cell>
          <cell r="AK232">
            <v>0</v>
          </cell>
          <cell r="AL232">
            <v>5000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2106</v>
          </cell>
          <cell r="AR232">
            <v>20906</v>
          </cell>
          <cell r="AS232">
            <v>10.73</v>
          </cell>
        </row>
        <row r="233">
          <cell r="P233">
            <v>7</v>
          </cell>
          <cell r="S233" t="str">
            <v xml:space="preserve"> </v>
          </cell>
        </row>
        <row r="234">
          <cell r="G234">
            <v>2357</v>
          </cell>
          <cell r="H234" t="str">
            <v>MR RAJESH SHARMA</v>
          </cell>
          <cell r="I234">
            <v>26579</v>
          </cell>
          <cell r="J234">
            <v>35856</v>
          </cell>
          <cell r="K234">
            <v>10699</v>
          </cell>
          <cell r="L234" t="str">
            <v>MA</v>
          </cell>
          <cell r="M234">
            <v>21</v>
          </cell>
          <cell r="N234" t="str">
            <v>A2</v>
          </cell>
          <cell r="O234" t="str">
            <v>MA</v>
          </cell>
          <cell r="P234">
            <v>7</v>
          </cell>
          <cell r="Q234" t="str">
            <v>Other Locations</v>
          </cell>
          <cell r="R234" t="str">
            <v>Raipur (Chattisgadh)</v>
          </cell>
          <cell r="S234" t="str">
            <v xml:space="preserve"> </v>
          </cell>
          <cell r="T234" t="str">
            <v>BA</v>
          </cell>
          <cell r="U234">
            <v>2001</v>
          </cell>
          <cell r="V234">
            <v>21150</v>
          </cell>
          <cell r="W234">
            <v>4915</v>
          </cell>
          <cell r="X234">
            <v>3500</v>
          </cell>
          <cell r="AA234">
            <v>500</v>
          </cell>
          <cell r="AB234">
            <v>150</v>
          </cell>
          <cell r="AD234" t="str">
            <v>CV</v>
          </cell>
          <cell r="AE234">
            <v>0</v>
          </cell>
          <cell r="AF234">
            <v>500</v>
          </cell>
          <cell r="AG234">
            <v>2750</v>
          </cell>
          <cell r="AH234">
            <v>12315</v>
          </cell>
          <cell r="AI234">
            <v>147780</v>
          </cell>
          <cell r="AJ234">
            <v>17500</v>
          </cell>
          <cell r="AK234">
            <v>20000</v>
          </cell>
          <cell r="AL234">
            <v>10000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15925</v>
          </cell>
          <cell r="AR234">
            <v>211205</v>
          </cell>
          <cell r="AS234">
            <v>0</v>
          </cell>
        </row>
        <row r="235">
          <cell r="M235">
            <v>21</v>
          </cell>
          <cell r="N235" t="str">
            <v>A2</v>
          </cell>
          <cell r="P235">
            <v>7</v>
          </cell>
          <cell r="S235" t="str">
            <v xml:space="preserve"> </v>
          </cell>
          <cell r="U235">
            <v>2002</v>
          </cell>
          <cell r="W235">
            <v>6015</v>
          </cell>
          <cell r="X235">
            <v>4000</v>
          </cell>
          <cell r="Z235">
            <v>0</v>
          </cell>
          <cell r="AA235">
            <v>500</v>
          </cell>
          <cell r="AB235">
            <v>150</v>
          </cell>
          <cell r="AC235">
            <v>0</v>
          </cell>
          <cell r="AF235">
            <v>500</v>
          </cell>
          <cell r="AG235">
            <v>2750</v>
          </cell>
          <cell r="AH235">
            <v>13915</v>
          </cell>
          <cell r="AI235">
            <v>166980</v>
          </cell>
          <cell r="AJ235">
            <v>17500</v>
          </cell>
          <cell r="AK235">
            <v>20000</v>
          </cell>
          <cell r="AL235">
            <v>15000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19489</v>
          </cell>
          <cell r="AR235">
            <v>238969</v>
          </cell>
          <cell r="AS235">
            <v>0</v>
          </cell>
        </row>
        <row r="236">
          <cell r="P236">
            <v>7</v>
          </cell>
          <cell r="S236" t="str">
            <v xml:space="preserve"> </v>
          </cell>
          <cell r="U236" t="str">
            <v>DIFF.</v>
          </cell>
          <cell r="W236">
            <v>1100</v>
          </cell>
          <cell r="X236">
            <v>500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1600</v>
          </cell>
          <cell r="AI236">
            <v>19200</v>
          </cell>
          <cell r="AJ236">
            <v>0</v>
          </cell>
          <cell r="AK236">
            <v>0</v>
          </cell>
          <cell r="AL236">
            <v>5000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3564</v>
          </cell>
          <cell r="AR236">
            <v>27764</v>
          </cell>
          <cell r="AS236">
            <v>13.15</v>
          </cell>
        </row>
        <row r="237">
          <cell r="P237">
            <v>7</v>
          </cell>
          <cell r="S237" t="str">
            <v xml:space="preserve"> </v>
          </cell>
        </row>
        <row r="238">
          <cell r="G238">
            <v>2358</v>
          </cell>
          <cell r="H238" t="str">
            <v>MR SANJAY C. PANCHAL</v>
          </cell>
          <cell r="I238">
            <v>26646</v>
          </cell>
          <cell r="J238">
            <v>35870</v>
          </cell>
          <cell r="K238">
            <v>10632</v>
          </cell>
          <cell r="L238" t="str">
            <v>MA</v>
          </cell>
          <cell r="M238">
            <v>21</v>
          </cell>
          <cell r="N238" t="str">
            <v>A1</v>
          </cell>
          <cell r="O238" t="str">
            <v>MA</v>
          </cell>
          <cell r="P238">
            <v>7</v>
          </cell>
          <cell r="Q238" t="str">
            <v>Other Locations</v>
          </cell>
          <cell r="R238" t="str">
            <v>Himmatnagar (Guj)</v>
          </cell>
          <cell r="S238" t="str">
            <v xml:space="preserve"> </v>
          </cell>
          <cell r="T238" t="str">
            <v>BL</v>
          </cell>
          <cell r="U238">
            <v>2001</v>
          </cell>
          <cell r="V238">
            <v>21150</v>
          </cell>
          <cell r="W238">
            <v>4445</v>
          </cell>
          <cell r="X238">
            <v>3500</v>
          </cell>
          <cell r="AA238">
            <v>500</v>
          </cell>
          <cell r="AB238">
            <v>150</v>
          </cell>
          <cell r="AD238" t="str">
            <v>CV</v>
          </cell>
          <cell r="AE238">
            <v>0</v>
          </cell>
          <cell r="AG238">
            <v>2750</v>
          </cell>
          <cell r="AH238">
            <v>11345</v>
          </cell>
          <cell r="AI238">
            <v>136140</v>
          </cell>
          <cell r="AJ238">
            <v>17500</v>
          </cell>
          <cell r="AK238">
            <v>20000</v>
          </cell>
          <cell r="AL238">
            <v>10000</v>
          </cell>
          <cell r="AQ238">
            <v>14402</v>
          </cell>
          <cell r="AR238">
            <v>198042</v>
          </cell>
        </row>
        <row r="239">
          <cell r="M239">
            <v>21</v>
          </cell>
          <cell r="N239" t="str">
            <v>A1</v>
          </cell>
          <cell r="P239">
            <v>7</v>
          </cell>
          <cell r="S239" t="str">
            <v xml:space="preserve"> </v>
          </cell>
          <cell r="U239">
            <v>2002</v>
          </cell>
          <cell r="W239">
            <v>5395</v>
          </cell>
          <cell r="X239">
            <v>4000</v>
          </cell>
          <cell r="Z239">
            <v>0</v>
          </cell>
          <cell r="AA239">
            <v>500</v>
          </cell>
          <cell r="AB239">
            <v>150</v>
          </cell>
          <cell r="AC239">
            <v>0</v>
          </cell>
          <cell r="AF239">
            <v>0</v>
          </cell>
          <cell r="AG239">
            <v>2750</v>
          </cell>
          <cell r="AH239">
            <v>12795</v>
          </cell>
          <cell r="AI239">
            <v>153540</v>
          </cell>
          <cell r="AJ239">
            <v>17500</v>
          </cell>
          <cell r="AK239">
            <v>20000</v>
          </cell>
          <cell r="AL239">
            <v>15000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17480</v>
          </cell>
          <cell r="AR239">
            <v>223520</v>
          </cell>
          <cell r="AS239">
            <v>0</v>
          </cell>
        </row>
        <row r="240">
          <cell r="P240">
            <v>7</v>
          </cell>
          <cell r="S240" t="str">
            <v xml:space="preserve"> </v>
          </cell>
          <cell r="U240" t="str">
            <v>DIFF.</v>
          </cell>
          <cell r="W240">
            <v>950</v>
          </cell>
          <cell r="X240">
            <v>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1450</v>
          </cell>
          <cell r="AI240">
            <v>17400</v>
          </cell>
          <cell r="AJ240">
            <v>0</v>
          </cell>
          <cell r="AK240">
            <v>0</v>
          </cell>
          <cell r="AL240">
            <v>5000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3078</v>
          </cell>
          <cell r="AR240">
            <v>25478</v>
          </cell>
          <cell r="AS240">
            <v>12.86</v>
          </cell>
        </row>
        <row r="241">
          <cell r="P241">
            <v>7</v>
          </cell>
          <cell r="S241" t="str">
            <v xml:space="preserve"> </v>
          </cell>
        </row>
        <row r="242">
          <cell r="G242">
            <v>2363</v>
          </cell>
          <cell r="H242" t="str">
            <v>MR CHANDRA SHEKHAR YADAV</v>
          </cell>
          <cell r="I242">
            <v>24625</v>
          </cell>
          <cell r="J242">
            <v>35944</v>
          </cell>
          <cell r="K242">
            <v>12653</v>
          </cell>
          <cell r="L242" t="str">
            <v>MA</v>
          </cell>
          <cell r="M242">
            <v>21</v>
          </cell>
          <cell r="N242" t="str">
            <v>A1</v>
          </cell>
          <cell r="O242" t="str">
            <v>MA</v>
          </cell>
          <cell r="P242">
            <v>7</v>
          </cell>
          <cell r="Q242" t="str">
            <v>Other Locations</v>
          </cell>
          <cell r="R242" t="str">
            <v>Sriganganagar (  )</v>
          </cell>
          <cell r="S242" t="str">
            <v xml:space="preserve"> </v>
          </cell>
          <cell r="T242" t="str">
            <v>BA</v>
          </cell>
          <cell r="U242">
            <v>2001</v>
          </cell>
          <cell r="V242">
            <v>21150</v>
          </cell>
          <cell r="W242">
            <v>5275</v>
          </cell>
          <cell r="X242">
            <v>3500</v>
          </cell>
          <cell r="AA242">
            <v>500</v>
          </cell>
          <cell r="AB242">
            <v>150</v>
          </cell>
          <cell r="AD242" t="str">
            <v>CV</v>
          </cell>
          <cell r="AE242">
            <v>0</v>
          </cell>
          <cell r="AG242">
            <v>2750</v>
          </cell>
          <cell r="AH242">
            <v>12175</v>
          </cell>
          <cell r="AI242">
            <v>146100</v>
          </cell>
          <cell r="AJ242">
            <v>17500</v>
          </cell>
          <cell r="AK242">
            <v>20000</v>
          </cell>
          <cell r="AL242">
            <v>10000</v>
          </cell>
          <cell r="AQ242">
            <v>17091</v>
          </cell>
          <cell r="AR242">
            <v>210691</v>
          </cell>
        </row>
        <row r="243">
          <cell r="M243">
            <v>21</v>
          </cell>
          <cell r="N243" t="str">
            <v>A1</v>
          </cell>
          <cell r="P243">
            <v>7</v>
          </cell>
          <cell r="S243" t="str">
            <v xml:space="preserve"> </v>
          </cell>
          <cell r="U243">
            <v>2002</v>
          </cell>
          <cell r="W243">
            <v>6375</v>
          </cell>
          <cell r="X243">
            <v>4000</v>
          </cell>
          <cell r="Z243">
            <v>0</v>
          </cell>
          <cell r="AA243">
            <v>500</v>
          </cell>
          <cell r="AB243">
            <v>150</v>
          </cell>
          <cell r="AC243">
            <v>0</v>
          </cell>
          <cell r="AF243">
            <v>0</v>
          </cell>
          <cell r="AG243">
            <v>2750</v>
          </cell>
          <cell r="AH243">
            <v>13775</v>
          </cell>
          <cell r="AI243">
            <v>165300</v>
          </cell>
          <cell r="AJ243">
            <v>17500</v>
          </cell>
          <cell r="AK243">
            <v>20000</v>
          </cell>
          <cell r="AL243">
            <v>15000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20655</v>
          </cell>
          <cell r="AR243">
            <v>238455</v>
          </cell>
          <cell r="AS243">
            <v>0</v>
          </cell>
        </row>
        <row r="244">
          <cell r="P244">
            <v>7</v>
          </cell>
          <cell r="S244" t="str">
            <v xml:space="preserve"> </v>
          </cell>
          <cell r="U244" t="str">
            <v>DIFF.</v>
          </cell>
          <cell r="W244">
            <v>1100</v>
          </cell>
          <cell r="X244">
            <v>500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1600</v>
          </cell>
          <cell r="AI244">
            <v>19200</v>
          </cell>
          <cell r="AJ244">
            <v>0</v>
          </cell>
          <cell r="AK244">
            <v>0</v>
          </cell>
          <cell r="AL244">
            <v>5000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3564</v>
          </cell>
          <cell r="AR244">
            <v>27764</v>
          </cell>
          <cell r="AS244">
            <v>13.18</v>
          </cell>
        </row>
        <row r="245">
          <cell r="P245">
            <v>7</v>
          </cell>
          <cell r="S245" t="str">
            <v xml:space="preserve"> </v>
          </cell>
        </row>
        <row r="246">
          <cell r="G246">
            <v>2364</v>
          </cell>
          <cell r="H246" t="str">
            <v>MR K. VINEESH KUMAR</v>
          </cell>
          <cell r="I246">
            <v>27072</v>
          </cell>
          <cell r="J246">
            <v>35961</v>
          </cell>
          <cell r="K246">
            <v>10206</v>
          </cell>
          <cell r="L246" t="str">
            <v>MA</v>
          </cell>
          <cell r="M246">
            <v>21</v>
          </cell>
          <cell r="N246" t="str">
            <v>A1</v>
          </cell>
          <cell r="O246" t="str">
            <v>MA</v>
          </cell>
          <cell r="P246">
            <v>7</v>
          </cell>
          <cell r="Q246" t="str">
            <v>Other Locations</v>
          </cell>
          <cell r="R246" t="str">
            <v>Ernakulam (Kerela)</v>
          </cell>
          <cell r="S246" t="str">
            <v xml:space="preserve"> </v>
          </cell>
          <cell r="T246" t="str">
            <v>CL</v>
          </cell>
          <cell r="U246">
            <v>2001</v>
          </cell>
          <cell r="V246">
            <v>18000</v>
          </cell>
          <cell r="W246">
            <v>4505</v>
          </cell>
          <cell r="X246">
            <v>3500</v>
          </cell>
          <cell r="AA246">
            <v>500</v>
          </cell>
          <cell r="AB246">
            <v>150</v>
          </cell>
          <cell r="AD246" t="str">
            <v>CV</v>
          </cell>
          <cell r="AE246">
            <v>0</v>
          </cell>
          <cell r="AG246">
            <v>2750</v>
          </cell>
          <cell r="AH246">
            <v>11405</v>
          </cell>
          <cell r="AI246">
            <v>136860</v>
          </cell>
          <cell r="AJ246">
            <v>17500</v>
          </cell>
          <cell r="AK246">
            <v>20000</v>
          </cell>
          <cell r="AL246">
            <v>10000</v>
          </cell>
          <cell r="AQ246">
            <v>14596</v>
          </cell>
          <cell r="AR246">
            <v>198956</v>
          </cell>
        </row>
        <row r="247">
          <cell r="M247">
            <v>21</v>
          </cell>
          <cell r="N247" t="str">
            <v>A1</v>
          </cell>
          <cell r="P247">
            <v>7</v>
          </cell>
          <cell r="S247" t="str">
            <v xml:space="preserve"> </v>
          </cell>
          <cell r="U247">
            <v>2002</v>
          </cell>
          <cell r="W247">
            <v>5155</v>
          </cell>
          <cell r="X247">
            <v>4000</v>
          </cell>
          <cell r="Z247">
            <v>0</v>
          </cell>
          <cell r="AA247">
            <v>500</v>
          </cell>
          <cell r="AB247">
            <v>150</v>
          </cell>
          <cell r="AC247">
            <v>0</v>
          </cell>
          <cell r="AF247">
            <v>0</v>
          </cell>
          <cell r="AG247">
            <v>2750</v>
          </cell>
          <cell r="AH247">
            <v>12555</v>
          </cell>
          <cell r="AI247">
            <v>150660</v>
          </cell>
          <cell r="AJ247">
            <v>17500</v>
          </cell>
          <cell r="AK247">
            <v>20000</v>
          </cell>
          <cell r="AL247">
            <v>15000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16702</v>
          </cell>
          <cell r="AR247">
            <v>219862</v>
          </cell>
          <cell r="AS247">
            <v>0</v>
          </cell>
        </row>
        <row r="248">
          <cell r="P248">
            <v>7</v>
          </cell>
          <cell r="S248" t="str">
            <v xml:space="preserve"> </v>
          </cell>
          <cell r="U248" t="str">
            <v>DIFF.</v>
          </cell>
          <cell r="W248">
            <v>650</v>
          </cell>
          <cell r="X248">
            <v>500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1150</v>
          </cell>
          <cell r="AI248">
            <v>13800</v>
          </cell>
          <cell r="AJ248">
            <v>0</v>
          </cell>
          <cell r="AK248">
            <v>0</v>
          </cell>
          <cell r="AL248">
            <v>5000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2106</v>
          </cell>
          <cell r="AR248">
            <v>20906</v>
          </cell>
          <cell r="AS248">
            <v>10.51</v>
          </cell>
        </row>
        <row r="249">
          <cell r="P249">
            <v>7</v>
          </cell>
          <cell r="S249" t="str">
            <v xml:space="preserve"> </v>
          </cell>
        </row>
        <row r="250">
          <cell r="G250">
            <v>2365</v>
          </cell>
          <cell r="H250" t="str">
            <v>MR K. DHARMARAJ</v>
          </cell>
          <cell r="I250">
            <v>26339</v>
          </cell>
          <cell r="J250">
            <v>36040</v>
          </cell>
          <cell r="K250">
            <v>10939</v>
          </cell>
          <cell r="L250" t="str">
            <v>MA</v>
          </cell>
          <cell r="M250">
            <v>21</v>
          </cell>
          <cell r="N250" t="str">
            <v>A1</v>
          </cell>
          <cell r="O250" t="str">
            <v>MA</v>
          </cell>
          <cell r="P250">
            <v>7</v>
          </cell>
          <cell r="Q250" t="str">
            <v>Other Locations</v>
          </cell>
          <cell r="R250" t="str">
            <v>Pollachi (Kerela)</v>
          </cell>
          <cell r="S250" t="str">
            <v xml:space="preserve"> </v>
          </cell>
          <cell r="T250" t="str">
            <v>CL</v>
          </cell>
          <cell r="U250">
            <v>2001</v>
          </cell>
          <cell r="V250">
            <v>18000</v>
          </cell>
          <cell r="W250">
            <v>4570</v>
          </cell>
          <cell r="X250">
            <v>3500</v>
          </cell>
          <cell r="AA250">
            <v>500</v>
          </cell>
          <cell r="AB250">
            <v>150</v>
          </cell>
          <cell r="AD250" t="str">
            <v>CV</v>
          </cell>
          <cell r="AE250">
            <v>0</v>
          </cell>
          <cell r="AG250">
            <v>2750</v>
          </cell>
          <cell r="AH250">
            <v>11470</v>
          </cell>
          <cell r="AI250">
            <v>137640</v>
          </cell>
          <cell r="AJ250">
            <v>17500</v>
          </cell>
          <cell r="AK250">
            <v>20000</v>
          </cell>
          <cell r="AL250">
            <v>10000</v>
          </cell>
          <cell r="AQ250">
            <v>14807</v>
          </cell>
          <cell r="AR250">
            <v>199947</v>
          </cell>
        </row>
        <row r="251">
          <cell r="M251">
            <v>21</v>
          </cell>
          <cell r="N251" t="str">
            <v>A1</v>
          </cell>
          <cell r="P251">
            <v>7</v>
          </cell>
          <cell r="S251" t="str">
            <v xml:space="preserve"> </v>
          </cell>
          <cell r="U251">
            <v>2002</v>
          </cell>
          <cell r="W251">
            <v>5220</v>
          </cell>
          <cell r="X251">
            <v>4000</v>
          </cell>
          <cell r="Z251">
            <v>0</v>
          </cell>
          <cell r="AA251">
            <v>500</v>
          </cell>
          <cell r="AB251">
            <v>150</v>
          </cell>
          <cell r="AC251">
            <v>0</v>
          </cell>
          <cell r="AF251">
            <v>0</v>
          </cell>
          <cell r="AG251">
            <v>2750</v>
          </cell>
          <cell r="AH251">
            <v>12620</v>
          </cell>
          <cell r="AI251">
            <v>151440</v>
          </cell>
          <cell r="AJ251">
            <v>17500</v>
          </cell>
          <cell r="AK251">
            <v>20000</v>
          </cell>
          <cell r="AL251">
            <v>15000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16913</v>
          </cell>
          <cell r="AR251">
            <v>220853</v>
          </cell>
          <cell r="AS251">
            <v>0</v>
          </cell>
        </row>
        <row r="252">
          <cell r="P252">
            <v>7</v>
          </cell>
          <cell r="S252" t="str">
            <v xml:space="preserve"> </v>
          </cell>
          <cell r="U252" t="str">
            <v>DIFF.</v>
          </cell>
          <cell r="W252">
            <v>650</v>
          </cell>
          <cell r="X252">
            <v>500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1150</v>
          </cell>
          <cell r="AI252">
            <v>13800</v>
          </cell>
          <cell r="AJ252">
            <v>0</v>
          </cell>
          <cell r="AK252">
            <v>0</v>
          </cell>
          <cell r="AL252">
            <v>5000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2106</v>
          </cell>
          <cell r="AR252">
            <v>20906</v>
          </cell>
          <cell r="AS252">
            <v>10.46</v>
          </cell>
        </row>
        <row r="253">
          <cell r="P253">
            <v>7</v>
          </cell>
          <cell r="S253" t="str">
            <v xml:space="preserve"> </v>
          </cell>
        </row>
        <row r="254">
          <cell r="G254">
            <v>2375</v>
          </cell>
          <cell r="H254" t="str">
            <v>MR KETAN P. PATEL</v>
          </cell>
          <cell r="I254">
            <v>27857</v>
          </cell>
          <cell r="J254">
            <v>36222</v>
          </cell>
          <cell r="K254">
            <v>9421</v>
          </cell>
          <cell r="L254" t="str">
            <v>MA</v>
          </cell>
          <cell r="M254">
            <v>21</v>
          </cell>
          <cell r="N254" t="str">
            <v>A1</v>
          </cell>
          <cell r="O254" t="str">
            <v>MA</v>
          </cell>
          <cell r="P254">
            <v>7</v>
          </cell>
          <cell r="Q254" t="str">
            <v>Other Locations</v>
          </cell>
          <cell r="R254" t="str">
            <v>Baroda (Guj)</v>
          </cell>
          <cell r="S254" t="str">
            <v xml:space="preserve"> </v>
          </cell>
          <cell r="T254" t="str">
            <v>BL</v>
          </cell>
          <cell r="U254">
            <v>2001</v>
          </cell>
          <cell r="V254">
            <v>21150</v>
          </cell>
          <cell r="W254">
            <v>3675</v>
          </cell>
          <cell r="X254">
            <v>3500</v>
          </cell>
          <cell r="AA254">
            <v>500</v>
          </cell>
          <cell r="AB254">
            <v>150</v>
          </cell>
          <cell r="AD254" t="str">
            <v>CV</v>
          </cell>
          <cell r="AE254">
            <v>0</v>
          </cell>
          <cell r="AG254">
            <v>2750</v>
          </cell>
          <cell r="AH254">
            <v>10575</v>
          </cell>
          <cell r="AI254">
            <v>126900</v>
          </cell>
          <cell r="AJ254">
            <v>17500</v>
          </cell>
          <cell r="AK254">
            <v>20000</v>
          </cell>
          <cell r="AL254">
            <v>10000</v>
          </cell>
          <cell r="AQ254">
            <v>11907</v>
          </cell>
          <cell r="AR254">
            <v>186307</v>
          </cell>
        </row>
        <row r="255">
          <cell r="M255">
            <v>21</v>
          </cell>
          <cell r="N255" t="str">
            <v>A1</v>
          </cell>
          <cell r="P255">
            <v>7</v>
          </cell>
          <cell r="S255" t="str">
            <v xml:space="preserve"> </v>
          </cell>
          <cell r="U255">
            <v>2002</v>
          </cell>
          <cell r="W255">
            <v>4625</v>
          </cell>
          <cell r="X255">
            <v>4000</v>
          </cell>
          <cell r="Z255">
            <v>0</v>
          </cell>
          <cell r="AA255">
            <v>500</v>
          </cell>
          <cell r="AB255">
            <v>150</v>
          </cell>
          <cell r="AC255">
            <v>0</v>
          </cell>
          <cell r="AF255">
            <v>0</v>
          </cell>
          <cell r="AG255">
            <v>2750</v>
          </cell>
          <cell r="AH255">
            <v>12025</v>
          </cell>
          <cell r="AI255">
            <v>144300</v>
          </cell>
          <cell r="AJ255">
            <v>17500</v>
          </cell>
          <cell r="AK255">
            <v>20000</v>
          </cell>
          <cell r="AL255">
            <v>15000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14985</v>
          </cell>
          <cell r="AR255">
            <v>211785</v>
          </cell>
          <cell r="AS255">
            <v>0</v>
          </cell>
        </row>
        <row r="256">
          <cell r="P256">
            <v>7</v>
          </cell>
          <cell r="S256" t="str">
            <v xml:space="preserve"> </v>
          </cell>
          <cell r="U256" t="str">
            <v>DIFF.</v>
          </cell>
          <cell r="W256">
            <v>950</v>
          </cell>
          <cell r="X256">
            <v>500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1450</v>
          </cell>
          <cell r="AI256">
            <v>17400</v>
          </cell>
          <cell r="AJ256">
            <v>0</v>
          </cell>
          <cell r="AK256">
            <v>0</v>
          </cell>
          <cell r="AL256">
            <v>5000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3078</v>
          </cell>
          <cell r="AR256">
            <v>25478</v>
          </cell>
          <cell r="AS256">
            <v>13.68</v>
          </cell>
        </row>
        <row r="257">
          <cell r="P257">
            <v>7</v>
          </cell>
          <cell r="S257" t="str">
            <v xml:space="preserve"> </v>
          </cell>
        </row>
        <row r="258">
          <cell r="G258">
            <v>2379</v>
          </cell>
          <cell r="H258" t="str">
            <v>MR M. JOSHUAH</v>
          </cell>
          <cell r="I258">
            <v>26764</v>
          </cell>
          <cell r="J258">
            <v>36236</v>
          </cell>
          <cell r="K258">
            <v>10514</v>
          </cell>
          <cell r="L258" t="str">
            <v>MA</v>
          </cell>
          <cell r="M258">
            <v>21</v>
          </cell>
          <cell r="N258" t="str">
            <v>A1</v>
          </cell>
          <cell r="O258" t="str">
            <v>MA</v>
          </cell>
          <cell r="P258">
            <v>7</v>
          </cell>
          <cell r="Q258" t="str">
            <v>Other Locations</v>
          </cell>
          <cell r="R258" t="str">
            <v>Salem (  )</v>
          </cell>
          <cell r="S258" t="str">
            <v xml:space="preserve"> </v>
          </cell>
          <cell r="T258" t="str">
            <v>CL</v>
          </cell>
          <cell r="U258">
            <v>2001</v>
          </cell>
          <cell r="V258">
            <v>18000</v>
          </cell>
          <cell r="W258">
            <v>3900</v>
          </cell>
          <cell r="X258">
            <v>3500</v>
          </cell>
          <cell r="AA258">
            <v>500</v>
          </cell>
          <cell r="AB258">
            <v>150</v>
          </cell>
          <cell r="AD258" t="str">
            <v>CV</v>
          </cell>
          <cell r="AE258">
            <v>0</v>
          </cell>
          <cell r="AG258">
            <v>2750</v>
          </cell>
          <cell r="AH258">
            <v>10800</v>
          </cell>
          <cell r="AI258">
            <v>129600</v>
          </cell>
          <cell r="AJ258">
            <v>17500</v>
          </cell>
          <cell r="AK258">
            <v>20000</v>
          </cell>
          <cell r="AL258">
            <v>10000</v>
          </cell>
          <cell r="AQ258">
            <v>12636</v>
          </cell>
          <cell r="AR258">
            <v>189736</v>
          </cell>
        </row>
        <row r="259">
          <cell r="M259">
            <v>21</v>
          </cell>
          <cell r="N259" t="str">
            <v>A1</v>
          </cell>
          <cell r="P259">
            <v>7</v>
          </cell>
          <cell r="S259" t="str">
            <v xml:space="preserve"> </v>
          </cell>
          <cell r="U259">
            <v>2002</v>
          </cell>
          <cell r="W259">
            <v>4550</v>
          </cell>
          <cell r="X259">
            <v>4000</v>
          </cell>
          <cell r="Z259">
            <v>0</v>
          </cell>
          <cell r="AA259">
            <v>500</v>
          </cell>
          <cell r="AB259">
            <v>150</v>
          </cell>
          <cell r="AC259">
            <v>0</v>
          </cell>
          <cell r="AF259">
            <v>0</v>
          </cell>
          <cell r="AG259">
            <v>2750</v>
          </cell>
          <cell r="AH259">
            <v>11950</v>
          </cell>
          <cell r="AI259">
            <v>143400</v>
          </cell>
          <cell r="AJ259">
            <v>17500</v>
          </cell>
          <cell r="AK259">
            <v>20000</v>
          </cell>
          <cell r="AL259">
            <v>15000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14742</v>
          </cell>
          <cell r="AR259">
            <v>210642</v>
          </cell>
          <cell r="AS259">
            <v>0</v>
          </cell>
        </row>
        <row r="260">
          <cell r="P260">
            <v>7</v>
          </cell>
          <cell r="S260" t="str">
            <v xml:space="preserve"> </v>
          </cell>
          <cell r="U260" t="str">
            <v>DIFF.</v>
          </cell>
          <cell r="W260">
            <v>650</v>
          </cell>
          <cell r="X260">
            <v>500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1150</v>
          </cell>
          <cell r="AI260">
            <v>13800</v>
          </cell>
          <cell r="AJ260">
            <v>0</v>
          </cell>
          <cell r="AK260">
            <v>0</v>
          </cell>
          <cell r="AL260">
            <v>5000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2106</v>
          </cell>
          <cell r="AR260">
            <v>20906</v>
          </cell>
          <cell r="AS260">
            <v>11.02</v>
          </cell>
        </row>
        <row r="261">
          <cell r="P261">
            <v>7</v>
          </cell>
          <cell r="S261" t="str">
            <v xml:space="preserve"> </v>
          </cell>
        </row>
        <row r="262">
          <cell r="G262">
            <v>2380</v>
          </cell>
          <cell r="H262" t="str">
            <v>MR VEMANA P. CHAKRAVARTHI</v>
          </cell>
          <cell r="I262">
            <v>26423</v>
          </cell>
          <cell r="J262">
            <v>36251</v>
          </cell>
          <cell r="K262">
            <v>10855</v>
          </cell>
          <cell r="L262" t="str">
            <v>MA</v>
          </cell>
          <cell r="M262">
            <v>21</v>
          </cell>
          <cell r="N262" t="str">
            <v>A1</v>
          </cell>
          <cell r="O262" t="str">
            <v>MA</v>
          </cell>
          <cell r="P262">
            <v>7</v>
          </cell>
          <cell r="Q262" t="str">
            <v>Other Locations</v>
          </cell>
          <cell r="R262" t="str">
            <v>Vijaywada (Ap)</v>
          </cell>
          <cell r="S262" t="str">
            <v xml:space="preserve"> </v>
          </cell>
          <cell r="T262" t="str">
            <v>CA</v>
          </cell>
          <cell r="U262">
            <v>2001</v>
          </cell>
          <cell r="V262">
            <v>18000</v>
          </cell>
          <cell r="W262">
            <v>3770</v>
          </cell>
          <cell r="X262">
            <v>3500</v>
          </cell>
          <cell r="AA262">
            <v>500</v>
          </cell>
          <cell r="AB262">
            <v>150</v>
          </cell>
          <cell r="AD262" t="str">
            <v>CV</v>
          </cell>
          <cell r="AE262">
            <v>0</v>
          </cell>
          <cell r="AG262">
            <v>2750</v>
          </cell>
          <cell r="AH262">
            <v>10670</v>
          </cell>
          <cell r="AI262">
            <v>128040</v>
          </cell>
          <cell r="AJ262">
            <v>17500</v>
          </cell>
          <cell r="AK262">
            <v>20000</v>
          </cell>
          <cell r="AL262">
            <v>10000</v>
          </cell>
          <cell r="AQ262">
            <v>12215</v>
          </cell>
          <cell r="AR262">
            <v>187755</v>
          </cell>
        </row>
        <row r="263">
          <cell r="M263">
            <v>21</v>
          </cell>
          <cell r="N263" t="str">
            <v>A1</v>
          </cell>
          <cell r="P263">
            <v>7</v>
          </cell>
          <cell r="S263" t="str">
            <v xml:space="preserve"> </v>
          </cell>
          <cell r="U263">
            <v>2002</v>
          </cell>
          <cell r="W263">
            <v>4520</v>
          </cell>
          <cell r="X263">
            <v>4000</v>
          </cell>
          <cell r="Z263">
            <v>0</v>
          </cell>
          <cell r="AA263">
            <v>500</v>
          </cell>
          <cell r="AB263">
            <v>150</v>
          </cell>
          <cell r="AC263">
            <v>0</v>
          </cell>
          <cell r="AF263">
            <v>0</v>
          </cell>
          <cell r="AG263">
            <v>2750</v>
          </cell>
          <cell r="AH263">
            <v>11920</v>
          </cell>
          <cell r="AI263">
            <v>143040</v>
          </cell>
          <cell r="AJ263">
            <v>17500</v>
          </cell>
          <cell r="AK263">
            <v>20000</v>
          </cell>
          <cell r="AL263">
            <v>15000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14645</v>
          </cell>
          <cell r="AR263">
            <v>210185</v>
          </cell>
          <cell r="AS263">
            <v>0</v>
          </cell>
        </row>
        <row r="264">
          <cell r="P264">
            <v>7</v>
          </cell>
          <cell r="S264" t="str">
            <v xml:space="preserve"> </v>
          </cell>
          <cell r="U264" t="str">
            <v>DIFF.</v>
          </cell>
          <cell r="W264">
            <v>750</v>
          </cell>
          <cell r="X264">
            <v>500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1250</v>
          </cell>
          <cell r="AI264">
            <v>15000</v>
          </cell>
          <cell r="AJ264">
            <v>0</v>
          </cell>
          <cell r="AK264">
            <v>0</v>
          </cell>
          <cell r="AL264">
            <v>5000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2430</v>
          </cell>
          <cell r="AR264">
            <v>22430</v>
          </cell>
          <cell r="AS264">
            <v>11.95</v>
          </cell>
        </row>
        <row r="265">
          <cell r="P265">
            <v>7</v>
          </cell>
          <cell r="S265" t="str">
            <v xml:space="preserve"> </v>
          </cell>
        </row>
        <row r="266">
          <cell r="G266">
            <v>2389</v>
          </cell>
          <cell r="H266" t="str">
            <v>MR CHIRAG B. PARIKH</v>
          </cell>
          <cell r="I266">
            <v>27740</v>
          </cell>
          <cell r="J266">
            <v>36300</v>
          </cell>
          <cell r="K266">
            <v>9538</v>
          </cell>
          <cell r="L266" t="str">
            <v>MA</v>
          </cell>
          <cell r="M266">
            <v>21</v>
          </cell>
          <cell r="N266" t="str">
            <v>A1</v>
          </cell>
          <cell r="O266" t="str">
            <v>MA</v>
          </cell>
          <cell r="P266">
            <v>7</v>
          </cell>
          <cell r="Q266" t="str">
            <v>Other Locations</v>
          </cell>
          <cell r="R266" t="str">
            <v>Bharuch (Guj)</v>
          </cell>
          <cell r="S266" t="str">
            <v xml:space="preserve"> </v>
          </cell>
          <cell r="T266" t="str">
            <v>CL</v>
          </cell>
          <cell r="U266">
            <v>2001</v>
          </cell>
          <cell r="V266">
            <v>18000</v>
          </cell>
          <cell r="W266">
            <v>3640</v>
          </cell>
          <cell r="X266">
            <v>3500</v>
          </cell>
          <cell r="AA266">
            <v>500</v>
          </cell>
          <cell r="AB266">
            <v>150</v>
          </cell>
          <cell r="AD266" t="str">
            <v>CV</v>
          </cell>
          <cell r="AE266">
            <v>0</v>
          </cell>
          <cell r="AG266">
            <v>2750</v>
          </cell>
          <cell r="AH266">
            <v>10540</v>
          </cell>
          <cell r="AI266">
            <v>126480</v>
          </cell>
          <cell r="AJ266">
            <v>17500</v>
          </cell>
          <cell r="AK266">
            <v>20000</v>
          </cell>
          <cell r="AL266">
            <v>10000</v>
          </cell>
          <cell r="AQ266">
            <v>11794</v>
          </cell>
          <cell r="AR266">
            <v>185774</v>
          </cell>
        </row>
        <row r="267">
          <cell r="M267">
            <v>21</v>
          </cell>
          <cell r="N267" t="str">
            <v>A1</v>
          </cell>
          <cell r="P267">
            <v>7</v>
          </cell>
          <cell r="S267" t="str">
            <v xml:space="preserve"> </v>
          </cell>
          <cell r="U267">
            <v>2002</v>
          </cell>
          <cell r="W267">
            <v>4290</v>
          </cell>
          <cell r="X267">
            <v>4000</v>
          </cell>
          <cell r="Z267">
            <v>0</v>
          </cell>
          <cell r="AA267">
            <v>500</v>
          </cell>
          <cell r="AB267">
            <v>150</v>
          </cell>
          <cell r="AC267">
            <v>0</v>
          </cell>
          <cell r="AF267">
            <v>0</v>
          </cell>
          <cell r="AG267">
            <v>2750</v>
          </cell>
          <cell r="AH267">
            <v>11690</v>
          </cell>
          <cell r="AI267">
            <v>140280</v>
          </cell>
          <cell r="AJ267">
            <v>17500</v>
          </cell>
          <cell r="AK267">
            <v>20000</v>
          </cell>
          <cell r="AL267">
            <v>15000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13900</v>
          </cell>
          <cell r="AR267">
            <v>206680</v>
          </cell>
          <cell r="AS267">
            <v>0</v>
          </cell>
        </row>
        <row r="268">
          <cell r="P268">
            <v>7</v>
          </cell>
          <cell r="S268" t="str">
            <v xml:space="preserve"> </v>
          </cell>
          <cell r="U268" t="str">
            <v>DIFF.</v>
          </cell>
          <cell r="W268">
            <v>650</v>
          </cell>
          <cell r="X268">
            <v>500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1150</v>
          </cell>
          <cell r="AI268">
            <v>13800</v>
          </cell>
          <cell r="AJ268">
            <v>0</v>
          </cell>
          <cell r="AK268">
            <v>0</v>
          </cell>
          <cell r="AL268">
            <v>5000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2106</v>
          </cell>
          <cell r="AR268">
            <v>20906</v>
          </cell>
          <cell r="AS268">
            <v>11.25</v>
          </cell>
        </row>
        <row r="269">
          <cell r="P269">
            <v>7</v>
          </cell>
          <cell r="S269" t="str">
            <v xml:space="preserve"> </v>
          </cell>
        </row>
        <row r="270">
          <cell r="G270">
            <v>2395</v>
          </cell>
          <cell r="H270" t="str">
            <v>MR OPINDER SINGH</v>
          </cell>
          <cell r="I270">
            <v>25919</v>
          </cell>
          <cell r="J270">
            <v>36368</v>
          </cell>
          <cell r="K270">
            <v>11359</v>
          </cell>
          <cell r="L270" t="str">
            <v>MA</v>
          </cell>
          <cell r="M270">
            <v>21</v>
          </cell>
          <cell r="N270" t="str">
            <v>A1</v>
          </cell>
          <cell r="O270" t="str">
            <v>MA</v>
          </cell>
          <cell r="P270">
            <v>7</v>
          </cell>
          <cell r="Q270" t="str">
            <v>Other Locations</v>
          </cell>
          <cell r="R270" t="str">
            <v>Jalandhar (Punjab)</v>
          </cell>
          <cell r="S270" t="str">
            <v xml:space="preserve"> </v>
          </cell>
          <cell r="T270" t="str">
            <v>CL</v>
          </cell>
          <cell r="U270">
            <v>2001</v>
          </cell>
          <cell r="V270">
            <v>18000</v>
          </cell>
          <cell r="W270">
            <v>3680</v>
          </cell>
          <cell r="X270">
            <v>3500</v>
          </cell>
          <cell r="AA270">
            <v>500</v>
          </cell>
          <cell r="AB270">
            <v>150</v>
          </cell>
          <cell r="AD270" t="str">
            <v>CV</v>
          </cell>
          <cell r="AE270">
            <v>0</v>
          </cell>
          <cell r="AG270">
            <v>2750</v>
          </cell>
          <cell r="AH270">
            <v>10580</v>
          </cell>
          <cell r="AI270">
            <v>126960</v>
          </cell>
          <cell r="AJ270">
            <v>17500</v>
          </cell>
          <cell r="AK270">
            <v>20000</v>
          </cell>
          <cell r="AL270">
            <v>10000</v>
          </cell>
          <cell r="AQ270">
            <v>11923</v>
          </cell>
          <cell r="AR270">
            <v>186383</v>
          </cell>
        </row>
        <row r="271">
          <cell r="M271">
            <v>21</v>
          </cell>
          <cell r="N271" t="str">
            <v>A1</v>
          </cell>
          <cell r="P271">
            <v>7</v>
          </cell>
          <cell r="S271" t="str">
            <v xml:space="preserve"> </v>
          </cell>
          <cell r="U271">
            <v>2002</v>
          </cell>
          <cell r="W271">
            <v>4330</v>
          </cell>
          <cell r="X271">
            <v>4000</v>
          </cell>
          <cell r="Z271">
            <v>0</v>
          </cell>
          <cell r="AA271">
            <v>500</v>
          </cell>
          <cell r="AB271">
            <v>150</v>
          </cell>
          <cell r="AC271">
            <v>0</v>
          </cell>
          <cell r="AF271">
            <v>0</v>
          </cell>
          <cell r="AG271">
            <v>2750</v>
          </cell>
          <cell r="AH271">
            <v>11730</v>
          </cell>
          <cell r="AI271">
            <v>140760</v>
          </cell>
          <cell r="AJ271">
            <v>17500</v>
          </cell>
          <cell r="AK271">
            <v>20000</v>
          </cell>
          <cell r="AL271">
            <v>15000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14029</v>
          </cell>
          <cell r="AR271">
            <v>207289</v>
          </cell>
          <cell r="AS271">
            <v>0</v>
          </cell>
        </row>
        <row r="272">
          <cell r="P272">
            <v>7</v>
          </cell>
          <cell r="S272" t="str">
            <v xml:space="preserve"> </v>
          </cell>
          <cell r="U272" t="str">
            <v>DIFF.</v>
          </cell>
          <cell r="W272">
            <v>650</v>
          </cell>
          <cell r="X272">
            <v>500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1150</v>
          </cell>
          <cell r="AI272">
            <v>13800</v>
          </cell>
          <cell r="AJ272">
            <v>0</v>
          </cell>
          <cell r="AK272">
            <v>0</v>
          </cell>
          <cell r="AL272">
            <v>5000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2106</v>
          </cell>
          <cell r="AR272">
            <v>20906</v>
          </cell>
          <cell r="AS272">
            <v>11.22</v>
          </cell>
        </row>
        <row r="273">
          <cell r="P273">
            <v>7</v>
          </cell>
          <cell r="S273" t="str">
            <v xml:space="preserve"> </v>
          </cell>
        </row>
        <row r="274">
          <cell r="G274">
            <v>2396</v>
          </cell>
          <cell r="H274" t="str">
            <v>MR JAI KRISHNA PANDEY</v>
          </cell>
          <cell r="I274">
            <v>25817</v>
          </cell>
          <cell r="J274">
            <v>36368</v>
          </cell>
          <cell r="K274">
            <v>11461</v>
          </cell>
          <cell r="L274" t="str">
            <v>MA</v>
          </cell>
          <cell r="M274">
            <v>21</v>
          </cell>
          <cell r="N274" t="str">
            <v>A2</v>
          </cell>
          <cell r="O274" t="str">
            <v>MA</v>
          </cell>
          <cell r="P274">
            <v>7</v>
          </cell>
          <cell r="Q274" t="str">
            <v>Other Locations</v>
          </cell>
          <cell r="R274" t="str">
            <v>Kurukshetra (Hp)</v>
          </cell>
          <cell r="S274" t="str">
            <v xml:space="preserve"> </v>
          </cell>
          <cell r="T274" t="str">
            <v>BA</v>
          </cell>
          <cell r="U274">
            <v>2001</v>
          </cell>
          <cell r="V274">
            <v>21150</v>
          </cell>
          <cell r="W274">
            <v>4455</v>
          </cell>
          <cell r="X274">
            <v>3500</v>
          </cell>
          <cell r="AA274">
            <v>500</v>
          </cell>
          <cell r="AB274">
            <v>150</v>
          </cell>
          <cell r="AD274" t="str">
            <v>CV</v>
          </cell>
          <cell r="AE274">
            <v>0</v>
          </cell>
          <cell r="AF274">
            <v>500</v>
          </cell>
          <cell r="AG274">
            <v>2750</v>
          </cell>
          <cell r="AH274">
            <v>11855</v>
          </cell>
          <cell r="AI274">
            <v>142260</v>
          </cell>
          <cell r="AJ274">
            <v>17500</v>
          </cell>
          <cell r="AK274">
            <v>20000</v>
          </cell>
          <cell r="AL274">
            <v>10000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14434</v>
          </cell>
          <cell r="AR274">
            <v>204194</v>
          </cell>
          <cell r="AS274">
            <v>0</v>
          </cell>
        </row>
        <row r="275">
          <cell r="M275">
            <v>21</v>
          </cell>
          <cell r="N275" t="str">
            <v>A2</v>
          </cell>
          <cell r="P275">
            <v>7</v>
          </cell>
          <cell r="S275" t="str">
            <v xml:space="preserve"> </v>
          </cell>
          <cell r="U275">
            <v>2002</v>
          </cell>
          <cell r="W275">
            <v>5555</v>
          </cell>
          <cell r="X275">
            <v>4000</v>
          </cell>
          <cell r="Z275">
            <v>0</v>
          </cell>
          <cell r="AA275">
            <v>500</v>
          </cell>
          <cell r="AB275">
            <v>150</v>
          </cell>
          <cell r="AC275">
            <v>0</v>
          </cell>
          <cell r="AF275">
            <v>500</v>
          </cell>
          <cell r="AG275">
            <v>2750</v>
          </cell>
          <cell r="AH275">
            <v>13455</v>
          </cell>
          <cell r="AI275">
            <v>161460</v>
          </cell>
          <cell r="AJ275">
            <v>17500</v>
          </cell>
          <cell r="AK275">
            <v>20000</v>
          </cell>
          <cell r="AL275">
            <v>15000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17998</v>
          </cell>
          <cell r="AR275">
            <v>231958</v>
          </cell>
          <cell r="AS275">
            <v>0</v>
          </cell>
        </row>
        <row r="276">
          <cell r="P276">
            <v>7</v>
          </cell>
          <cell r="S276" t="str">
            <v xml:space="preserve"> </v>
          </cell>
          <cell r="U276" t="str">
            <v>DIFF.</v>
          </cell>
          <cell r="W276">
            <v>1100</v>
          </cell>
          <cell r="X276">
            <v>500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1600</v>
          </cell>
          <cell r="AI276">
            <v>19200</v>
          </cell>
          <cell r="AJ276">
            <v>0</v>
          </cell>
          <cell r="AK276">
            <v>0</v>
          </cell>
          <cell r="AL276">
            <v>5000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3564</v>
          </cell>
          <cell r="AR276">
            <v>27764</v>
          </cell>
          <cell r="AS276">
            <v>13.6</v>
          </cell>
        </row>
        <row r="277">
          <cell r="P277">
            <v>7</v>
          </cell>
          <cell r="S277" t="str">
            <v xml:space="preserve"> </v>
          </cell>
        </row>
        <row r="278">
          <cell r="G278">
            <v>2397</v>
          </cell>
          <cell r="H278" t="str">
            <v>MR PRADEEP KUMAR GANGWAR</v>
          </cell>
          <cell r="I278">
            <v>25396</v>
          </cell>
          <cell r="J278">
            <v>36373</v>
          </cell>
          <cell r="K278">
            <v>11882</v>
          </cell>
          <cell r="L278" t="str">
            <v>MA</v>
          </cell>
          <cell r="M278">
            <v>21</v>
          </cell>
          <cell r="N278" t="str">
            <v>A1</v>
          </cell>
          <cell r="O278" t="str">
            <v>MA</v>
          </cell>
          <cell r="P278">
            <v>7</v>
          </cell>
          <cell r="Q278" t="str">
            <v>Other Locations</v>
          </cell>
          <cell r="R278" t="str">
            <v>Rudrapur (Hp)</v>
          </cell>
          <cell r="S278" t="str">
            <v xml:space="preserve"> </v>
          </cell>
          <cell r="T278" t="str">
            <v>D</v>
          </cell>
          <cell r="U278">
            <v>2001</v>
          </cell>
          <cell r="V278">
            <v>11000</v>
          </cell>
          <cell r="W278">
            <v>3675</v>
          </cell>
          <cell r="X278">
            <v>3500</v>
          </cell>
          <cell r="AA278">
            <v>500</v>
          </cell>
          <cell r="AB278">
            <v>150</v>
          </cell>
          <cell r="AD278" t="str">
            <v>CV</v>
          </cell>
          <cell r="AE278">
            <v>0</v>
          </cell>
          <cell r="AG278">
            <v>2750</v>
          </cell>
          <cell r="AH278">
            <v>10575</v>
          </cell>
          <cell r="AI278">
            <v>126900</v>
          </cell>
          <cell r="AJ278">
            <v>17500</v>
          </cell>
          <cell r="AK278">
            <v>20000</v>
          </cell>
          <cell r="AL278">
            <v>10000</v>
          </cell>
          <cell r="AQ278">
            <v>11907</v>
          </cell>
          <cell r="AR278">
            <v>186307</v>
          </cell>
        </row>
        <row r="279">
          <cell r="M279">
            <v>21</v>
          </cell>
          <cell r="N279" t="str">
            <v>A1</v>
          </cell>
          <cell r="P279">
            <v>7</v>
          </cell>
          <cell r="S279" t="str">
            <v xml:space="preserve"> </v>
          </cell>
          <cell r="U279">
            <v>2002</v>
          </cell>
          <cell r="W279">
            <v>4025</v>
          </cell>
          <cell r="X279">
            <v>4000</v>
          </cell>
          <cell r="Z279">
            <v>0</v>
          </cell>
          <cell r="AA279">
            <v>500</v>
          </cell>
          <cell r="AB279">
            <v>150</v>
          </cell>
          <cell r="AC279">
            <v>0</v>
          </cell>
          <cell r="AF279">
            <v>0</v>
          </cell>
          <cell r="AG279">
            <v>2750</v>
          </cell>
          <cell r="AH279">
            <v>11425</v>
          </cell>
          <cell r="AI279">
            <v>137100</v>
          </cell>
          <cell r="AJ279">
            <v>17500</v>
          </cell>
          <cell r="AK279">
            <v>20000</v>
          </cell>
          <cell r="AL279">
            <v>15000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13041</v>
          </cell>
          <cell r="AR279">
            <v>202641</v>
          </cell>
          <cell r="AS279">
            <v>0</v>
          </cell>
        </row>
        <row r="280">
          <cell r="P280">
            <v>7</v>
          </cell>
          <cell r="S280" t="str">
            <v xml:space="preserve"> </v>
          </cell>
          <cell r="U280" t="str">
            <v>DIFF.</v>
          </cell>
          <cell r="W280">
            <v>350</v>
          </cell>
          <cell r="X280">
            <v>500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850</v>
          </cell>
          <cell r="AI280">
            <v>10200</v>
          </cell>
          <cell r="AJ280">
            <v>0</v>
          </cell>
          <cell r="AK280">
            <v>0</v>
          </cell>
          <cell r="AL280">
            <v>5000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1134</v>
          </cell>
          <cell r="AR280">
            <v>16334</v>
          </cell>
          <cell r="AS280">
            <v>8.77</v>
          </cell>
        </row>
        <row r="281">
          <cell r="P281">
            <v>7</v>
          </cell>
          <cell r="S281" t="str">
            <v xml:space="preserve"> </v>
          </cell>
        </row>
        <row r="282">
          <cell r="G282">
            <v>2399</v>
          </cell>
          <cell r="H282" t="str">
            <v>MR S. MANIKANDAN</v>
          </cell>
          <cell r="I282">
            <v>26892</v>
          </cell>
          <cell r="J282">
            <v>36390</v>
          </cell>
          <cell r="K282">
            <v>10386</v>
          </cell>
          <cell r="L282" t="str">
            <v>MA</v>
          </cell>
          <cell r="M282">
            <v>21</v>
          </cell>
          <cell r="N282" t="str">
            <v>A1</v>
          </cell>
          <cell r="O282" t="str">
            <v>MA</v>
          </cell>
          <cell r="P282">
            <v>7</v>
          </cell>
          <cell r="Q282" t="str">
            <v>Other Locations</v>
          </cell>
          <cell r="R282" t="str">
            <v>Tirunelvedi (Kerela)</v>
          </cell>
          <cell r="S282" t="str">
            <v xml:space="preserve"> </v>
          </cell>
          <cell r="T282" t="str">
            <v>CL</v>
          </cell>
          <cell r="U282">
            <v>2001</v>
          </cell>
          <cell r="V282">
            <v>18000</v>
          </cell>
          <cell r="W282">
            <v>3660</v>
          </cell>
          <cell r="X282">
            <v>3500</v>
          </cell>
          <cell r="AA282">
            <v>500</v>
          </cell>
          <cell r="AB282">
            <v>150</v>
          </cell>
          <cell r="AD282" t="str">
            <v>CV</v>
          </cell>
          <cell r="AE282">
            <v>0</v>
          </cell>
          <cell r="AG282">
            <v>2750</v>
          </cell>
          <cell r="AH282">
            <v>10560</v>
          </cell>
          <cell r="AI282">
            <v>126720</v>
          </cell>
          <cell r="AJ282">
            <v>17500</v>
          </cell>
          <cell r="AK282">
            <v>20000</v>
          </cell>
          <cell r="AL282">
            <v>10000</v>
          </cell>
          <cell r="AQ282">
            <v>11858</v>
          </cell>
          <cell r="AR282">
            <v>186078</v>
          </cell>
        </row>
        <row r="283">
          <cell r="M283">
            <v>21</v>
          </cell>
          <cell r="N283" t="str">
            <v>A1</v>
          </cell>
          <cell r="P283">
            <v>7</v>
          </cell>
          <cell r="S283" t="str">
            <v xml:space="preserve"> </v>
          </cell>
          <cell r="U283">
            <v>2002</v>
          </cell>
          <cell r="W283">
            <v>4310</v>
          </cell>
          <cell r="X283">
            <v>4000</v>
          </cell>
          <cell r="Z283">
            <v>0</v>
          </cell>
          <cell r="AA283">
            <v>500</v>
          </cell>
          <cell r="AB283">
            <v>150</v>
          </cell>
          <cell r="AC283">
            <v>0</v>
          </cell>
          <cell r="AF283">
            <v>0</v>
          </cell>
          <cell r="AG283">
            <v>2750</v>
          </cell>
          <cell r="AH283">
            <v>11710</v>
          </cell>
          <cell r="AI283">
            <v>140520</v>
          </cell>
          <cell r="AJ283">
            <v>17500</v>
          </cell>
          <cell r="AK283">
            <v>20000</v>
          </cell>
          <cell r="AL283">
            <v>15000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13964</v>
          </cell>
          <cell r="AR283">
            <v>206984</v>
          </cell>
          <cell r="AS283">
            <v>0</v>
          </cell>
        </row>
        <row r="284">
          <cell r="P284">
            <v>7</v>
          </cell>
          <cell r="S284" t="str">
            <v xml:space="preserve"> </v>
          </cell>
          <cell r="U284" t="str">
            <v>DIFF.</v>
          </cell>
          <cell r="W284">
            <v>650</v>
          </cell>
          <cell r="X284">
            <v>500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1150</v>
          </cell>
          <cell r="AI284">
            <v>13800</v>
          </cell>
          <cell r="AJ284">
            <v>0</v>
          </cell>
          <cell r="AK284">
            <v>0</v>
          </cell>
          <cell r="AL284">
            <v>5000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2106</v>
          </cell>
          <cell r="AR284">
            <v>20906</v>
          </cell>
          <cell r="AS284">
            <v>11.24</v>
          </cell>
        </row>
        <row r="285">
          <cell r="P285">
            <v>7</v>
          </cell>
          <cell r="S285" t="str">
            <v xml:space="preserve"> </v>
          </cell>
        </row>
        <row r="286">
          <cell r="G286">
            <v>2400</v>
          </cell>
          <cell r="H286" t="str">
            <v>MR RAJANI KANTHA</v>
          </cell>
          <cell r="I286">
            <v>26280</v>
          </cell>
          <cell r="J286">
            <v>36402</v>
          </cell>
          <cell r="K286">
            <v>10998</v>
          </cell>
          <cell r="L286" t="str">
            <v>MA</v>
          </cell>
          <cell r="M286">
            <v>21</v>
          </cell>
          <cell r="N286" t="str">
            <v>A1</v>
          </cell>
          <cell r="O286" t="str">
            <v>MA</v>
          </cell>
          <cell r="P286">
            <v>7</v>
          </cell>
          <cell r="Q286" t="str">
            <v>Other Locations</v>
          </cell>
          <cell r="R286" t="str">
            <v>Bijapur (Karnataka)</v>
          </cell>
          <cell r="S286" t="str">
            <v xml:space="preserve"> </v>
          </cell>
          <cell r="T286" t="str">
            <v>CL</v>
          </cell>
          <cell r="U286">
            <v>2001</v>
          </cell>
          <cell r="V286">
            <v>18000</v>
          </cell>
          <cell r="W286">
            <v>3650</v>
          </cell>
          <cell r="X286">
            <v>3500</v>
          </cell>
          <cell r="AA286">
            <v>500</v>
          </cell>
          <cell r="AB286">
            <v>150</v>
          </cell>
          <cell r="AD286" t="str">
            <v>CV</v>
          </cell>
          <cell r="AE286">
            <v>0</v>
          </cell>
          <cell r="AG286">
            <v>2750</v>
          </cell>
          <cell r="AH286">
            <v>10550</v>
          </cell>
          <cell r="AI286">
            <v>126600</v>
          </cell>
          <cell r="AJ286">
            <v>17500</v>
          </cell>
          <cell r="AK286">
            <v>20000</v>
          </cell>
          <cell r="AL286">
            <v>10000</v>
          </cell>
          <cell r="AQ286">
            <v>11826</v>
          </cell>
          <cell r="AR286">
            <v>185926</v>
          </cell>
        </row>
        <row r="287">
          <cell r="M287">
            <v>21</v>
          </cell>
          <cell r="N287" t="str">
            <v>A1</v>
          </cell>
          <cell r="P287">
            <v>7</v>
          </cell>
          <cell r="S287" t="str">
            <v xml:space="preserve"> </v>
          </cell>
          <cell r="U287">
            <v>2002</v>
          </cell>
          <cell r="W287">
            <v>4300</v>
          </cell>
          <cell r="X287">
            <v>4000</v>
          </cell>
          <cell r="Z287">
            <v>0</v>
          </cell>
          <cell r="AA287">
            <v>500</v>
          </cell>
          <cell r="AB287">
            <v>150</v>
          </cell>
          <cell r="AC287">
            <v>0</v>
          </cell>
          <cell r="AF287">
            <v>0</v>
          </cell>
          <cell r="AG287">
            <v>2750</v>
          </cell>
          <cell r="AH287">
            <v>11700</v>
          </cell>
          <cell r="AI287">
            <v>140400</v>
          </cell>
          <cell r="AJ287">
            <v>17500</v>
          </cell>
          <cell r="AK287">
            <v>20000</v>
          </cell>
          <cell r="AL287">
            <v>15000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13932</v>
          </cell>
          <cell r="AR287">
            <v>206832</v>
          </cell>
          <cell r="AS287">
            <v>0</v>
          </cell>
        </row>
        <row r="288">
          <cell r="P288">
            <v>7</v>
          </cell>
          <cell r="S288" t="str">
            <v xml:space="preserve"> </v>
          </cell>
          <cell r="U288" t="str">
            <v>DIFF.</v>
          </cell>
          <cell r="W288">
            <v>650</v>
          </cell>
          <cell r="X288">
            <v>500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1150</v>
          </cell>
          <cell r="AI288">
            <v>13800</v>
          </cell>
          <cell r="AJ288">
            <v>0</v>
          </cell>
          <cell r="AK288">
            <v>0</v>
          </cell>
          <cell r="AL288">
            <v>5000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2106</v>
          </cell>
          <cell r="AR288">
            <v>20906</v>
          </cell>
          <cell r="AS288">
            <v>11.24</v>
          </cell>
        </row>
        <row r="289">
          <cell r="P289">
            <v>7</v>
          </cell>
          <cell r="S289" t="str">
            <v xml:space="preserve"> </v>
          </cell>
        </row>
        <row r="290">
          <cell r="G290">
            <v>2402</v>
          </cell>
          <cell r="H290" t="str">
            <v>MR HEMANT KUMAR SINGH</v>
          </cell>
          <cell r="I290">
            <v>27404</v>
          </cell>
          <cell r="J290">
            <v>36424</v>
          </cell>
          <cell r="K290">
            <v>9874</v>
          </cell>
          <cell r="L290" t="str">
            <v>MA</v>
          </cell>
          <cell r="M290">
            <v>21</v>
          </cell>
          <cell r="N290" t="str">
            <v>A1</v>
          </cell>
          <cell r="O290" t="str">
            <v>MA</v>
          </cell>
          <cell r="P290">
            <v>7</v>
          </cell>
          <cell r="Q290" t="str">
            <v>Other Locations</v>
          </cell>
          <cell r="R290" t="str">
            <v>Kota (Rajasthan)</v>
          </cell>
          <cell r="S290" t="str">
            <v xml:space="preserve"> </v>
          </cell>
          <cell r="T290" t="str">
            <v>BL</v>
          </cell>
          <cell r="U290">
            <v>2001</v>
          </cell>
          <cell r="V290">
            <v>21150</v>
          </cell>
          <cell r="W290">
            <v>3630</v>
          </cell>
          <cell r="X290">
            <v>3500</v>
          </cell>
          <cell r="AA290">
            <v>500</v>
          </cell>
          <cell r="AB290">
            <v>150</v>
          </cell>
          <cell r="AD290" t="str">
            <v>CV</v>
          </cell>
          <cell r="AE290">
            <v>0</v>
          </cell>
          <cell r="AG290">
            <v>2750</v>
          </cell>
          <cell r="AH290">
            <v>10530</v>
          </cell>
          <cell r="AI290">
            <v>126360</v>
          </cell>
          <cell r="AJ290">
            <v>17500</v>
          </cell>
          <cell r="AK290">
            <v>20000</v>
          </cell>
          <cell r="AL290">
            <v>10000</v>
          </cell>
          <cell r="AQ290">
            <v>11761</v>
          </cell>
          <cell r="AR290">
            <v>185621</v>
          </cell>
        </row>
        <row r="291">
          <cell r="M291">
            <v>21</v>
          </cell>
          <cell r="N291" t="str">
            <v>A1</v>
          </cell>
          <cell r="P291">
            <v>7</v>
          </cell>
          <cell r="S291" t="str">
            <v xml:space="preserve"> </v>
          </cell>
          <cell r="U291">
            <v>2002</v>
          </cell>
          <cell r="W291">
            <v>4580</v>
          </cell>
          <cell r="X291">
            <v>4000</v>
          </cell>
          <cell r="Z291">
            <v>0</v>
          </cell>
          <cell r="AA291">
            <v>500</v>
          </cell>
          <cell r="AB291">
            <v>150</v>
          </cell>
          <cell r="AC291">
            <v>0</v>
          </cell>
          <cell r="AF291">
            <v>0</v>
          </cell>
          <cell r="AG291">
            <v>2750</v>
          </cell>
          <cell r="AH291">
            <v>11980</v>
          </cell>
          <cell r="AI291">
            <v>143760</v>
          </cell>
          <cell r="AJ291">
            <v>17500</v>
          </cell>
          <cell r="AK291">
            <v>20000</v>
          </cell>
          <cell r="AL291">
            <v>15000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14839</v>
          </cell>
          <cell r="AR291">
            <v>211099</v>
          </cell>
          <cell r="AS291">
            <v>0</v>
          </cell>
        </row>
        <row r="292">
          <cell r="P292">
            <v>7</v>
          </cell>
          <cell r="S292" t="str">
            <v xml:space="preserve"> </v>
          </cell>
          <cell r="U292" t="str">
            <v>DIFF.</v>
          </cell>
          <cell r="W292">
            <v>950</v>
          </cell>
          <cell r="X292">
            <v>500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1450</v>
          </cell>
          <cell r="AI292">
            <v>17400</v>
          </cell>
          <cell r="AJ292">
            <v>0</v>
          </cell>
          <cell r="AK292">
            <v>0</v>
          </cell>
          <cell r="AL292">
            <v>5000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3078</v>
          </cell>
          <cell r="AR292">
            <v>25478</v>
          </cell>
          <cell r="AS292">
            <v>13.73</v>
          </cell>
        </row>
        <row r="293">
          <cell r="P293">
            <v>7</v>
          </cell>
          <cell r="S293" t="str">
            <v xml:space="preserve"> </v>
          </cell>
        </row>
        <row r="294">
          <cell r="G294">
            <v>2403</v>
          </cell>
          <cell r="H294" t="str">
            <v>MR BHUPINDER PAL SINGH</v>
          </cell>
          <cell r="I294">
            <v>26634</v>
          </cell>
          <cell r="J294">
            <v>36427</v>
          </cell>
          <cell r="K294">
            <v>10644</v>
          </cell>
          <cell r="L294" t="str">
            <v>MA</v>
          </cell>
          <cell r="M294">
            <v>21</v>
          </cell>
          <cell r="N294" t="str">
            <v>A1</v>
          </cell>
          <cell r="O294" t="str">
            <v>MA</v>
          </cell>
          <cell r="P294">
            <v>7</v>
          </cell>
          <cell r="Q294" t="str">
            <v>Other Locations</v>
          </cell>
          <cell r="R294" t="str">
            <v>Patiala (Punjab)</v>
          </cell>
          <cell r="S294" t="str">
            <v xml:space="preserve"> </v>
          </cell>
          <cell r="T294" t="str">
            <v>D</v>
          </cell>
          <cell r="U294">
            <v>2001</v>
          </cell>
          <cell r="V294">
            <v>11000</v>
          </cell>
          <cell r="W294">
            <v>3630</v>
          </cell>
          <cell r="X294">
            <v>3500</v>
          </cell>
          <cell r="AA294">
            <v>500</v>
          </cell>
          <cell r="AB294">
            <v>150</v>
          </cell>
          <cell r="AD294" t="str">
            <v>CV</v>
          </cell>
          <cell r="AE294">
            <v>0</v>
          </cell>
          <cell r="AG294">
            <v>2750</v>
          </cell>
          <cell r="AH294">
            <v>10530</v>
          </cell>
          <cell r="AI294">
            <v>126360</v>
          </cell>
          <cell r="AJ294">
            <v>17500</v>
          </cell>
          <cell r="AK294">
            <v>20000</v>
          </cell>
          <cell r="AL294">
            <v>10000</v>
          </cell>
          <cell r="AQ294">
            <v>11761</v>
          </cell>
          <cell r="AR294">
            <v>185621</v>
          </cell>
        </row>
        <row r="295">
          <cell r="M295">
            <v>21</v>
          </cell>
          <cell r="N295" t="str">
            <v>A1</v>
          </cell>
          <cell r="P295">
            <v>7</v>
          </cell>
          <cell r="S295" t="str">
            <v xml:space="preserve"> </v>
          </cell>
          <cell r="U295">
            <v>2002</v>
          </cell>
          <cell r="W295">
            <v>3980</v>
          </cell>
          <cell r="X295">
            <v>4000</v>
          </cell>
          <cell r="Z295">
            <v>0</v>
          </cell>
          <cell r="AA295">
            <v>500</v>
          </cell>
          <cell r="AB295">
            <v>150</v>
          </cell>
          <cell r="AC295">
            <v>0</v>
          </cell>
          <cell r="AF295">
            <v>0</v>
          </cell>
          <cell r="AG295">
            <v>2750</v>
          </cell>
          <cell r="AH295">
            <v>11380</v>
          </cell>
          <cell r="AI295">
            <v>136560</v>
          </cell>
          <cell r="AJ295">
            <v>17500</v>
          </cell>
          <cell r="AK295">
            <v>20000</v>
          </cell>
          <cell r="AL295">
            <v>15000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12895</v>
          </cell>
          <cell r="AR295">
            <v>201955</v>
          </cell>
          <cell r="AS295">
            <v>0</v>
          </cell>
        </row>
        <row r="296">
          <cell r="P296">
            <v>7</v>
          </cell>
          <cell r="S296" t="str">
            <v xml:space="preserve"> </v>
          </cell>
          <cell r="U296" t="str">
            <v>DIFF.</v>
          </cell>
          <cell r="W296">
            <v>350</v>
          </cell>
          <cell r="X296">
            <v>500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850</v>
          </cell>
          <cell r="AI296">
            <v>10200</v>
          </cell>
          <cell r="AJ296">
            <v>0</v>
          </cell>
          <cell r="AK296">
            <v>0</v>
          </cell>
          <cell r="AL296">
            <v>5000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1134</v>
          </cell>
          <cell r="AR296">
            <v>16334</v>
          </cell>
          <cell r="AS296">
            <v>8.8000000000000007</v>
          </cell>
        </row>
        <row r="297">
          <cell r="P297">
            <v>7</v>
          </cell>
          <cell r="S297" t="str">
            <v xml:space="preserve"> </v>
          </cell>
        </row>
        <row r="298">
          <cell r="G298">
            <v>2404</v>
          </cell>
          <cell r="H298" t="str">
            <v>MR CHALLA SREEDHAR REDDY</v>
          </cell>
          <cell r="I298">
            <v>27630</v>
          </cell>
          <cell r="J298">
            <v>36444</v>
          </cell>
          <cell r="K298">
            <v>9648</v>
          </cell>
          <cell r="L298" t="str">
            <v>MA</v>
          </cell>
          <cell r="M298">
            <v>21</v>
          </cell>
          <cell r="N298" t="str">
            <v>A1</v>
          </cell>
          <cell r="O298" t="str">
            <v>MA</v>
          </cell>
          <cell r="P298">
            <v>7</v>
          </cell>
          <cell r="Q298" t="str">
            <v>Other Locations</v>
          </cell>
          <cell r="R298" t="str">
            <v>Rajahmundry (Ap)</v>
          </cell>
          <cell r="S298" t="str">
            <v xml:space="preserve"> </v>
          </cell>
          <cell r="T298" t="str">
            <v>CL</v>
          </cell>
          <cell r="U298">
            <v>2001</v>
          </cell>
          <cell r="V298">
            <v>18000</v>
          </cell>
          <cell r="W298">
            <v>3550</v>
          </cell>
          <cell r="X298">
            <v>3500</v>
          </cell>
          <cell r="AA298">
            <v>500</v>
          </cell>
          <cell r="AB298">
            <v>150</v>
          </cell>
          <cell r="AD298" t="str">
            <v>CV</v>
          </cell>
          <cell r="AE298">
            <v>0</v>
          </cell>
          <cell r="AG298">
            <v>2750</v>
          </cell>
          <cell r="AH298">
            <v>10450</v>
          </cell>
          <cell r="AI298">
            <v>125400</v>
          </cell>
          <cell r="AJ298">
            <v>17500</v>
          </cell>
          <cell r="AK298">
            <v>20000</v>
          </cell>
          <cell r="AL298">
            <v>10000</v>
          </cell>
          <cell r="AQ298">
            <v>11502</v>
          </cell>
          <cell r="AR298">
            <v>184402</v>
          </cell>
        </row>
        <row r="299">
          <cell r="M299">
            <v>21</v>
          </cell>
          <cell r="N299" t="str">
            <v>A1</v>
          </cell>
          <cell r="P299">
            <v>7</v>
          </cell>
          <cell r="S299" t="str">
            <v xml:space="preserve"> </v>
          </cell>
          <cell r="U299">
            <v>2002</v>
          </cell>
          <cell r="W299">
            <v>4200</v>
          </cell>
          <cell r="X299">
            <v>4000</v>
          </cell>
          <cell r="Z299">
            <v>0</v>
          </cell>
          <cell r="AA299">
            <v>500</v>
          </cell>
          <cell r="AB299">
            <v>150</v>
          </cell>
          <cell r="AC299">
            <v>0</v>
          </cell>
          <cell r="AF299">
            <v>0</v>
          </cell>
          <cell r="AG299">
            <v>2750</v>
          </cell>
          <cell r="AH299">
            <v>11600</v>
          </cell>
          <cell r="AI299">
            <v>139200</v>
          </cell>
          <cell r="AJ299">
            <v>17500</v>
          </cell>
          <cell r="AK299">
            <v>20000</v>
          </cell>
          <cell r="AL299">
            <v>15000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13608</v>
          </cell>
          <cell r="AR299">
            <v>205308</v>
          </cell>
          <cell r="AS299">
            <v>0</v>
          </cell>
        </row>
        <row r="300">
          <cell r="P300">
            <v>7</v>
          </cell>
          <cell r="S300" t="str">
            <v xml:space="preserve"> </v>
          </cell>
          <cell r="U300" t="str">
            <v>DIFF.</v>
          </cell>
          <cell r="W300">
            <v>650</v>
          </cell>
          <cell r="X300">
            <v>500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1150</v>
          </cell>
          <cell r="AI300">
            <v>13800</v>
          </cell>
          <cell r="AJ300">
            <v>0</v>
          </cell>
          <cell r="AK300">
            <v>0</v>
          </cell>
          <cell r="AL300">
            <v>5000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2106</v>
          </cell>
          <cell r="AR300">
            <v>20906</v>
          </cell>
          <cell r="AS300">
            <v>11.34</v>
          </cell>
        </row>
        <row r="301">
          <cell r="P301">
            <v>7</v>
          </cell>
          <cell r="S301" t="str">
            <v xml:space="preserve"> </v>
          </cell>
        </row>
        <row r="302">
          <cell r="G302">
            <v>2405</v>
          </cell>
          <cell r="H302" t="str">
            <v>MR PRANAB KUNDU</v>
          </cell>
          <cell r="I302">
            <v>25479</v>
          </cell>
          <cell r="J302">
            <v>36495</v>
          </cell>
          <cell r="K302">
            <v>11799</v>
          </cell>
          <cell r="L302" t="str">
            <v>MA</v>
          </cell>
          <cell r="M302">
            <v>21</v>
          </cell>
          <cell r="N302" t="str">
            <v>A2</v>
          </cell>
          <cell r="O302" t="str">
            <v>MA</v>
          </cell>
          <cell r="P302">
            <v>7</v>
          </cell>
          <cell r="Q302" t="str">
            <v>Other Locations</v>
          </cell>
          <cell r="R302" t="str">
            <v>Bankura (Bihar)</v>
          </cell>
          <cell r="S302" t="str">
            <v xml:space="preserve"> </v>
          </cell>
          <cell r="T302" t="str">
            <v>CL</v>
          </cell>
          <cell r="U302">
            <v>2001</v>
          </cell>
          <cell r="V302">
            <v>18000</v>
          </cell>
          <cell r="W302">
            <v>6210</v>
          </cell>
          <cell r="X302">
            <v>3500</v>
          </cell>
          <cell r="AA302">
            <v>500</v>
          </cell>
          <cell r="AB302">
            <v>150</v>
          </cell>
          <cell r="AD302" t="str">
            <v>CV</v>
          </cell>
          <cell r="AE302">
            <v>0</v>
          </cell>
          <cell r="AF302">
            <v>500</v>
          </cell>
          <cell r="AG302">
            <v>2750</v>
          </cell>
          <cell r="AH302">
            <v>13610</v>
          </cell>
          <cell r="AI302">
            <v>163320</v>
          </cell>
          <cell r="AJ302">
            <v>17500</v>
          </cell>
          <cell r="AK302">
            <v>20000</v>
          </cell>
          <cell r="AL302">
            <v>10000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20120</v>
          </cell>
          <cell r="AR302">
            <v>230940</v>
          </cell>
          <cell r="AS302">
            <v>0</v>
          </cell>
        </row>
        <row r="303">
          <cell r="M303">
            <v>21</v>
          </cell>
          <cell r="N303" t="str">
            <v>A2</v>
          </cell>
          <cell r="P303">
            <v>7</v>
          </cell>
          <cell r="S303" t="str">
            <v xml:space="preserve"> </v>
          </cell>
          <cell r="U303">
            <v>2002</v>
          </cell>
          <cell r="W303">
            <v>6860</v>
          </cell>
          <cell r="X303">
            <v>4000</v>
          </cell>
          <cell r="Z303">
            <v>0</v>
          </cell>
          <cell r="AA303">
            <v>500</v>
          </cell>
          <cell r="AB303">
            <v>150</v>
          </cell>
          <cell r="AC303">
            <v>0</v>
          </cell>
          <cell r="AF303">
            <v>500</v>
          </cell>
          <cell r="AG303">
            <v>2750</v>
          </cell>
          <cell r="AH303">
            <v>14760</v>
          </cell>
          <cell r="AI303">
            <v>177120</v>
          </cell>
          <cell r="AJ303">
            <v>17500</v>
          </cell>
          <cell r="AK303">
            <v>20000</v>
          </cell>
          <cell r="AL303">
            <v>15000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22226</v>
          </cell>
          <cell r="AR303">
            <v>251846</v>
          </cell>
          <cell r="AS303">
            <v>0</v>
          </cell>
        </row>
        <row r="304">
          <cell r="P304">
            <v>7</v>
          </cell>
          <cell r="S304" t="str">
            <v xml:space="preserve"> </v>
          </cell>
          <cell r="U304" t="str">
            <v>DIFF.</v>
          </cell>
          <cell r="W304">
            <v>650</v>
          </cell>
          <cell r="X304">
            <v>500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1150</v>
          </cell>
          <cell r="AI304">
            <v>13800</v>
          </cell>
          <cell r="AJ304">
            <v>0</v>
          </cell>
          <cell r="AK304">
            <v>0</v>
          </cell>
          <cell r="AL304">
            <v>5000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2106</v>
          </cell>
          <cell r="AR304">
            <v>20906</v>
          </cell>
          <cell r="AS304">
            <v>9.0500000000000007</v>
          </cell>
        </row>
        <row r="305">
          <cell r="P305">
            <v>7</v>
          </cell>
          <cell r="S305" t="str">
            <v xml:space="preserve"> </v>
          </cell>
        </row>
        <row r="306">
          <cell r="G306">
            <v>2406</v>
          </cell>
          <cell r="H306" t="str">
            <v>MR H. VISHWANATH</v>
          </cell>
          <cell r="I306">
            <v>27231</v>
          </cell>
          <cell r="J306">
            <v>36526</v>
          </cell>
          <cell r="K306">
            <v>10047</v>
          </cell>
          <cell r="L306" t="str">
            <v>MA</v>
          </cell>
          <cell r="M306">
            <v>21</v>
          </cell>
          <cell r="N306" t="str">
            <v>A1</v>
          </cell>
          <cell r="O306" t="str">
            <v>MA</v>
          </cell>
          <cell r="P306">
            <v>7</v>
          </cell>
          <cell r="Q306" t="str">
            <v>Other Locations</v>
          </cell>
          <cell r="R306" t="str">
            <v>Bangalore</v>
          </cell>
          <cell r="S306" t="str">
            <v xml:space="preserve"> </v>
          </cell>
          <cell r="T306" t="str">
            <v>CL</v>
          </cell>
          <cell r="U306">
            <v>2001</v>
          </cell>
          <cell r="V306">
            <v>18000</v>
          </cell>
          <cell r="W306">
            <v>3650</v>
          </cell>
          <cell r="X306">
            <v>3500</v>
          </cell>
          <cell r="AA306">
            <v>500</v>
          </cell>
          <cell r="AB306">
            <v>150</v>
          </cell>
          <cell r="AD306" t="str">
            <v>CV</v>
          </cell>
          <cell r="AE306">
            <v>0</v>
          </cell>
          <cell r="AG306">
            <v>2750</v>
          </cell>
          <cell r="AH306">
            <v>10550</v>
          </cell>
          <cell r="AI306">
            <v>126600</v>
          </cell>
          <cell r="AJ306">
            <v>17500</v>
          </cell>
          <cell r="AK306">
            <v>20000</v>
          </cell>
          <cell r="AL306">
            <v>10000</v>
          </cell>
          <cell r="AQ306">
            <v>11826</v>
          </cell>
          <cell r="AR306">
            <v>185926</v>
          </cell>
        </row>
        <row r="307">
          <cell r="M307">
            <v>21</v>
          </cell>
          <cell r="N307" t="str">
            <v>A1</v>
          </cell>
          <cell r="P307">
            <v>7</v>
          </cell>
          <cell r="S307" t="str">
            <v xml:space="preserve"> </v>
          </cell>
          <cell r="U307">
            <v>2002</v>
          </cell>
          <cell r="W307">
            <v>4300</v>
          </cell>
          <cell r="X307">
            <v>4000</v>
          </cell>
          <cell r="Z307">
            <v>0</v>
          </cell>
          <cell r="AA307">
            <v>500</v>
          </cell>
          <cell r="AB307">
            <v>150</v>
          </cell>
          <cell r="AC307">
            <v>0</v>
          </cell>
          <cell r="AF307">
            <v>0</v>
          </cell>
          <cell r="AG307">
            <v>2750</v>
          </cell>
          <cell r="AH307">
            <v>11700</v>
          </cell>
          <cell r="AI307">
            <v>140400</v>
          </cell>
          <cell r="AJ307">
            <v>17500</v>
          </cell>
          <cell r="AK307">
            <v>20000</v>
          </cell>
          <cell r="AL307">
            <v>15000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13932</v>
          </cell>
          <cell r="AR307">
            <v>206832</v>
          </cell>
          <cell r="AS307">
            <v>0</v>
          </cell>
        </row>
        <row r="308">
          <cell r="P308">
            <v>7</v>
          </cell>
          <cell r="S308" t="str">
            <v xml:space="preserve"> </v>
          </cell>
          <cell r="U308" t="str">
            <v>DIFF.</v>
          </cell>
          <cell r="W308">
            <v>650</v>
          </cell>
          <cell r="X308">
            <v>500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1150</v>
          </cell>
          <cell r="AI308">
            <v>13800</v>
          </cell>
          <cell r="AJ308">
            <v>0</v>
          </cell>
          <cell r="AK308">
            <v>0</v>
          </cell>
          <cell r="AL308">
            <v>5000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2106</v>
          </cell>
          <cell r="AR308">
            <v>20906</v>
          </cell>
          <cell r="AS308">
            <v>11.24</v>
          </cell>
        </row>
        <row r="309">
          <cell r="P309">
            <v>7</v>
          </cell>
          <cell r="S309" t="str">
            <v xml:space="preserve"> </v>
          </cell>
        </row>
        <row r="310">
          <cell r="G310">
            <v>2407</v>
          </cell>
          <cell r="H310" t="str">
            <v>MR P. MAHESHWARA BABU</v>
          </cell>
          <cell r="I310">
            <v>23959</v>
          </cell>
          <cell r="J310">
            <v>36528</v>
          </cell>
          <cell r="K310">
            <v>13319</v>
          </cell>
          <cell r="L310" t="str">
            <v>MA</v>
          </cell>
          <cell r="M310">
            <v>21</v>
          </cell>
          <cell r="N310" t="str">
            <v>A2</v>
          </cell>
          <cell r="O310" t="str">
            <v>MA</v>
          </cell>
          <cell r="P310">
            <v>7</v>
          </cell>
          <cell r="Q310" t="str">
            <v>Other Locations</v>
          </cell>
          <cell r="R310" t="str">
            <v>Miryalguda (Tn)</v>
          </cell>
          <cell r="S310" t="str">
            <v xml:space="preserve"> </v>
          </cell>
          <cell r="T310" t="str">
            <v>CL</v>
          </cell>
          <cell r="U310">
            <v>2001</v>
          </cell>
          <cell r="V310">
            <v>18000</v>
          </cell>
          <cell r="W310">
            <v>9650</v>
          </cell>
          <cell r="X310">
            <v>3500</v>
          </cell>
          <cell r="AA310">
            <v>500</v>
          </cell>
          <cell r="AB310">
            <v>150</v>
          </cell>
          <cell r="AD310" t="str">
            <v>CV</v>
          </cell>
          <cell r="AE310">
            <v>0</v>
          </cell>
          <cell r="AF310">
            <v>500</v>
          </cell>
          <cell r="AG310">
            <v>2750</v>
          </cell>
          <cell r="AH310">
            <v>17050</v>
          </cell>
          <cell r="AI310">
            <v>204600</v>
          </cell>
          <cell r="AJ310">
            <v>17500</v>
          </cell>
          <cell r="AK310">
            <v>20000</v>
          </cell>
          <cell r="AL310">
            <v>10000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31266</v>
          </cell>
          <cell r="AR310">
            <v>283366</v>
          </cell>
          <cell r="AS310">
            <v>0</v>
          </cell>
        </row>
        <row r="311">
          <cell r="M311">
            <v>21</v>
          </cell>
          <cell r="N311" t="str">
            <v>A2</v>
          </cell>
          <cell r="P311">
            <v>7</v>
          </cell>
          <cell r="S311" t="str">
            <v xml:space="preserve"> </v>
          </cell>
          <cell r="U311">
            <v>2002</v>
          </cell>
          <cell r="W311">
            <v>10300</v>
          </cell>
          <cell r="X311">
            <v>4000</v>
          </cell>
          <cell r="Z311">
            <v>0</v>
          </cell>
          <cell r="AA311">
            <v>500</v>
          </cell>
          <cell r="AB311">
            <v>150</v>
          </cell>
          <cell r="AC311">
            <v>0</v>
          </cell>
          <cell r="AF311">
            <v>500</v>
          </cell>
          <cell r="AG311">
            <v>2750</v>
          </cell>
          <cell r="AH311">
            <v>18200</v>
          </cell>
          <cell r="AI311">
            <v>218400</v>
          </cell>
          <cell r="AJ311">
            <v>17500</v>
          </cell>
          <cell r="AK311">
            <v>20000</v>
          </cell>
          <cell r="AL311">
            <v>15000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33372</v>
          </cell>
          <cell r="AR311">
            <v>304272</v>
          </cell>
          <cell r="AS311">
            <v>0</v>
          </cell>
        </row>
        <row r="312">
          <cell r="P312">
            <v>7</v>
          </cell>
          <cell r="S312" t="str">
            <v xml:space="preserve"> </v>
          </cell>
          <cell r="U312" t="str">
            <v>DIFF.</v>
          </cell>
          <cell r="W312">
            <v>650</v>
          </cell>
          <cell r="X312">
            <v>500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1150</v>
          </cell>
          <cell r="AI312">
            <v>13800</v>
          </cell>
          <cell r="AJ312">
            <v>0</v>
          </cell>
          <cell r="AK312">
            <v>0</v>
          </cell>
          <cell r="AL312">
            <v>5000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2106</v>
          </cell>
          <cell r="AR312">
            <v>20906</v>
          </cell>
          <cell r="AS312">
            <v>7.38</v>
          </cell>
        </row>
        <row r="313">
          <cell r="P313">
            <v>7</v>
          </cell>
          <cell r="S313" t="str">
            <v xml:space="preserve"> </v>
          </cell>
        </row>
        <row r="314">
          <cell r="G314">
            <v>2410</v>
          </cell>
          <cell r="H314" t="str">
            <v>MR SAIBAL CHATTERJEE</v>
          </cell>
          <cell r="I314">
            <v>27553</v>
          </cell>
          <cell r="J314">
            <v>36536</v>
          </cell>
          <cell r="K314">
            <v>9725</v>
          </cell>
          <cell r="L314" t="str">
            <v>MA</v>
          </cell>
          <cell r="M314">
            <v>21</v>
          </cell>
          <cell r="N314" t="str">
            <v>A1</v>
          </cell>
          <cell r="O314" t="str">
            <v>MA</v>
          </cell>
          <cell r="P314">
            <v>7</v>
          </cell>
          <cell r="Q314" t="str">
            <v>Other Locations</v>
          </cell>
          <cell r="R314" t="str">
            <v>Muzzafarpur (Bihar)</v>
          </cell>
          <cell r="S314" t="str">
            <v xml:space="preserve"> </v>
          </cell>
          <cell r="T314" t="str">
            <v>CA</v>
          </cell>
          <cell r="U314">
            <v>2001</v>
          </cell>
          <cell r="V314">
            <v>18000</v>
          </cell>
          <cell r="W314">
            <v>3550</v>
          </cell>
          <cell r="X314">
            <v>3500</v>
          </cell>
          <cell r="AA314">
            <v>500</v>
          </cell>
          <cell r="AB314">
            <v>150</v>
          </cell>
          <cell r="AD314" t="str">
            <v>CV</v>
          </cell>
          <cell r="AE314">
            <v>0</v>
          </cell>
          <cell r="AG314">
            <v>2750</v>
          </cell>
          <cell r="AH314">
            <v>10450</v>
          </cell>
          <cell r="AI314">
            <v>125400</v>
          </cell>
          <cell r="AJ314">
            <v>17500</v>
          </cell>
          <cell r="AK314">
            <v>20000</v>
          </cell>
          <cell r="AL314">
            <v>10000</v>
          </cell>
          <cell r="AQ314">
            <v>11502</v>
          </cell>
          <cell r="AR314">
            <v>184402</v>
          </cell>
        </row>
        <row r="315">
          <cell r="M315">
            <v>21</v>
          </cell>
          <cell r="N315" t="str">
            <v>A1</v>
          </cell>
          <cell r="P315">
            <v>7</v>
          </cell>
          <cell r="S315" t="str">
            <v xml:space="preserve"> </v>
          </cell>
          <cell r="U315">
            <v>2002</v>
          </cell>
          <cell r="W315">
            <v>4300</v>
          </cell>
          <cell r="X315">
            <v>4000</v>
          </cell>
          <cell r="Z315">
            <v>0</v>
          </cell>
          <cell r="AA315">
            <v>500</v>
          </cell>
          <cell r="AB315">
            <v>150</v>
          </cell>
          <cell r="AC315">
            <v>0</v>
          </cell>
          <cell r="AF315">
            <v>0</v>
          </cell>
          <cell r="AG315">
            <v>2750</v>
          </cell>
          <cell r="AH315">
            <v>11700</v>
          </cell>
          <cell r="AI315">
            <v>140400</v>
          </cell>
          <cell r="AJ315">
            <v>17500</v>
          </cell>
          <cell r="AK315">
            <v>20000</v>
          </cell>
          <cell r="AL315">
            <v>15000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13932</v>
          </cell>
          <cell r="AR315">
            <v>206832</v>
          </cell>
          <cell r="AS315">
            <v>0</v>
          </cell>
        </row>
        <row r="316">
          <cell r="P316">
            <v>7</v>
          </cell>
          <cell r="S316" t="str">
            <v xml:space="preserve"> </v>
          </cell>
          <cell r="U316" t="str">
            <v>DIFF.</v>
          </cell>
          <cell r="W316">
            <v>750</v>
          </cell>
          <cell r="X316">
            <v>500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1250</v>
          </cell>
          <cell r="AI316">
            <v>15000</v>
          </cell>
          <cell r="AJ316">
            <v>0</v>
          </cell>
          <cell r="AK316">
            <v>0</v>
          </cell>
          <cell r="AL316">
            <v>5000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2430</v>
          </cell>
          <cell r="AR316">
            <v>22430</v>
          </cell>
          <cell r="AS316">
            <v>12.16</v>
          </cell>
        </row>
        <row r="317">
          <cell r="P317">
            <v>7</v>
          </cell>
          <cell r="S317" t="str">
            <v xml:space="preserve"> </v>
          </cell>
        </row>
        <row r="318">
          <cell r="G318">
            <v>2412</v>
          </cell>
          <cell r="H318" t="str">
            <v>MR MANOJ OJHA</v>
          </cell>
          <cell r="I318">
            <v>27434</v>
          </cell>
          <cell r="J318">
            <v>36539</v>
          </cell>
          <cell r="K318">
            <v>9844</v>
          </cell>
          <cell r="L318" t="str">
            <v>MA</v>
          </cell>
          <cell r="M318">
            <v>21</v>
          </cell>
          <cell r="N318" t="str">
            <v>A1</v>
          </cell>
          <cell r="O318" t="str">
            <v>MA</v>
          </cell>
          <cell r="P318">
            <v>7</v>
          </cell>
          <cell r="Q318" t="str">
            <v>Other Locations</v>
          </cell>
          <cell r="R318" t="str">
            <v>Sagar (Mp)</v>
          </cell>
          <cell r="S318" t="str">
            <v xml:space="preserve"> </v>
          </cell>
          <cell r="T318" t="str">
            <v>BL</v>
          </cell>
          <cell r="U318">
            <v>2001</v>
          </cell>
          <cell r="V318">
            <v>21150</v>
          </cell>
          <cell r="W318">
            <v>3550</v>
          </cell>
          <cell r="X318">
            <v>3500</v>
          </cell>
          <cell r="AA318">
            <v>500</v>
          </cell>
          <cell r="AB318">
            <v>150</v>
          </cell>
          <cell r="AD318" t="str">
            <v>CV</v>
          </cell>
          <cell r="AE318">
            <v>0</v>
          </cell>
          <cell r="AG318">
            <v>2750</v>
          </cell>
          <cell r="AH318">
            <v>10450</v>
          </cell>
          <cell r="AI318">
            <v>125400</v>
          </cell>
          <cell r="AJ318">
            <v>17500</v>
          </cell>
          <cell r="AK318">
            <v>20000</v>
          </cell>
          <cell r="AL318">
            <v>10000</v>
          </cell>
          <cell r="AQ318">
            <v>11502</v>
          </cell>
          <cell r="AR318">
            <v>184402</v>
          </cell>
        </row>
        <row r="319">
          <cell r="M319">
            <v>21</v>
          </cell>
          <cell r="N319" t="str">
            <v>A1</v>
          </cell>
          <cell r="P319">
            <v>7</v>
          </cell>
          <cell r="S319" t="str">
            <v xml:space="preserve"> </v>
          </cell>
          <cell r="U319">
            <v>2002</v>
          </cell>
          <cell r="W319">
            <v>4500</v>
          </cell>
          <cell r="X319">
            <v>4000</v>
          </cell>
          <cell r="Z319">
            <v>0</v>
          </cell>
          <cell r="AA319">
            <v>500</v>
          </cell>
          <cell r="AB319">
            <v>150</v>
          </cell>
          <cell r="AC319">
            <v>0</v>
          </cell>
          <cell r="AF319">
            <v>0</v>
          </cell>
          <cell r="AG319">
            <v>2750</v>
          </cell>
          <cell r="AH319">
            <v>11900</v>
          </cell>
          <cell r="AI319">
            <v>142800</v>
          </cell>
          <cell r="AJ319">
            <v>17500</v>
          </cell>
          <cell r="AK319">
            <v>20000</v>
          </cell>
          <cell r="AL319">
            <v>15000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14580</v>
          </cell>
          <cell r="AR319">
            <v>209880</v>
          </cell>
          <cell r="AS319">
            <v>0</v>
          </cell>
        </row>
        <row r="320">
          <cell r="P320">
            <v>7</v>
          </cell>
          <cell r="S320" t="str">
            <v xml:space="preserve"> </v>
          </cell>
          <cell r="U320" t="str">
            <v>DIFF.</v>
          </cell>
          <cell r="W320">
            <v>950</v>
          </cell>
          <cell r="X320">
            <v>500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1450</v>
          </cell>
          <cell r="AI320">
            <v>17400</v>
          </cell>
          <cell r="AJ320">
            <v>0</v>
          </cell>
          <cell r="AK320">
            <v>0</v>
          </cell>
          <cell r="AL320">
            <v>5000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3078</v>
          </cell>
          <cell r="AR320">
            <v>25478</v>
          </cell>
          <cell r="AS320">
            <v>13.82</v>
          </cell>
        </row>
        <row r="321">
          <cell r="P321">
            <v>7</v>
          </cell>
          <cell r="S321" t="str">
            <v xml:space="preserve"> </v>
          </cell>
        </row>
        <row r="322">
          <cell r="G322">
            <v>2413</v>
          </cell>
          <cell r="H322" t="str">
            <v>MR SACHIN SOOD</v>
          </cell>
          <cell r="I322">
            <v>26772</v>
          </cell>
          <cell r="J322">
            <v>36542</v>
          </cell>
          <cell r="K322">
            <v>10506</v>
          </cell>
          <cell r="L322" t="str">
            <v>MA</v>
          </cell>
          <cell r="M322">
            <v>21</v>
          </cell>
          <cell r="N322" t="str">
            <v>A1</v>
          </cell>
          <cell r="O322" t="str">
            <v>MA</v>
          </cell>
          <cell r="P322">
            <v>7</v>
          </cell>
          <cell r="Q322" t="str">
            <v>Other Locations</v>
          </cell>
          <cell r="R322" t="str">
            <v>Hissar (Haryana)</v>
          </cell>
          <cell r="S322" t="str">
            <v xml:space="preserve"> </v>
          </cell>
          <cell r="T322" t="str">
            <v>BA</v>
          </cell>
          <cell r="U322">
            <v>2001</v>
          </cell>
          <cell r="V322">
            <v>21150</v>
          </cell>
          <cell r="W322">
            <v>3550</v>
          </cell>
          <cell r="X322">
            <v>3500</v>
          </cell>
          <cell r="AA322">
            <v>500</v>
          </cell>
          <cell r="AB322">
            <v>150</v>
          </cell>
          <cell r="AD322" t="str">
            <v>CV</v>
          </cell>
          <cell r="AE322">
            <v>0</v>
          </cell>
          <cell r="AG322">
            <v>2750</v>
          </cell>
          <cell r="AH322">
            <v>10450</v>
          </cell>
          <cell r="AI322">
            <v>125400</v>
          </cell>
          <cell r="AJ322">
            <v>17500</v>
          </cell>
          <cell r="AK322">
            <v>20000</v>
          </cell>
          <cell r="AL322">
            <v>10000</v>
          </cell>
          <cell r="AQ322">
            <v>11502</v>
          </cell>
          <cell r="AR322">
            <v>184402</v>
          </cell>
        </row>
        <row r="323">
          <cell r="M323">
            <v>21</v>
          </cell>
          <cell r="N323" t="str">
            <v>A1</v>
          </cell>
          <cell r="P323">
            <v>7</v>
          </cell>
          <cell r="S323" t="str">
            <v xml:space="preserve"> </v>
          </cell>
          <cell r="U323">
            <v>2002</v>
          </cell>
          <cell r="W323">
            <v>4650</v>
          </cell>
          <cell r="X323">
            <v>4000</v>
          </cell>
          <cell r="Z323">
            <v>0</v>
          </cell>
          <cell r="AA323">
            <v>500</v>
          </cell>
          <cell r="AB323">
            <v>150</v>
          </cell>
          <cell r="AC323">
            <v>0</v>
          </cell>
          <cell r="AF323">
            <v>0</v>
          </cell>
          <cell r="AG323">
            <v>2750</v>
          </cell>
          <cell r="AH323">
            <v>12050</v>
          </cell>
          <cell r="AI323">
            <v>144600</v>
          </cell>
          <cell r="AJ323">
            <v>17500</v>
          </cell>
          <cell r="AK323">
            <v>20000</v>
          </cell>
          <cell r="AL323">
            <v>15000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15066</v>
          </cell>
          <cell r="AR323">
            <v>212166</v>
          </cell>
          <cell r="AS323">
            <v>0</v>
          </cell>
        </row>
        <row r="324">
          <cell r="P324">
            <v>7</v>
          </cell>
          <cell r="S324" t="str">
            <v xml:space="preserve"> </v>
          </cell>
          <cell r="U324" t="str">
            <v>DIFF.</v>
          </cell>
          <cell r="W324">
            <v>1100</v>
          </cell>
          <cell r="X324">
            <v>500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1600</v>
          </cell>
          <cell r="AI324">
            <v>19200</v>
          </cell>
          <cell r="AJ324">
            <v>0</v>
          </cell>
          <cell r="AK324">
            <v>0</v>
          </cell>
          <cell r="AL324">
            <v>5000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3564</v>
          </cell>
          <cell r="AR324">
            <v>27764</v>
          </cell>
          <cell r="AS324">
            <v>15.06</v>
          </cell>
        </row>
        <row r="325">
          <cell r="P325">
            <v>7</v>
          </cell>
          <cell r="S325" t="str">
            <v xml:space="preserve"> </v>
          </cell>
        </row>
        <row r="326">
          <cell r="G326">
            <v>2414</v>
          </cell>
          <cell r="H326" t="str">
            <v>MR TATHAGATHA SANYAL</v>
          </cell>
          <cell r="I326">
            <v>27922</v>
          </cell>
          <cell r="J326">
            <v>36549</v>
          </cell>
          <cell r="K326">
            <v>9356</v>
          </cell>
          <cell r="L326" t="str">
            <v>MA</v>
          </cell>
          <cell r="M326">
            <v>21</v>
          </cell>
          <cell r="N326" t="str">
            <v>A1</v>
          </cell>
          <cell r="O326" t="str">
            <v>MA</v>
          </cell>
          <cell r="P326">
            <v>7</v>
          </cell>
          <cell r="Q326" t="str">
            <v>Other Locations</v>
          </cell>
          <cell r="R326" t="str">
            <v>Varanasi (Up)</v>
          </cell>
          <cell r="S326" t="str">
            <v xml:space="preserve"> </v>
          </cell>
          <cell r="T326" t="str">
            <v>CA</v>
          </cell>
          <cell r="U326">
            <v>2001</v>
          </cell>
          <cell r="V326">
            <v>18000</v>
          </cell>
          <cell r="W326">
            <v>3550</v>
          </cell>
          <cell r="X326">
            <v>3500</v>
          </cell>
          <cell r="AA326">
            <v>500</v>
          </cell>
          <cell r="AB326">
            <v>150</v>
          </cell>
          <cell r="AD326" t="str">
            <v>CV</v>
          </cell>
          <cell r="AE326">
            <v>0</v>
          </cell>
          <cell r="AG326">
            <v>2750</v>
          </cell>
          <cell r="AH326">
            <v>10450</v>
          </cell>
          <cell r="AI326">
            <v>125400</v>
          </cell>
          <cell r="AJ326">
            <v>17500</v>
          </cell>
          <cell r="AK326">
            <v>20000</v>
          </cell>
          <cell r="AL326">
            <v>10000</v>
          </cell>
          <cell r="AQ326">
            <v>11502</v>
          </cell>
          <cell r="AR326">
            <v>184402</v>
          </cell>
        </row>
        <row r="327">
          <cell r="M327">
            <v>21</v>
          </cell>
          <cell r="N327" t="str">
            <v>A1</v>
          </cell>
          <cell r="P327">
            <v>7</v>
          </cell>
          <cell r="S327" t="str">
            <v xml:space="preserve"> </v>
          </cell>
          <cell r="U327">
            <v>2002</v>
          </cell>
          <cell r="W327">
            <v>4300</v>
          </cell>
          <cell r="X327">
            <v>4000</v>
          </cell>
          <cell r="Z327">
            <v>0</v>
          </cell>
          <cell r="AA327">
            <v>500</v>
          </cell>
          <cell r="AB327">
            <v>150</v>
          </cell>
          <cell r="AC327">
            <v>0</v>
          </cell>
          <cell r="AF327">
            <v>0</v>
          </cell>
          <cell r="AG327">
            <v>2750</v>
          </cell>
          <cell r="AH327">
            <v>11700</v>
          </cell>
          <cell r="AI327">
            <v>140400</v>
          </cell>
          <cell r="AJ327">
            <v>17500</v>
          </cell>
          <cell r="AK327">
            <v>20000</v>
          </cell>
          <cell r="AL327">
            <v>15000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13932</v>
          </cell>
          <cell r="AR327">
            <v>206832</v>
          </cell>
          <cell r="AS327">
            <v>0</v>
          </cell>
        </row>
        <row r="328">
          <cell r="P328">
            <v>7</v>
          </cell>
          <cell r="S328" t="str">
            <v xml:space="preserve"> </v>
          </cell>
          <cell r="U328" t="str">
            <v>DIFF.</v>
          </cell>
          <cell r="W328">
            <v>750</v>
          </cell>
          <cell r="X328">
            <v>500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1250</v>
          </cell>
          <cell r="AI328">
            <v>15000</v>
          </cell>
          <cell r="AJ328">
            <v>0</v>
          </cell>
          <cell r="AK328">
            <v>0</v>
          </cell>
          <cell r="AL328">
            <v>5000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2430</v>
          </cell>
          <cell r="AR328">
            <v>22430</v>
          </cell>
          <cell r="AS328">
            <v>12.16</v>
          </cell>
        </row>
        <row r="329">
          <cell r="P329">
            <v>7</v>
          </cell>
          <cell r="S329" t="str">
            <v xml:space="preserve"> </v>
          </cell>
        </row>
        <row r="330">
          <cell r="G330">
            <v>2416</v>
          </cell>
          <cell r="H330" t="str">
            <v>MR MANISH PANCHAL</v>
          </cell>
          <cell r="I330">
            <v>27247</v>
          </cell>
          <cell r="J330">
            <v>36594</v>
          </cell>
          <cell r="K330">
            <v>10031</v>
          </cell>
          <cell r="L330" t="str">
            <v>MA</v>
          </cell>
          <cell r="M330">
            <v>21</v>
          </cell>
          <cell r="N330" t="str">
            <v>A1</v>
          </cell>
          <cell r="O330" t="str">
            <v>MA</v>
          </cell>
          <cell r="P330">
            <v>7</v>
          </cell>
          <cell r="Q330" t="str">
            <v>Other Locations</v>
          </cell>
          <cell r="R330" t="str">
            <v>Sujalpur (Mp)</v>
          </cell>
          <cell r="S330" t="str">
            <v xml:space="preserve"> </v>
          </cell>
          <cell r="T330" t="str">
            <v>D</v>
          </cell>
          <cell r="U330">
            <v>2001</v>
          </cell>
          <cell r="V330">
            <v>11000</v>
          </cell>
          <cell r="W330">
            <v>3550</v>
          </cell>
          <cell r="X330">
            <v>3500</v>
          </cell>
          <cell r="AA330">
            <v>500</v>
          </cell>
          <cell r="AB330">
            <v>150</v>
          </cell>
          <cell r="AC330">
            <v>800</v>
          </cell>
          <cell r="AE330">
            <v>0</v>
          </cell>
          <cell r="AG330">
            <v>2750</v>
          </cell>
          <cell r="AH330">
            <v>11250</v>
          </cell>
          <cell r="AI330">
            <v>135000</v>
          </cell>
          <cell r="AJ330">
            <v>17500</v>
          </cell>
          <cell r="AK330">
            <v>20000</v>
          </cell>
          <cell r="AL330">
            <v>10000</v>
          </cell>
          <cell r="AQ330">
            <v>11502</v>
          </cell>
          <cell r="AR330">
            <v>194002</v>
          </cell>
        </row>
        <row r="331">
          <cell r="M331">
            <v>21</v>
          </cell>
          <cell r="N331" t="str">
            <v>A1</v>
          </cell>
          <cell r="P331">
            <v>7</v>
          </cell>
          <cell r="S331" t="str">
            <v xml:space="preserve"> </v>
          </cell>
          <cell r="U331">
            <v>2002</v>
          </cell>
          <cell r="W331">
            <v>3900</v>
          </cell>
          <cell r="X331">
            <v>4000</v>
          </cell>
          <cell r="Z331">
            <v>0</v>
          </cell>
          <cell r="AA331">
            <v>500</v>
          </cell>
          <cell r="AB331">
            <v>150</v>
          </cell>
          <cell r="AC331">
            <v>800</v>
          </cell>
          <cell r="AF331">
            <v>0</v>
          </cell>
          <cell r="AG331">
            <v>2750</v>
          </cell>
          <cell r="AH331">
            <v>12100</v>
          </cell>
          <cell r="AI331">
            <v>145200</v>
          </cell>
          <cell r="AJ331">
            <v>17500</v>
          </cell>
          <cell r="AK331">
            <v>20000</v>
          </cell>
          <cell r="AL331">
            <v>15000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12636</v>
          </cell>
          <cell r="AR331">
            <v>210336</v>
          </cell>
          <cell r="AS331">
            <v>0</v>
          </cell>
        </row>
        <row r="332">
          <cell r="P332">
            <v>7</v>
          </cell>
          <cell r="S332" t="str">
            <v xml:space="preserve"> </v>
          </cell>
          <cell r="U332" t="str">
            <v>DIFF.</v>
          </cell>
          <cell r="W332">
            <v>350</v>
          </cell>
          <cell r="X332">
            <v>500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850</v>
          </cell>
          <cell r="AI332">
            <v>10200</v>
          </cell>
          <cell r="AJ332">
            <v>0</v>
          </cell>
          <cell r="AK332">
            <v>0</v>
          </cell>
          <cell r="AL332">
            <v>5000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1134</v>
          </cell>
          <cell r="AR332">
            <v>16334</v>
          </cell>
          <cell r="AS332">
            <v>8.42</v>
          </cell>
        </row>
        <row r="333">
          <cell r="P333">
            <v>7</v>
          </cell>
          <cell r="S333" t="str">
            <v xml:space="preserve"> </v>
          </cell>
        </row>
        <row r="334">
          <cell r="G334">
            <v>2417</v>
          </cell>
          <cell r="H334" t="str">
            <v>MR BIRENDRA KUMAR</v>
          </cell>
          <cell r="I334">
            <v>27304</v>
          </cell>
          <cell r="J334">
            <v>36595</v>
          </cell>
          <cell r="K334">
            <v>9974</v>
          </cell>
          <cell r="L334" t="str">
            <v>MA</v>
          </cell>
          <cell r="M334">
            <v>21</v>
          </cell>
          <cell r="N334" t="str">
            <v>A1</v>
          </cell>
          <cell r="O334" t="str">
            <v>MA</v>
          </cell>
          <cell r="P334">
            <v>7</v>
          </cell>
          <cell r="Q334" t="str">
            <v>Other Locations</v>
          </cell>
          <cell r="R334" t="str">
            <v>Guna (Mp)</v>
          </cell>
          <cell r="S334" t="str">
            <v xml:space="preserve"> </v>
          </cell>
          <cell r="T334" t="str">
            <v>BL</v>
          </cell>
          <cell r="U334">
            <v>2001</v>
          </cell>
          <cell r="V334">
            <v>21150</v>
          </cell>
          <cell r="W334">
            <v>3550</v>
          </cell>
          <cell r="X334">
            <v>3500</v>
          </cell>
          <cell r="AA334">
            <v>500</v>
          </cell>
          <cell r="AB334">
            <v>150</v>
          </cell>
          <cell r="AD334" t="str">
            <v>CV</v>
          </cell>
          <cell r="AE334">
            <v>0</v>
          </cell>
          <cell r="AG334">
            <v>2750</v>
          </cell>
          <cell r="AH334">
            <v>10450</v>
          </cell>
          <cell r="AI334">
            <v>125400</v>
          </cell>
          <cell r="AJ334">
            <v>17500</v>
          </cell>
          <cell r="AK334">
            <v>20000</v>
          </cell>
          <cell r="AL334">
            <v>10000</v>
          </cell>
          <cell r="AQ334">
            <v>11502</v>
          </cell>
          <cell r="AR334">
            <v>184402</v>
          </cell>
        </row>
        <row r="335">
          <cell r="M335">
            <v>21</v>
          </cell>
          <cell r="N335" t="str">
            <v>A1</v>
          </cell>
          <cell r="P335">
            <v>7</v>
          </cell>
          <cell r="S335" t="str">
            <v xml:space="preserve"> </v>
          </cell>
          <cell r="U335">
            <v>2002</v>
          </cell>
          <cell r="W335">
            <v>4500</v>
          </cell>
          <cell r="X335">
            <v>4000</v>
          </cell>
          <cell r="Z335">
            <v>0</v>
          </cell>
          <cell r="AA335">
            <v>500</v>
          </cell>
          <cell r="AB335">
            <v>150</v>
          </cell>
          <cell r="AC335">
            <v>0</v>
          </cell>
          <cell r="AF335">
            <v>0</v>
          </cell>
          <cell r="AG335">
            <v>2750</v>
          </cell>
          <cell r="AH335">
            <v>11900</v>
          </cell>
          <cell r="AI335">
            <v>142800</v>
          </cell>
          <cell r="AJ335">
            <v>17500</v>
          </cell>
          <cell r="AK335">
            <v>20000</v>
          </cell>
          <cell r="AL335">
            <v>15000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14580</v>
          </cell>
          <cell r="AR335">
            <v>209880</v>
          </cell>
          <cell r="AS335">
            <v>0</v>
          </cell>
        </row>
        <row r="336">
          <cell r="P336">
            <v>7</v>
          </cell>
          <cell r="S336" t="str">
            <v xml:space="preserve"> </v>
          </cell>
          <cell r="U336" t="str">
            <v>DIFF.</v>
          </cell>
          <cell r="W336">
            <v>950</v>
          </cell>
          <cell r="X336">
            <v>500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1450</v>
          </cell>
          <cell r="AI336">
            <v>17400</v>
          </cell>
          <cell r="AJ336">
            <v>0</v>
          </cell>
          <cell r="AK336">
            <v>0</v>
          </cell>
          <cell r="AL336">
            <v>5000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3078</v>
          </cell>
          <cell r="AR336">
            <v>25478</v>
          </cell>
          <cell r="AS336">
            <v>13.82</v>
          </cell>
        </row>
        <row r="337">
          <cell r="P337">
            <v>7</v>
          </cell>
          <cell r="S337" t="str">
            <v xml:space="preserve"> </v>
          </cell>
        </row>
        <row r="338">
          <cell r="G338">
            <v>1206</v>
          </cell>
          <cell r="H338" t="str">
            <v>MRS D'SOUZA E</v>
          </cell>
          <cell r="I338">
            <v>18309</v>
          </cell>
          <cell r="J338">
            <v>27274</v>
          </cell>
          <cell r="K338">
            <v>18969</v>
          </cell>
          <cell r="L338" t="str">
            <v>MA</v>
          </cell>
          <cell r="M338">
            <v>22</v>
          </cell>
          <cell r="O338" t="str">
            <v>MA</v>
          </cell>
          <cell r="P338">
            <v>1</v>
          </cell>
          <cell r="Q338" t="str">
            <v>Mumbai</v>
          </cell>
          <cell r="R338" t="str">
            <v>Ho</v>
          </cell>
          <cell r="S338" t="str">
            <v xml:space="preserve"> </v>
          </cell>
          <cell r="T338" t="str">
            <v>CL</v>
          </cell>
          <cell r="U338">
            <v>2001</v>
          </cell>
          <cell r="V338">
            <v>22250</v>
          </cell>
          <cell r="W338">
            <v>9857</v>
          </cell>
          <cell r="X338">
            <v>4000</v>
          </cell>
          <cell r="AA338">
            <v>500</v>
          </cell>
          <cell r="AB338">
            <v>150</v>
          </cell>
          <cell r="AC338">
            <v>850</v>
          </cell>
          <cell r="AE338">
            <v>1000</v>
          </cell>
          <cell r="AG338">
            <v>3250</v>
          </cell>
          <cell r="AH338">
            <v>19607</v>
          </cell>
          <cell r="AI338">
            <v>235284</v>
          </cell>
          <cell r="AJ338">
            <v>20000</v>
          </cell>
          <cell r="AK338">
            <v>25000</v>
          </cell>
          <cell r="AL338">
            <v>10000</v>
          </cell>
          <cell r="AQ338">
            <v>31937</v>
          </cell>
          <cell r="AR338">
            <v>322221</v>
          </cell>
        </row>
        <row r="339">
          <cell r="M339">
            <v>22</v>
          </cell>
          <cell r="P339">
            <v>1</v>
          </cell>
          <cell r="S339" t="str">
            <v xml:space="preserve"> </v>
          </cell>
          <cell r="U339">
            <v>2002</v>
          </cell>
          <cell r="W339">
            <v>10707</v>
          </cell>
          <cell r="X339">
            <v>6000</v>
          </cell>
          <cell r="Z339">
            <v>0</v>
          </cell>
          <cell r="AA339">
            <v>500</v>
          </cell>
          <cell r="AB339">
            <v>150</v>
          </cell>
          <cell r="AC339">
            <v>850</v>
          </cell>
          <cell r="AF339">
            <v>0</v>
          </cell>
          <cell r="AG339">
            <v>3250</v>
          </cell>
          <cell r="AH339">
            <v>21457</v>
          </cell>
          <cell r="AI339">
            <v>257484</v>
          </cell>
          <cell r="AJ339">
            <v>20000</v>
          </cell>
          <cell r="AK339">
            <v>25000</v>
          </cell>
          <cell r="AL339">
            <v>15000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34691</v>
          </cell>
          <cell r="AR339">
            <v>352175</v>
          </cell>
          <cell r="AS339">
            <v>0</v>
          </cell>
        </row>
        <row r="340">
          <cell r="P340">
            <v>1</v>
          </cell>
          <cell r="S340" t="str">
            <v xml:space="preserve"> </v>
          </cell>
          <cell r="U340" t="str">
            <v>DIFF.</v>
          </cell>
          <cell r="W340">
            <v>850</v>
          </cell>
          <cell r="X340">
            <v>2000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E340">
            <v>-1000</v>
          </cell>
          <cell r="AF340">
            <v>0</v>
          </cell>
          <cell r="AG340">
            <v>0</v>
          </cell>
          <cell r="AH340">
            <v>1850</v>
          </cell>
          <cell r="AI340">
            <v>22200</v>
          </cell>
          <cell r="AJ340">
            <v>0</v>
          </cell>
          <cell r="AK340">
            <v>0</v>
          </cell>
          <cell r="AL340">
            <v>5000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2754</v>
          </cell>
          <cell r="AR340">
            <v>29954</v>
          </cell>
          <cell r="AS340">
            <v>9.3000000000000007</v>
          </cell>
        </row>
        <row r="341">
          <cell r="P341">
            <v>1</v>
          </cell>
          <cell r="S341" t="str">
            <v xml:space="preserve"> </v>
          </cell>
        </row>
        <row r="342">
          <cell r="G342">
            <v>1386</v>
          </cell>
          <cell r="H342" t="str">
            <v>MR VALSARAJAN P</v>
          </cell>
          <cell r="I342">
            <v>19899</v>
          </cell>
          <cell r="J342">
            <v>29312</v>
          </cell>
          <cell r="K342">
            <v>17379</v>
          </cell>
          <cell r="L342" t="str">
            <v>MA</v>
          </cell>
          <cell r="M342">
            <v>22</v>
          </cell>
          <cell r="N342" t="str">
            <v>A3</v>
          </cell>
          <cell r="O342" t="str">
            <v>MAM</v>
          </cell>
          <cell r="P342">
            <v>7</v>
          </cell>
          <cell r="Q342" t="str">
            <v>Other Locations</v>
          </cell>
          <cell r="R342" t="str">
            <v>Hyderabad</v>
          </cell>
          <cell r="S342" t="str">
            <v xml:space="preserve"> </v>
          </cell>
          <cell r="T342" t="str">
            <v>BA</v>
          </cell>
          <cell r="U342">
            <v>2001</v>
          </cell>
          <cell r="V342">
            <v>26250</v>
          </cell>
          <cell r="W342">
            <v>10890</v>
          </cell>
          <cell r="X342">
            <v>4000</v>
          </cell>
          <cell r="AA342">
            <v>500</v>
          </cell>
          <cell r="AB342">
            <v>150</v>
          </cell>
          <cell r="AC342">
            <v>850</v>
          </cell>
          <cell r="AE342">
            <v>0</v>
          </cell>
          <cell r="AG342">
            <v>3250</v>
          </cell>
          <cell r="AH342">
            <v>19640</v>
          </cell>
          <cell r="AI342">
            <v>235680</v>
          </cell>
          <cell r="AJ342">
            <v>20000</v>
          </cell>
          <cell r="AK342">
            <v>25000</v>
          </cell>
          <cell r="AL342">
            <v>10000</v>
          </cell>
          <cell r="AQ342">
            <v>35284</v>
          </cell>
          <cell r="AR342">
            <v>325964</v>
          </cell>
        </row>
        <row r="343">
          <cell r="M343">
            <v>22</v>
          </cell>
          <cell r="N343" t="str">
            <v>A3</v>
          </cell>
          <cell r="P343">
            <v>7</v>
          </cell>
          <cell r="S343" t="str">
            <v xml:space="preserve"> </v>
          </cell>
          <cell r="U343">
            <v>2002</v>
          </cell>
          <cell r="W343">
            <v>12140</v>
          </cell>
          <cell r="X343">
            <v>4500</v>
          </cell>
          <cell r="Z343">
            <v>0</v>
          </cell>
          <cell r="AA343">
            <v>500</v>
          </cell>
          <cell r="AB343">
            <v>150</v>
          </cell>
          <cell r="AC343">
            <v>850</v>
          </cell>
          <cell r="AF343">
            <v>0</v>
          </cell>
          <cell r="AG343">
            <v>3250</v>
          </cell>
          <cell r="AH343">
            <v>21390</v>
          </cell>
          <cell r="AI343">
            <v>256680</v>
          </cell>
          <cell r="AJ343">
            <v>20000</v>
          </cell>
          <cell r="AK343">
            <v>25000</v>
          </cell>
          <cell r="AL343">
            <v>15000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39334</v>
          </cell>
          <cell r="AR343">
            <v>356014</v>
          </cell>
          <cell r="AS343">
            <v>0</v>
          </cell>
        </row>
        <row r="344">
          <cell r="P344">
            <v>7</v>
          </cell>
          <cell r="S344" t="str">
            <v xml:space="preserve"> </v>
          </cell>
          <cell r="U344" t="str">
            <v>DIFF.</v>
          </cell>
          <cell r="W344">
            <v>1250</v>
          </cell>
          <cell r="X344">
            <v>500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1750</v>
          </cell>
          <cell r="AI344">
            <v>21000</v>
          </cell>
          <cell r="AJ344">
            <v>0</v>
          </cell>
          <cell r="AK344">
            <v>0</v>
          </cell>
          <cell r="AL344">
            <v>5000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4050</v>
          </cell>
          <cell r="AR344">
            <v>30050</v>
          </cell>
          <cell r="AS344">
            <v>9.2200000000000006</v>
          </cell>
        </row>
        <row r="345">
          <cell r="P345">
            <v>7</v>
          </cell>
          <cell r="S345" t="str">
            <v xml:space="preserve"> </v>
          </cell>
        </row>
        <row r="346">
          <cell r="G346">
            <v>1485</v>
          </cell>
          <cell r="H346" t="str">
            <v>MR SODAH V H</v>
          </cell>
          <cell r="I346">
            <v>20341</v>
          </cell>
          <cell r="J346">
            <v>29952</v>
          </cell>
          <cell r="K346">
            <v>16937</v>
          </cell>
          <cell r="L346" t="str">
            <v>MA</v>
          </cell>
          <cell r="M346">
            <v>22</v>
          </cell>
          <cell r="O346" t="str">
            <v>MAM</v>
          </cell>
          <cell r="P346">
            <v>1</v>
          </cell>
          <cell r="Q346" t="str">
            <v>Mumbai</v>
          </cell>
          <cell r="R346" t="str">
            <v>Ho</v>
          </cell>
          <cell r="S346" t="str">
            <v xml:space="preserve"> </v>
          </cell>
          <cell r="T346" t="str">
            <v>CL</v>
          </cell>
          <cell r="U346">
            <v>2001</v>
          </cell>
          <cell r="V346">
            <v>22250</v>
          </cell>
          <cell r="W346">
            <v>11392</v>
          </cell>
          <cell r="X346">
            <v>4000</v>
          </cell>
          <cell r="AA346">
            <v>500</v>
          </cell>
          <cell r="AB346">
            <v>150</v>
          </cell>
          <cell r="AC346">
            <v>850</v>
          </cell>
          <cell r="AE346">
            <v>1000</v>
          </cell>
          <cell r="AG346">
            <v>3250</v>
          </cell>
          <cell r="AH346">
            <v>21142</v>
          </cell>
          <cell r="AI346">
            <v>253704</v>
          </cell>
          <cell r="AJ346">
            <v>20000</v>
          </cell>
          <cell r="AK346">
            <v>25000</v>
          </cell>
          <cell r="AL346">
            <v>10000</v>
          </cell>
          <cell r="AQ346">
            <v>36910</v>
          </cell>
          <cell r="AR346">
            <v>345614</v>
          </cell>
        </row>
        <row r="347">
          <cell r="M347">
            <v>22</v>
          </cell>
          <cell r="P347">
            <v>1</v>
          </cell>
          <cell r="S347" t="str">
            <v xml:space="preserve"> </v>
          </cell>
          <cell r="U347">
            <v>2002</v>
          </cell>
          <cell r="W347">
            <v>12242</v>
          </cell>
          <cell r="X347">
            <v>6000</v>
          </cell>
          <cell r="Z347">
            <v>0</v>
          </cell>
          <cell r="AA347">
            <v>500</v>
          </cell>
          <cell r="AB347">
            <v>150</v>
          </cell>
          <cell r="AC347">
            <v>850</v>
          </cell>
          <cell r="AF347">
            <v>0</v>
          </cell>
          <cell r="AG347">
            <v>3250</v>
          </cell>
          <cell r="AH347">
            <v>22992</v>
          </cell>
          <cell r="AI347">
            <v>275904</v>
          </cell>
          <cell r="AJ347">
            <v>20000</v>
          </cell>
          <cell r="AK347">
            <v>25000</v>
          </cell>
          <cell r="AL347">
            <v>15000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39664</v>
          </cell>
          <cell r="AR347">
            <v>375568</v>
          </cell>
          <cell r="AS347">
            <v>0</v>
          </cell>
        </row>
        <row r="348">
          <cell r="P348">
            <v>1</v>
          </cell>
          <cell r="S348" t="str">
            <v xml:space="preserve"> </v>
          </cell>
          <cell r="U348" t="str">
            <v>DIFF.</v>
          </cell>
          <cell r="W348">
            <v>850</v>
          </cell>
          <cell r="X348">
            <v>2000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E348">
            <v>-1000</v>
          </cell>
          <cell r="AF348">
            <v>0</v>
          </cell>
          <cell r="AG348">
            <v>0</v>
          </cell>
          <cell r="AH348">
            <v>1850</v>
          </cell>
          <cell r="AI348">
            <v>22200</v>
          </cell>
          <cell r="AJ348">
            <v>0</v>
          </cell>
          <cell r="AK348">
            <v>0</v>
          </cell>
          <cell r="AL348">
            <v>5000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2754</v>
          </cell>
          <cell r="AR348">
            <v>29954</v>
          </cell>
          <cell r="AS348">
            <v>8.67</v>
          </cell>
        </row>
        <row r="349">
          <cell r="P349">
            <v>1</v>
          </cell>
          <cell r="S349" t="str">
            <v xml:space="preserve"> </v>
          </cell>
        </row>
        <row r="350">
          <cell r="G350">
            <v>1622</v>
          </cell>
          <cell r="H350" t="str">
            <v>MR KALATHIA B T</v>
          </cell>
          <cell r="I350">
            <v>20650</v>
          </cell>
          <cell r="J350">
            <v>30895</v>
          </cell>
          <cell r="K350">
            <v>16628</v>
          </cell>
          <cell r="L350" t="str">
            <v>MA</v>
          </cell>
          <cell r="M350">
            <v>22</v>
          </cell>
          <cell r="N350" t="str">
            <v>A4</v>
          </cell>
          <cell r="O350" t="str">
            <v>MAM</v>
          </cell>
          <cell r="P350">
            <v>7</v>
          </cell>
          <cell r="Q350" t="str">
            <v>Other Locations</v>
          </cell>
          <cell r="R350" t="str">
            <v>Surendranagar</v>
          </cell>
          <cell r="S350" t="str">
            <v xml:space="preserve"> </v>
          </cell>
          <cell r="T350" t="str">
            <v>BA</v>
          </cell>
          <cell r="U350">
            <v>2001</v>
          </cell>
          <cell r="V350">
            <v>26250</v>
          </cell>
          <cell r="W350">
            <v>10209</v>
          </cell>
          <cell r="X350">
            <v>4000</v>
          </cell>
          <cell r="AA350">
            <v>500</v>
          </cell>
          <cell r="AB350">
            <v>150</v>
          </cell>
          <cell r="AC350">
            <v>0</v>
          </cell>
          <cell r="AD350" t="str">
            <v>CV</v>
          </cell>
          <cell r="AE350">
            <v>0</v>
          </cell>
          <cell r="AF350">
            <v>500</v>
          </cell>
          <cell r="AG350">
            <v>3250</v>
          </cell>
          <cell r="AH350">
            <v>18609</v>
          </cell>
          <cell r="AI350">
            <v>223308</v>
          </cell>
          <cell r="AJ350">
            <v>20000</v>
          </cell>
          <cell r="AK350">
            <v>25000</v>
          </cell>
          <cell r="AL350">
            <v>10000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33077</v>
          </cell>
          <cell r="AR350">
            <v>311385</v>
          </cell>
          <cell r="AS350">
            <v>0</v>
          </cell>
        </row>
        <row r="351">
          <cell r="M351">
            <v>22</v>
          </cell>
          <cell r="N351" t="str">
            <v>A4</v>
          </cell>
          <cell r="P351">
            <v>7</v>
          </cell>
          <cell r="S351" t="str">
            <v xml:space="preserve"> </v>
          </cell>
          <cell r="U351">
            <v>2002</v>
          </cell>
          <cell r="W351">
            <v>12509</v>
          </cell>
          <cell r="X351">
            <v>4500</v>
          </cell>
          <cell r="Z351">
            <v>0</v>
          </cell>
          <cell r="AA351">
            <v>500</v>
          </cell>
          <cell r="AB351">
            <v>150</v>
          </cell>
          <cell r="AC351">
            <v>0</v>
          </cell>
          <cell r="AF351">
            <v>500</v>
          </cell>
          <cell r="AG351">
            <v>3250</v>
          </cell>
          <cell r="AH351">
            <v>21409</v>
          </cell>
          <cell r="AI351">
            <v>256908</v>
          </cell>
          <cell r="AJ351">
            <v>20000</v>
          </cell>
          <cell r="AK351">
            <v>25000</v>
          </cell>
          <cell r="AL351">
            <v>15000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40529</v>
          </cell>
          <cell r="AR351">
            <v>357437</v>
          </cell>
          <cell r="AS351">
            <v>0</v>
          </cell>
        </row>
        <row r="352">
          <cell r="P352">
            <v>7</v>
          </cell>
          <cell r="S352" t="str">
            <v xml:space="preserve"> </v>
          </cell>
          <cell r="U352" t="str">
            <v>DIFF.</v>
          </cell>
          <cell r="W352">
            <v>2300</v>
          </cell>
          <cell r="X352">
            <v>500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2800</v>
          </cell>
          <cell r="AI352">
            <v>33600</v>
          </cell>
          <cell r="AJ352">
            <v>0</v>
          </cell>
          <cell r="AK352">
            <v>0</v>
          </cell>
          <cell r="AL352">
            <v>5000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7452</v>
          </cell>
          <cell r="AR352">
            <v>46052</v>
          </cell>
          <cell r="AS352">
            <v>14.79</v>
          </cell>
        </row>
        <row r="353">
          <cell r="P353">
            <v>7</v>
          </cell>
          <cell r="S353" t="str">
            <v xml:space="preserve"> </v>
          </cell>
        </row>
        <row r="354">
          <cell r="G354">
            <v>1631</v>
          </cell>
          <cell r="H354" t="str">
            <v>MR BADGUJAR P S</v>
          </cell>
          <cell r="I354">
            <v>20300</v>
          </cell>
          <cell r="J354">
            <v>30895</v>
          </cell>
          <cell r="K354">
            <v>16978</v>
          </cell>
          <cell r="L354" t="str">
            <v>MA</v>
          </cell>
          <cell r="M354">
            <v>22</v>
          </cell>
          <cell r="N354" t="str">
            <v>A4</v>
          </cell>
          <cell r="O354" t="str">
            <v>MAM</v>
          </cell>
          <cell r="P354">
            <v>7</v>
          </cell>
          <cell r="Q354" t="str">
            <v>Other Locations</v>
          </cell>
          <cell r="R354" t="str">
            <v>Sangli (Maharashtra)</v>
          </cell>
          <cell r="S354" t="str">
            <v xml:space="preserve"> </v>
          </cell>
          <cell r="T354" t="str">
            <v>CL</v>
          </cell>
          <cell r="U354">
            <v>2001</v>
          </cell>
          <cell r="V354">
            <v>22250</v>
          </cell>
          <cell r="W354">
            <v>10230</v>
          </cell>
          <cell r="X354">
            <v>4000</v>
          </cell>
          <cell r="AA354">
            <v>500</v>
          </cell>
          <cell r="AB354">
            <v>150</v>
          </cell>
          <cell r="AC354">
            <v>0</v>
          </cell>
          <cell r="AD354" t="str">
            <v>CV</v>
          </cell>
          <cell r="AE354">
            <v>0</v>
          </cell>
          <cell r="AF354">
            <v>500</v>
          </cell>
          <cell r="AG354">
            <v>3250</v>
          </cell>
          <cell r="AH354">
            <v>18630</v>
          </cell>
          <cell r="AI354">
            <v>223560</v>
          </cell>
          <cell r="AJ354">
            <v>20000</v>
          </cell>
          <cell r="AK354">
            <v>25000</v>
          </cell>
          <cell r="AL354">
            <v>10000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33145</v>
          </cell>
          <cell r="AR354">
            <v>311705</v>
          </cell>
          <cell r="AS354">
            <v>0</v>
          </cell>
        </row>
        <row r="355">
          <cell r="M355">
            <v>22</v>
          </cell>
          <cell r="N355" t="str">
            <v>A4</v>
          </cell>
          <cell r="P355">
            <v>7</v>
          </cell>
          <cell r="S355" t="str">
            <v xml:space="preserve"> </v>
          </cell>
          <cell r="U355">
            <v>2002</v>
          </cell>
          <cell r="W355">
            <v>11730</v>
          </cell>
          <cell r="X355">
            <v>4500</v>
          </cell>
          <cell r="Z355">
            <v>0</v>
          </cell>
          <cell r="AA355">
            <v>500</v>
          </cell>
          <cell r="AB355">
            <v>150</v>
          </cell>
          <cell r="AC355">
            <v>0</v>
          </cell>
          <cell r="AF355">
            <v>500</v>
          </cell>
          <cell r="AG355">
            <v>3250</v>
          </cell>
          <cell r="AH355">
            <v>20630</v>
          </cell>
          <cell r="AI355">
            <v>247560</v>
          </cell>
          <cell r="AJ355">
            <v>20000</v>
          </cell>
          <cell r="AK355">
            <v>25000</v>
          </cell>
          <cell r="AL355">
            <v>15000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38005</v>
          </cell>
          <cell r="AR355">
            <v>345565</v>
          </cell>
          <cell r="AS355">
            <v>0</v>
          </cell>
        </row>
        <row r="356">
          <cell r="P356">
            <v>7</v>
          </cell>
          <cell r="S356" t="str">
            <v xml:space="preserve"> </v>
          </cell>
          <cell r="U356" t="str">
            <v>DIFF.</v>
          </cell>
          <cell r="W356">
            <v>1500</v>
          </cell>
          <cell r="X356">
            <v>500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2000</v>
          </cell>
          <cell r="AI356">
            <v>24000</v>
          </cell>
          <cell r="AJ356">
            <v>0</v>
          </cell>
          <cell r="AK356">
            <v>0</v>
          </cell>
          <cell r="AL356">
            <v>5000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4860</v>
          </cell>
          <cell r="AR356">
            <v>33860</v>
          </cell>
          <cell r="AS356">
            <v>10.86</v>
          </cell>
        </row>
        <row r="357">
          <cell r="P357">
            <v>7</v>
          </cell>
          <cell r="S357" t="str">
            <v xml:space="preserve"> </v>
          </cell>
        </row>
        <row r="358">
          <cell r="G358">
            <v>1789</v>
          </cell>
          <cell r="H358" t="str">
            <v>MR BOGLE V B</v>
          </cell>
          <cell r="I358">
            <v>22148</v>
          </cell>
          <cell r="J358">
            <v>32736</v>
          </cell>
          <cell r="K358">
            <v>15130</v>
          </cell>
          <cell r="L358" t="str">
            <v>MA</v>
          </cell>
          <cell r="M358">
            <v>22</v>
          </cell>
          <cell r="N358" t="str">
            <v>A4</v>
          </cell>
          <cell r="O358" t="str">
            <v>MAM</v>
          </cell>
          <cell r="P358">
            <v>7</v>
          </cell>
          <cell r="Q358" t="str">
            <v>Other Locations</v>
          </cell>
          <cell r="R358" t="str">
            <v>Nasik (Maharashtra)</v>
          </cell>
          <cell r="S358" t="str">
            <v xml:space="preserve"> </v>
          </cell>
          <cell r="T358" t="str">
            <v>CA</v>
          </cell>
          <cell r="U358">
            <v>2001</v>
          </cell>
          <cell r="V358">
            <v>22250</v>
          </cell>
          <cell r="W358">
            <v>8487</v>
          </cell>
          <cell r="X358">
            <v>4000</v>
          </cell>
          <cell r="AA358">
            <v>500</v>
          </cell>
          <cell r="AB358">
            <v>150</v>
          </cell>
          <cell r="AC358">
            <v>0</v>
          </cell>
          <cell r="AD358" t="str">
            <v>CV</v>
          </cell>
          <cell r="AE358">
            <v>0</v>
          </cell>
          <cell r="AF358">
            <v>500</v>
          </cell>
          <cell r="AG358">
            <v>3250</v>
          </cell>
          <cell r="AH358">
            <v>16887</v>
          </cell>
          <cell r="AI358">
            <v>202644</v>
          </cell>
          <cell r="AJ358">
            <v>20000</v>
          </cell>
          <cell r="AK358">
            <v>25000</v>
          </cell>
          <cell r="AL358">
            <v>10000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27498</v>
          </cell>
          <cell r="AR358">
            <v>285142</v>
          </cell>
          <cell r="AS358">
            <v>0</v>
          </cell>
        </row>
        <row r="359">
          <cell r="M359">
            <v>22</v>
          </cell>
          <cell r="N359" t="str">
            <v>A4</v>
          </cell>
          <cell r="P359">
            <v>7</v>
          </cell>
          <cell r="S359" t="str">
            <v xml:space="preserve"> </v>
          </cell>
          <cell r="U359">
            <v>2002</v>
          </cell>
          <cell r="W359">
            <v>10137</v>
          </cell>
          <cell r="X359">
            <v>4500</v>
          </cell>
          <cell r="Z359">
            <v>0</v>
          </cell>
          <cell r="AA359">
            <v>500</v>
          </cell>
          <cell r="AB359">
            <v>150</v>
          </cell>
          <cell r="AC359">
            <v>0</v>
          </cell>
          <cell r="AF359">
            <v>500</v>
          </cell>
          <cell r="AG359">
            <v>3250</v>
          </cell>
          <cell r="AH359">
            <v>19037</v>
          </cell>
          <cell r="AI359">
            <v>228444</v>
          </cell>
          <cell r="AJ359">
            <v>20000</v>
          </cell>
          <cell r="AK359">
            <v>25000</v>
          </cell>
          <cell r="AL359">
            <v>15000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32844</v>
          </cell>
          <cell r="AR359">
            <v>321288</v>
          </cell>
          <cell r="AS359">
            <v>0</v>
          </cell>
        </row>
        <row r="360">
          <cell r="P360">
            <v>7</v>
          </cell>
          <cell r="S360" t="str">
            <v xml:space="preserve"> </v>
          </cell>
          <cell r="U360" t="str">
            <v>DIFF.</v>
          </cell>
          <cell r="W360">
            <v>1650</v>
          </cell>
          <cell r="X360">
            <v>500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2150</v>
          </cell>
          <cell r="AI360">
            <v>25800</v>
          </cell>
          <cell r="AJ360">
            <v>0</v>
          </cell>
          <cell r="AK360">
            <v>0</v>
          </cell>
          <cell r="AL360">
            <v>5000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5346</v>
          </cell>
          <cell r="AR360">
            <v>36146</v>
          </cell>
          <cell r="AS360">
            <v>12.68</v>
          </cell>
        </row>
        <row r="361">
          <cell r="P361">
            <v>7</v>
          </cell>
          <cell r="S361" t="str">
            <v xml:space="preserve"> </v>
          </cell>
        </row>
        <row r="362">
          <cell r="G362">
            <v>1899</v>
          </cell>
          <cell r="H362" t="str">
            <v>MR NANDANIA P N</v>
          </cell>
          <cell r="I362">
            <v>24289</v>
          </cell>
          <cell r="J362">
            <v>33883</v>
          </cell>
          <cell r="K362">
            <v>12989</v>
          </cell>
          <cell r="L362" t="str">
            <v>MA</v>
          </cell>
          <cell r="M362">
            <v>22</v>
          </cell>
          <cell r="N362" t="str">
            <v>A3</v>
          </cell>
          <cell r="O362" t="str">
            <v>MAM</v>
          </cell>
          <cell r="P362">
            <v>7</v>
          </cell>
          <cell r="Q362" t="str">
            <v>Other Locations</v>
          </cell>
          <cell r="R362" t="str">
            <v>Bhopal (Mp)</v>
          </cell>
          <cell r="S362" t="str">
            <v xml:space="preserve"> </v>
          </cell>
          <cell r="T362" t="str">
            <v>BA</v>
          </cell>
          <cell r="U362">
            <v>2001</v>
          </cell>
          <cell r="V362">
            <v>26250</v>
          </cell>
          <cell r="W362">
            <v>10029</v>
          </cell>
          <cell r="X362">
            <v>4000</v>
          </cell>
          <cell r="AA362">
            <v>500</v>
          </cell>
          <cell r="AB362">
            <v>150</v>
          </cell>
          <cell r="AC362">
            <v>0</v>
          </cell>
          <cell r="AD362" t="str">
            <v>CV</v>
          </cell>
          <cell r="AE362">
            <v>0</v>
          </cell>
          <cell r="AG362">
            <v>3250</v>
          </cell>
          <cell r="AH362">
            <v>17929</v>
          </cell>
          <cell r="AI362">
            <v>215148</v>
          </cell>
          <cell r="AJ362">
            <v>20000</v>
          </cell>
          <cell r="AK362">
            <v>25000</v>
          </cell>
          <cell r="AL362">
            <v>10000</v>
          </cell>
          <cell r="AQ362">
            <v>32494</v>
          </cell>
          <cell r="AR362">
            <v>302642</v>
          </cell>
        </row>
        <row r="363">
          <cell r="M363">
            <v>22</v>
          </cell>
          <cell r="N363" t="str">
            <v>A3</v>
          </cell>
          <cell r="P363">
            <v>7</v>
          </cell>
          <cell r="S363" t="str">
            <v xml:space="preserve"> </v>
          </cell>
          <cell r="U363">
            <v>2002</v>
          </cell>
          <cell r="W363">
            <v>11279</v>
          </cell>
          <cell r="X363">
            <v>4500</v>
          </cell>
          <cell r="Z363">
            <v>0</v>
          </cell>
          <cell r="AA363">
            <v>500</v>
          </cell>
          <cell r="AB363">
            <v>150</v>
          </cell>
          <cell r="AC363">
            <v>0</v>
          </cell>
          <cell r="AF363">
            <v>0</v>
          </cell>
          <cell r="AG363">
            <v>3250</v>
          </cell>
          <cell r="AH363">
            <v>19679</v>
          </cell>
          <cell r="AI363">
            <v>236148</v>
          </cell>
          <cell r="AJ363">
            <v>20000</v>
          </cell>
          <cell r="AK363">
            <v>25000</v>
          </cell>
          <cell r="AL363">
            <v>15000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36544</v>
          </cell>
          <cell r="AR363">
            <v>332692</v>
          </cell>
          <cell r="AS363">
            <v>0</v>
          </cell>
        </row>
        <row r="364">
          <cell r="P364">
            <v>7</v>
          </cell>
          <cell r="S364" t="str">
            <v xml:space="preserve"> </v>
          </cell>
          <cell r="U364" t="str">
            <v>DIFF.</v>
          </cell>
          <cell r="W364">
            <v>1250</v>
          </cell>
          <cell r="X364">
            <v>500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1750</v>
          </cell>
          <cell r="AI364">
            <v>21000</v>
          </cell>
          <cell r="AJ364">
            <v>0</v>
          </cell>
          <cell r="AK364">
            <v>0</v>
          </cell>
          <cell r="AL364">
            <v>5000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4050</v>
          </cell>
          <cell r="AR364">
            <v>30050</v>
          </cell>
          <cell r="AS364">
            <v>9.93</v>
          </cell>
        </row>
        <row r="365">
          <cell r="P365">
            <v>7</v>
          </cell>
          <cell r="S365" t="str">
            <v xml:space="preserve"> </v>
          </cell>
        </row>
        <row r="366">
          <cell r="G366">
            <v>1905</v>
          </cell>
          <cell r="H366" t="str">
            <v>MR REDDY C R</v>
          </cell>
          <cell r="I366">
            <v>22285</v>
          </cell>
          <cell r="J366">
            <v>33970</v>
          </cell>
          <cell r="K366">
            <v>14993</v>
          </cell>
          <cell r="L366" t="str">
            <v>MA</v>
          </cell>
          <cell r="M366">
            <v>22</v>
          </cell>
          <cell r="N366" t="str">
            <v>A4</v>
          </cell>
          <cell r="O366" t="str">
            <v>MAM</v>
          </cell>
          <cell r="P366">
            <v>7</v>
          </cell>
          <cell r="Q366" t="str">
            <v>Other Locations</v>
          </cell>
          <cell r="R366" t="str">
            <v>Warangal (Ap)</v>
          </cell>
          <cell r="S366" t="str">
            <v xml:space="preserve"> </v>
          </cell>
          <cell r="T366" t="str">
            <v>BA</v>
          </cell>
          <cell r="U366">
            <v>2001</v>
          </cell>
          <cell r="V366">
            <v>26250</v>
          </cell>
          <cell r="W366">
            <v>8922</v>
          </cell>
          <cell r="X366">
            <v>4000</v>
          </cell>
          <cell r="AA366">
            <v>500</v>
          </cell>
          <cell r="AB366">
            <v>150</v>
          </cell>
          <cell r="AC366">
            <v>0</v>
          </cell>
          <cell r="AD366" t="str">
            <v>CV</v>
          </cell>
          <cell r="AE366">
            <v>0</v>
          </cell>
          <cell r="AF366">
            <v>500</v>
          </cell>
          <cell r="AG366">
            <v>3250</v>
          </cell>
          <cell r="AH366">
            <v>17322</v>
          </cell>
          <cell r="AI366">
            <v>207864</v>
          </cell>
          <cell r="AJ366">
            <v>20000</v>
          </cell>
          <cell r="AK366">
            <v>25000</v>
          </cell>
          <cell r="AL366">
            <v>10000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28907</v>
          </cell>
          <cell r="AR366">
            <v>291771</v>
          </cell>
          <cell r="AS366">
            <v>0</v>
          </cell>
        </row>
        <row r="367">
          <cell r="M367">
            <v>22</v>
          </cell>
          <cell r="N367" t="str">
            <v>A4</v>
          </cell>
          <cell r="P367">
            <v>7</v>
          </cell>
          <cell r="S367" t="str">
            <v xml:space="preserve"> </v>
          </cell>
          <cell r="U367">
            <v>2002</v>
          </cell>
          <cell r="W367">
            <v>11222</v>
          </cell>
          <cell r="X367">
            <v>4500</v>
          </cell>
          <cell r="Z367">
            <v>0</v>
          </cell>
          <cell r="AA367">
            <v>500</v>
          </cell>
          <cell r="AB367">
            <v>150</v>
          </cell>
          <cell r="AC367">
            <v>0</v>
          </cell>
          <cell r="AF367">
            <v>500</v>
          </cell>
          <cell r="AG367">
            <v>3250</v>
          </cell>
          <cell r="AH367">
            <v>20122</v>
          </cell>
          <cell r="AI367">
            <v>241464</v>
          </cell>
          <cell r="AJ367">
            <v>20000</v>
          </cell>
          <cell r="AK367">
            <v>25000</v>
          </cell>
          <cell r="AL367">
            <v>15000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36359</v>
          </cell>
          <cell r="AR367">
            <v>337823</v>
          </cell>
          <cell r="AS367">
            <v>0</v>
          </cell>
        </row>
        <row r="368">
          <cell r="P368">
            <v>7</v>
          </cell>
          <cell r="S368" t="str">
            <v xml:space="preserve"> </v>
          </cell>
          <cell r="U368" t="str">
            <v>DIFF.</v>
          </cell>
          <cell r="W368">
            <v>2300</v>
          </cell>
          <cell r="X368">
            <v>500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2800</v>
          </cell>
          <cell r="AI368">
            <v>33600</v>
          </cell>
          <cell r="AJ368">
            <v>0</v>
          </cell>
          <cell r="AK368">
            <v>0</v>
          </cell>
          <cell r="AL368">
            <v>5000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7452</v>
          </cell>
          <cell r="AR368">
            <v>46052</v>
          </cell>
          <cell r="AS368">
            <v>15.78</v>
          </cell>
        </row>
        <row r="369">
          <cell r="P369">
            <v>7</v>
          </cell>
          <cell r="S369" t="str">
            <v xml:space="preserve"> </v>
          </cell>
        </row>
        <row r="370">
          <cell r="G370">
            <v>2178</v>
          </cell>
          <cell r="H370" t="str">
            <v>MR BHAKARE A H</v>
          </cell>
          <cell r="I370">
            <v>24629</v>
          </cell>
          <cell r="J370">
            <v>35991</v>
          </cell>
          <cell r="K370">
            <v>12649</v>
          </cell>
          <cell r="L370" t="str">
            <v>MA</v>
          </cell>
          <cell r="M370">
            <v>22</v>
          </cell>
          <cell r="N370" t="str">
            <v>A3</v>
          </cell>
          <cell r="O370" t="str">
            <v>MAM</v>
          </cell>
          <cell r="P370">
            <v>7</v>
          </cell>
          <cell r="Q370" t="str">
            <v>Other Locations</v>
          </cell>
          <cell r="R370" t="str">
            <v>Nagpur (Maharashtra)</v>
          </cell>
          <cell r="S370" t="str">
            <v xml:space="preserve"> </v>
          </cell>
          <cell r="T370" t="str">
            <v>CA</v>
          </cell>
          <cell r="U370">
            <v>2001</v>
          </cell>
          <cell r="V370">
            <v>22250</v>
          </cell>
          <cell r="W370">
            <v>10090</v>
          </cell>
          <cell r="X370">
            <v>4000</v>
          </cell>
          <cell r="AA370">
            <v>500</v>
          </cell>
          <cell r="AB370">
            <v>150</v>
          </cell>
          <cell r="AC370">
            <v>0</v>
          </cell>
          <cell r="AD370" t="str">
            <v>CV</v>
          </cell>
          <cell r="AE370">
            <v>0</v>
          </cell>
          <cell r="AG370">
            <v>3250</v>
          </cell>
          <cell r="AH370">
            <v>17990</v>
          </cell>
          <cell r="AI370">
            <v>215880</v>
          </cell>
          <cell r="AJ370">
            <v>20000</v>
          </cell>
          <cell r="AK370">
            <v>25000</v>
          </cell>
          <cell r="AL370">
            <v>10000</v>
          </cell>
          <cell r="AQ370">
            <v>32692</v>
          </cell>
          <cell r="AR370">
            <v>303572</v>
          </cell>
        </row>
        <row r="371">
          <cell r="M371">
            <v>22</v>
          </cell>
          <cell r="N371" t="str">
            <v>A3</v>
          </cell>
          <cell r="P371">
            <v>7</v>
          </cell>
          <cell r="S371" t="str">
            <v xml:space="preserve"> </v>
          </cell>
          <cell r="U371">
            <v>2002</v>
          </cell>
          <cell r="W371">
            <v>11040</v>
          </cell>
          <cell r="X371">
            <v>4500</v>
          </cell>
          <cell r="Z371">
            <v>0</v>
          </cell>
          <cell r="AA371">
            <v>500</v>
          </cell>
          <cell r="AB371">
            <v>150</v>
          </cell>
          <cell r="AC371">
            <v>0</v>
          </cell>
          <cell r="AF371">
            <v>0</v>
          </cell>
          <cell r="AG371">
            <v>3250</v>
          </cell>
          <cell r="AH371">
            <v>19440</v>
          </cell>
          <cell r="AI371">
            <v>233280</v>
          </cell>
          <cell r="AJ371">
            <v>20000</v>
          </cell>
          <cell r="AK371">
            <v>25000</v>
          </cell>
          <cell r="AL371">
            <v>15000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35770</v>
          </cell>
          <cell r="AR371">
            <v>329050</v>
          </cell>
          <cell r="AS371">
            <v>0</v>
          </cell>
        </row>
        <row r="372">
          <cell r="P372">
            <v>7</v>
          </cell>
          <cell r="S372" t="str">
            <v xml:space="preserve"> </v>
          </cell>
          <cell r="U372" t="str">
            <v>DIFF.</v>
          </cell>
          <cell r="W372">
            <v>950</v>
          </cell>
          <cell r="X372">
            <v>500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1450</v>
          </cell>
          <cell r="AI372">
            <v>17400</v>
          </cell>
          <cell r="AJ372">
            <v>0</v>
          </cell>
          <cell r="AK372">
            <v>0</v>
          </cell>
          <cell r="AL372">
            <v>5000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3078</v>
          </cell>
          <cell r="AR372">
            <v>25478</v>
          </cell>
          <cell r="AS372">
            <v>8.39</v>
          </cell>
        </row>
        <row r="373">
          <cell r="P373">
            <v>7</v>
          </cell>
          <cell r="S373" t="str">
            <v xml:space="preserve"> </v>
          </cell>
        </row>
        <row r="374">
          <cell r="G374">
            <v>2246</v>
          </cell>
          <cell r="H374" t="str">
            <v>MR DUBEY T</v>
          </cell>
          <cell r="I374">
            <v>26778</v>
          </cell>
          <cell r="J374" t="str">
            <v>14.06.2000</v>
          </cell>
          <cell r="K374">
            <v>10500</v>
          </cell>
          <cell r="L374" t="str">
            <v>MA</v>
          </cell>
          <cell r="M374">
            <v>22</v>
          </cell>
          <cell r="N374" t="str">
            <v>A4</v>
          </cell>
          <cell r="O374" t="str">
            <v>MAM</v>
          </cell>
          <cell r="P374">
            <v>7</v>
          </cell>
          <cell r="Q374" t="str">
            <v>Other Locations</v>
          </cell>
          <cell r="R374" t="str">
            <v>Bikaner (Rajasthan)</v>
          </cell>
          <cell r="S374" t="str">
            <v xml:space="preserve"> </v>
          </cell>
          <cell r="T374" t="str">
            <v>BP</v>
          </cell>
          <cell r="U374">
            <v>2001</v>
          </cell>
          <cell r="V374">
            <v>26250</v>
          </cell>
          <cell r="W374">
            <v>8600</v>
          </cell>
          <cell r="X374">
            <v>4000</v>
          </cell>
          <cell r="AA374">
            <v>500</v>
          </cell>
          <cell r="AB374">
            <v>150</v>
          </cell>
          <cell r="AC374">
            <v>0</v>
          </cell>
          <cell r="AD374" t="str">
            <v>CV</v>
          </cell>
          <cell r="AE374">
            <v>0</v>
          </cell>
          <cell r="AF374">
            <v>500</v>
          </cell>
          <cell r="AG374">
            <v>3250</v>
          </cell>
          <cell r="AH374">
            <v>17000</v>
          </cell>
          <cell r="AI374">
            <v>204000</v>
          </cell>
          <cell r="AJ374">
            <v>20000</v>
          </cell>
          <cell r="AK374">
            <v>25000</v>
          </cell>
          <cell r="AL374">
            <v>10000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27864</v>
          </cell>
          <cell r="AR374">
            <v>286864</v>
          </cell>
          <cell r="AS374">
            <v>0</v>
          </cell>
        </row>
        <row r="375">
          <cell r="M375">
            <v>22</v>
          </cell>
          <cell r="N375" t="str">
            <v>A4</v>
          </cell>
          <cell r="P375">
            <v>7</v>
          </cell>
          <cell r="S375" t="str">
            <v xml:space="preserve"> </v>
          </cell>
          <cell r="U375">
            <v>2002</v>
          </cell>
          <cell r="W375">
            <v>11300</v>
          </cell>
          <cell r="X375">
            <v>4500</v>
          </cell>
          <cell r="Z375">
            <v>0</v>
          </cell>
          <cell r="AA375">
            <v>500</v>
          </cell>
          <cell r="AB375">
            <v>150</v>
          </cell>
          <cell r="AC375">
            <v>0</v>
          </cell>
          <cell r="AF375">
            <v>500</v>
          </cell>
          <cell r="AG375">
            <v>3250</v>
          </cell>
          <cell r="AH375">
            <v>20200</v>
          </cell>
          <cell r="AI375">
            <v>242400</v>
          </cell>
          <cell r="AJ375">
            <v>20000</v>
          </cell>
          <cell r="AK375">
            <v>25000</v>
          </cell>
          <cell r="AL375">
            <v>15000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36612</v>
          </cell>
          <cell r="AR375">
            <v>339012</v>
          </cell>
          <cell r="AS375">
            <v>0</v>
          </cell>
        </row>
        <row r="376">
          <cell r="P376">
            <v>7</v>
          </cell>
          <cell r="S376" t="str">
            <v xml:space="preserve"> </v>
          </cell>
          <cell r="U376" t="str">
            <v>DIFF.</v>
          </cell>
          <cell r="W376">
            <v>2700</v>
          </cell>
          <cell r="X376">
            <v>500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3200</v>
          </cell>
          <cell r="AI376">
            <v>38400</v>
          </cell>
          <cell r="AJ376">
            <v>0</v>
          </cell>
          <cell r="AK376">
            <v>0</v>
          </cell>
          <cell r="AL376">
            <v>5000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8748</v>
          </cell>
          <cell r="AR376">
            <v>52148</v>
          </cell>
          <cell r="AS376">
            <v>18.18</v>
          </cell>
        </row>
        <row r="377">
          <cell r="P377">
            <v>7</v>
          </cell>
          <cell r="S377" t="str">
            <v xml:space="preserve"> </v>
          </cell>
        </row>
        <row r="378">
          <cell r="G378">
            <v>2267</v>
          </cell>
          <cell r="H378" t="str">
            <v>MR CHOPRA KARAN</v>
          </cell>
          <cell r="I378">
            <v>27351</v>
          </cell>
          <cell r="J378">
            <v>36986</v>
          </cell>
          <cell r="K378">
            <v>9927</v>
          </cell>
          <cell r="L378" t="str">
            <v>MA</v>
          </cell>
          <cell r="M378">
            <v>22</v>
          </cell>
          <cell r="O378" t="str">
            <v>MAL</v>
          </cell>
          <cell r="P378">
            <v>1</v>
          </cell>
          <cell r="Q378" t="str">
            <v>Mumbai</v>
          </cell>
          <cell r="R378" t="str">
            <v>Ho</v>
          </cell>
          <cell r="S378" t="str">
            <v xml:space="preserve"> </v>
          </cell>
          <cell r="T378" t="str">
            <v>BA</v>
          </cell>
          <cell r="U378">
            <v>2001</v>
          </cell>
          <cell r="V378">
            <v>18750</v>
          </cell>
          <cell r="W378">
            <v>11000</v>
          </cell>
          <cell r="X378">
            <v>4000</v>
          </cell>
          <cell r="AA378">
            <v>500</v>
          </cell>
          <cell r="AB378">
            <v>150</v>
          </cell>
          <cell r="AC378">
            <v>850</v>
          </cell>
          <cell r="AE378">
            <v>1000</v>
          </cell>
          <cell r="AG378">
            <v>3250</v>
          </cell>
          <cell r="AH378">
            <v>20750</v>
          </cell>
          <cell r="AI378">
            <v>249000</v>
          </cell>
          <cell r="AJ378">
            <v>20000</v>
          </cell>
          <cell r="AK378">
            <v>25000</v>
          </cell>
          <cell r="AL378">
            <v>10000</v>
          </cell>
          <cell r="AQ378">
            <v>35640</v>
          </cell>
          <cell r="AR378">
            <v>339640</v>
          </cell>
        </row>
        <row r="379">
          <cell r="M379">
            <v>22</v>
          </cell>
          <cell r="P379">
            <v>1</v>
          </cell>
          <cell r="S379" t="str">
            <v xml:space="preserve"> </v>
          </cell>
          <cell r="U379">
            <v>2002</v>
          </cell>
          <cell r="W379">
            <v>12250</v>
          </cell>
          <cell r="X379">
            <v>6000</v>
          </cell>
          <cell r="Z379">
            <v>0</v>
          </cell>
          <cell r="AA379">
            <v>500</v>
          </cell>
          <cell r="AB379">
            <v>150</v>
          </cell>
          <cell r="AC379">
            <v>850</v>
          </cell>
          <cell r="AF379">
            <v>0</v>
          </cell>
          <cell r="AG379">
            <v>3250</v>
          </cell>
          <cell r="AH379">
            <v>23000</v>
          </cell>
          <cell r="AI379">
            <v>276000</v>
          </cell>
          <cell r="AJ379">
            <v>20000</v>
          </cell>
          <cell r="AK379">
            <v>25000</v>
          </cell>
          <cell r="AL379">
            <v>15000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39690</v>
          </cell>
          <cell r="AR379">
            <v>375690</v>
          </cell>
          <cell r="AS379">
            <v>0</v>
          </cell>
        </row>
        <row r="380">
          <cell r="P380">
            <v>1</v>
          </cell>
          <cell r="S380" t="str">
            <v xml:space="preserve"> </v>
          </cell>
          <cell r="U380" t="str">
            <v>DIFF.</v>
          </cell>
          <cell r="W380">
            <v>1250</v>
          </cell>
          <cell r="X380">
            <v>2000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E380">
            <v>-1000</v>
          </cell>
          <cell r="AF380">
            <v>0</v>
          </cell>
          <cell r="AG380">
            <v>0</v>
          </cell>
          <cell r="AH380">
            <v>2250</v>
          </cell>
          <cell r="AI380">
            <v>27000</v>
          </cell>
          <cell r="AJ380">
            <v>0</v>
          </cell>
          <cell r="AK380">
            <v>0</v>
          </cell>
          <cell r="AL380">
            <v>5000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4050</v>
          </cell>
          <cell r="AR380">
            <v>36050</v>
          </cell>
          <cell r="AS380">
            <v>10.61</v>
          </cell>
        </row>
        <row r="381">
          <cell r="P381">
            <v>1</v>
          </cell>
          <cell r="S381" t="str">
            <v xml:space="preserve"> </v>
          </cell>
        </row>
        <row r="382">
          <cell r="G382">
            <v>2277</v>
          </cell>
          <cell r="H382" t="str">
            <v>MR MAWAL S J</v>
          </cell>
          <cell r="I382">
            <v>26197</v>
          </cell>
          <cell r="J382">
            <v>37040</v>
          </cell>
          <cell r="K382">
            <v>11081</v>
          </cell>
          <cell r="L382" t="str">
            <v>MA</v>
          </cell>
          <cell r="M382">
            <v>22</v>
          </cell>
          <cell r="N382" t="str">
            <v>A3</v>
          </cell>
          <cell r="O382" t="str">
            <v>MAM</v>
          </cell>
          <cell r="P382">
            <v>7</v>
          </cell>
          <cell r="Q382" t="str">
            <v>Other Locations</v>
          </cell>
          <cell r="R382" t="str">
            <v>Jalna (Maharashtra)</v>
          </cell>
          <cell r="S382" t="str">
            <v xml:space="preserve"> </v>
          </cell>
          <cell r="U382">
            <v>2001</v>
          </cell>
          <cell r="V382">
            <v>14585</v>
          </cell>
          <cell r="W382">
            <v>9000</v>
          </cell>
          <cell r="X382">
            <v>4000</v>
          </cell>
          <cell r="AA382">
            <v>500</v>
          </cell>
          <cell r="AB382">
            <v>150</v>
          </cell>
          <cell r="AC382">
            <v>0</v>
          </cell>
          <cell r="AD382" t="str">
            <v>CV</v>
          </cell>
          <cell r="AE382">
            <v>0</v>
          </cell>
          <cell r="AG382">
            <v>3250</v>
          </cell>
          <cell r="AH382">
            <v>16900</v>
          </cell>
          <cell r="AI382">
            <v>202800</v>
          </cell>
          <cell r="AJ382">
            <v>20000</v>
          </cell>
          <cell r="AK382">
            <v>25000</v>
          </cell>
          <cell r="AL382">
            <v>10000</v>
          </cell>
          <cell r="AQ382">
            <v>29160</v>
          </cell>
          <cell r="AR382">
            <v>286960</v>
          </cell>
        </row>
        <row r="383">
          <cell r="M383">
            <v>22</v>
          </cell>
          <cell r="N383" t="str">
            <v>A3</v>
          </cell>
          <cell r="P383">
            <v>7</v>
          </cell>
          <cell r="S383" t="str">
            <v xml:space="preserve"> </v>
          </cell>
          <cell r="U383">
            <v>2002</v>
          </cell>
          <cell r="W383">
            <v>9500</v>
          </cell>
          <cell r="X383">
            <v>4500</v>
          </cell>
          <cell r="Z383">
            <v>0</v>
          </cell>
          <cell r="AA383">
            <v>500</v>
          </cell>
          <cell r="AB383">
            <v>150</v>
          </cell>
          <cell r="AC383">
            <v>0</v>
          </cell>
          <cell r="AF383">
            <v>0</v>
          </cell>
          <cell r="AG383">
            <v>3250</v>
          </cell>
          <cell r="AH383">
            <v>17900</v>
          </cell>
          <cell r="AI383">
            <v>214800</v>
          </cell>
          <cell r="AJ383">
            <v>20000</v>
          </cell>
          <cell r="AK383">
            <v>25000</v>
          </cell>
          <cell r="AL383">
            <v>15000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30780</v>
          </cell>
          <cell r="AR383">
            <v>305580</v>
          </cell>
          <cell r="AS383">
            <v>0</v>
          </cell>
        </row>
        <row r="384">
          <cell r="P384">
            <v>7</v>
          </cell>
          <cell r="S384" t="str">
            <v xml:space="preserve"> </v>
          </cell>
          <cell r="U384" t="str">
            <v>DIFF.</v>
          </cell>
          <cell r="W384">
            <v>500</v>
          </cell>
          <cell r="X384">
            <v>500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1000</v>
          </cell>
          <cell r="AI384">
            <v>12000</v>
          </cell>
          <cell r="AJ384">
            <v>0</v>
          </cell>
          <cell r="AK384">
            <v>0</v>
          </cell>
          <cell r="AL384">
            <v>5000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1620</v>
          </cell>
          <cell r="AR384">
            <v>18620</v>
          </cell>
          <cell r="AS384">
            <v>6.49</v>
          </cell>
        </row>
        <row r="385">
          <cell r="P385">
            <v>7</v>
          </cell>
          <cell r="S385" t="str">
            <v xml:space="preserve"> </v>
          </cell>
        </row>
        <row r="386">
          <cell r="G386">
            <v>2278</v>
          </cell>
          <cell r="H386" t="str">
            <v>MR SHARMA K J</v>
          </cell>
          <cell r="I386">
            <v>25925</v>
          </cell>
          <cell r="J386">
            <v>37053</v>
          </cell>
          <cell r="K386">
            <v>11353</v>
          </cell>
          <cell r="L386" t="str">
            <v>MA</v>
          </cell>
          <cell r="M386">
            <v>22</v>
          </cell>
          <cell r="N386" t="str">
            <v>A3</v>
          </cell>
          <cell r="O386" t="str">
            <v>MAM</v>
          </cell>
          <cell r="P386">
            <v>7</v>
          </cell>
          <cell r="Q386" t="str">
            <v>Other Locations</v>
          </cell>
          <cell r="R386" t="str">
            <v>Abohar (Punjab)</v>
          </cell>
          <cell r="S386" t="str">
            <v xml:space="preserve"> </v>
          </cell>
          <cell r="U386">
            <v>2001</v>
          </cell>
          <cell r="V386">
            <v>14075</v>
          </cell>
          <cell r="W386">
            <v>9000</v>
          </cell>
          <cell r="X386">
            <v>4000</v>
          </cell>
          <cell r="AA386">
            <v>500</v>
          </cell>
          <cell r="AB386">
            <v>150</v>
          </cell>
          <cell r="AC386">
            <v>0</v>
          </cell>
          <cell r="AD386" t="str">
            <v>CV</v>
          </cell>
          <cell r="AE386">
            <v>0</v>
          </cell>
          <cell r="AG386">
            <v>3250</v>
          </cell>
          <cell r="AH386">
            <v>16900</v>
          </cell>
          <cell r="AI386">
            <v>202800</v>
          </cell>
          <cell r="AJ386">
            <v>20000</v>
          </cell>
          <cell r="AK386">
            <v>25000</v>
          </cell>
          <cell r="AL386">
            <v>10000</v>
          </cell>
          <cell r="AQ386">
            <v>29160</v>
          </cell>
          <cell r="AR386">
            <v>286960</v>
          </cell>
        </row>
        <row r="387">
          <cell r="M387">
            <v>22</v>
          </cell>
          <cell r="N387" t="str">
            <v>A3</v>
          </cell>
          <cell r="P387">
            <v>7</v>
          </cell>
          <cell r="S387" t="str">
            <v xml:space="preserve"> </v>
          </cell>
          <cell r="U387">
            <v>2002</v>
          </cell>
          <cell r="W387">
            <v>9500</v>
          </cell>
          <cell r="X387">
            <v>4500</v>
          </cell>
          <cell r="Z387">
            <v>0</v>
          </cell>
          <cell r="AA387">
            <v>500</v>
          </cell>
          <cell r="AB387">
            <v>150</v>
          </cell>
          <cell r="AC387">
            <v>0</v>
          </cell>
          <cell r="AF387">
            <v>0</v>
          </cell>
          <cell r="AG387">
            <v>3250</v>
          </cell>
          <cell r="AH387">
            <v>17900</v>
          </cell>
          <cell r="AI387">
            <v>214800</v>
          </cell>
          <cell r="AJ387">
            <v>20000</v>
          </cell>
          <cell r="AK387">
            <v>25000</v>
          </cell>
          <cell r="AL387">
            <v>15000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30780</v>
          </cell>
          <cell r="AR387">
            <v>305580</v>
          </cell>
          <cell r="AS387">
            <v>0</v>
          </cell>
        </row>
        <row r="388">
          <cell r="P388">
            <v>7</v>
          </cell>
          <cell r="S388" t="str">
            <v xml:space="preserve"> </v>
          </cell>
          <cell r="U388" t="str">
            <v>DIFF.</v>
          </cell>
          <cell r="W388">
            <v>500</v>
          </cell>
          <cell r="X388">
            <v>500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1000</v>
          </cell>
          <cell r="AI388">
            <v>12000</v>
          </cell>
          <cell r="AJ388">
            <v>0</v>
          </cell>
          <cell r="AK388">
            <v>0</v>
          </cell>
          <cell r="AL388">
            <v>5000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1620</v>
          </cell>
          <cell r="AR388">
            <v>18620</v>
          </cell>
          <cell r="AS388">
            <v>6.49</v>
          </cell>
        </row>
        <row r="389">
          <cell r="P389">
            <v>7</v>
          </cell>
          <cell r="S389" t="str">
            <v xml:space="preserve"> </v>
          </cell>
        </row>
        <row r="390">
          <cell r="G390">
            <v>2282</v>
          </cell>
          <cell r="H390" t="str">
            <v>MR SHARMA A M</v>
          </cell>
          <cell r="I390">
            <v>25082</v>
          </cell>
          <cell r="J390">
            <v>37060</v>
          </cell>
          <cell r="K390">
            <v>12196</v>
          </cell>
          <cell r="L390" t="str">
            <v>MA</v>
          </cell>
          <cell r="M390">
            <v>22</v>
          </cell>
          <cell r="N390" t="str">
            <v>A3</v>
          </cell>
          <cell r="O390" t="str">
            <v>MAM</v>
          </cell>
          <cell r="P390">
            <v>4</v>
          </cell>
          <cell r="Q390" t="str">
            <v>Kolkatta</v>
          </cell>
          <cell r="R390" t="str">
            <v>Kolkatta</v>
          </cell>
          <cell r="S390" t="str">
            <v xml:space="preserve"> </v>
          </cell>
          <cell r="U390">
            <v>2001</v>
          </cell>
          <cell r="V390">
            <v>13550</v>
          </cell>
          <cell r="W390">
            <v>10500</v>
          </cell>
          <cell r="X390">
            <v>4000</v>
          </cell>
          <cell r="AA390">
            <v>500</v>
          </cell>
          <cell r="AB390">
            <v>150</v>
          </cell>
          <cell r="AC390">
            <v>850</v>
          </cell>
          <cell r="AE390">
            <v>450</v>
          </cell>
          <cell r="AG390">
            <v>3250</v>
          </cell>
          <cell r="AH390">
            <v>19700</v>
          </cell>
          <cell r="AI390">
            <v>236400</v>
          </cell>
          <cell r="AJ390">
            <v>20000</v>
          </cell>
          <cell r="AK390">
            <v>25000</v>
          </cell>
          <cell r="AL390">
            <v>10000</v>
          </cell>
          <cell r="AQ390">
            <v>34020</v>
          </cell>
          <cell r="AR390">
            <v>325420</v>
          </cell>
        </row>
        <row r="391">
          <cell r="M391">
            <v>22</v>
          </cell>
          <cell r="N391" t="str">
            <v>A3</v>
          </cell>
          <cell r="P391">
            <v>4</v>
          </cell>
          <cell r="S391" t="str">
            <v xml:space="preserve"> </v>
          </cell>
          <cell r="U391">
            <v>2002</v>
          </cell>
          <cell r="W391">
            <v>11000</v>
          </cell>
          <cell r="X391">
            <v>5000</v>
          </cell>
          <cell r="Z391">
            <v>0</v>
          </cell>
          <cell r="AA391">
            <v>500</v>
          </cell>
          <cell r="AB391">
            <v>150</v>
          </cell>
          <cell r="AC391">
            <v>850</v>
          </cell>
          <cell r="AF391">
            <v>0</v>
          </cell>
          <cell r="AG391">
            <v>3250</v>
          </cell>
          <cell r="AH391">
            <v>20750</v>
          </cell>
          <cell r="AI391">
            <v>249000</v>
          </cell>
          <cell r="AJ391">
            <v>20000</v>
          </cell>
          <cell r="AK391">
            <v>25000</v>
          </cell>
          <cell r="AL391">
            <v>15000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35640</v>
          </cell>
          <cell r="AR391">
            <v>344640</v>
          </cell>
          <cell r="AS391">
            <v>0</v>
          </cell>
        </row>
        <row r="392">
          <cell r="P392">
            <v>4</v>
          </cell>
          <cell r="S392" t="str">
            <v xml:space="preserve"> </v>
          </cell>
          <cell r="U392" t="str">
            <v>DIFF.</v>
          </cell>
          <cell r="W392">
            <v>500</v>
          </cell>
          <cell r="X392">
            <v>1000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E392">
            <v>-450</v>
          </cell>
          <cell r="AF392">
            <v>0</v>
          </cell>
          <cell r="AG392">
            <v>0</v>
          </cell>
          <cell r="AH392">
            <v>1050</v>
          </cell>
          <cell r="AI392">
            <v>12600</v>
          </cell>
          <cell r="AJ392">
            <v>0</v>
          </cell>
          <cell r="AK392">
            <v>0</v>
          </cell>
          <cell r="AL392">
            <v>5000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1620</v>
          </cell>
          <cell r="AR392">
            <v>19220</v>
          </cell>
          <cell r="AS392">
            <v>5.91</v>
          </cell>
        </row>
        <row r="393">
          <cell r="P393">
            <v>4</v>
          </cell>
          <cell r="S393" t="str">
            <v xml:space="preserve"> </v>
          </cell>
        </row>
        <row r="394">
          <cell r="G394">
            <v>2286</v>
          </cell>
          <cell r="H394" t="str">
            <v>MR SANTOSH KUMAR SHARMA</v>
          </cell>
          <cell r="I394">
            <v>26521</v>
          </cell>
          <cell r="J394">
            <v>37074</v>
          </cell>
          <cell r="K394">
            <v>10757</v>
          </cell>
          <cell r="L394" t="str">
            <v>MA</v>
          </cell>
          <cell r="M394">
            <v>22</v>
          </cell>
          <cell r="N394" t="str">
            <v>A3</v>
          </cell>
          <cell r="O394" t="str">
            <v>MAT</v>
          </cell>
          <cell r="P394">
            <v>4</v>
          </cell>
          <cell r="Q394" t="str">
            <v>Kolkatta</v>
          </cell>
          <cell r="R394" t="str">
            <v>Kolkatta</v>
          </cell>
          <cell r="S394" t="str">
            <v xml:space="preserve"> </v>
          </cell>
          <cell r="U394">
            <v>2001</v>
          </cell>
          <cell r="V394">
            <v>12500</v>
          </cell>
          <cell r="W394">
            <v>9000</v>
          </cell>
          <cell r="X394">
            <v>4000</v>
          </cell>
          <cell r="AA394">
            <v>500</v>
          </cell>
          <cell r="AB394">
            <v>150</v>
          </cell>
          <cell r="AC394">
            <v>850</v>
          </cell>
          <cell r="AE394">
            <v>450</v>
          </cell>
          <cell r="AG394">
            <v>3250</v>
          </cell>
          <cell r="AH394">
            <v>18200</v>
          </cell>
          <cell r="AI394">
            <v>218400</v>
          </cell>
          <cell r="AJ394">
            <v>20000</v>
          </cell>
          <cell r="AK394">
            <v>25000</v>
          </cell>
          <cell r="AL394">
            <v>10000</v>
          </cell>
          <cell r="AQ394">
            <v>29160</v>
          </cell>
          <cell r="AR394">
            <v>302560</v>
          </cell>
        </row>
        <row r="395">
          <cell r="M395">
            <v>22</v>
          </cell>
          <cell r="N395" t="str">
            <v>A3</v>
          </cell>
          <cell r="P395">
            <v>4</v>
          </cell>
          <cell r="S395" t="str">
            <v xml:space="preserve"> </v>
          </cell>
          <cell r="U395">
            <v>2002</v>
          </cell>
          <cell r="W395">
            <v>10000</v>
          </cell>
          <cell r="X395">
            <v>5000</v>
          </cell>
          <cell r="Z395">
            <v>0</v>
          </cell>
          <cell r="AA395">
            <v>500</v>
          </cell>
          <cell r="AB395">
            <v>150</v>
          </cell>
          <cell r="AC395">
            <v>850</v>
          </cell>
          <cell r="AF395">
            <v>0</v>
          </cell>
          <cell r="AG395">
            <v>3250</v>
          </cell>
          <cell r="AH395">
            <v>19750</v>
          </cell>
          <cell r="AI395">
            <v>237000</v>
          </cell>
          <cell r="AJ395">
            <v>20000</v>
          </cell>
          <cell r="AK395">
            <v>25000</v>
          </cell>
          <cell r="AL395">
            <v>15000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32400</v>
          </cell>
          <cell r="AR395">
            <v>329400</v>
          </cell>
          <cell r="AS395">
            <v>0</v>
          </cell>
        </row>
        <row r="396">
          <cell r="P396">
            <v>4</v>
          </cell>
          <cell r="S396" t="str">
            <v xml:space="preserve"> </v>
          </cell>
          <cell r="U396" t="str">
            <v>DIFF.</v>
          </cell>
          <cell r="W396">
            <v>1000</v>
          </cell>
          <cell r="X396">
            <v>1000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E396">
            <v>-450</v>
          </cell>
          <cell r="AF396">
            <v>0</v>
          </cell>
          <cell r="AG396">
            <v>0</v>
          </cell>
          <cell r="AH396">
            <v>1550</v>
          </cell>
          <cell r="AI396">
            <v>18600</v>
          </cell>
          <cell r="AJ396">
            <v>0</v>
          </cell>
          <cell r="AK396">
            <v>0</v>
          </cell>
          <cell r="AL396">
            <v>5000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3240</v>
          </cell>
          <cell r="AR396">
            <v>26840</v>
          </cell>
          <cell r="AS396">
            <v>8.8699999999999992</v>
          </cell>
        </row>
        <row r="397">
          <cell r="P397">
            <v>4</v>
          </cell>
          <cell r="S397" t="str">
            <v xml:space="preserve"> </v>
          </cell>
        </row>
        <row r="398">
          <cell r="G398">
            <v>2298</v>
          </cell>
          <cell r="H398" t="str">
            <v>MR DUTTA JAYDEEP</v>
          </cell>
          <cell r="I398">
            <v>24473</v>
          </cell>
          <cell r="J398">
            <v>32664</v>
          </cell>
          <cell r="K398">
            <v>12805</v>
          </cell>
          <cell r="L398" t="str">
            <v>MA</v>
          </cell>
          <cell r="M398">
            <v>22</v>
          </cell>
          <cell r="N398" t="str">
            <v>A3</v>
          </cell>
          <cell r="O398" t="str">
            <v>MA</v>
          </cell>
          <cell r="P398">
            <v>7</v>
          </cell>
          <cell r="Q398" t="str">
            <v>Other Locations</v>
          </cell>
          <cell r="R398" t="str">
            <v>Siliguri (Wb)</v>
          </cell>
          <cell r="S398" t="str">
            <v xml:space="preserve"> </v>
          </cell>
          <cell r="T398" t="str">
            <v>BA</v>
          </cell>
          <cell r="U398">
            <v>2001</v>
          </cell>
          <cell r="V398">
            <v>26250</v>
          </cell>
          <cell r="W398">
            <v>10275</v>
          </cell>
          <cell r="X398">
            <v>4000</v>
          </cell>
          <cell r="AA398">
            <v>500</v>
          </cell>
          <cell r="AB398">
            <v>150</v>
          </cell>
          <cell r="AC398">
            <v>850</v>
          </cell>
          <cell r="AE398">
            <v>0</v>
          </cell>
          <cell r="AG398">
            <v>3250</v>
          </cell>
          <cell r="AH398">
            <v>19025</v>
          </cell>
          <cell r="AI398">
            <v>228300</v>
          </cell>
          <cell r="AJ398">
            <v>20000</v>
          </cell>
          <cell r="AK398">
            <v>25000</v>
          </cell>
          <cell r="AL398">
            <v>10000</v>
          </cell>
          <cell r="AQ398">
            <v>33291</v>
          </cell>
          <cell r="AR398">
            <v>316591</v>
          </cell>
        </row>
        <row r="399">
          <cell r="M399">
            <v>22</v>
          </cell>
          <cell r="N399" t="str">
            <v>A3</v>
          </cell>
          <cell r="P399">
            <v>7</v>
          </cell>
          <cell r="S399" t="str">
            <v xml:space="preserve"> </v>
          </cell>
          <cell r="U399">
            <v>2002</v>
          </cell>
          <cell r="W399">
            <v>11525</v>
          </cell>
          <cell r="X399">
            <v>4500</v>
          </cell>
          <cell r="Z399">
            <v>0</v>
          </cell>
          <cell r="AA399">
            <v>500</v>
          </cell>
          <cell r="AB399">
            <v>150</v>
          </cell>
          <cell r="AC399">
            <v>850</v>
          </cell>
          <cell r="AF399">
            <v>0</v>
          </cell>
          <cell r="AG399">
            <v>3250</v>
          </cell>
          <cell r="AH399">
            <v>20775</v>
          </cell>
          <cell r="AI399">
            <v>249300</v>
          </cell>
          <cell r="AJ399">
            <v>20000</v>
          </cell>
          <cell r="AK399">
            <v>25000</v>
          </cell>
          <cell r="AL399">
            <v>15000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37341</v>
          </cell>
          <cell r="AR399">
            <v>346641</v>
          </cell>
          <cell r="AS399">
            <v>0</v>
          </cell>
        </row>
        <row r="400">
          <cell r="P400">
            <v>7</v>
          </cell>
          <cell r="S400" t="str">
            <v xml:space="preserve"> </v>
          </cell>
          <cell r="U400" t="str">
            <v>DIFF.</v>
          </cell>
          <cell r="W400">
            <v>1250</v>
          </cell>
          <cell r="X400">
            <v>500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1750</v>
          </cell>
          <cell r="AI400">
            <v>21000</v>
          </cell>
          <cell r="AJ400">
            <v>0</v>
          </cell>
          <cell r="AK400">
            <v>0</v>
          </cell>
          <cell r="AL400">
            <v>5000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4050</v>
          </cell>
          <cell r="AR400">
            <v>30050</v>
          </cell>
          <cell r="AS400">
            <v>9.49</v>
          </cell>
        </row>
        <row r="401">
          <cell r="P401">
            <v>7</v>
          </cell>
          <cell r="S401" t="str">
            <v xml:space="preserve"> </v>
          </cell>
        </row>
        <row r="402">
          <cell r="G402">
            <v>2299</v>
          </cell>
          <cell r="H402" t="str">
            <v>MR GOSWAMI SUSHIL</v>
          </cell>
          <cell r="I402">
            <v>21674</v>
          </cell>
          <cell r="J402">
            <v>32671</v>
          </cell>
          <cell r="K402">
            <v>15604</v>
          </cell>
          <cell r="L402" t="str">
            <v>MA</v>
          </cell>
          <cell r="M402">
            <v>22</v>
          </cell>
          <cell r="N402" t="str">
            <v>A3</v>
          </cell>
          <cell r="O402" t="str">
            <v>MA</v>
          </cell>
          <cell r="P402">
            <v>7</v>
          </cell>
          <cell r="Q402" t="str">
            <v>Other Locations</v>
          </cell>
          <cell r="R402" t="str">
            <v>Midnapore (Wb)</v>
          </cell>
          <cell r="S402" t="str">
            <v xml:space="preserve"> </v>
          </cell>
          <cell r="T402" t="str">
            <v>BA</v>
          </cell>
          <cell r="U402">
            <v>2001</v>
          </cell>
          <cell r="V402">
            <v>26250</v>
          </cell>
          <cell r="W402">
            <v>10215</v>
          </cell>
          <cell r="X402">
            <v>4000</v>
          </cell>
          <cell r="AA402">
            <v>500</v>
          </cell>
          <cell r="AB402">
            <v>150</v>
          </cell>
          <cell r="AD402" t="str">
            <v>CV</v>
          </cell>
          <cell r="AE402">
            <v>0</v>
          </cell>
          <cell r="AG402">
            <v>3250</v>
          </cell>
          <cell r="AH402">
            <v>18115</v>
          </cell>
          <cell r="AI402">
            <v>217380</v>
          </cell>
          <cell r="AJ402">
            <v>20000</v>
          </cell>
          <cell r="AK402">
            <v>25000</v>
          </cell>
          <cell r="AL402">
            <v>10000</v>
          </cell>
          <cell r="AQ402">
            <v>33097</v>
          </cell>
          <cell r="AR402">
            <v>305477</v>
          </cell>
        </row>
        <row r="403">
          <cell r="M403">
            <v>22</v>
          </cell>
          <cell r="N403" t="str">
            <v>A3</v>
          </cell>
          <cell r="P403">
            <v>7</v>
          </cell>
          <cell r="S403" t="str">
            <v xml:space="preserve"> </v>
          </cell>
          <cell r="U403">
            <v>2002</v>
          </cell>
          <cell r="W403">
            <v>11465</v>
          </cell>
          <cell r="X403">
            <v>4500</v>
          </cell>
          <cell r="Z403">
            <v>0</v>
          </cell>
          <cell r="AA403">
            <v>500</v>
          </cell>
          <cell r="AB403">
            <v>150</v>
          </cell>
          <cell r="AC403">
            <v>0</v>
          </cell>
          <cell r="AF403">
            <v>0</v>
          </cell>
          <cell r="AG403">
            <v>3250</v>
          </cell>
          <cell r="AH403">
            <v>19865</v>
          </cell>
          <cell r="AI403">
            <v>238380</v>
          </cell>
          <cell r="AJ403">
            <v>20000</v>
          </cell>
          <cell r="AK403">
            <v>25000</v>
          </cell>
          <cell r="AL403">
            <v>15000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37147</v>
          </cell>
          <cell r="AR403">
            <v>335527</v>
          </cell>
          <cell r="AS403">
            <v>0</v>
          </cell>
        </row>
        <row r="404">
          <cell r="P404">
            <v>7</v>
          </cell>
          <cell r="S404" t="str">
            <v xml:space="preserve"> </v>
          </cell>
          <cell r="U404" t="str">
            <v>DIFF.</v>
          </cell>
          <cell r="W404">
            <v>1250</v>
          </cell>
          <cell r="X404">
            <v>500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1750</v>
          </cell>
          <cell r="AI404">
            <v>21000</v>
          </cell>
          <cell r="AJ404">
            <v>0</v>
          </cell>
          <cell r="AK404">
            <v>0</v>
          </cell>
          <cell r="AL404">
            <v>5000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4050</v>
          </cell>
          <cell r="AR404">
            <v>30050</v>
          </cell>
          <cell r="AS404">
            <v>9.84</v>
          </cell>
        </row>
        <row r="405">
          <cell r="P405">
            <v>7</v>
          </cell>
          <cell r="S405" t="str">
            <v xml:space="preserve"> </v>
          </cell>
        </row>
        <row r="406">
          <cell r="G406">
            <v>2304</v>
          </cell>
          <cell r="H406" t="str">
            <v>MR JONPURI N K</v>
          </cell>
          <cell r="I406">
            <v>24294</v>
          </cell>
          <cell r="J406">
            <v>33178</v>
          </cell>
          <cell r="K406">
            <v>12984</v>
          </cell>
          <cell r="L406" t="str">
            <v>MA</v>
          </cell>
          <cell r="M406">
            <v>22</v>
          </cell>
          <cell r="N406" t="str">
            <v>A3</v>
          </cell>
          <cell r="O406" t="str">
            <v>MA</v>
          </cell>
          <cell r="P406">
            <v>7</v>
          </cell>
          <cell r="Q406" t="str">
            <v>Other Locations</v>
          </cell>
          <cell r="R406" t="str">
            <v>Purnea (Orissa)</v>
          </cell>
          <cell r="S406" t="str">
            <v xml:space="preserve"> </v>
          </cell>
          <cell r="T406" t="str">
            <v>CL</v>
          </cell>
          <cell r="U406">
            <v>2001</v>
          </cell>
          <cell r="V406">
            <v>22250</v>
          </cell>
          <cell r="W406">
            <v>10035</v>
          </cell>
          <cell r="X406">
            <v>4000</v>
          </cell>
          <cell r="AA406">
            <v>500</v>
          </cell>
          <cell r="AB406">
            <v>150</v>
          </cell>
          <cell r="AD406" t="str">
            <v>CV</v>
          </cell>
          <cell r="AE406">
            <v>0</v>
          </cell>
          <cell r="AG406">
            <v>3250</v>
          </cell>
          <cell r="AH406">
            <v>17935</v>
          </cell>
          <cell r="AI406">
            <v>215220</v>
          </cell>
          <cell r="AJ406">
            <v>20000</v>
          </cell>
          <cell r="AK406">
            <v>25000</v>
          </cell>
          <cell r="AL406">
            <v>10000</v>
          </cell>
          <cell r="AQ406">
            <v>32513</v>
          </cell>
          <cell r="AR406">
            <v>302733</v>
          </cell>
        </row>
        <row r="407">
          <cell r="M407">
            <v>22</v>
          </cell>
          <cell r="N407" t="str">
            <v>A3</v>
          </cell>
          <cell r="P407">
            <v>7</v>
          </cell>
          <cell r="S407" t="str">
            <v xml:space="preserve"> </v>
          </cell>
          <cell r="U407">
            <v>2002</v>
          </cell>
          <cell r="W407">
            <v>10885</v>
          </cell>
          <cell r="X407">
            <v>4500</v>
          </cell>
          <cell r="Z407">
            <v>0</v>
          </cell>
          <cell r="AA407">
            <v>500</v>
          </cell>
          <cell r="AB407">
            <v>150</v>
          </cell>
          <cell r="AC407">
            <v>0</v>
          </cell>
          <cell r="AF407">
            <v>0</v>
          </cell>
          <cell r="AG407">
            <v>3250</v>
          </cell>
          <cell r="AH407">
            <v>19285</v>
          </cell>
          <cell r="AI407">
            <v>231420</v>
          </cell>
          <cell r="AJ407">
            <v>20000</v>
          </cell>
          <cell r="AK407">
            <v>25000</v>
          </cell>
          <cell r="AL407">
            <v>15000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35267</v>
          </cell>
          <cell r="AR407">
            <v>326687</v>
          </cell>
          <cell r="AS407">
            <v>0</v>
          </cell>
        </row>
        <row r="408">
          <cell r="P408">
            <v>7</v>
          </cell>
          <cell r="S408" t="str">
            <v xml:space="preserve"> </v>
          </cell>
          <cell r="U408" t="str">
            <v>DIFF.</v>
          </cell>
          <cell r="W408">
            <v>850</v>
          </cell>
          <cell r="X408">
            <v>500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1350</v>
          </cell>
          <cell r="AI408">
            <v>16200</v>
          </cell>
          <cell r="AJ408">
            <v>0</v>
          </cell>
          <cell r="AK408">
            <v>0</v>
          </cell>
          <cell r="AL408">
            <v>5000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2754</v>
          </cell>
          <cell r="AR408">
            <v>23954</v>
          </cell>
          <cell r="AS408">
            <v>7.91</v>
          </cell>
        </row>
        <row r="409">
          <cell r="P409">
            <v>7</v>
          </cell>
          <cell r="S409" t="str">
            <v xml:space="preserve"> </v>
          </cell>
        </row>
        <row r="410">
          <cell r="G410">
            <v>2317</v>
          </cell>
          <cell r="H410" t="str">
            <v>MR R. SRINIVASAN</v>
          </cell>
          <cell r="I410">
            <v>25718</v>
          </cell>
          <cell r="J410">
            <v>34922</v>
          </cell>
          <cell r="K410">
            <v>11560</v>
          </cell>
          <cell r="L410" t="str">
            <v>MA</v>
          </cell>
          <cell r="M410">
            <v>22</v>
          </cell>
          <cell r="N410" t="str">
            <v>A3</v>
          </cell>
          <cell r="O410" t="str">
            <v>MA</v>
          </cell>
          <cell r="P410">
            <v>7</v>
          </cell>
          <cell r="Q410" t="str">
            <v>Other Locations</v>
          </cell>
          <cell r="R410" t="str">
            <v>Coimbatore (Tn)</v>
          </cell>
          <cell r="S410" t="str">
            <v xml:space="preserve"> </v>
          </cell>
          <cell r="T410" t="str">
            <v>CL</v>
          </cell>
          <cell r="U410">
            <v>2001</v>
          </cell>
          <cell r="V410">
            <v>22250</v>
          </cell>
          <cell r="W410">
            <v>8045</v>
          </cell>
          <cell r="X410">
            <v>4000</v>
          </cell>
          <cell r="AA410">
            <v>500</v>
          </cell>
          <cell r="AB410">
            <v>150</v>
          </cell>
          <cell r="AC410">
            <v>850</v>
          </cell>
          <cell r="AE410">
            <v>0</v>
          </cell>
          <cell r="AG410">
            <v>3250</v>
          </cell>
          <cell r="AH410">
            <v>16795</v>
          </cell>
          <cell r="AI410">
            <v>201540</v>
          </cell>
          <cell r="AJ410">
            <v>20000</v>
          </cell>
          <cell r="AK410">
            <v>25000</v>
          </cell>
          <cell r="AL410">
            <v>10000</v>
          </cell>
          <cell r="AQ410">
            <v>26066</v>
          </cell>
          <cell r="AR410">
            <v>282606</v>
          </cell>
        </row>
        <row r="411">
          <cell r="M411">
            <v>22</v>
          </cell>
          <cell r="N411" t="str">
            <v>A3</v>
          </cell>
          <cell r="P411">
            <v>7</v>
          </cell>
          <cell r="S411" t="str">
            <v xml:space="preserve"> </v>
          </cell>
          <cell r="U411">
            <v>2002</v>
          </cell>
          <cell r="W411">
            <v>8895</v>
          </cell>
          <cell r="X411">
            <v>4500</v>
          </cell>
          <cell r="Z411">
            <v>0</v>
          </cell>
          <cell r="AA411">
            <v>500</v>
          </cell>
          <cell r="AB411">
            <v>150</v>
          </cell>
          <cell r="AC411">
            <v>850</v>
          </cell>
          <cell r="AF411">
            <v>0</v>
          </cell>
          <cell r="AG411">
            <v>3250</v>
          </cell>
          <cell r="AH411">
            <v>18145</v>
          </cell>
          <cell r="AI411">
            <v>217740</v>
          </cell>
          <cell r="AJ411">
            <v>20000</v>
          </cell>
          <cell r="AK411">
            <v>25000</v>
          </cell>
          <cell r="AL411">
            <v>15000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28820</v>
          </cell>
          <cell r="AR411">
            <v>306560</v>
          </cell>
          <cell r="AS411">
            <v>0</v>
          </cell>
        </row>
        <row r="412">
          <cell r="P412">
            <v>7</v>
          </cell>
          <cell r="S412" t="str">
            <v xml:space="preserve"> </v>
          </cell>
          <cell r="U412" t="str">
            <v>DIFF.</v>
          </cell>
          <cell r="W412">
            <v>850</v>
          </cell>
          <cell r="X412">
            <v>500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1350</v>
          </cell>
          <cell r="AI412">
            <v>16200</v>
          </cell>
          <cell r="AJ412">
            <v>0</v>
          </cell>
          <cell r="AK412">
            <v>0</v>
          </cell>
          <cell r="AL412">
            <v>5000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2754</v>
          </cell>
          <cell r="AR412">
            <v>23954</v>
          </cell>
          <cell r="AS412">
            <v>8.48</v>
          </cell>
        </row>
        <row r="413">
          <cell r="P413">
            <v>7</v>
          </cell>
          <cell r="S413" t="str">
            <v xml:space="preserve"> </v>
          </cell>
        </row>
        <row r="414">
          <cell r="G414">
            <v>2367</v>
          </cell>
          <cell r="H414" t="str">
            <v>MR J. UNNIKRISHNAN</v>
          </cell>
          <cell r="I414">
            <v>26416</v>
          </cell>
          <cell r="J414">
            <v>36073</v>
          </cell>
          <cell r="K414">
            <v>10862</v>
          </cell>
          <cell r="L414" t="str">
            <v>MA</v>
          </cell>
          <cell r="M414">
            <v>22</v>
          </cell>
          <cell r="N414" t="str">
            <v>A4</v>
          </cell>
          <cell r="O414" t="str">
            <v>MA</v>
          </cell>
          <cell r="P414">
            <v>2</v>
          </cell>
          <cell r="Q414" t="str">
            <v>Chennai</v>
          </cell>
          <cell r="R414" t="str">
            <v>Chennai</v>
          </cell>
          <cell r="S414" t="str">
            <v xml:space="preserve"> </v>
          </cell>
          <cell r="T414" t="str">
            <v>CA</v>
          </cell>
          <cell r="U414">
            <v>2001</v>
          </cell>
          <cell r="V414">
            <v>22250</v>
          </cell>
          <cell r="W414">
            <v>8370</v>
          </cell>
          <cell r="X414">
            <v>4000</v>
          </cell>
          <cell r="AA414">
            <v>500</v>
          </cell>
          <cell r="AB414">
            <v>150</v>
          </cell>
          <cell r="AC414">
            <v>850</v>
          </cell>
          <cell r="AE414">
            <v>450</v>
          </cell>
          <cell r="AF414">
            <v>500</v>
          </cell>
          <cell r="AG414">
            <v>3250</v>
          </cell>
          <cell r="AH414">
            <v>18070</v>
          </cell>
          <cell r="AI414">
            <v>216840</v>
          </cell>
          <cell r="AJ414">
            <v>20000</v>
          </cell>
          <cell r="AK414">
            <v>25000</v>
          </cell>
          <cell r="AL414">
            <v>10000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27119</v>
          </cell>
          <cell r="AR414">
            <v>298959</v>
          </cell>
          <cell r="AS414">
            <v>0</v>
          </cell>
        </row>
        <row r="415">
          <cell r="M415">
            <v>22</v>
          </cell>
          <cell r="N415" t="str">
            <v>A4</v>
          </cell>
          <cell r="P415">
            <v>2</v>
          </cell>
          <cell r="S415" t="str">
            <v xml:space="preserve"> </v>
          </cell>
          <cell r="U415">
            <v>2002</v>
          </cell>
          <cell r="W415">
            <v>10020</v>
          </cell>
          <cell r="X415">
            <v>5000</v>
          </cell>
          <cell r="Z415">
            <v>0</v>
          </cell>
          <cell r="AA415">
            <v>500</v>
          </cell>
          <cell r="AB415">
            <v>150</v>
          </cell>
          <cell r="AC415">
            <v>850</v>
          </cell>
          <cell r="AF415">
            <v>500</v>
          </cell>
          <cell r="AG415">
            <v>3250</v>
          </cell>
          <cell r="AH415">
            <v>20270</v>
          </cell>
          <cell r="AI415">
            <v>243240</v>
          </cell>
          <cell r="AJ415">
            <v>20000</v>
          </cell>
          <cell r="AK415">
            <v>25000</v>
          </cell>
          <cell r="AL415">
            <v>15000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32465</v>
          </cell>
          <cell r="AR415">
            <v>335705</v>
          </cell>
          <cell r="AS415">
            <v>0</v>
          </cell>
        </row>
        <row r="416">
          <cell r="P416">
            <v>2</v>
          </cell>
          <cell r="S416" t="str">
            <v xml:space="preserve"> </v>
          </cell>
          <cell r="U416" t="str">
            <v>DIFF.</v>
          </cell>
          <cell r="W416">
            <v>1650</v>
          </cell>
          <cell r="X416">
            <v>1000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E416">
            <v>-450</v>
          </cell>
          <cell r="AF416">
            <v>0</v>
          </cell>
          <cell r="AG416">
            <v>0</v>
          </cell>
          <cell r="AH416">
            <v>2200</v>
          </cell>
          <cell r="AI416">
            <v>26400</v>
          </cell>
          <cell r="AJ416">
            <v>0</v>
          </cell>
          <cell r="AK416">
            <v>0</v>
          </cell>
          <cell r="AL416">
            <v>5000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5346</v>
          </cell>
          <cell r="AR416">
            <v>36746</v>
          </cell>
          <cell r="AS416">
            <v>12.29</v>
          </cell>
        </row>
        <row r="417">
          <cell r="P417">
            <v>2</v>
          </cell>
          <cell r="S417" t="str">
            <v xml:space="preserve"> </v>
          </cell>
        </row>
        <row r="418">
          <cell r="G418">
            <v>2368</v>
          </cell>
          <cell r="H418" t="str">
            <v>MR PRASHANT S JOSHI</v>
          </cell>
          <cell r="I418">
            <v>26397</v>
          </cell>
          <cell r="J418">
            <v>36101</v>
          </cell>
          <cell r="K418">
            <v>10881</v>
          </cell>
          <cell r="L418" t="str">
            <v>MA</v>
          </cell>
          <cell r="M418">
            <v>22</v>
          </cell>
          <cell r="O418" t="str">
            <v>MA</v>
          </cell>
          <cell r="P418">
            <v>1</v>
          </cell>
          <cell r="Q418" t="str">
            <v>Mumbai</v>
          </cell>
          <cell r="R418" t="str">
            <v>Ho</v>
          </cell>
          <cell r="S418" t="str">
            <v xml:space="preserve"> </v>
          </cell>
          <cell r="T418" t="str">
            <v>BA</v>
          </cell>
          <cell r="U418">
            <v>2001</v>
          </cell>
          <cell r="V418">
            <v>26250</v>
          </cell>
          <cell r="W418">
            <v>9165</v>
          </cell>
          <cell r="X418">
            <v>4000</v>
          </cell>
          <cell r="AA418">
            <v>500</v>
          </cell>
          <cell r="AB418">
            <v>150</v>
          </cell>
          <cell r="AC418">
            <v>850</v>
          </cell>
          <cell r="AE418">
            <v>1000</v>
          </cell>
          <cell r="AG418">
            <v>3250</v>
          </cell>
          <cell r="AH418">
            <v>18915</v>
          </cell>
          <cell r="AI418">
            <v>226980</v>
          </cell>
          <cell r="AJ418">
            <v>20000</v>
          </cell>
          <cell r="AK418">
            <v>25000</v>
          </cell>
          <cell r="AL418">
            <v>10000</v>
          </cell>
          <cell r="AQ418">
            <v>29695</v>
          </cell>
          <cell r="AR418">
            <v>311675</v>
          </cell>
        </row>
        <row r="419">
          <cell r="M419">
            <v>22</v>
          </cell>
          <cell r="P419">
            <v>1</v>
          </cell>
          <cell r="S419" t="str">
            <v xml:space="preserve"> </v>
          </cell>
          <cell r="U419">
            <v>2002</v>
          </cell>
          <cell r="W419">
            <v>10415</v>
          </cell>
          <cell r="X419">
            <v>6000</v>
          </cell>
          <cell r="Z419">
            <v>0</v>
          </cell>
          <cell r="AA419">
            <v>500</v>
          </cell>
          <cell r="AB419">
            <v>150</v>
          </cell>
          <cell r="AC419">
            <v>850</v>
          </cell>
          <cell r="AF419">
            <v>0</v>
          </cell>
          <cell r="AG419">
            <v>3250</v>
          </cell>
          <cell r="AH419">
            <v>21165</v>
          </cell>
          <cell r="AI419">
            <v>253980</v>
          </cell>
          <cell r="AJ419">
            <v>20000</v>
          </cell>
          <cell r="AK419">
            <v>25000</v>
          </cell>
          <cell r="AL419">
            <v>15000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33745</v>
          </cell>
          <cell r="AR419">
            <v>347725</v>
          </cell>
          <cell r="AS419">
            <v>0</v>
          </cell>
        </row>
        <row r="420">
          <cell r="P420">
            <v>1</v>
          </cell>
          <cell r="S420" t="str">
            <v xml:space="preserve"> </v>
          </cell>
          <cell r="U420" t="str">
            <v>DIFF.</v>
          </cell>
          <cell r="W420">
            <v>1250</v>
          </cell>
          <cell r="X420">
            <v>2000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E420">
            <v>-1000</v>
          </cell>
          <cell r="AF420">
            <v>0</v>
          </cell>
          <cell r="AG420">
            <v>0</v>
          </cell>
          <cell r="AH420">
            <v>2250</v>
          </cell>
          <cell r="AI420">
            <v>27000</v>
          </cell>
          <cell r="AJ420">
            <v>0</v>
          </cell>
          <cell r="AK420">
            <v>0</v>
          </cell>
          <cell r="AL420">
            <v>5000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4050</v>
          </cell>
          <cell r="AR420">
            <v>36050</v>
          </cell>
          <cell r="AS420">
            <v>11.57</v>
          </cell>
        </row>
        <row r="421">
          <cell r="P421">
            <v>1</v>
          </cell>
          <cell r="S421" t="str">
            <v xml:space="preserve"> </v>
          </cell>
        </row>
        <row r="422">
          <cell r="G422">
            <v>2409</v>
          </cell>
          <cell r="H422" t="str">
            <v>DR S.P. RAJASHEKHAR</v>
          </cell>
          <cell r="I422">
            <v>24624</v>
          </cell>
          <cell r="J422">
            <v>36531</v>
          </cell>
          <cell r="K422">
            <v>12654</v>
          </cell>
          <cell r="L422" t="str">
            <v>MA</v>
          </cell>
          <cell r="M422">
            <v>22</v>
          </cell>
          <cell r="N422" t="str">
            <v>A3</v>
          </cell>
          <cell r="O422" t="str">
            <v>MA</v>
          </cell>
          <cell r="P422">
            <v>7</v>
          </cell>
          <cell r="Q422" t="str">
            <v>Other Locations</v>
          </cell>
          <cell r="R422" t="str">
            <v>Hyderabad</v>
          </cell>
          <cell r="S422" t="str">
            <v xml:space="preserve"> </v>
          </cell>
          <cell r="T422" t="str">
            <v>BP</v>
          </cell>
          <cell r="U422">
            <v>2001</v>
          </cell>
          <cell r="V422">
            <v>26250</v>
          </cell>
          <cell r="W422">
            <v>9210</v>
          </cell>
          <cell r="X422">
            <v>4000</v>
          </cell>
          <cell r="AA422">
            <v>500</v>
          </cell>
          <cell r="AB422">
            <v>150</v>
          </cell>
          <cell r="AC422">
            <v>850</v>
          </cell>
          <cell r="AE422">
            <v>0</v>
          </cell>
          <cell r="AG422">
            <v>3250</v>
          </cell>
          <cell r="AH422">
            <v>17960</v>
          </cell>
          <cell r="AI422">
            <v>215520</v>
          </cell>
          <cell r="AJ422">
            <v>20000</v>
          </cell>
          <cell r="AK422">
            <v>25000</v>
          </cell>
          <cell r="AL422">
            <v>10000</v>
          </cell>
          <cell r="AQ422">
            <v>29840</v>
          </cell>
          <cell r="AR422">
            <v>300360</v>
          </cell>
        </row>
        <row r="423">
          <cell r="M423">
            <v>22</v>
          </cell>
          <cell r="N423" t="str">
            <v>A3</v>
          </cell>
          <cell r="P423">
            <v>7</v>
          </cell>
          <cell r="S423" t="str">
            <v xml:space="preserve"> </v>
          </cell>
          <cell r="U423">
            <v>2002</v>
          </cell>
          <cell r="W423">
            <v>10710</v>
          </cell>
          <cell r="X423">
            <v>4500</v>
          </cell>
          <cell r="Z423">
            <v>0</v>
          </cell>
          <cell r="AA423">
            <v>500</v>
          </cell>
          <cell r="AB423">
            <v>150</v>
          </cell>
          <cell r="AC423">
            <v>850</v>
          </cell>
          <cell r="AF423">
            <v>0</v>
          </cell>
          <cell r="AG423">
            <v>3250</v>
          </cell>
          <cell r="AH423">
            <v>19960</v>
          </cell>
          <cell r="AI423">
            <v>239520</v>
          </cell>
          <cell r="AJ423">
            <v>20000</v>
          </cell>
          <cell r="AK423">
            <v>25000</v>
          </cell>
          <cell r="AL423">
            <v>15000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34700</v>
          </cell>
          <cell r="AR423">
            <v>334220</v>
          </cell>
          <cell r="AS423">
            <v>0</v>
          </cell>
        </row>
        <row r="424">
          <cell r="P424">
            <v>7</v>
          </cell>
          <cell r="S424" t="str">
            <v xml:space="preserve"> </v>
          </cell>
          <cell r="U424" t="str">
            <v>DIFF.</v>
          </cell>
          <cell r="W424">
            <v>1500</v>
          </cell>
          <cell r="X424">
            <v>500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2000</v>
          </cell>
          <cell r="AI424">
            <v>24000</v>
          </cell>
          <cell r="AJ424">
            <v>0</v>
          </cell>
          <cell r="AK424">
            <v>0</v>
          </cell>
          <cell r="AL424">
            <v>5000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4860</v>
          </cell>
          <cell r="AR424">
            <v>33860</v>
          </cell>
          <cell r="AS424">
            <v>11.27</v>
          </cell>
        </row>
        <row r="425">
          <cell r="P425">
            <v>7</v>
          </cell>
          <cell r="S425" t="str">
            <v xml:space="preserve"> </v>
          </cell>
        </row>
        <row r="426">
          <cell r="G426">
            <v>2415</v>
          </cell>
          <cell r="H426" t="str">
            <v>MR S GANESH</v>
          </cell>
          <cell r="I426">
            <v>27312</v>
          </cell>
          <cell r="J426">
            <v>36563</v>
          </cell>
          <cell r="K426">
            <v>9966</v>
          </cell>
          <cell r="L426" t="str">
            <v>MA</v>
          </cell>
          <cell r="M426">
            <v>22</v>
          </cell>
          <cell r="O426" t="str">
            <v>MA</v>
          </cell>
          <cell r="P426">
            <v>1</v>
          </cell>
          <cell r="Q426" t="str">
            <v>Mumbai</v>
          </cell>
          <cell r="R426" t="str">
            <v>Ho</v>
          </cell>
          <cell r="S426" t="str">
            <v xml:space="preserve"> </v>
          </cell>
          <cell r="T426" t="str">
            <v>D</v>
          </cell>
          <cell r="U426">
            <v>2001</v>
          </cell>
          <cell r="V426">
            <v>14000</v>
          </cell>
          <cell r="W426">
            <v>6715</v>
          </cell>
          <cell r="X426">
            <v>4000</v>
          </cell>
          <cell r="AA426">
            <v>500</v>
          </cell>
          <cell r="AB426">
            <v>150</v>
          </cell>
          <cell r="AC426">
            <v>850</v>
          </cell>
          <cell r="AE426">
            <v>1000</v>
          </cell>
          <cell r="AG426">
            <v>3250</v>
          </cell>
          <cell r="AH426">
            <v>16465</v>
          </cell>
          <cell r="AI426">
            <v>197580</v>
          </cell>
          <cell r="AJ426">
            <v>20000</v>
          </cell>
          <cell r="AK426">
            <v>25000</v>
          </cell>
          <cell r="AL426">
            <v>10000</v>
          </cell>
          <cell r="AQ426">
            <v>21757</v>
          </cell>
          <cell r="AR426">
            <v>274337</v>
          </cell>
        </row>
        <row r="427">
          <cell r="M427">
            <v>22</v>
          </cell>
          <cell r="P427">
            <v>1</v>
          </cell>
          <cell r="S427" t="str">
            <v xml:space="preserve"> </v>
          </cell>
          <cell r="U427">
            <v>2002</v>
          </cell>
          <cell r="W427">
            <v>7165</v>
          </cell>
          <cell r="X427">
            <v>6000</v>
          </cell>
          <cell r="Z427">
            <v>0</v>
          </cell>
          <cell r="AA427">
            <v>500</v>
          </cell>
          <cell r="AB427">
            <v>150</v>
          </cell>
          <cell r="AC427">
            <v>850</v>
          </cell>
          <cell r="AF427">
            <v>0</v>
          </cell>
          <cell r="AG427">
            <v>3250</v>
          </cell>
          <cell r="AH427">
            <v>17915</v>
          </cell>
          <cell r="AI427">
            <v>214980</v>
          </cell>
          <cell r="AJ427">
            <v>20000</v>
          </cell>
          <cell r="AK427">
            <v>25000</v>
          </cell>
          <cell r="AL427">
            <v>15000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23215</v>
          </cell>
          <cell r="AR427">
            <v>298195</v>
          </cell>
          <cell r="AS427">
            <v>0</v>
          </cell>
        </row>
        <row r="428">
          <cell r="P428">
            <v>1</v>
          </cell>
          <cell r="S428" t="str">
            <v xml:space="preserve"> </v>
          </cell>
          <cell r="U428" t="str">
            <v>DIFF.</v>
          </cell>
          <cell r="W428">
            <v>450</v>
          </cell>
          <cell r="X428">
            <v>2000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E428">
            <v>-1000</v>
          </cell>
          <cell r="AF428">
            <v>0</v>
          </cell>
          <cell r="AG428">
            <v>0</v>
          </cell>
          <cell r="AH428">
            <v>1450</v>
          </cell>
          <cell r="AI428">
            <v>17400</v>
          </cell>
          <cell r="AJ428">
            <v>0</v>
          </cell>
          <cell r="AK428">
            <v>0</v>
          </cell>
          <cell r="AL428">
            <v>5000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1458</v>
          </cell>
          <cell r="AR428">
            <v>23858</v>
          </cell>
          <cell r="AS428">
            <v>8.6999999999999993</v>
          </cell>
        </row>
        <row r="429">
          <cell r="P429">
            <v>1</v>
          </cell>
          <cell r="S429" t="str">
            <v xml:space="preserve"> </v>
          </cell>
        </row>
        <row r="430">
          <cell r="G430">
            <v>2421</v>
          </cell>
          <cell r="H430" t="str">
            <v>MR LINGERI MANOJ</v>
          </cell>
          <cell r="I430">
            <v>25743</v>
          </cell>
          <cell r="J430">
            <v>37110</v>
          </cell>
          <cell r="K430">
            <v>11535</v>
          </cell>
          <cell r="L430" t="str">
            <v>MA</v>
          </cell>
          <cell r="M430">
            <v>22</v>
          </cell>
          <cell r="N430" t="str">
            <v>A3</v>
          </cell>
          <cell r="O430" t="str">
            <v>MAT</v>
          </cell>
          <cell r="P430">
            <v>7</v>
          </cell>
          <cell r="Q430" t="str">
            <v>Other Locations</v>
          </cell>
          <cell r="R430" t="str">
            <v>Hubli (Karnataka)</v>
          </cell>
          <cell r="S430" t="str">
            <v xml:space="preserve"> </v>
          </cell>
          <cell r="U430">
            <v>2001</v>
          </cell>
          <cell r="V430">
            <v>10420</v>
          </cell>
          <cell r="W430">
            <v>9250</v>
          </cell>
          <cell r="X430">
            <v>4000</v>
          </cell>
          <cell r="AA430">
            <v>500</v>
          </cell>
          <cell r="AB430">
            <v>150</v>
          </cell>
          <cell r="AC430">
            <v>850</v>
          </cell>
          <cell r="AE430">
            <v>0</v>
          </cell>
          <cell r="AG430">
            <v>3250</v>
          </cell>
          <cell r="AH430">
            <v>18000</v>
          </cell>
          <cell r="AI430">
            <v>216000</v>
          </cell>
          <cell r="AJ430">
            <v>20000</v>
          </cell>
          <cell r="AK430">
            <v>25000</v>
          </cell>
          <cell r="AL430">
            <v>10000</v>
          </cell>
          <cell r="AQ430">
            <v>29970</v>
          </cell>
          <cell r="AR430">
            <v>300970</v>
          </cell>
        </row>
        <row r="431">
          <cell r="M431">
            <v>22</v>
          </cell>
          <cell r="N431" t="str">
            <v>A3</v>
          </cell>
          <cell r="P431">
            <v>7</v>
          </cell>
          <cell r="S431" t="str">
            <v xml:space="preserve"> </v>
          </cell>
          <cell r="U431">
            <v>2002</v>
          </cell>
          <cell r="W431">
            <v>9250</v>
          </cell>
          <cell r="X431">
            <v>4500</v>
          </cell>
          <cell r="Z431">
            <v>0</v>
          </cell>
          <cell r="AA431">
            <v>500</v>
          </cell>
          <cell r="AB431">
            <v>150</v>
          </cell>
          <cell r="AC431">
            <v>850</v>
          </cell>
          <cell r="AF431">
            <v>0</v>
          </cell>
          <cell r="AG431">
            <v>3250</v>
          </cell>
          <cell r="AH431">
            <v>18500</v>
          </cell>
          <cell r="AI431">
            <v>222000</v>
          </cell>
          <cell r="AJ431">
            <v>20000</v>
          </cell>
          <cell r="AK431">
            <v>25000</v>
          </cell>
          <cell r="AL431">
            <v>15000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29970</v>
          </cell>
          <cell r="AR431">
            <v>311970</v>
          </cell>
          <cell r="AS431">
            <v>0</v>
          </cell>
        </row>
        <row r="432">
          <cell r="P432">
            <v>7</v>
          </cell>
          <cell r="S432" t="str">
            <v xml:space="preserve"> </v>
          </cell>
          <cell r="U432" t="str">
            <v>DIFF.</v>
          </cell>
          <cell r="W432">
            <v>0</v>
          </cell>
          <cell r="X432">
            <v>500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500</v>
          </cell>
          <cell r="AI432">
            <v>6000</v>
          </cell>
          <cell r="AJ432">
            <v>0</v>
          </cell>
          <cell r="AK432">
            <v>0</v>
          </cell>
          <cell r="AL432">
            <v>5000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11000</v>
          </cell>
          <cell r="AS432">
            <v>3.65</v>
          </cell>
        </row>
        <row r="433">
          <cell r="P433">
            <v>7</v>
          </cell>
          <cell r="S433" t="str">
            <v xml:space="preserve"> </v>
          </cell>
        </row>
        <row r="434">
          <cell r="G434">
            <v>2426</v>
          </cell>
          <cell r="H434" t="str">
            <v>MR RAMAN GUPTA</v>
          </cell>
          <cell r="I434">
            <v>26546</v>
          </cell>
          <cell r="J434">
            <v>37147</v>
          </cell>
          <cell r="K434">
            <v>10732</v>
          </cell>
          <cell r="L434" t="str">
            <v>MA</v>
          </cell>
          <cell r="M434">
            <v>22</v>
          </cell>
          <cell r="O434" t="str">
            <v>MAM</v>
          </cell>
          <cell r="P434">
            <v>7</v>
          </cell>
          <cell r="Q434" t="str">
            <v>Other Locations</v>
          </cell>
          <cell r="R434" t="str">
            <v>Jodhpur</v>
          </cell>
          <cell r="S434" t="str">
            <v xml:space="preserve"> </v>
          </cell>
          <cell r="U434">
            <v>2001</v>
          </cell>
          <cell r="V434">
            <v>7500</v>
          </cell>
          <cell r="W434">
            <v>8750</v>
          </cell>
          <cell r="X434">
            <v>4000</v>
          </cell>
          <cell r="AA434">
            <v>500</v>
          </cell>
          <cell r="AB434">
            <v>150</v>
          </cell>
          <cell r="AD434" t="str">
            <v>CV</v>
          </cell>
          <cell r="AE434">
            <v>0</v>
          </cell>
          <cell r="AG434">
            <v>3250</v>
          </cell>
          <cell r="AH434">
            <v>16650</v>
          </cell>
          <cell r="AI434">
            <v>199800</v>
          </cell>
          <cell r="AJ434">
            <v>20000</v>
          </cell>
          <cell r="AK434">
            <v>25000</v>
          </cell>
          <cell r="AL434">
            <v>10000</v>
          </cell>
          <cell r="AQ434">
            <v>28350</v>
          </cell>
          <cell r="AR434">
            <v>283150</v>
          </cell>
        </row>
        <row r="435">
          <cell r="M435">
            <v>22</v>
          </cell>
          <cell r="P435">
            <v>7</v>
          </cell>
          <cell r="S435" t="str">
            <v xml:space="preserve"> </v>
          </cell>
          <cell r="U435">
            <v>2002</v>
          </cell>
          <cell r="W435">
            <v>8750</v>
          </cell>
          <cell r="X435">
            <v>4500</v>
          </cell>
          <cell r="Z435">
            <v>0</v>
          </cell>
          <cell r="AA435">
            <v>500</v>
          </cell>
          <cell r="AB435">
            <v>150</v>
          </cell>
          <cell r="AC435">
            <v>0</v>
          </cell>
          <cell r="AF435">
            <v>0</v>
          </cell>
          <cell r="AG435">
            <v>3250</v>
          </cell>
          <cell r="AH435">
            <v>17150</v>
          </cell>
          <cell r="AI435">
            <v>205800</v>
          </cell>
          <cell r="AJ435">
            <v>20000</v>
          </cell>
          <cell r="AK435">
            <v>25000</v>
          </cell>
          <cell r="AL435">
            <v>15000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28350</v>
          </cell>
          <cell r="AR435">
            <v>294150</v>
          </cell>
          <cell r="AS435">
            <v>0</v>
          </cell>
        </row>
        <row r="436">
          <cell r="P436">
            <v>7</v>
          </cell>
          <cell r="S436" t="str">
            <v xml:space="preserve"> </v>
          </cell>
          <cell r="U436" t="str">
            <v>DIFF.</v>
          </cell>
          <cell r="W436">
            <v>0</v>
          </cell>
          <cell r="X436">
            <v>500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500</v>
          </cell>
          <cell r="AI436">
            <v>6000</v>
          </cell>
          <cell r="AJ436">
            <v>0</v>
          </cell>
          <cell r="AK436">
            <v>0</v>
          </cell>
          <cell r="AL436">
            <v>5000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11000</v>
          </cell>
          <cell r="AS436">
            <v>3.88</v>
          </cell>
        </row>
        <row r="437">
          <cell r="P437">
            <v>7</v>
          </cell>
          <cell r="S437" t="str">
            <v xml:space="preserve"> </v>
          </cell>
        </row>
        <row r="438">
          <cell r="G438">
            <v>2427</v>
          </cell>
          <cell r="H438" t="str">
            <v>MR DUJARI RAJESH</v>
          </cell>
          <cell r="I438">
            <v>27501</v>
          </cell>
          <cell r="J438">
            <v>37216</v>
          </cell>
          <cell r="K438">
            <v>9777</v>
          </cell>
          <cell r="L438" t="str">
            <v>MA</v>
          </cell>
          <cell r="M438">
            <v>22</v>
          </cell>
          <cell r="O438" t="str">
            <v>MA</v>
          </cell>
          <cell r="P438">
            <v>1</v>
          </cell>
          <cell r="Q438" t="str">
            <v>Mumbai</v>
          </cell>
          <cell r="R438" t="str">
            <v>Ho</v>
          </cell>
          <cell r="S438" t="str">
            <v xml:space="preserve"> </v>
          </cell>
          <cell r="U438">
            <v>2001</v>
          </cell>
          <cell r="V438">
            <v>2850</v>
          </cell>
          <cell r="W438">
            <v>12000</v>
          </cell>
          <cell r="X438">
            <v>4000</v>
          </cell>
          <cell r="AA438">
            <v>500</v>
          </cell>
          <cell r="AB438">
            <v>150</v>
          </cell>
          <cell r="AC438">
            <v>850</v>
          </cell>
          <cell r="AE438">
            <v>1000</v>
          </cell>
          <cell r="AG438">
            <v>3250</v>
          </cell>
          <cell r="AH438">
            <v>21750</v>
          </cell>
          <cell r="AI438">
            <v>261000</v>
          </cell>
          <cell r="AJ438">
            <v>20000</v>
          </cell>
          <cell r="AK438">
            <v>25000</v>
          </cell>
          <cell r="AL438">
            <v>10000</v>
          </cell>
          <cell r="AQ438">
            <v>38880</v>
          </cell>
          <cell r="AR438">
            <v>354880</v>
          </cell>
        </row>
        <row r="439">
          <cell r="M439">
            <v>22</v>
          </cell>
          <cell r="P439">
            <v>1</v>
          </cell>
          <cell r="S439" t="str">
            <v xml:space="preserve"> </v>
          </cell>
          <cell r="U439">
            <v>2002</v>
          </cell>
          <cell r="W439">
            <v>12000</v>
          </cell>
          <cell r="X439">
            <v>6000</v>
          </cell>
          <cell r="Z439">
            <v>0</v>
          </cell>
          <cell r="AA439">
            <v>500</v>
          </cell>
          <cell r="AB439">
            <v>150</v>
          </cell>
          <cell r="AC439">
            <v>850</v>
          </cell>
          <cell r="AF439">
            <v>0</v>
          </cell>
          <cell r="AG439">
            <v>3250</v>
          </cell>
          <cell r="AH439">
            <v>22750</v>
          </cell>
          <cell r="AI439">
            <v>273000</v>
          </cell>
          <cell r="AJ439">
            <v>20000</v>
          </cell>
          <cell r="AK439">
            <v>25000</v>
          </cell>
          <cell r="AL439">
            <v>15000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38880</v>
          </cell>
          <cell r="AR439">
            <v>371880</v>
          </cell>
          <cell r="AS439">
            <v>0</v>
          </cell>
        </row>
        <row r="440">
          <cell r="P440">
            <v>1</v>
          </cell>
          <cell r="S440" t="str">
            <v xml:space="preserve"> </v>
          </cell>
          <cell r="U440" t="str">
            <v>DIFF.</v>
          </cell>
          <cell r="W440">
            <v>0</v>
          </cell>
          <cell r="X440">
            <v>2000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E440">
            <v>-1000</v>
          </cell>
          <cell r="AF440">
            <v>0</v>
          </cell>
          <cell r="AG440">
            <v>0</v>
          </cell>
          <cell r="AH440">
            <v>1000</v>
          </cell>
          <cell r="AI440">
            <v>12000</v>
          </cell>
          <cell r="AJ440">
            <v>0</v>
          </cell>
          <cell r="AK440">
            <v>0</v>
          </cell>
          <cell r="AL440">
            <v>5000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17000</v>
          </cell>
          <cell r="AS440">
            <v>4.79</v>
          </cell>
        </row>
        <row r="441">
          <cell r="P441">
            <v>1</v>
          </cell>
          <cell r="S441" t="str">
            <v xml:space="preserve"> </v>
          </cell>
        </row>
        <row r="442">
          <cell r="G442">
            <v>1442</v>
          </cell>
          <cell r="H442" t="str">
            <v>MR GUNASEKHARAN S</v>
          </cell>
          <cell r="I442">
            <v>19832</v>
          </cell>
          <cell r="J442">
            <v>29587</v>
          </cell>
          <cell r="K442">
            <v>17446</v>
          </cell>
          <cell r="L442" t="str">
            <v>MA</v>
          </cell>
          <cell r="M442">
            <v>23</v>
          </cell>
          <cell r="N442" t="str">
            <v>A5</v>
          </cell>
          <cell r="O442" t="str">
            <v>MAM</v>
          </cell>
          <cell r="P442">
            <v>7</v>
          </cell>
          <cell r="Q442" t="str">
            <v>Other Locations</v>
          </cell>
          <cell r="R442" t="str">
            <v>Trichy (Tn)</v>
          </cell>
          <cell r="S442" t="str">
            <v xml:space="preserve"> </v>
          </cell>
          <cell r="T442" t="str">
            <v>BA</v>
          </cell>
          <cell r="U442">
            <v>2001</v>
          </cell>
          <cell r="V442">
            <v>51500</v>
          </cell>
          <cell r="W442">
            <v>14500</v>
          </cell>
          <cell r="X442">
            <v>5100</v>
          </cell>
          <cell r="AA442">
            <v>500</v>
          </cell>
          <cell r="AB442">
            <v>150</v>
          </cell>
          <cell r="AC442">
            <v>1000</v>
          </cell>
          <cell r="AE442">
            <v>0</v>
          </cell>
          <cell r="AG442">
            <v>4000</v>
          </cell>
          <cell r="AH442">
            <v>25250</v>
          </cell>
          <cell r="AI442">
            <v>303000</v>
          </cell>
          <cell r="AJ442">
            <v>25000</v>
          </cell>
          <cell r="AK442">
            <v>50000</v>
          </cell>
          <cell r="AL442">
            <v>10000</v>
          </cell>
          <cell r="AO442">
            <v>10000</v>
          </cell>
          <cell r="AQ442">
            <v>46980</v>
          </cell>
          <cell r="AR442">
            <v>444980</v>
          </cell>
        </row>
        <row r="443">
          <cell r="M443">
            <v>23</v>
          </cell>
          <cell r="N443" t="str">
            <v>A5</v>
          </cell>
          <cell r="P443">
            <v>7</v>
          </cell>
          <cell r="S443" t="str">
            <v xml:space="preserve"> </v>
          </cell>
          <cell r="U443">
            <v>2002</v>
          </cell>
          <cell r="W443">
            <v>16800</v>
          </cell>
          <cell r="X443">
            <v>6500</v>
          </cell>
          <cell r="Z443">
            <v>0</v>
          </cell>
          <cell r="AA443">
            <v>500</v>
          </cell>
          <cell r="AB443">
            <v>150</v>
          </cell>
          <cell r="AC443">
            <v>1000</v>
          </cell>
          <cell r="AF443">
            <v>0</v>
          </cell>
          <cell r="AG443">
            <v>4000</v>
          </cell>
          <cell r="AH443">
            <v>28950</v>
          </cell>
          <cell r="AI443">
            <v>347400</v>
          </cell>
          <cell r="AJ443">
            <v>25000</v>
          </cell>
          <cell r="AK443">
            <v>50000</v>
          </cell>
          <cell r="AL443">
            <v>15000</v>
          </cell>
          <cell r="AM443">
            <v>0</v>
          </cell>
          <cell r="AN443">
            <v>0</v>
          </cell>
          <cell r="AO443">
            <v>10000</v>
          </cell>
          <cell r="AP443">
            <v>0</v>
          </cell>
          <cell r="AQ443">
            <v>54432</v>
          </cell>
          <cell r="AR443">
            <v>501832</v>
          </cell>
          <cell r="AS443">
            <v>0</v>
          </cell>
        </row>
        <row r="444">
          <cell r="P444">
            <v>7</v>
          </cell>
          <cell r="S444" t="str">
            <v xml:space="preserve"> </v>
          </cell>
          <cell r="U444" t="str">
            <v>DIFF.</v>
          </cell>
          <cell r="W444">
            <v>2300</v>
          </cell>
          <cell r="X444">
            <v>1400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3700</v>
          </cell>
          <cell r="AI444">
            <v>44400</v>
          </cell>
          <cell r="AJ444">
            <v>0</v>
          </cell>
          <cell r="AK444">
            <v>0</v>
          </cell>
          <cell r="AL444">
            <v>5000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7452</v>
          </cell>
          <cell r="AR444">
            <v>56852</v>
          </cell>
          <cell r="AS444">
            <v>12.78</v>
          </cell>
        </row>
        <row r="445">
          <cell r="P445">
            <v>7</v>
          </cell>
          <cell r="S445" t="str">
            <v xml:space="preserve"> </v>
          </cell>
        </row>
        <row r="446">
          <cell r="G446">
            <v>1501</v>
          </cell>
          <cell r="H446" t="str">
            <v>MR MANOHARAN G P</v>
          </cell>
          <cell r="I446">
            <v>20015</v>
          </cell>
          <cell r="J446">
            <v>29587</v>
          </cell>
          <cell r="K446">
            <v>17263</v>
          </cell>
          <cell r="L446" t="str">
            <v>MA</v>
          </cell>
          <cell r="M446">
            <v>23</v>
          </cell>
          <cell r="N446" t="str">
            <v>A5</v>
          </cell>
          <cell r="O446" t="str">
            <v>MAM</v>
          </cell>
          <cell r="P446">
            <v>7</v>
          </cell>
          <cell r="Q446" t="str">
            <v>Other Locations</v>
          </cell>
          <cell r="R446" t="str">
            <v>Coimbatore (Tn)</v>
          </cell>
          <cell r="S446" t="str">
            <v xml:space="preserve"> </v>
          </cell>
          <cell r="T446" t="str">
            <v>BA</v>
          </cell>
          <cell r="U446">
            <v>2001</v>
          </cell>
          <cell r="V446">
            <v>51500</v>
          </cell>
          <cell r="W446">
            <v>14250</v>
          </cell>
          <cell r="X446">
            <v>5000</v>
          </cell>
          <cell r="AA446">
            <v>500</v>
          </cell>
          <cell r="AB446">
            <v>150</v>
          </cell>
          <cell r="AC446">
            <v>1000</v>
          </cell>
          <cell r="AE446">
            <v>0</v>
          </cell>
          <cell r="AG446">
            <v>4000</v>
          </cell>
          <cell r="AH446">
            <v>24900</v>
          </cell>
          <cell r="AI446">
            <v>298800</v>
          </cell>
          <cell r="AJ446">
            <v>25000</v>
          </cell>
          <cell r="AK446">
            <v>50000</v>
          </cell>
          <cell r="AL446">
            <v>10000</v>
          </cell>
          <cell r="AO446">
            <v>10000</v>
          </cell>
          <cell r="AQ446">
            <v>46170</v>
          </cell>
          <cell r="AR446">
            <v>439970</v>
          </cell>
        </row>
        <row r="447">
          <cell r="M447">
            <v>23</v>
          </cell>
          <cell r="N447" t="str">
            <v>A5</v>
          </cell>
          <cell r="P447">
            <v>7</v>
          </cell>
          <cell r="S447" t="str">
            <v xml:space="preserve"> </v>
          </cell>
          <cell r="U447">
            <v>2002</v>
          </cell>
          <cell r="W447">
            <v>16550</v>
          </cell>
          <cell r="X447">
            <v>6500</v>
          </cell>
          <cell r="Z447">
            <v>0</v>
          </cell>
          <cell r="AA447">
            <v>500</v>
          </cell>
          <cell r="AB447">
            <v>150</v>
          </cell>
          <cell r="AC447">
            <v>1000</v>
          </cell>
          <cell r="AF447">
            <v>0</v>
          </cell>
          <cell r="AG447">
            <v>4000</v>
          </cell>
          <cell r="AH447">
            <v>28700</v>
          </cell>
          <cell r="AI447">
            <v>344400</v>
          </cell>
          <cell r="AJ447">
            <v>25000</v>
          </cell>
          <cell r="AK447">
            <v>50000</v>
          </cell>
          <cell r="AL447">
            <v>15000</v>
          </cell>
          <cell r="AM447">
            <v>0</v>
          </cell>
          <cell r="AN447">
            <v>0</v>
          </cell>
          <cell r="AO447">
            <v>10000</v>
          </cell>
          <cell r="AP447">
            <v>0</v>
          </cell>
          <cell r="AQ447">
            <v>53622</v>
          </cell>
          <cell r="AR447">
            <v>498022</v>
          </cell>
          <cell r="AS447">
            <v>0</v>
          </cell>
        </row>
        <row r="448">
          <cell r="P448">
            <v>7</v>
          </cell>
          <cell r="S448" t="str">
            <v xml:space="preserve"> </v>
          </cell>
          <cell r="U448" t="str">
            <v>DIFF.</v>
          </cell>
          <cell r="W448">
            <v>2300</v>
          </cell>
          <cell r="X448">
            <v>1500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3800</v>
          </cell>
          <cell r="AI448">
            <v>45600</v>
          </cell>
          <cell r="AJ448">
            <v>0</v>
          </cell>
          <cell r="AK448">
            <v>0</v>
          </cell>
          <cell r="AL448">
            <v>5000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7452</v>
          </cell>
          <cell r="AR448">
            <v>58052</v>
          </cell>
          <cell r="AS448">
            <v>13.19</v>
          </cell>
        </row>
        <row r="449">
          <cell r="P449">
            <v>7</v>
          </cell>
          <cell r="S449" t="str">
            <v xml:space="preserve"> </v>
          </cell>
        </row>
        <row r="450">
          <cell r="G450">
            <v>1623</v>
          </cell>
          <cell r="H450" t="str">
            <v>MR CHITNIS A</v>
          </cell>
          <cell r="I450">
            <v>20767</v>
          </cell>
          <cell r="J450">
            <v>30895</v>
          </cell>
          <cell r="K450">
            <v>16511</v>
          </cell>
          <cell r="L450" t="str">
            <v>MA</v>
          </cell>
          <cell r="M450">
            <v>23</v>
          </cell>
          <cell r="N450" t="str">
            <v>A5</v>
          </cell>
          <cell r="O450" t="str">
            <v>MAM</v>
          </cell>
          <cell r="P450">
            <v>7</v>
          </cell>
          <cell r="Q450" t="str">
            <v>Other Locations</v>
          </cell>
          <cell r="R450" t="str">
            <v>Solapur (Maharashtra)</v>
          </cell>
          <cell r="S450" t="str">
            <v xml:space="preserve"> </v>
          </cell>
          <cell r="T450" t="str">
            <v>BA</v>
          </cell>
          <cell r="U450">
            <v>2001</v>
          </cell>
          <cell r="V450">
            <v>51500</v>
          </cell>
          <cell r="W450">
            <v>12498</v>
          </cell>
          <cell r="X450">
            <v>4350</v>
          </cell>
          <cell r="AA450">
            <v>500</v>
          </cell>
          <cell r="AB450">
            <v>150</v>
          </cell>
          <cell r="AC450">
            <v>0</v>
          </cell>
          <cell r="AD450" t="str">
            <v>CV</v>
          </cell>
          <cell r="AE450">
            <v>0</v>
          </cell>
          <cell r="AG450">
            <v>4000</v>
          </cell>
          <cell r="AH450">
            <v>21498</v>
          </cell>
          <cell r="AI450">
            <v>257976</v>
          </cell>
          <cell r="AJ450">
            <v>25000</v>
          </cell>
          <cell r="AK450">
            <v>50000</v>
          </cell>
          <cell r="AL450">
            <v>10000</v>
          </cell>
          <cell r="AO450">
            <v>10000</v>
          </cell>
          <cell r="AQ450">
            <v>40494</v>
          </cell>
          <cell r="AR450">
            <v>393470</v>
          </cell>
        </row>
        <row r="451">
          <cell r="M451">
            <v>23</v>
          </cell>
          <cell r="N451" t="str">
            <v>A5</v>
          </cell>
          <cell r="P451">
            <v>7</v>
          </cell>
          <cell r="S451" t="str">
            <v xml:space="preserve"> </v>
          </cell>
          <cell r="U451">
            <v>2002</v>
          </cell>
          <cell r="W451">
            <v>14798</v>
          </cell>
          <cell r="X451">
            <v>6500</v>
          </cell>
          <cell r="Z451">
            <v>0</v>
          </cell>
          <cell r="AA451">
            <v>500</v>
          </cell>
          <cell r="AB451">
            <v>150</v>
          </cell>
          <cell r="AC451">
            <v>0</v>
          </cell>
          <cell r="AF451">
            <v>0</v>
          </cell>
          <cell r="AG451">
            <v>4000</v>
          </cell>
          <cell r="AH451">
            <v>25948</v>
          </cell>
          <cell r="AI451">
            <v>311376</v>
          </cell>
          <cell r="AJ451">
            <v>25000</v>
          </cell>
          <cell r="AK451">
            <v>50000</v>
          </cell>
          <cell r="AL451">
            <v>15000</v>
          </cell>
          <cell r="AM451">
            <v>0</v>
          </cell>
          <cell r="AN451">
            <v>0</v>
          </cell>
          <cell r="AO451">
            <v>10000</v>
          </cell>
          <cell r="AP451">
            <v>0</v>
          </cell>
          <cell r="AQ451">
            <v>47946</v>
          </cell>
          <cell r="AR451">
            <v>459322</v>
          </cell>
          <cell r="AS451">
            <v>0</v>
          </cell>
        </row>
        <row r="452">
          <cell r="P452">
            <v>7</v>
          </cell>
          <cell r="S452" t="str">
            <v xml:space="preserve"> </v>
          </cell>
          <cell r="U452" t="str">
            <v>DIFF.</v>
          </cell>
          <cell r="W452">
            <v>2300</v>
          </cell>
          <cell r="X452">
            <v>2150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4450</v>
          </cell>
          <cell r="AI452">
            <v>53400</v>
          </cell>
          <cell r="AJ452">
            <v>0</v>
          </cell>
          <cell r="AK452">
            <v>0</v>
          </cell>
          <cell r="AL452">
            <v>5000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7452</v>
          </cell>
          <cell r="AR452">
            <v>65852</v>
          </cell>
          <cell r="AS452">
            <v>16.739999999999998</v>
          </cell>
        </row>
        <row r="453">
          <cell r="P453">
            <v>7</v>
          </cell>
          <cell r="S453" t="str">
            <v xml:space="preserve"> </v>
          </cell>
        </row>
        <row r="454">
          <cell r="G454">
            <v>1649</v>
          </cell>
          <cell r="H454" t="str">
            <v>MR RAWAT H S</v>
          </cell>
          <cell r="I454">
            <v>20271</v>
          </cell>
          <cell r="J454">
            <v>31107</v>
          </cell>
          <cell r="K454">
            <v>17007</v>
          </cell>
          <cell r="L454" t="str">
            <v>MA</v>
          </cell>
          <cell r="M454">
            <v>23</v>
          </cell>
          <cell r="N454" t="str">
            <v>A6</v>
          </cell>
          <cell r="O454" t="str">
            <v>MAM</v>
          </cell>
          <cell r="P454">
            <v>7</v>
          </cell>
          <cell r="Q454" t="str">
            <v>Other Locations</v>
          </cell>
          <cell r="R454" t="str">
            <v>Lucknow (Up)</v>
          </cell>
          <cell r="S454" t="str">
            <v xml:space="preserve"> </v>
          </cell>
          <cell r="T454" t="str">
            <v>CA</v>
          </cell>
          <cell r="U454">
            <v>2001</v>
          </cell>
          <cell r="V454">
            <v>43500</v>
          </cell>
          <cell r="W454">
            <v>13043</v>
          </cell>
          <cell r="X454">
            <v>4550</v>
          </cell>
          <cell r="AA454">
            <v>500</v>
          </cell>
          <cell r="AB454">
            <v>150</v>
          </cell>
          <cell r="AC454">
            <v>0</v>
          </cell>
          <cell r="AD454" t="str">
            <v>CV</v>
          </cell>
          <cell r="AE454">
            <v>0</v>
          </cell>
          <cell r="AF454">
            <v>500</v>
          </cell>
          <cell r="AG454">
            <v>4000</v>
          </cell>
          <cell r="AH454">
            <v>22743</v>
          </cell>
          <cell r="AI454">
            <v>272916</v>
          </cell>
          <cell r="AJ454">
            <v>25000</v>
          </cell>
          <cell r="AK454">
            <v>50000</v>
          </cell>
          <cell r="AL454">
            <v>10000</v>
          </cell>
          <cell r="AM454">
            <v>0</v>
          </cell>
          <cell r="AN454">
            <v>0</v>
          </cell>
          <cell r="AO454">
            <v>10000</v>
          </cell>
          <cell r="AP454">
            <v>0</v>
          </cell>
          <cell r="AQ454">
            <v>42259</v>
          </cell>
          <cell r="AR454">
            <v>410175</v>
          </cell>
          <cell r="AS454">
            <v>0</v>
          </cell>
        </row>
        <row r="455">
          <cell r="M455">
            <v>23</v>
          </cell>
          <cell r="N455" t="str">
            <v>A6</v>
          </cell>
          <cell r="P455">
            <v>7</v>
          </cell>
          <cell r="S455" t="str">
            <v xml:space="preserve"> </v>
          </cell>
          <cell r="U455">
            <v>2002</v>
          </cell>
          <cell r="W455">
            <v>14693</v>
          </cell>
          <cell r="X455">
            <v>6500</v>
          </cell>
          <cell r="Z455">
            <v>0</v>
          </cell>
          <cell r="AA455">
            <v>500</v>
          </cell>
          <cell r="AB455">
            <v>150</v>
          </cell>
          <cell r="AC455">
            <v>0</v>
          </cell>
          <cell r="AF455">
            <v>500</v>
          </cell>
          <cell r="AG455">
            <v>4000</v>
          </cell>
          <cell r="AH455">
            <v>26343</v>
          </cell>
          <cell r="AI455">
            <v>316116</v>
          </cell>
          <cell r="AJ455">
            <v>25000</v>
          </cell>
          <cell r="AK455">
            <v>50000</v>
          </cell>
          <cell r="AL455">
            <v>15000</v>
          </cell>
          <cell r="AM455">
            <v>0</v>
          </cell>
          <cell r="AN455">
            <v>0</v>
          </cell>
          <cell r="AO455">
            <v>10000</v>
          </cell>
          <cell r="AP455">
            <v>0</v>
          </cell>
          <cell r="AQ455">
            <v>47605</v>
          </cell>
          <cell r="AR455">
            <v>463721</v>
          </cell>
          <cell r="AS455">
            <v>0</v>
          </cell>
        </row>
        <row r="456">
          <cell r="P456">
            <v>7</v>
          </cell>
          <cell r="S456" t="str">
            <v xml:space="preserve"> </v>
          </cell>
          <cell r="U456" t="str">
            <v>DIFF.</v>
          </cell>
          <cell r="W456">
            <v>1650</v>
          </cell>
          <cell r="X456">
            <v>1950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3600</v>
          </cell>
          <cell r="AI456">
            <v>43200</v>
          </cell>
          <cell r="AJ456">
            <v>0</v>
          </cell>
          <cell r="AK456">
            <v>0</v>
          </cell>
          <cell r="AL456">
            <v>5000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5346</v>
          </cell>
          <cell r="AR456">
            <v>53546</v>
          </cell>
          <cell r="AS456">
            <v>13.05</v>
          </cell>
        </row>
        <row r="457">
          <cell r="P457">
            <v>7</v>
          </cell>
          <cell r="S457" t="str">
            <v xml:space="preserve"> </v>
          </cell>
        </row>
        <row r="458">
          <cell r="G458">
            <v>1698</v>
          </cell>
          <cell r="H458" t="str">
            <v>MR DESHMUKH A R</v>
          </cell>
          <cell r="I458">
            <v>20784</v>
          </cell>
          <cell r="J458">
            <v>31565</v>
          </cell>
          <cell r="K458">
            <v>16494</v>
          </cell>
          <cell r="L458" t="str">
            <v>MA</v>
          </cell>
          <cell r="M458">
            <v>23</v>
          </cell>
          <cell r="N458" t="str">
            <v>A5</v>
          </cell>
          <cell r="O458" t="str">
            <v>MAT</v>
          </cell>
          <cell r="P458">
            <v>7</v>
          </cell>
          <cell r="Q458" t="str">
            <v>Other Locations</v>
          </cell>
          <cell r="R458" t="str">
            <v>Yavatmal (Maharashtra)</v>
          </cell>
          <cell r="S458" t="str">
            <v xml:space="preserve"> </v>
          </cell>
          <cell r="T458" t="str">
            <v>CL</v>
          </cell>
          <cell r="U458">
            <v>2001</v>
          </cell>
          <cell r="V458">
            <v>43500</v>
          </cell>
          <cell r="W458">
            <v>14701</v>
          </cell>
          <cell r="X458">
            <v>5150</v>
          </cell>
          <cell r="AA458">
            <v>500</v>
          </cell>
          <cell r="AB458">
            <v>150</v>
          </cell>
          <cell r="AC458">
            <v>0</v>
          </cell>
          <cell r="AD458" t="str">
            <v>CV</v>
          </cell>
          <cell r="AE458">
            <v>0</v>
          </cell>
          <cell r="AG458">
            <v>4000</v>
          </cell>
          <cell r="AH458">
            <v>24501</v>
          </cell>
          <cell r="AI458">
            <v>294012</v>
          </cell>
          <cell r="AJ458">
            <v>25000</v>
          </cell>
          <cell r="AK458">
            <v>50000</v>
          </cell>
          <cell r="AL458">
            <v>10000</v>
          </cell>
          <cell r="AO458">
            <v>10000</v>
          </cell>
          <cell r="AQ458">
            <v>47631</v>
          </cell>
          <cell r="AR458">
            <v>436643</v>
          </cell>
        </row>
        <row r="459">
          <cell r="M459">
            <v>23</v>
          </cell>
          <cell r="N459" t="str">
            <v>A5</v>
          </cell>
          <cell r="P459">
            <v>7</v>
          </cell>
          <cell r="S459" t="str">
            <v xml:space="preserve"> </v>
          </cell>
          <cell r="U459">
            <v>2002</v>
          </cell>
          <cell r="W459">
            <v>16201</v>
          </cell>
          <cell r="X459">
            <v>6500</v>
          </cell>
          <cell r="Z459">
            <v>0</v>
          </cell>
          <cell r="AA459">
            <v>500</v>
          </cell>
          <cell r="AB459">
            <v>150</v>
          </cell>
          <cell r="AC459">
            <v>0</v>
          </cell>
          <cell r="AF459">
            <v>0</v>
          </cell>
          <cell r="AG459">
            <v>4000</v>
          </cell>
          <cell r="AH459">
            <v>27351</v>
          </cell>
          <cell r="AI459">
            <v>328212</v>
          </cell>
          <cell r="AJ459">
            <v>25000</v>
          </cell>
          <cell r="AK459">
            <v>50000</v>
          </cell>
          <cell r="AL459">
            <v>15000</v>
          </cell>
          <cell r="AM459">
            <v>0</v>
          </cell>
          <cell r="AN459">
            <v>0</v>
          </cell>
          <cell r="AO459">
            <v>10000</v>
          </cell>
          <cell r="AP459">
            <v>0</v>
          </cell>
          <cell r="AQ459">
            <v>52491</v>
          </cell>
          <cell r="AR459">
            <v>480703</v>
          </cell>
          <cell r="AS459">
            <v>0</v>
          </cell>
        </row>
        <row r="460">
          <cell r="P460">
            <v>7</v>
          </cell>
          <cell r="S460" t="str">
            <v xml:space="preserve"> </v>
          </cell>
          <cell r="U460" t="str">
            <v>DIFF.</v>
          </cell>
          <cell r="W460">
            <v>1500</v>
          </cell>
          <cell r="X460">
            <v>1350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2850</v>
          </cell>
          <cell r="AI460">
            <v>34200</v>
          </cell>
          <cell r="AJ460">
            <v>0</v>
          </cell>
          <cell r="AK460">
            <v>0</v>
          </cell>
          <cell r="AL460">
            <v>5000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4860</v>
          </cell>
          <cell r="AR460">
            <v>44060</v>
          </cell>
          <cell r="AS460">
            <v>10.09</v>
          </cell>
        </row>
        <row r="461">
          <cell r="P461">
            <v>7</v>
          </cell>
          <cell r="S461" t="str">
            <v xml:space="preserve"> </v>
          </cell>
        </row>
        <row r="462">
          <cell r="G462">
            <v>1893</v>
          </cell>
          <cell r="H462" t="str">
            <v>MR JYOTHISH M E</v>
          </cell>
          <cell r="I462">
            <v>24382</v>
          </cell>
          <cell r="J462">
            <v>33786</v>
          </cell>
          <cell r="K462">
            <v>12896</v>
          </cell>
          <cell r="L462" t="str">
            <v>MA</v>
          </cell>
          <cell r="M462">
            <v>23</v>
          </cell>
          <cell r="N462" t="str">
            <v>A5</v>
          </cell>
          <cell r="O462" t="str">
            <v>MAM</v>
          </cell>
          <cell r="P462">
            <v>7</v>
          </cell>
          <cell r="Q462" t="str">
            <v>Other Locations</v>
          </cell>
          <cell r="R462" t="str">
            <v>Bangalore</v>
          </cell>
          <cell r="S462" t="str">
            <v xml:space="preserve"> </v>
          </cell>
          <cell r="T462" t="str">
            <v>BP</v>
          </cell>
          <cell r="U462">
            <v>2001</v>
          </cell>
          <cell r="V462">
            <v>51500</v>
          </cell>
          <cell r="W462">
            <v>13000</v>
          </cell>
          <cell r="X462">
            <v>4550</v>
          </cell>
          <cell r="AA462">
            <v>500</v>
          </cell>
          <cell r="AB462">
            <v>150</v>
          </cell>
          <cell r="AC462">
            <v>1000</v>
          </cell>
          <cell r="AE462">
            <v>0</v>
          </cell>
          <cell r="AG462">
            <v>4000</v>
          </cell>
          <cell r="AH462">
            <v>23200</v>
          </cell>
          <cell r="AI462">
            <v>278400</v>
          </cell>
          <cell r="AJ462">
            <v>25000</v>
          </cell>
          <cell r="AK462">
            <v>50000</v>
          </cell>
          <cell r="AL462">
            <v>10000</v>
          </cell>
          <cell r="AO462">
            <v>10000</v>
          </cell>
          <cell r="AQ462">
            <v>42120</v>
          </cell>
          <cell r="AR462">
            <v>415520</v>
          </cell>
        </row>
        <row r="463">
          <cell r="M463">
            <v>23</v>
          </cell>
          <cell r="N463" t="str">
            <v>A5</v>
          </cell>
          <cell r="P463">
            <v>7</v>
          </cell>
          <cell r="S463" t="str">
            <v xml:space="preserve"> </v>
          </cell>
          <cell r="U463">
            <v>2002</v>
          </cell>
          <cell r="W463">
            <v>15700</v>
          </cell>
          <cell r="X463">
            <v>6500</v>
          </cell>
          <cell r="Z463">
            <v>0</v>
          </cell>
          <cell r="AA463">
            <v>500</v>
          </cell>
          <cell r="AB463">
            <v>150</v>
          </cell>
          <cell r="AC463">
            <v>1000</v>
          </cell>
          <cell r="AF463">
            <v>0</v>
          </cell>
          <cell r="AG463">
            <v>4000</v>
          </cell>
          <cell r="AH463">
            <v>27850</v>
          </cell>
          <cell r="AI463">
            <v>334200</v>
          </cell>
          <cell r="AJ463">
            <v>25000</v>
          </cell>
          <cell r="AK463">
            <v>50000</v>
          </cell>
          <cell r="AL463">
            <v>15000</v>
          </cell>
          <cell r="AM463">
            <v>0</v>
          </cell>
          <cell r="AN463">
            <v>0</v>
          </cell>
          <cell r="AO463">
            <v>10000</v>
          </cell>
          <cell r="AP463">
            <v>0</v>
          </cell>
          <cell r="AQ463">
            <v>50868</v>
          </cell>
          <cell r="AR463">
            <v>485068</v>
          </cell>
          <cell r="AS463">
            <v>0</v>
          </cell>
        </row>
        <row r="464">
          <cell r="P464">
            <v>7</v>
          </cell>
          <cell r="S464" t="str">
            <v xml:space="preserve"> </v>
          </cell>
          <cell r="U464" t="str">
            <v>DIFF.</v>
          </cell>
          <cell r="W464">
            <v>2700</v>
          </cell>
          <cell r="X464">
            <v>1950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4650</v>
          </cell>
          <cell r="AI464">
            <v>55800</v>
          </cell>
          <cell r="AJ464">
            <v>0</v>
          </cell>
          <cell r="AK464">
            <v>0</v>
          </cell>
          <cell r="AL464">
            <v>5000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8748</v>
          </cell>
          <cell r="AR464">
            <v>69548</v>
          </cell>
          <cell r="AS464">
            <v>16.739999999999998</v>
          </cell>
        </row>
        <row r="465">
          <cell r="P465">
            <v>7</v>
          </cell>
          <cell r="S465" t="str">
            <v xml:space="preserve"> </v>
          </cell>
        </row>
        <row r="466">
          <cell r="G466">
            <v>2010</v>
          </cell>
          <cell r="H466" t="str">
            <v>MR KADLASKAR S G</v>
          </cell>
          <cell r="I466">
            <v>22707</v>
          </cell>
          <cell r="J466">
            <v>34883</v>
          </cell>
          <cell r="K466">
            <v>14571</v>
          </cell>
          <cell r="L466" t="str">
            <v>MA</v>
          </cell>
          <cell r="M466">
            <v>23</v>
          </cell>
          <cell r="N466" t="str">
            <v>A6</v>
          </cell>
          <cell r="O466" t="str">
            <v>MAM</v>
          </cell>
          <cell r="P466">
            <v>7</v>
          </cell>
          <cell r="Q466" t="str">
            <v>Other Locations</v>
          </cell>
          <cell r="R466" t="str">
            <v>Akola (Maharashtra)</v>
          </cell>
          <cell r="S466" t="str">
            <v xml:space="preserve"> </v>
          </cell>
          <cell r="T466" t="str">
            <v>CA</v>
          </cell>
          <cell r="U466">
            <v>2001</v>
          </cell>
          <cell r="V466">
            <v>43500</v>
          </cell>
          <cell r="W466">
            <v>13130</v>
          </cell>
          <cell r="X466">
            <v>4600</v>
          </cell>
          <cell r="AA466">
            <v>500</v>
          </cell>
          <cell r="AB466">
            <v>150</v>
          </cell>
          <cell r="AC466">
            <v>0</v>
          </cell>
          <cell r="AD466" t="str">
            <v>CV</v>
          </cell>
          <cell r="AE466">
            <v>0</v>
          </cell>
          <cell r="AF466">
            <v>500</v>
          </cell>
          <cell r="AG466">
            <v>4000</v>
          </cell>
          <cell r="AH466">
            <v>22880</v>
          </cell>
          <cell r="AI466">
            <v>274560</v>
          </cell>
          <cell r="AJ466">
            <v>25000</v>
          </cell>
          <cell r="AK466">
            <v>50000</v>
          </cell>
          <cell r="AL466">
            <v>10000</v>
          </cell>
          <cell r="AM466">
            <v>0</v>
          </cell>
          <cell r="AN466">
            <v>0</v>
          </cell>
          <cell r="AO466">
            <v>10000</v>
          </cell>
          <cell r="AP466">
            <v>0</v>
          </cell>
          <cell r="AQ466">
            <v>42541</v>
          </cell>
          <cell r="AR466">
            <v>412101</v>
          </cell>
          <cell r="AS466">
            <v>0</v>
          </cell>
        </row>
        <row r="467">
          <cell r="M467">
            <v>23</v>
          </cell>
          <cell r="N467" t="str">
            <v>A6</v>
          </cell>
          <cell r="P467">
            <v>7</v>
          </cell>
          <cell r="S467" t="str">
            <v xml:space="preserve"> </v>
          </cell>
          <cell r="U467">
            <v>2002</v>
          </cell>
          <cell r="W467">
            <v>14780</v>
          </cell>
          <cell r="X467">
            <v>6500</v>
          </cell>
          <cell r="Z467">
            <v>0</v>
          </cell>
          <cell r="AA467">
            <v>500</v>
          </cell>
          <cell r="AB467">
            <v>150</v>
          </cell>
          <cell r="AC467">
            <v>0</v>
          </cell>
          <cell r="AF467">
            <v>500</v>
          </cell>
          <cell r="AG467">
            <v>4000</v>
          </cell>
          <cell r="AH467">
            <v>26430</v>
          </cell>
          <cell r="AI467">
            <v>317160</v>
          </cell>
          <cell r="AJ467">
            <v>25000</v>
          </cell>
          <cell r="AK467">
            <v>50000</v>
          </cell>
          <cell r="AL467">
            <v>15000</v>
          </cell>
          <cell r="AM467">
            <v>0</v>
          </cell>
          <cell r="AN467">
            <v>0</v>
          </cell>
          <cell r="AO467">
            <v>10000</v>
          </cell>
          <cell r="AP467">
            <v>0</v>
          </cell>
          <cell r="AQ467">
            <v>47887</v>
          </cell>
          <cell r="AR467">
            <v>465047</v>
          </cell>
          <cell r="AS467">
            <v>0</v>
          </cell>
        </row>
        <row r="468">
          <cell r="P468">
            <v>7</v>
          </cell>
          <cell r="S468" t="str">
            <v xml:space="preserve"> </v>
          </cell>
          <cell r="U468" t="str">
            <v>DIFF.</v>
          </cell>
          <cell r="W468">
            <v>1650</v>
          </cell>
          <cell r="X468">
            <v>1900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3550</v>
          </cell>
          <cell r="AI468">
            <v>42600</v>
          </cell>
          <cell r="AJ468">
            <v>0</v>
          </cell>
          <cell r="AK468">
            <v>0</v>
          </cell>
          <cell r="AL468">
            <v>5000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5346</v>
          </cell>
          <cell r="AR468">
            <v>52946</v>
          </cell>
          <cell r="AS468">
            <v>12.85</v>
          </cell>
        </row>
        <row r="469">
          <cell r="P469">
            <v>7</v>
          </cell>
          <cell r="S469" t="str">
            <v xml:space="preserve"> </v>
          </cell>
        </row>
        <row r="470">
          <cell r="G470">
            <v>2098</v>
          </cell>
          <cell r="H470" t="str">
            <v>MR SHARMA S</v>
          </cell>
          <cell r="I470">
            <v>24870</v>
          </cell>
          <cell r="J470">
            <v>35401</v>
          </cell>
          <cell r="K470">
            <v>12408</v>
          </cell>
          <cell r="L470" t="str">
            <v>MA</v>
          </cell>
          <cell r="M470">
            <v>23</v>
          </cell>
          <cell r="N470" t="str">
            <v>A6</v>
          </cell>
          <cell r="O470" t="str">
            <v>MAM</v>
          </cell>
          <cell r="P470">
            <v>7</v>
          </cell>
          <cell r="Q470" t="str">
            <v>Other Locations</v>
          </cell>
          <cell r="R470" t="str">
            <v>Indore</v>
          </cell>
          <cell r="S470" t="str">
            <v xml:space="preserve"> </v>
          </cell>
          <cell r="T470" t="str">
            <v>BP</v>
          </cell>
          <cell r="U470">
            <v>2001</v>
          </cell>
          <cell r="V470">
            <v>51500</v>
          </cell>
          <cell r="W470">
            <v>14453</v>
          </cell>
          <cell r="X470">
            <v>5050</v>
          </cell>
          <cell r="Y470" t="str">
            <v>E</v>
          </cell>
          <cell r="AA470">
            <v>500</v>
          </cell>
          <cell r="AB470">
            <v>150</v>
          </cell>
          <cell r="AC470">
            <v>0</v>
          </cell>
          <cell r="AD470" t="str">
            <v>CV</v>
          </cell>
          <cell r="AE470">
            <v>0</v>
          </cell>
          <cell r="AF470">
            <v>500</v>
          </cell>
          <cell r="AG470">
            <v>4000</v>
          </cell>
          <cell r="AH470">
            <v>24653</v>
          </cell>
          <cell r="AI470">
            <v>295836</v>
          </cell>
          <cell r="AJ470">
            <v>25000</v>
          </cell>
          <cell r="AK470">
            <v>50000</v>
          </cell>
          <cell r="AL470">
            <v>10000</v>
          </cell>
          <cell r="AM470">
            <v>0</v>
          </cell>
          <cell r="AN470">
            <v>0</v>
          </cell>
          <cell r="AO470">
            <v>10000</v>
          </cell>
          <cell r="AP470">
            <v>0</v>
          </cell>
          <cell r="AQ470">
            <v>46828</v>
          </cell>
          <cell r="AR470">
            <v>437664</v>
          </cell>
          <cell r="AS470">
            <v>0</v>
          </cell>
        </row>
        <row r="471">
          <cell r="M471">
            <v>23</v>
          </cell>
          <cell r="N471" t="str">
            <v>A6</v>
          </cell>
          <cell r="P471">
            <v>7</v>
          </cell>
          <cell r="S471" t="str">
            <v xml:space="preserve"> </v>
          </cell>
          <cell r="U471">
            <v>2002</v>
          </cell>
          <cell r="W471">
            <v>17153</v>
          </cell>
          <cell r="X471">
            <v>6500</v>
          </cell>
          <cell r="Z471">
            <v>0</v>
          </cell>
          <cell r="AA471">
            <v>500</v>
          </cell>
          <cell r="AB471">
            <v>150</v>
          </cell>
          <cell r="AC471">
            <v>0</v>
          </cell>
          <cell r="AF471">
            <v>500</v>
          </cell>
          <cell r="AG471">
            <v>4000</v>
          </cell>
          <cell r="AH471">
            <v>28803</v>
          </cell>
          <cell r="AI471">
            <v>345636</v>
          </cell>
          <cell r="AJ471">
            <v>25000</v>
          </cell>
          <cell r="AK471">
            <v>50000</v>
          </cell>
          <cell r="AL471">
            <v>15000</v>
          </cell>
          <cell r="AM471">
            <v>0</v>
          </cell>
          <cell r="AN471">
            <v>0</v>
          </cell>
          <cell r="AO471">
            <v>10000</v>
          </cell>
          <cell r="AP471">
            <v>0</v>
          </cell>
          <cell r="AQ471">
            <v>55576</v>
          </cell>
          <cell r="AR471">
            <v>501212</v>
          </cell>
          <cell r="AS471">
            <v>0</v>
          </cell>
        </row>
        <row r="472">
          <cell r="P472">
            <v>7</v>
          </cell>
          <cell r="S472" t="str">
            <v xml:space="preserve"> </v>
          </cell>
          <cell r="U472" t="str">
            <v>DIFF.</v>
          </cell>
          <cell r="W472">
            <v>2700</v>
          </cell>
          <cell r="X472">
            <v>1450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4150</v>
          </cell>
          <cell r="AI472">
            <v>49800</v>
          </cell>
          <cell r="AJ472">
            <v>0</v>
          </cell>
          <cell r="AK472">
            <v>0</v>
          </cell>
          <cell r="AL472">
            <v>5000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8748</v>
          </cell>
          <cell r="AR472">
            <v>63548</v>
          </cell>
          <cell r="AS472">
            <v>14.52</v>
          </cell>
        </row>
        <row r="473">
          <cell r="P473">
            <v>7</v>
          </cell>
          <cell r="S473" t="str">
            <v xml:space="preserve"> </v>
          </cell>
        </row>
        <row r="474">
          <cell r="G474">
            <v>2122</v>
          </cell>
          <cell r="H474" t="str">
            <v xml:space="preserve">MR VASANTHKUMAR T T </v>
          </cell>
          <cell r="I474">
            <v>26565</v>
          </cell>
          <cell r="J474">
            <v>36130</v>
          </cell>
          <cell r="K474">
            <v>10713</v>
          </cell>
          <cell r="L474" t="str">
            <v>MA</v>
          </cell>
          <cell r="M474">
            <v>23</v>
          </cell>
          <cell r="N474" t="str">
            <v>A5</v>
          </cell>
          <cell r="O474" t="str">
            <v>MAM</v>
          </cell>
          <cell r="P474">
            <v>7</v>
          </cell>
          <cell r="Q474" t="str">
            <v>Other Locations</v>
          </cell>
          <cell r="R474" t="str">
            <v>Bangalore</v>
          </cell>
          <cell r="S474" t="str">
            <v xml:space="preserve"> </v>
          </cell>
          <cell r="T474" t="str">
            <v>BA</v>
          </cell>
          <cell r="U474">
            <v>2001</v>
          </cell>
          <cell r="V474">
            <v>51500</v>
          </cell>
          <cell r="W474">
            <v>13105</v>
          </cell>
          <cell r="X474">
            <v>4600</v>
          </cell>
          <cell r="AA474">
            <v>500</v>
          </cell>
          <cell r="AB474">
            <v>150</v>
          </cell>
          <cell r="AC474">
            <v>1000</v>
          </cell>
          <cell r="AE474">
            <v>0</v>
          </cell>
          <cell r="AG474">
            <v>4000</v>
          </cell>
          <cell r="AH474">
            <v>23355</v>
          </cell>
          <cell r="AI474">
            <v>280260</v>
          </cell>
          <cell r="AJ474">
            <v>25000</v>
          </cell>
          <cell r="AK474">
            <v>50000</v>
          </cell>
          <cell r="AL474">
            <v>10000</v>
          </cell>
          <cell r="AO474">
            <v>10000</v>
          </cell>
          <cell r="AQ474">
            <v>42460</v>
          </cell>
          <cell r="AR474">
            <v>417720</v>
          </cell>
        </row>
        <row r="475">
          <cell r="M475">
            <v>23</v>
          </cell>
          <cell r="N475" t="str">
            <v>A5</v>
          </cell>
          <cell r="P475">
            <v>7</v>
          </cell>
          <cell r="S475" t="str">
            <v xml:space="preserve"> </v>
          </cell>
          <cell r="U475">
            <v>2002</v>
          </cell>
          <cell r="W475">
            <v>15405</v>
          </cell>
          <cell r="X475">
            <v>6500</v>
          </cell>
          <cell r="Z475">
            <v>0</v>
          </cell>
          <cell r="AA475">
            <v>500</v>
          </cell>
          <cell r="AB475">
            <v>150</v>
          </cell>
          <cell r="AC475">
            <v>1000</v>
          </cell>
          <cell r="AF475">
            <v>0</v>
          </cell>
          <cell r="AG475">
            <v>4000</v>
          </cell>
          <cell r="AH475">
            <v>27555</v>
          </cell>
          <cell r="AI475">
            <v>330660</v>
          </cell>
          <cell r="AJ475">
            <v>25000</v>
          </cell>
          <cell r="AK475">
            <v>50000</v>
          </cell>
          <cell r="AL475">
            <v>15000</v>
          </cell>
          <cell r="AM475">
            <v>0</v>
          </cell>
          <cell r="AN475">
            <v>0</v>
          </cell>
          <cell r="AO475">
            <v>10000</v>
          </cell>
          <cell r="AP475">
            <v>0</v>
          </cell>
          <cell r="AQ475">
            <v>49912</v>
          </cell>
          <cell r="AR475">
            <v>480572</v>
          </cell>
          <cell r="AS475">
            <v>0</v>
          </cell>
        </row>
        <row r="476">
          <cell r="P476">
            <v>7</v>
          </cell>
          <cell r="S476" t="str">
            <v xml:space="preserve"> </v>
          </cell>
          <cell r="U476" t="str">
            <v>DIFF.</v>
          </cell>
          <cell r="W476">
            <v>2300</v>
          </cell>
          <cell r="X476">
            <v>1900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4200</v>
          </cell>
          <cell r="AI476">
            <v>50400</v>
          </cell>
          <cell r="AJ476">
            <v>0</v>
          </cell>
          <cell r="AK476">
            <v>0</v>
          </cell>
          <cell r="AL476">
            <v>5000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7452</v>
          </cell>
          <cell r="AR476">
            <v>62852</v>
          </cell>
          <cell r="AS476">
            <v>15.05</v>
          </cell>
        </row>
        <row r="477">
          <cell r="P477">
            <v>7</v>
          </cell>
          <cell r="S477" t="str">
            <v xml:space="preserve"> </v>
          </cell>
        </row>
        <row r="478">
          <cell r="G478">
            <v>2135</v>
          </cell>
          <cell r="H478" t="str">
            <v>MR SETHI Y K</v>
          </cell>
          <cell r="I478">
            <v>24289</v>
          </cell>
          <cell r="J478">
            <v>35627</v>
          </cell>
          <cell r="K478">
            <v>12989</v>
          </cell>
          <cell r="L478" t="str">
            <v>MA</v>
          </cell>
          <cell r="M478">
            <v>23</v>
          </cell>
          <cell r="N478" t="str">
            <v>A6</v>
          </cell>
          <cell r="O478" t="str">
            <v>MAM</v>
          </cell>
          <cell r="P478">
            <v>7</v>
          </cell>
          <cell r="Q478" t="str">
            <v>Other Locations</v>
          </cell>
          <cell r="R478" t="str">
            <v>Bhatinda (Punjab)</v>
          </cell>
          <cell r="S478" t="str">
            <v xml:space="preserve"> </v>
          </cell>
          <cell r="T478" t="str">
            <v>BA</v>
          </cell>
          <cell r="U478">
            <v>2001</v>
          </cell>
          <cell r="V478">
            <v>51500</v>
          </cell>
          <cell r="W478">
            <v>13293</v>
          </cell>
          <cell r="X478">
            <v>4650</v>
          </cell>
          <cell r="AA478">
            <v>500</v>
          </cell>
          <cell r="AB478">
            <v>150</v>
          </cell>
          <cell r="AC478">
            <v>0</v>
          </cell>
          <cell r="AD478" t="str">
            <v>CV</v>
          </cell>
          <cell r="AE478">
            <v>0</v>
          </cell>
          <cell r="AG478">
            <v>4000</v>
          </cell>
          <cell r="AH478">
            <v>22593</v>
          </cell>
          <cell r="AI478">
            <v>271116</v>
          </cell>
          <cell r="AJ478">
            <v>25000</v>
          </cell>
          <cell r="AK478">
            <v>50000</v>
          </cell>
          <cell r="AL478">
            <v>10000</v>
          </cell>
          <cell r="AO478">
            <v>10000</v>
          </cell>
          <cell r="AQ478">
            <v>43069</v>
          </cell>
          <cell r="AR478">
            <v>409185</v>
          </cell>
        </row>
        <row r="479">
          <cell r="M479">
            <v>23</v>
          </cell>
          <cell r="N479" t="str">
            <v>A6</v>
          </cell>
          <cell r="P479">
            <v>7</v>
          </cell>
          <cell r="S479" t="str">
            <v xml:space="preserve"> </v>
          </cell>
          <cell r="U479">
            <v>2002</v>
          </cell>
          <cell r="W479">
            <v>15593</v>
          </cell>
          <cell r="X479">
            <v>6500</v>
          </cell>
          <cell r="Z479">
            <v>0</v>
          </cell>
          <cell r="AA479">
            <v>500</v>
          </cell>
          <cell r="AB479">
            <v>150</v>
          </cell>
          <cell r="AC479">
            <v>0</v>
          </cell>
          <cell r="AF479">
            <v>0</v>
          </cell>
          <cell r="AG479">
            <v>4000</v>
          </cell>
          <cell r="AH479">
            <v>26743</v>
          </cell>
          <cell r="AI479">
            <v>320916</v>
          </cell>
          <cell r="AJ479">
            <v>25000</v>
          </cell>
          <cell r="AK479">
            <v>50000</v>
          </cell>
          <cell r="AL479">
            <v>15000</v>
          </cell>
          <cell r="AM479">
            <v>0</v>
          </cell>
          <cell r="AN479">
            <v>0</v>
          </cell>
          <cell r="AO479">
            <v>10000</v>
          </cell>
          <cell r="AP479">
            <v>0</v>
          </cell>
          <cell r="AQ479">
            <v>50521</v>
          </cell>
          <cell r="AR479">
            <v>471437</v>
          </cell>
          <cell r="AS479">
            <v>0</v>
          </cell>
        </row>
        <row r="480">
          <cell r="P480">
            <v>7</v>
          </cell>
          <cell r="S480" t="str">
            <v xml:space="preserve"> </v>
          </cell>
          <cell r="U480" t="str">
            <v>DIFF.</v>
          </cell>
          <cell r="W480">
            <v>2300</v>
          </cell>
          <cell r="X480">
            <v>1850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4150</v>
          </cell>
          <cell r="AI480">
            <v>49800</v>
          </cell>
          <cell r="AJ480">
            <v>0</v>
          </cell>
          <cell r="AK480">
            <v>0</v>
          </cell>
          <cell r="AL480">
            <v>5000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7452</v>
          </cell>
          <cell r="AR480">
            <v>62252</v>
          </cell>
          <cell r="AS480">
            <v>15.21</v>
          </cell>
        </row>
        <row r="481">
          <cell r="P481">
            <v>7</v>
          </cell>
          <cell r="S481" t="str">
            <v xml:space="preserve"> </v>
          </cell>
        </row>
        <row r="482">
          <cell r="G482">
            <v>2193</v>
          </cell>
          <cell r="H482" t="str">
            <v>MRS KUMAR C A</v>
          </cell>
          <cell r="I482">
            <v>26785</v>
          </cell>
          <cell r="J482">
            <v>36143</v>
          </cell>
          <cell r="K482">
            <v>10493</v>
          </cell>
          <cell r="L482" t="str">
            <v>MA</v>
          </cell>
          <cell r="M482">
            <v>23</v>
          </cell>
          <cell r="O482" t="str">
            <v>MAM</v>
          </cell>
          <cell r="P482">
            <v>1</v>
          </cell>
          <cell r="Q482" t="str">
            <v>Mumbai</v>
          </cell>
          <cell r="R482" t="str">
            <v>Ho</v>
          </cell>
          <cell r="S482" t="str">
            <v xml:space="preserve"> </v>
          </cell>
          <cell r="T482" t="str">
            <v>CA</v>
          </cell>
          <cell r="U482">
            <v>2001</v>
          </cell>
          <cell r="V482">
            <v>43500</v>
          </cell>
          <cell r="W482">
            <v>13000</v>
          </cell>
          <cell r="X482">
            <v>4550</v>
          </cell>
          <cell r="AA482">
            <v>500</v>
          </cell>
          <cell r="AB482">
            <v>150</v>
          </cell>
          <cell r="AC482">
            <v>1000</v>
          </cell>
          <cell r="AE482">
            <v>1000</v>
          </cell>
          <cell r="AG482">
            <v>4000</v>
          </cell>
          <cell r="AH482">
            <v>24200</v>
          </cell>
          <cell r="AI482">
            <v>290400</v>
          </cell>
          <cell r="AJ482">
            <v>25000</v>
          </cell>
          <cell r="AK482">
            <v>50000</v>
          </cell>
          <cell r="AL482">
            <v>10000</v>
          </cell>
          <cell r="AO482">
            <v>10000</v>
          </cell>
          <cell r="AQ482">
            <v>42120</v>
          </cell>
          <cell r="AR482">
            <v>427520</v>
          </cell>
        </row>
        <row r="483">
          <cell r="M483">
            <v>23</v>
          </cell>
          <cell r="P483">
            <v>1</v>
          </cell>
          <cell r="S483" t="str">
            <v xml:space="preserve"> </v>
          </cell>
          <cell r="U483">
            <v>2002</v>
          </cell>
          <cell r="W483">
            <v>14650</v>
          </cell>
          <cell r="X483">
            <v>9000</v>
          </cell>
          <cell r="Z483">
            <v>0</v>
          </cell>
          <cell r="AA483">
            <v>500</v>
          </cell>
          <cell r="AB483">
            <v>150</v>
          </cell>
          <cell r="AC483">
            <v>1000</v>
          </cell>
          <cell r="AF483">
            <v>0</v>
          </cell>
          <cell r="AG483">
            <v>4000</v>
          </cell>
          <cell r="AH483">
            <v>29300</v>
          </cell>
          <cell r="AI483">
            <v>351600</v>
          </cell>
          <cell r="AJ483">
            <v>25000</v>
          </cell>
          <cell r="AK483">
            <v>50000</v>
          </cell>
          <cell r="AL483">
            <v>15000</v>
          </cell>
          <cell r="AM483">
            <v>0</v>
          </cell>
          <cell r="AN483">
            <v>0</v>
          </cell>
          <cell r="AO483">
            <v>10000</v>
          </cell>
          <cell r="AP483">
            <v>0</v>
          </cell>
          <cell r="AQ483">
            <v>47466</v>
          </cell>
          <cell r="AR483">
            <v>499066</v>
          </cell>
          <cell r="AS483">
            <v>0</v>
          </cell>
        </row>
        <row r="484">
          <cell r="P484">
            <v>1</v>
          </cell>
          <cell r="S484" t="str">
            <v xml:space="preserve"> </v>
          </cell>
          <cell r="U484" t="str">
            <v>DIFF.</v>
          </cell>
          <cell r="W484">
            <v>1650</v>
          </cell>
          <cell r="X484">
            <v>4450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E484">
            <v>-1000</v>
          </cell>
          <cell r="AF484">
            <v>0</v>
          </cell>
          <cell r="AG484">
            <v>0</v>
          </cell>
          <cell r="AH484">
            <v>5100</v>
          </cell>
          <cell r="AI484">
            <v>61200</v>
          </cell>
          <cell r="AJ484">
            <v>0</v>
          </cell>
          <cell r="AK484">
            <v>0</v>
          </cell>
          <cell r="AL484">
            <v>5000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5346</v>
          </cell>
          <cell r="AR484">
            <v>71546</v>
          </cell>
          <cell r="AS484">
            <v>16.739999999999998</v>
          </cell>
        </row>
        <row r="485">
          <cell r="P485">
            <v>1</v>
          </cell>
          <cell r="S485" t="str">
            <v xml:space="preserve"> </v>
          </cell>
        </row>
        <row r="486">
          <cell r="G486">
            <v>2201</v>
          </cell>
          <cell r="H486" t="str">
            <v>MR DHAWAN P K</v>
          </cell>
          <cell r="I486">
            <v>24448</v>
          </cell>
          <cell r="J486">
            <v>36258</v>
          </cell>
          <cell r="K486">
            <v>12830</v>
          </cell>
          <cell r="L486" t="str">
            <v>MA</v>
          </cell>
          <cell r="M486">
            <v>23</v>
          </cell>
          <cell r="N486" t="str">
            <v>A5</v>
          </cell>
          <cell r="O486" t="str">
            <v>MAM</v>
          </cell>
          <cell r="P486">
            <v>7</v>
          </cell>
          <cell r="Q486" t="str">
            <v>Other Locations</v>
          </cell>
          <cell r="R486" t="str">
            <v>Karnal (Haryana)</v>
          </cell>
          <cell r="S486" t="str">
            <v xml:space="preserve"> </v>
          </cell>
          <cell r="T486" t="str">
            <v>BA</v>
          </cell>
          <cell r="U486">
            <v>2001</v>
          </cell>
          <cell r="V486">
            <v>36775</v>
          </cell>
          <cell r="W486">
            <v>13000</v>
          </cell>
          <cell r="X486">
            <v>4550</v>
          </cell>
          <cell r="AA486">
            <v>500</v>
          </cell>
          <cell r="AB486">
            <v>150</v>
          </cell>
          <cell r="AC486">
            <v>0</v>
          </cell>
          <cell r="AD486" t="str">
            <v>CV</v>
          </cell>
          <cell r="AE486">
            <v>0</v>
          </cell>
          <cell r="AF486">
            <v>500</v>
          </cell>
          <cell r="AG486">
            <v>4000</v>
          </cell>
          <cell r="AH486">
            <v>22700</v>
          </cell>
          <cell r="AI486">
            <v>272400</v>
          </cell>
          <cell r="AJ486">
            <v>25000</v>
          </cell>
          <cell r="AK486">
            <v>50000</v>
          </cell>
          <cell r="AL486">
            <v>10000</v>
          </cell>
          <cell r="AM486">
            <v>0</v>
          </cell>
          <cell r="AN486">
            <v>0</v>
          </cell>
          <cell r="AO486">
            <v>10000</v>
          </cell>
          <cell r="AP486">
            <v>0</v>
          </cell>
          <cell r="AQ486">
            <v>42120</v>
          </cell>
          <cell r="AR486">
            <v>409520</v>
          </cell>
          <cell r="AS486">
            <v>0</v>
          </cell>
        </row>
        <row r="487">
          <cell r="M487">
            <v>23</v>
          </cell>
          <cell r="N487" t="str">
            <v>A5</v>
          </cell>
          <cell r="P487">
            <v>7</v>
          </cell>
          <cell r="S487" t="str">
            <v xml:space="preserve"> </v>
          </cell>
          <cell r="U487">
            <v>2002</v>
          </cell>
          <cell r="W487">
            <v>15300</v>
          </cell>
          <cell r="X487">
            <v>6500</v>
          </cell>
          <cell r="Z487">
            <v>0</v>
          </cell>
          <cell r="AA487">
            <v>500</v>
          </cell>
          <cell r="AB487">
            <v>150</v>
          </cell>
          <cell r="AC487">
            <v>0</v>
          </cell>
          <cell r="AF487">
            <v>500</v>
          </cell>
          <cell r="AG487">
            <v>4000</v>
          </cell>
          <cell r="AH487">
            <v>26950</v>
          </cell>
          <cell r="AI487">
            <v>323400</v>
          </cell>
          <cell r="AJ487">
            <v>25000</v>
          </cell>
          <cell r="AK487">
            <v>50000</v>
          </cell>
          <cell r="AL487">
            <v>15000</v>
          </cell>
          <cell r="AM487">
            <v>0</v>
          </cell>
          <cell r="AN487">
            <v>0</v>
          </cell>
          <cell r="AO487">
            <v>10000</v>
          </cell>
          <cell r="AP487">
            <v>0</v>
          </cell>
          <cell r="AQ487">
            <v>49572</v>
          </cell>
          <cell r="AR487">
            <v>472972</v>
          </cell>
          <cell r="AS487">
            <v>0</v>
          </cell>
        </row>
        <row r="488">
          <cell r="P488">
            <v>7</v>
          </cell>
          <cell r="S488" t="str">
            <v xml:space="preserve"> </v>
          </cell>
          <cell r="U488" t="str">
            <v>DIFF.</v>
          </cell>
          <cell r="W488">
            <v>2300</v>
          </cell>
          <cell r="X488">
            <v>1950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4250</v>
          </cell>
          <cell r="AI488">
            <v>51000</v>
          </cell>
          <cell r="AJ488">
            <v>0</v>
          </cell>
          <cell r="AK488">
            <v>0</v>
          </cell>
          <cell r="AL488">
            <v>5000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7452</v>
          </cell>
          <cell r="AR488">
            <v>63452</v>
          </cell>
          <cell r="AS488">
            <v>15.49</v>
          </cell>
        </row>
        <row r="489">
          <cell r="P489">
            <v>7</v>
          </cell>
          <cell r="S489" t="str">
            <v xml:space="preserve"> </v>
          </cell>
        </row>
        <row r="490">
          <cell r="G490">
            <v>2207</v>
          </cell>
          <cell r="H490" t="str">
            <v>MR KAUSHAL N</v>
          </cell>
          <cell r="I490">
            <v>25183</v>
          </cell>
          <cell r="J490">
            <v>36327</v>
          </cell>
          <cell r="K490">
            <v>12095</v>
          </cell>
          <cell r="L490" t="str">
            <v>MA</v>
          </cell>
          <cell r="M490">
            <v>23</v>
          </cell>
          <cell r="N490" t="str">
            <v>A5</v>
          </cell>
          <cell r="O490" t="str">
            <v>MAM</v>
          </cell>
          <cell r="P490">
            <v>7</v>
          </cell>
          <cell r="Q490" t="str">
            <v>Other Locations</v>
          </cell>
          <cell r="R490" t="str">
            <v>Jaipur (Rajasthan)</v>
          </cell>
          <cell r="S490" t="str">
            <v xml:space="preserve"> </v>
          </cell>
          <cell r="T490" t="str">
            <v>BP</v>
          </cell>
          <cell r="U490">
            <v>2001</v>
          </cell>
          <cell r="V490">
            <v>51500</v>
          </cell>
          <cell r="W490">
            <v>13000</v>
          </cell>
          <cell r="X490">
            <v>4550</v>
          </cell>
          <cell r="AA490">
            <v>500</v>
          </cell>
          <cell r="AB490">
            <v>150</v>
          </cell>
          <cell r="AC490">
            <v>0</v>
          </cell>
          <cell r="AD490" t="str">
            <v>CV</v>
          </cell>
          <cell r="AE490">
            <v>0</v>
          </cell>
          <cell r="AG490">
            <v>4000</v>
          </cell>
          <cell r="AH490">
            <v>22200</v>
          </cell>
          <cell r="AI490">
            <v>266400</v>
          </cell>
          <cell r="AJ490">
            <v>25000</v>
          </cell>
          <cell r="AK490">
            <v>50000</v>
          </cell>
          <cell r="AL490">
            <v>10000</v>
          </cell>
          <cell r="AO490">
            <v>10000</v>
          </cell>
          <cell r="AQ490">
            <v>42120</v>
          </cell>
          <cell r="AR490">
            <v>403520</v>
          </cell>
        </row>
        <row r="491">
          <cell r="M491">
            <v>23</v>
          </cell>
          <cell r="N491" t="str">
            <v>A5</v>
          </cell>
          <cell r="P491">
            <v>7</v>
          </cell>
          <cell r="S491" t="str">
            <v xml:space="preserve"> </v>
          </cell>
          <cell r="U491">
            <v>2002</v>
          </cell>
          <cell r="W491">
            <v>15700</v>
          </cell>
          <cell r="X491">
            <v>6500</v>
          </cell>
          <cell r="Z491">
            <v>0</v>
          </cell>
          <cell r="AA491">
            <v>500</v>
          </cell>
          <cell r="AB491">
            <v>150</v>
          </cell>
          <cell r="AC491">
            <v>0</v>
          </cell>
          <cell r="AF491">
            <v>0</v>
          </cell>
          <cell r="AG491">
            <v>4000</v>
          </cell>
          <cell r="AH491">
            <v>26850</v>
          </cell>
          <cell r="AI491">
            <v>322200</v>
          </cell>
          <cell r="AJ491">
            <v>25000</v>
          </cell>
          <cell r="AK491">
            <v>50000</v>
          </cell>
          <cell r="AL491">
            <v>15000</v>
          </cell>
          <cell r="AM491">
            <v>0</v>
          </cell>
          <cell r="AN491">
            <v>0</v>
          </cell>
          <cell r="AO491">
            <v>10000</v>
          </cell>
          <cell r="AP491">
            <v>0</v>
          </cell>
          <cell r="AQ491">
            <v>50868</v>
          </cell>
          <cell r="AR491">
            <v>473068</v>
          </cell>
          <cell r="AS491">
            <v>0</v>
          </cell>
        </row>
        <row r="492">
          <cell r="P492">
            <v>7</v>
          </cell>
          <cell r="S492" t="str">
            <v xml:space="preserve"> </v>
          </cell>
          <cell r="U492" t="str">
            <v>DIFF.</v>
          </cell>
          <cell r="W492">
            <v>2700</v>
          </cell>
          <cell r="X492">
            <v>1950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4650</v>
          </cell>
          <cell r="AI492">
            <v>55800</v>
          </cell>
          <cell r="AJ492">
            <v>0</v>
          </cell>
          <cell r="AK492">
            <v>0</v>
          </cell>
          <cell r="AL492">
            <v>5000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8748</v>
          </cell>
          <cell r="AR492">
            <v>69548</v>
          </cell>
          <cell r="AS492">
            <v>17.239999999999998</v>
          </cell>
        </row>
        <row r="493">
          <cell r="P493">
            <v>7</v>
          </cell>
          <cell r="S493" t="str">
            <v xml:space="preserve"> </v>
          </cell>
        </row>
        <row r="494">
          <cell r="G494">
            <v>2242</v>
          </cell>
          <cell r="H494" t="str">
            <v>MR YADAV S</v>
          </cell>
          <cell r="I494">
            <v>26622</v>
          </cell>
          <cell r="J494" t="str">
            <v>03.05.2000</v>
          </cell>
          <cell r="K494">
            <v>10656</v>
          </cell>
          <cell r="L494" t="str">
            <v>MA</v>
          </cell>
          <cell r="M494">
            <v>23</v>
          </cell>
          <cell r="O494" t="str">
            <v>MAM</v>
          </cell>
          <cell r="P494">
            <v>1</v>
          </cell>
          <cell r="Q494" t="str">
            <v>Mumbai</v>
          </cell>
          <cell r="R494" t="str">
            <v>Ho</v>
          </cell>
          <cell r="S494" t="str">
            <v xml:space="preserve"> </v>
          </cell>
          <cell r="T494" t="str">
            <v>D</v>
          </cell>
          <cell r="U494">
            <v>2001</v>
          </cell>
          <cell r="V494">
            <v>28000</v>
          </cell>
          <cell r="W494">
            <v>12500</v>
          </cell>
          <cell r="X494">
            <v>0</v>
          </cell>
          <cell r="Y494" t="str">
            <v>L</v>
          </cell>
          <cell r="Z494">
            <v>2000</v>
          </cell>
          <cell r="AA494">
            <v>500</v>
          </cell>
          <cell r="AB494">
            <v>150</v>
          </cell>
          <cell r="AC494">
            <v>1000</v>
          </cell>
          <cell r="AE494">
            <v>1000</v>
          </cell>
          <cell r="AG494">
            <v>4000</v>
          </cell>
          <cell r="AH494">
            <v>21150</v>
          </cell>
          <cell r="AI494">
            <v>253800</v>
          </cell>
          <cell r="AJ494">
            <v>25000</v>
          </cell>
          <cell r="AK494">
            <v>50000</v>
          </cell>
          <cell r="AL494">
            <v>10000</v>
          </cell>
          <cell r="AO494">
            <v>10000</v>
          </cell>
          <cell r="AQ494">
            <v>40500</v>
          </cell>
          <cell r="AR494">
            <v>389300</v>
          </cell>
        </row>
        <row r="495">
          <cell r="M495">
            <v>23</v>
          </cell>
          <cell r="P495">
            <v>1</v>
          </cell>
          <cell r="S495" t="str">
            <v xml:space="preserve"> </v>
          </cell>
          <cell r="U495">
            <v>2002</v>
          </cell>
          <cell r="W495">
            <v>13250</v>
          </cell>
          <cell r="X495">
            <v>0</v>
          </cell>
          <cell r="Z495">
            <v>2500</v>
          </cell>
          <cell r="AA495">
            <v>500</v>
          </cell>
          <cell r="AB495">
            <v>150</v>
          </cell>
          <cell r="AC495">
            <v>1000</v>
          </cell>
          <cell r="AF495">
            <v>0</v>
          </cell>
          <cell r="AG495">
            <v>4000</v>
          </cell>
          <cell r="AH495">
            <v>21400</v>
          </cell>
          <cell r="AI495">
            <v>256800</v>
          </cell>
          <cell r="AJ495">
            <v>25000</v>
          </cell>
          <cell r="AK495">
            <v>50000</v>
          </cell>
          <cell r="AL495">
            <v>15000</v>
          </cell>
          <cell r="AM495">
            <v>0</v>
          </cell>
          <cell r="AN495">
            <v>0</v>
          </cell>
          <cell r="AO495">
            <v>10000</v>
          </cell>
          <cell r="AP495">
            <v>0</v>
          </cell>
          <cell r="AQ495">
            <v>42930</v>
          </cell>
          <cell r="AR495">
            <v>399730</v>
          </cell>
          <cell r="AS495">
            <v>0</v>
          </cell>
        </row>
        <row r="496">
          <cell r="P496">
            <v>1</v>
          </cell>
          <cell r="S496" t="str">
            <v xml:space="preserve"> </v>
          </cell>
          <cell r="U496" t="str">
            <v>DIFF.</v>
          </cell>
          <cell r="W496">
            <v>750</v>
          </cell>
          <cell r="X496">
            <v>0</v>
          </cell>
          <cell r="Z496">
            <v>500</v>
          </cell>
          <cell r="AA496">
            <v>0</v>
          </cell>
          <cell r="AB496">
            <v>0</v>
          </cell>
          <cell r="AC496">
            <v>0</v>
          </cell>
          <cell r="AE496">
            <v>-1000</v>
          </cell>
          <cell r="AF496">
            <v>0</v>
          </cell>
          <cell r="AG496">
            <v>0</v>
          </cell>
          <cell r="AH496">
            <v>250</v>
          </cell>
          <cell r="AI496">
            <v>3000</v>
          </cell>
          <cell r="AJ496">
            <v>0</v>
          </cell>
          <cell r="AK496">
            <v>0</v>
          </cell>
          <cell r="AL496">
            <v>5000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2430</v>
          </cell>
          <cell r="AR496">
            <v>10430</v>
          </cell>
          <cell r="AS496">
            <v>2.68</v>
          </cell>
        </row>
        <row r="497">
          <cell r="P497">
            <v>1</v>
          </cell>
          <cell r="S497" t="str">
            <v xml:space="preserve"> </v>
          </cell>
        </row>
        <row r="498">
          <cell r="G498">
            <v>2245</v>
          </cell>
          <cell r="H498" t="str">
            <v>MR PANDEY P</v>
          </cell>
          <cell r="I498">
            <v>26495</v>
          </cell>
          <cell r="J498" t="str">
            <v>08.06.2000</v>
          </cell>
          <cell r="K498">
            <v>10783</v>
          </cell>
          <cell r="L498" t="str">
            <v>MA</v>
          </cell>
          <cell r="M498">
            <v>23</v>
          </cell>
          <cell r="N498" t="str">
            <v>A5</v>
          </cell>
          <cell r="O498" t="str">
            <v>MAM</v>
          </cell>
          <cell r="P498">
            <v>4</v>
          </cell>
          <cell r="Q498" t="str">
            <v>Kolkatta</v>
          </cell>
          <cell r="R498" t="str">
            <v>Kolkatta</v>
          </cell>
          <cell r="S498" t="str">
            <v xml:space="preserve"> </v>
          </cell>
          <cell r="T498" t="str">
            <v>CA</v>
          </cell>
          <cell r="U498">
            <v>2001</v>
          </cell>
          <cell r="V498">
            <v>43500</v>
          </cell>
          <cell r="W498">
            <v>12500</v>
          </cell>
          <cell r="X498">
            <v>4400</v>
          </cell>
          <cell r="AA498">
            <v>500</v>
          </cell>
          <cell r="AB498">
            <v>150</v>
          </cell>
          <cell r="AC498">
            <v>1000</v>
          </cell>
          <cell r="AE498">
            <v>450</v>
          </cell>
          <cell r="AG498">
            <v>4000</v>
          </cell>
          <cell r="AH498">
            <v>23000</v>
          </cell>
          <cell r="AI498">
            <v>276000</v>
          </cell>
          <cell r="AJ498">
            <v>25000</v>
          </cell>
          <cell r="AK498">
            <v>50000</v>
          </cell>
          <cell r="AL498">
            <v>10000</v>
          </cell>
          <cell r="AO498">
            <v>10000</v>
          </cell>
          <cell r="AQ498">
            <v>40500</v>
          </cell>
          <cell r="AR498">
            <v>411500</v>
          </cell>
        </row>
        <row r="499">
          <cell r="M499">
            <v>23</v>
          </cell>
          <cell r="N499" t="str">
            <v>A5</v>
          </cell>
          <cell r="P499">
            <v>4</v>
          </cell>
          <cell r="S499" t="str">
            <v xml:space="preserve"> </v>
          </cell>
          <cell r="U499">
            <v>2002</v>
          </cell>
          <cell r="W499">
            <v>14150</v>
          </cell>
          <cell r="X499">
            <v>7000</v>
          </cell>
          <cell r="Z499">
            <v>0</v>
          </cell>
          <cell r="AA499">
            <v>500</v>
          </cell>
          <cell r="AB499">
            <v>150</v>
          </cell>
          <cell r="AC499">
            <v>1000</v>
          </cell>
          <cell r="AF499">
            <v>0</v>
          </cell>
          <cell r="AG499">
            <v>4000</v>
          </cell>
          <cell r="AH499">
            <v>26800</v>
          </cell>
          <cell r="AI499">
            <v>321600</v>
          </cell>
          <cell r="AJ499">
            <v>25000</v>
          </cell>
          <cell r="AK499">
            <v>50000</v>
          </cell>
          <cell r="AL499">
            <v>15000</v>
          </cell>
          <cell r="AM499">
            <v>0</v>
          </cell>
          <cell r="AN499">
            <v>0</v>
          </cell>
          <cell r="AO499">
            <v>10000</v>
          </cell>
          <cell r="AP499">
            <v>0</v>
          </cell>
          <cell r="AQ499">
            <v>45846</v>
          </cell>
          <cell r="AR499">
            <v>467446</v>
          </cell>
          <cell r="AS499">
            <v>0</v>
          </cell>
        </row>
        <row r="500">
          <cell r="P500">
            <v>4</v>
          </cell>
          <cell r="S500" t="str">
            <v xml:space="preserve"> </v>
          </cell>
          <cell r="U500" t="str">
            <v>DIFF.</v>
          </cell>
          <cell r="W500">
            <v>1650</v>
          </cell>
          <cell r="X500">
            <v>2600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E500">
            <v>-450</v>
          </cell>
          <cell r="AF500">
            <v>0</v>
          </cell>
          <cell r="AG500">
            <v>0</v>
          </cell>
          <cell r="AH500">
            <v>3800</v>
          </cell>
          <cell r="AI500">
            <v>45600</v>
          </cell>
          <cell r="AJ500">
            <v>0</v>
          </cell>
          <cell r="AK500">
            <v>0</v>
          </cell>
          <cell r="AL500">
            <v>5000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5346</v>
          </cell>
          <cell r="AR500">
            <v>55946</v>
          </cell>
          <cell r="AS500">
            <v>13.6</v>
          </cell>
        </row>
        <row r="501">
          <cell r="P501">
            <v>4</v>
          </cell>
          <cell r="S501" t="str">
            <v xml:space="preserve"> </v>
          </cell>
        </row>
        <row r="502">
          <cell r="G502">
            <v>2291</v>
          </cell>
          <cell r="H502" t="str">
            <v>MR S.C. DHAR</v>
          </cell>
          <cell r="I502">
            <v>20022</v>
          </cell>
          <cell r="J502">
            <v>29850</v>
          </cell>
          <cell r="K502">
            <v>17256</v>
          </cell>
          <cell r="L502" t="str">
            <v>MA</v>
          </cell>
          <cell r="M502">
            <v>23</v>
          </cell>
          <cell r="N502" t="str">
            <v>A6</v>
          </cell>
          <cell r="O502" t="str">
            <v>MA</v>
          </cell>
          <cell r="P502">
            <v>7</v>
          </cell>
          <cell r="Q502" t="str">
            <v>Other Locations</v>
          </cell>
          <cell r="R502" t="str">
            <v>Raipur (Chattisgadh)</v>
          </cell>
          <cell r="S502" t="str">
            <v xml:space="preserve"> </v>
          </cell>
          <cell r="T502" t="str">
            <v>CL</v>
          </cell>
          <cell r="U502">
            <v>2001</v>
          </cell>
          <cell r="V502">
            <v>43500</v>
          </cell>
          <cell r="W502">
            <v>13425</v>
          </cell>
          <cell r="X502">
            <v>4700</v>
          </cell>
          <cell r="AA502">
            <v>500</v>
          </cell>
          <cell r="AB502">
            <v>150</v>
          </cell>
          <cell r="AC502">
            <v>1000</v>
          </cell>
          <cell r="AE502">
            <v>0</v>
          </cell>
          <cell r="AF502">
            <v>500</v>
          </cell>
          <cell r="AG502">
            <v>4000</v>
          </cell>
          <cell r="AH502">
            <v>24275</v>
          </cell>
          <cell r="AI502">
            <v>291300</v>
          </cell>
          <cell r="AJ502">
            <v>25000</v>
          </cell>
          <cell r="AK502">
            <v>50000</v>
          </cell>
          <cell r="AL502">
            <v>10000</v>
          </cell>
          <cell r="AM502">
            <v>0</v>
          </cell>
          <cell r="AN502">
            <v>0</v>
          </cell>
          <cell r="AO502">
            <v>10000</v>
          </cell>
          <cell r="AP502">
            <v>0</v>
          </cell>
          <cell r="AQ502">
            <v>43497</v>
          </cell>
          <cell r="AR502">
            <v>429797</v>
          </cell>
          <cell r="AS502">
            <v>0</v>
          </cell>
        </row>
        <row r="503">
          <cell r="M503">
            <v>23</v>
          </cell>
          <cell r="N503" t="str">
            <v>A6</v>
          </cell>
          <cell r="P503">
            <v>7</v>
          </cell>
          <cell r="S503" t="str">
            <v xml:space="preserve"> </v>
          </cell>
          <cell r="U503">
            <v>2002</v>
          </cell>
          <cell r="W503">
            <v>14925</v>
          </cell>
          <cell r="X503">
            <v>6500</v>
          </cell>
          <cell r="Z503">
            <v>0</v>
          </cell>
          <cell r="AA503">
            <v>500</v>
          </cell>
          <cell r="AB503">
            <v>150</v>
          </cell>
          <cell r="AC503">
            <v>1000</v>
          </cell>
          <cell r="AF503">
            <v>500</v>
          </cell>
          <cell r="AG503">
            <v>4000</v>
          </cell>
          <cell r="AH503">
            <v>27575</v>
          </cell>
          <cell r="AI503">
            <v>330900</v>
          </cell>
          <cell r="AJ503">
            <v>25000</v>
          </cell>
          <cell r="AK503">
            <v>50000</v>
          </cell>
          <cell r="AL503">
            <v>15000</v>
          </cell>
          <cell r="AM503">
            <v>0</v>
          </cell>
          <cell r="AN503">
            <v>0</v>
          </cell>
          <cell r="AO503">
            <v>10000</v>
          </cell>
          <cell r="AP503">
            <v>0</v>
          </cell>
          <cell r="AQ503">
            <v>48357</v>
          </cell>
          <cell r="AR503">
            <v>479257</v>
          </cell>
          <cell r="AS503">
            <v>0</v>
          </cell>
        </row>
        <row r="504">
          <cell r="P504">
            <v>7</v>
          </cell>
          <cell r="S504" t="str">
            <v xml:space="preserve"> </v>
          </cell>
          <cell r="U504" t="str">
            <v>DIFF.</v>
          </cell>
          <cell r="W504">
            <v>1500</v>
          </cell>
          <cell r="X504">
            <v>1800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3300</v>
          </cell>
          <cell r="AI504">
            <v>39600</v>
          </cell>
          <cell r="AJ504">
            <v>0</v>
          </cell>
          <cell r="AK504">
            <v>0</v>
          </cell>
          <cell r="AL504">
            <v>5000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4860</v>
          </cell>
          <cell r="AR504">
            <v>49460</v>
          </cell>
          <cell r="AS504">
            <v>11.51</v>
          </cell>
        </row>
        <row r="505">
          <cell r="P505">
            <v>7</v>
          </cell>
          <cell r="S505" t="str">
            <v xml:space="preserve"> </v>
          </cell>
        </row>
        <row r="506">
          <cell r="G506">
            <v>2292</v>
          </cell>
          <cell r="H506" t="str">
            <v>MR KALIDAS DATTA</v>
          </cell>
          <cell r="I506">
            <v>20070</v>
          </cell>
          <cell r="J506">
            <v>30545</v>
          </cell>
          <cell r="K506">
            <v>17208</v>
          </cell>
          <cell r="L506" t="str">
            <v>MA</v>
          </cell>
          <cell r="M506">
            <v>23</v>
          </cell>
          <cell r="N506" t="str">
            <v>A6</v>
          </cell>
          <cell r="O506" t="str">
            <v>MA</v>
          </cell>
          <cell r="P506">
            <v>4</v>
          </cell>
          <cell r="Q506" t="str">
            <v>Kolkatta</v>
          </cell>
          <cell r="R506" t="str">
            <v>Kolkatta</v>
          </cell>
          <cell r="S506" t="str">
            <v xml:space="preserve"> </v>
          </cell>
          <cell r="T506" t="str">
            <v>CL</v>
          </cell>
          <cell r="U506">
            <v>2001</v>
          </cell>
          <cell r="V506">
            <v>43500</v>
          </cell>
          <cell r="W506">
            <v>15270</v>
          </cell>
          <cell r="X506">
            <v>0</v>
          </cell>
          <cell r="Y506" t="str">
            <v>L</v>
          </cell>
          <cell r="Z506">
            <v>2000</v>
          </cell>
          <cell r="AA506">
            <v>500</v>
          </cell>
          <cell r="AB506">
            <v>150</v>
          </cell>
          <cell r="AC506">
            <v>1000</v>
          </cell>
          <cell r="AE506">
            <v>450</v>
          </cell>
          <cell r="AF506">
            <v>500</v>
          </cell>
          <cell r="AG506">
            <v>4000</v>
          </cell>
          <cell r="AH506">
            <v>23870</v>
          </cell>
          <cell r="AI506">
            <v>286440</v>
          </cell>
          <cell r="AJ506">
            <v>25000</v>
          </cell>
          <cell r="AK506">
            <v>50000</v>
          </cell>
          <cell r="AL506">
            <v>10000</v>
          </cell>
          <cell r="AM506">
            <v>0</v>
          </cell>
          <cell r="AN506">
            <v>0</v>
          </cell>
          <cell r="AO506">
            <v>10000</v>
          </cell>
          <cell r="AP506">
            <v>0</v>
          </cell>
          <cell r="AQ506">
            <v>49475</v>
          </cell>
          <cell r="AR506">
            <v>430915</v>
          </cell>
          <cell r="AS506">
            <v>0</v>
          </cell>
        </row>
        <row r="507">
          <cell r="M507">
            <v>23</v>
          </cell>
          <cell r="N507" t="str">
            <v>A6</v>
          </cell>
          <cell r="P507">
            <v>4</v>
          </cell>
          <cell r="S507" t="str">
            <v xml:space="preserve"> </v>
          </cell>
          <cell r="U507">
            <v>2002</v>
          </cell>
          <cell r="W507">
            <v>16770</v>
          </cell>
          <cell r="X507">
            <v>0</v>
          </cell>
          <cell r="Z507">
            <v>2500</v>
          </cell>
          <cell r="AA507">
            <v>500</v>
          </cell>
          <cell r="AB507">
            <v>150</v>
          </cell>
          <cell r="AC507">
            <v>1000</v>
          </cell>
          <cell r="AF507">
            <v>500</v>
          </cell>
          <cell r="AG507">
            <v>4000</v>
          </cell>
          <cell r="AH507">
            <v>25420</v>
          </cell>
          <cell r="AI507">
            <v>305040</v>
          </cell>
          <cell r="AJ507">
            <v>25000</v>
          </cell>
          <cell r="AK507">
            <v>50000</v>
          </cell>
          <cell r="AL507">
            <v>15000</v>
          </cell>
          <cell r="AM507">
            <v>0</v>
          </cell>
          <cell r="AN507">
            <v>0</v>
          </cell>
          <cell r="AO507">
            <v>10000</v>
          </cell>
          <cell r="AP507">
            <v>0</v>
          </cell>
          <cell r="AQ507">
            <v>54335</v>
          </cell>
          <cell r="AR507">
            <v>459375</v>
          </cell>
          <cell r="AS507">
            <v>0</v>
          </cell>
        </row>
        <row r="508">
          <cell r="P508">
            <v>4</v>
          </cell>
          <cell r="S508" t="str">
            <v xml:space="preserve"> </v>
          </cell>
          <cell r="U508" t="str">
            <v>DIFF.</v>
          </cell>
          <cell r="W508">
            <v>1500</v>
          </cell>
          <cell r="X508">
            <v>0</v>
          </cell>
          <cell r="Z508">
            <v>500</v>
          </cell>
          <cell r="AA508">
            <v>0</v>
          </cell>
          <cell r="AB508">
            <v>0</v>
          </cell>
          <cell r="AC508">
            <v>0</v>
          </cell>
          <cell r="AE508">
            <v>-450</v>
          </cell>
          <cell r="AF508">
            <v>0</v>
          </cell>
          <cell r="AG508">
            <v>0</v>
          </cell>
          <cell r="AH508">
            <v>1550</v>
          </cell>
          <cell r="AI508">
            <v>18600</v>
          </cell>
          <cell r="AJ508">
            <v>0</v>
          </cell>
          <cell r="AK508">
            <v>0</v>
          </cell>
          <cell r="AL508">
            <v>5000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4860</v>
          </cell>
          <cell r="AR508">
            <v>28460</v>
          </cell>
          <cell r="AS508">
            <v>6.6</v>
          </cell>
        </row>
        <row r="509">
          <cell r="P509">
            <v>4</v>
          </cell>
          <cell r="S509" t="str">
            <v xml:space="preserve"> </v>
          </cell>
        </row>
        <row r="510">
          <cell r="G510">
            <v>2295</v>
          </cell>
          <cell r="H510" t="str">
            <v>MR AJIT KUMAR</v>
          </cell>
          <cell r="I510">
            <v>23023</v>
          </cell>
          <cell r="J510">
            <v>31581</v>
          </cell>
          <cell r="K510">
            <v>14255</v>
          </cell>
          <cell r="L510" t="str">
            <v>MA</v>
          </cell>
          <cell r="M510">
            <v>23</v>
          </cell>
          <cell r="N510" t="str">
            <v>A6</v>
          </cell>
          <cell r="O510" t="str">
            <v>MA</v>
          </cell>
          <cell r="P510">
            <v>7</v>
          </cell>
          <cell r="Q510" t="str">
            <v>Other Locations</v>
          </cell>
          <cell r="R510" t="str">
            <v>Patna (Bihar)</v>
          </cell>
          <cell r="S510" t="str">
            <v xml:space="preserve"> </v>
          </cell>
          <cell r="T510" t="str">
            <v>BA</v>
          </cell>
          <cell r="U510">
            <v>2001</v>
          </cell>
          <cell r="V510">
            <v>51500</v>
          </cell>
          <cell r="W510">
            <v>12810</v>
          </cell>
          <cell r="X510">
            <v>4500</v>
          </cell>
          <cell r="AA510">
            <v>500</v>
          </cell>
          <cell r="AB510">
            <v>150</v>
          </cell>
          <cell r="AC510">
            <v>1000</v>
          </cell>
          <cell r="AE510">
            <v>0</v>
          </cell>
          <cell r="AF510">
            <v>500</v>
          </cell>
          <cell r="AG510">
            <v>4000</v>
          </cell>
          <cell r="AH510">
            <v>23460</v>
          </cell>
          <cell r="AI510">
            <v>281520</v>
          </cell>
          <cell r="AJ510">
            <v>25000</v>
          </cell>
          <cell r="AK510">
            <v>50000</v>
          </cell>
          <cell r="AL510">
            <v>10000</v>
          </cell>
          <cell r="AM510">
            <v>0</v>
          </cell>
          <cell r="AN510">
            <v>0</v>
          </cell>
          <cell r="AO510">
            <v>10000</v>
          </cell>
          <cell r="AP510">
            <v>0</v>
          </cell>
          <cell r="AQ510">
            <v>41504</v>
          </cell>
          <cell r="AR510">
            <v>418024</v>
          </cell>
          <cell r="AS510">
            <v>0</v>
          </cell>
        </row>
        <row r="511">
          <cell r="M511">
            <v>23</v>
          </cell>
          <cell r="N511" t="str">
            <v>A6</v>
          </cell>
          <cell r="P511">
            <v>7</v>
          </cell>
          <cell r="S511" t="str">
            <v xml:space="preserve"> </v>
          </cell>
          <cell r="U511">
            <v>2002</v>
          </cell>
          <cell r="W511">
            <v>15110</v>
          </cell>
          <cell r="X511">
            <v>6500</v>
          </cell>
          <cell r="Z511">
            <v>0</v>
          </cell>
          <cell r="AA511">
            <v>500</v>
          </cell>
          <cell r="AB511">
            <v>150</v>
          </cell>
          <cell r="AC511">
            <v>1000</v>
          </cell>
          <cell r="AF511">
            <v>500</v>
          </cell>
          <cell r="AG511">
            <v>4000</v>
          </cell>
          <cell r="AH511">
            <v>27760</v>
          </cell>
          <cell r="AI511">
            <v>333120</v>
          </cell>
          <cell r="AJ511">
            <v>25000</v>
          </cell>
          <cell r="AK511">
            <v>50000</v>
          </cell>
          <cell r="AL511">
            <v>15000</v>
          </cell>
          <cell r="AM511">
            <v>0</v>
          </cell>
          <cell r="AN511">
            <v>0</v>
          </cell>
          <cell r="AO511">
            <v>10000</v>
          </cell>
          <cell r="AP511">
            <v>0</v>
          </cell>
          <cell r="AQ511">
            <v>48956</v>
          </cell>
          <cell r="AR511">
            <v>482076</v>
          </cell>
          <cell r="AS511">
            <v>0</v>
          </cell>
        </row>
        <row r="512">
          <cell r="P512">
            <v>7</v>
          </cell>
          <cell r="S512" t="str">
            <v xml:space="preserve"> </v>
          </cell>
          <cell r="U512" t="str">
            <v>DIFF.</v>
          </cell>
          <cell r="W512">
            <v>2300</v>
          </cell>
          <cell r="X512">
            <v>2000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4300</v>
          </cell>
          <cell r="AI512">
            <v>51600</v>
          </cell>
          <cell r="AJ512">
            <v>0</v>
          </cell>
          <cell r="AK512">
            <v>0</v>
          </cell>
          <cell r="AL512">
            <v>5000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7452</v>
          </cell>
          <cell r="AR512">
            <v>64052</v>
          </cell>
          <cell r="AS512">
            <v>15.32</v>
          </cell>
        </row>
        <row r="513">
          <cell r="P513">
            <v>7</v>
          </cell>
          <cell r="S513" t="str">
            <v xml:space="preserve"> </v>
          </cell>
        </row>
        <row r="514">
          <cell r="G514">
            <v>2305</v>
          </cell>
          <cell r="H514" t="str">
            <v>MR T. SHRIRAM BHUPAL REDDY</v>
          </cell>
          <cell r="I514">
            <v>23752</v>
          </cell>
          <cell r="J514">
            <v>33290</v>
          </cell>
          <cell r="K514">
            <v>13526</v>
          </cell>
          <cell r="L514" t="str">
            <v>MA</v>
          </cell>
          <cell r="M514">
            <v>23</v>
          </cell>
          <cell r="N514" t="str">
            <v>A6</v>
          </cell>
          <cell r="O514" t="str">
            <v>MA</v>
          </cell>
          <cell r="P514">
            <v>7</v>
          </cell>
          <cell r="Q514" t="str">
            <v>Other Locations</v>
          </cell>
          <cell r="R514" t="str">
            <v>Kurnool (Ap)</v>
          </cell>
          <cell r="S514" t="str">
            <v xml:space="preserve"> </v>
          </cell>
          <cell r="T514" t="str">
            <v>BA</v>
          </cell>
          <cell r="U514">
            <v>2001</v>
          </cell>
          <cell r="V514">
            <v>51500</v>
          </cell>
          <cell r="W514">
            <v>11960</v>
          </cell>
          <cell r="X514">
            <v>4200</v>
          </cell>
          <cell r="AA514">
            <v>500</v>
          </cell>
          <cell r="AB514">
            <v>150</v>
          </cell>
          <cell r="AC514">
            <v>1000</v>
          </cell>
          <cell r="AE514">
            <v>0</v>
          </cell>
          <cell r="AF514">
            <v>500</v>
          </cell>
          <cell r="AG514">
            <v>4000</v>
          </cell>
          <cell r="AH514">
            <v>22310</v>
          </cell>
          <cell r="AI514">
            <v>267720</v>
          </cell>
          <cell r="AJ514">
            <v>25000</v>
          </cell>
          <cell r="AK514">
            <v>50000</v>
          </cell>
          <cell r="AL514">
            <v>10000</v>
          </cell>
          <cell r="AM514">
            <v>0</v>
          </cell>
          <cell r="AN514">
            <v>0</v>
          </cell>
          <cell r="AO514">
            <v>10000</v>
          </cell>
          <cell r="AP514">
            <v>0</v>
          </cell>
          <cell r="AQ514">
            <v>38750</v>
          </cell>
          <cell r="AR514">
            <v>401470</v>
          </cell>
          <cell r="AS514">
            <v>0</v>
          </cell>
        </row>
        <row r="515">
          <cell r="M515">
            <v>23</v>
          </cell>
          <cell r="N515" t="str">
            <v>A6</v>
          </cell>
          <cell r="P515">
            <v>7</v>
          </cell>
          <cell r="S515" t="str">
            <v xml:space="preserve"> </v>
          </cell>
          <cell r="U515">
            <v>2002</v>
          </cell>
          <cell r="W515">
            <v>14260</v>
          </cell>
          <cell r="X515">
            <v>6500</v>
          </cell>
          <cell r="Z515">
            <v>0</v>
          </cell>
          <cell r="AA515">
            <v>500</v>
          </cell>
          <cell r="AB515">
            <v>150</v>
          </cell>
          <cell r="AC515">
            <v>1000</v>
          </cell>
          <cell r="AF515">
            <v>500</v>
          </cell>
          <cell r="AG515">
            <v>4000</v>
          </cell>
          <cell r="AH515">
            <v>26910</v>
          </cell>
          <cell r="AI515">
            <v>322920</v>
          </cell>
          <cell r="AJ515">
            <v>25000</v>
          </cell>
          <cell r="AK515">
            <v>50000</v>
          </cell>
          <cell r="AL515">
            <v>15000</v>
          </cell>
          <cell r="AM515">
            <v>0</v>
          </cell>
          <cell r="AN515">
            <v>0</v>
          </cell>
          <cell r="AO515">
            <v>10000</v>
          </cell>
          <cell r="AP515">
            <v>0</v>
          </cell>
          <cell r="AQ515">
            <v>46202</v>
          </cell>
          <cell r="AR515">
            <v>469122</v>
          </cell>
          <cell r="AS515">
            <v>0</v>
          </cell>
        </row>
        <row r="516">
          <cell r="P516">
            <v>7</v>
          </cell>
          <cell r="S516" t="str">
            <v xml:space="preserve"> </v>
          </cell>
          <cell r="U516" t="str">
            <v>DIFF.</v>
          </cell>
          <cell r="W516">
            <v>2300</v>
          </cell>
          <cell r="X516">
            <v>2300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4600</v>
          </cell>
          <cell r="AI516">
            <v>55200</v>
          </cell>
          <cell r="AJ516">
            <v>0</v>
          </cell>
          <cell r="AK516">
            <v>0</v>
          </cell>
          <cell r="AL516">
            <v>5000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7452</v>
          </cell>
          <cell r="AR516">
            <v>67652</v>
          </cell>
          <cell r="AS516">
            <v>16.850000000000001</v>
          </cell>
        </row>
        <row r="517">
          <cell r="P517">
            <v>7</v>
          </cell>
          <cell r="S517" t="str">
            <v xml:space="preserve"> </v>
          </cell>
        </row>
        <row r="518">
          <cell r="G518">
            <v>2307</v>
          </cell>
          <cell r="H518" t="str">
            <v>MR KHEMA B PATEL</v>
          </cell>
          <cell r="I518">
            <v>24259</v>
          </cell>
          <cell r="J518">
            <v>33499</v>
          </cell>
          <cell r="K518">
            <v>13019</v>
          </cell>
          <cell r="L518" t="str">
            <v>MA</v>
          </cell>
          <cell r="M518">
            <v>23</v>
          </cell>
          <cell r="N518" t="str">
            <v>A6</v>
          </cell>
          <cell r="O518" t="str">
            <v>MA</v>
          </cell>
          <cell r="P518">
            <v>7</v>
          </cell>
          <cell r="Q518" t="str">
            <v>Other Locations</v>
          </cell>
          <cell r="R518" t="str">
            <v>Pune</v>
          </cell>
          <cell r="S518" t="str">
            <v xml:space="preserve"> </v>
          </cell>
          <cell r="T518" t="str">
            <v>CA</v>
          </cell>
          <cell r="U518">
            <v>2001</v>
          </cell>
          <cell r="V518">
            <v>43500</v>
          </cell>
          <cell r="W518">
            <v>14000</v>
          </cell>
          <cell r="X518">
            <v>4900</v>
          </cell>
          <cell r="AA518">
            <v>500</v>
          </cell>
          <cell r="AB518">
            <v>150</v>
          </cell>
          <cell r="AC518">
            <v>1000</v>
          </cell>
          <cell r="AE518">
            <v>0</v>
          </cell>
          <cell r="AF518">
            <v>500</v>
          </cell>
          <cell r="AG518">
            <v>4000</v>
          </cell>
          <cell r="AH518">
            <v>25050</v>
          </cell>
          <cell r="AI518">
            <v>300600</v>
          </cell>
          <cell r="AJ518">
            <v>25000</v>
          </cell>
          <cell r="AK518">
            <v>50000</v>
          </cell>
          <cell r="AL518">
            <v>10000</v>
          </cell>
          <cell r="AM518">
            <v>0</v>
          </cell>
          <cell r="AN518">
            <v>0</v>
          </cell>
          <cell r="AO518">
            <v>10000</v>
          </cell>
          <cell r="AP518">
            <v>0</v>
          </cell>
          <cell r="AQ518">
            <v>45360</v>
          </cell>
          <cell r="AR518">
            <v>440960</v>
          </cell>
          <cell r="AS518">
            <v>0</v>
          </cell>
        </row>
        <row r="519">
          <cell r="M519">
            <v>23</v>
          </cell>
          <cell r="N519" t="str">
            <v>A6</v>
          </cell>
          <cell r="P519">
            <v>7</v>
          </cell>
          <cell r="S519" t="str">
            <v xml:space="preserve"> </v>
          </cell>
          <cell r="U519">
            <v>2002</v>
          </cell>
          <cell r="W519">
            <v>15650</v>
          </cell>
          <cell r="X519">
            <v>6500</v>
          </cell>
          <cell r="Z519">
            <v>0</v>
          </cell>
          <cell r="AA519">
            <v>500</v>
          </cell>
          <cell r="AB519">
            <v>150</v>
          </cell>
          <cell r="AC519">
            <v>1000</v>
          </cell>
          <cell r="AF519">
            <v>500</v>
          </cell>
          <cell r="AG519">
            <v>4000</v>
          </cell>
          <cell r="AH519">
            <v>28300</v>
          </cell>
          <cell r="AI519">
            <v>339600</v>
          </cell>
          <cell r="AJ519">
            <v>25000</v>
          </cell>
          <cell r="AK519">
            <v>50000</v>
          </cell>
          <cell r="AL519">
            <v>15000</v>
          </cell>
          <cell r="AM519">
            <v>0</v>
          </cell>
          <cell r="AN519">
            <v>0</v>
          </cell>
          <cell r="AO519">
            <v>10000</v>
          </cell>
          <cell r="AP519">
            <v>0</v>
          </cell>
          <cell r="AQ519">
            <v>50706</v>
          </cell>
          <cell r="AR519">
            <v>490306</v>
          </cell>
          <cell r="AS519">
            <v>0</v>
          </cell>
        </row>
        <row r="520">
          <cell r="P520">
            <v>7</v>
          </cell>
          <cell r="S520" t="str">
            <v xml:space="preserve"> </v>
          </cell>
          <cell r="U520" t="str">
            <v>DIFF.</v>
          </cell>
          <cell r="W520">
            <v>1650</v>
          </cell>
          <cell r="X520">
            <v>1600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3250</v>
          </cell>
          <cell r="AI520">
            <v>39000</v>
          </cell>
          <cell r="AJ520">
            <v>0</v>
          </cell>
          <cell r="AK520">
            <v>0</v>
          </cell>
          <cell r="AL520">
            <v>5000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5346</v>
          </cell>
          <cell r="AR520">
            <v>49346</v>
          </cell>
          <cell r="AS520">
            <v>11.19</v>
          </cell>
        </row>
        <row r="521">
          <cell r="P521">
            <v>7</v>
          </cell>
          <cell r="S521" t="str">
            <v xml:space="preserve"> </v>
          </cell>
        </row>
        <row r="522">
          <cell r="G522">
            <v>2310</v>
          </cell>
          <cell r="H522" t="str">
            <v>MR Y. SIVA SANKARA REDDY</v>
          </cell>
          <cell r="I522">
            <v>24685</v>
          </cell>
          <cell r="J522">
            <v>34164</v>
          </cell>
          <cell r="K522">
            <v>12593</v>
          </cell>
          <cell r="L522" t="str">
            <v>MA</v>
          </cell>
          <cell r="M522">
            <v>23</v>
          </cell>
          <cell r="N522" t="str">
            <v>A6</v>
          </cell>
          <cell r="O522" t="str">
            <v>MA</v>
          </cell>
          <cell r="P522">
            <v>7</v>
          </cell>
          <cell r="Q522" t="str">
            <v>Other Locations</v>
          </cell>
          <cell r="R522" t="str">
            <v>Warangal (Ap)</v>
          </cell>
          <cell r="S522" t="str">
            <v xml:space="preserve"> </v>
          </cell>
          <cell r="T522" t="str">
            <v>BA</v>
          </cell>
          <cell r="U522">
            <v>2001</v>
          </cell>
          <cell r="V522">
            <v>51500</v>
          </cell>
          <cell r="W522">
            <v>11325</v>
          </cell>
          <cell r="X522">
            <v>4000</v>
          </cell>
          <cell r="AA522">
            <v>500</v>
          </cell>
          <cell r="AB522">
            <v>150</v>
          </cell>
          <cell r="AC522">
            <v>1000</v>
          </cell>
          <cell r="AE522">
            <v>0</v>
          </cell>
          <cell r="AF522">
            <v>500</v>
          </cell>
          <cell r="AG522">
            <v>4000</v>
          </cell>
          <cell r="AH522">
            <v>21475</v>
          </cell>
          <cell r="AI522">
            <v>257700</v>
          </cell>
          <cell r="AJ522">
            <v>25000</v>
          </cell>
          <cell r="AK522">
            <v>50000</v>
          </cell>
          <cell r="AL522">
            <v>10000</v>
          </cell>
          <cell r="AM522">
            <v>0</v>
          </cell>
          <cell r="AN522">
            <v>0</v>
          </cell>
          <cell r="AO522">
            <v>10000</v>
          </cell>
          <cell r="AP522">
            <v>0</v>
          </cell>
          <cell r="AQ522">
            <v>36693</v>
          </cell>
          <cell r="AR522">
            <v>389393</v>
          </cell>
          <cell r="AS522">
            <v>0</v>
          </cell>
        </row>
        <row r="523">
          <cell r="M523">
            <v>23</v>
          </cell>
          <cell r="N523" t="str">
            <v>A6</v>
          </cell>
          <cell r="P523">
            <v>7</v>
          </cell>
          <cell r="S523" t="str">
            <v xml:space="preserve"> </v>
          </cell>
          <cell r="U523">
            <v>2002</v>
          </cell>
          <cell r="W523">
            <v>13625</v>
          </cell>
          <cell r="X523">
            <v>6500</v>
          </cell>
          <cell r="Z523">
            <v>0</v>
          </cell>
          <cell r="AA523">
            <v>500</v>
          </cell>
          <cell r="AB523">
            <v>150</v>
          </cell>
          <cell r="AC523">
            <v>1000</v>
          </cell>
          <cell r="AF523">
            <v>500</v>
          </cell>
          <cell r="AG523">
            <v>4000</v>
          </cell>
          <cell r="AH523">
            <v>26275</v>
          </cell>
          <cell r="AI523">
            <v>315300</v>
          </cell>
          <cell r="AJ523">
            <v>25000</v>
          </cell>
          <cell r="AK523">
            <v>50000</v>
          </cell>
          <cell r="AL523">
            <v>15000</v>
          </cell>
          <cell r="AM523">
            <v>0</v>
          </cell>
          <cell r="AN523">
            <v>0</v>
          </cell>
          <cell r="AO523">
            <v>10000</v>
          </cell>
          <cell r="AP523">
            <v>0</v>
          </cell>
          <cell r="AQ523">
            <v>44145</v>
          </cell>
          <cell r="AR523">
            <v>459445</v>
          </cell>
          <cell r="AS523">
            <v>0</v>
          </cell>
        </row>
        <row r="524">
          <cell r="P524">
            <v>7</v>
          </cell>
          <cell r="S524" t="str">
            <v xml:space="preserve"> </v>
          </cell>
          <cell r="U524" t="str">
            <v>DIFF.</v>
          </cell>
          <cell r="W524">
            <v>2300</v>
          </cell>
          <cell r="X524">
            <v>2500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4800</v>
          </cell>
          <cell r="AI524">
            <v>57600</v>
          </cell>
          <cell r="AJ524">
            <v>0</v>
          </cell>
          <cell r="AK524">
            <v>0</v>
          </cell>
          <cell r="AL524">
            <v>5000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7452</v>
          </cell>
          <cell r="AR524">
            <v>70052</v>
          </cell>
          <cell r="AS524">
            <v>17.989999999999998</v>
          </cell>
        </row>
        <row r="525">
          <cell r="P525">
            <v>7</v>
          </cell>
          <cell r="S525" t="str">
            <v xml:space="preserve"> </v>
          </cell>
        </row>
        <row r="526">
          <cell r="G526">
            <v>2311</v>
          </cell>
          <cell r="H526" t="str">
            <v>MR A.M. BHALODIA</v>
          </cell>
          <cell r="I526">
            <v>24139</v>
          </cell>
          <cell r="J526">
            <v>34327</v>
          </cell>
          <cell r="K526">
            <v>13139</v>
          </cell>
          <cell r="L526" t="str">
            <v>MA</v>
          </cell>
          <cell r="M526">
            <v>23</v>
          </cell>
          <cell r="N526" t="str">
            <v>A5</v>
          </cell>
          <cell r="O526" t="str">
            <v>MA</v>
          </cell>
          <cell r="P526">
            <v>7</v>
          </cell>
          <cell r="Q526" t="str">
            <v>Other Locations</v>
          </cell>
          <cell r="R526" t="str">
            <v>Amd</v>
          </cell>
          <cell r="S526" t="str">
            <v xml:space="preserve"> </v>
          </cell>
          <cell r="T526" t="str">
            <v>BL</v>
          </cell>
          <cell r="U526">
            <v>2001</v>
          </cell>
          <cell r="V526">
            <v>51500</v>
          </cell>
          <cell r="W526">
            <v>12025</v>
          </cell>
          <cell r="X526">
            <v>4200</v>
          </cell>
          <cell r="AA526">
            <v>500</v>
          </cell>
          <cell r="AB526">
            <v>150</v>
          </cell>
          <cell r="AC526">
            <v>1000</v>
          </cell>
          <cell r="AE526">
            <v>0</v>
          </cell>
          <cell r="AG526">
            <v>4000</v>
          </cell>
          <cell r="AH526">
            <v>21875</v>
          </cell>
          <cell r="AI526">
            <v>262500</v>
          </cell>
          <cell r="AJ526">
            <v>25000</v>
          </cell>
          <cell r="AK526">
            <v>50000</v>
          </cell>
          <cell r="AL526">
            <v>10000</v>
          </cell>
          <cell r="AO526">
            <v>10000</v>
          </cell>
          <cell r="AQ526">
            <v>38961</v>
          </cell>
          <cell r="AR526">
            <v>396461</v>
          </cell>
        </row>
        <row r="527">
          <cell r="M527">
            <v>23</v>
          </cell>
          <cell r="N527" t="str">
            <v>A5</v>
          </cell>
          <cell r="P527">
            <v>7</v>
          </cell>
          <cell r="S527" t="str">
            <v xml:space="preserve"> </v>
          </cell>
          <cell r="U527">
            <v>2002</v>
          </cell>
          <cell r="W527">
            <v>14175</v>
          </cell>
          <cell r="X527">
            <v>6500</v>
          </cell>
          <cell r="Z527">
            <v>0</v>
          </cell>
          <cell r="AA527">
            <v>500</v>
          </cell>
          <cell r="AB527">
            <v>150</v>
          </cell>
          <cell r="AC527">
            <v>1000</v>
          </cell>
          <cell r="AF527">
            <v>0</v>
          </cell>
          <cell r="AG527">
            <v>4000</v>
          </cell>
          <cell r="AH527">
            <v>26325</v>
          </cell>
          <cell r="AI527">
            <v>315900</v>
          </cell>
          <cell r="AJ527">
            <v>25000</v>
          </cell>
          <cell r="AK527">
            <v>50000</v>
          </cell>
          <cell r="AL527">
            <v>15000</v>
          </cell>
          <cell r="AM527">
            <v>0</v>
          </cell>
          <cell r="AN527">
            <v>0</v>
          </cell>
          <cell r="AO527">
            <v>10000</v>
          </cell>
          <cell r="AP527">
            <v>0</v>
          </cell>
          <cell r="AQ527">
            <v>45927</v>
          </cell>
          <cell r="AR527">
            <v>461827</v>
          </cell>
          <cell r="AS527">
            <v>0</v>
          </cell>
        </row>
        <row r="528">
          <cell r="P528">
            <v>7</v>
          </cell>
          <cell r="S528" t="str">
            <v xml:space="preserve"> </v>
          </cell>
          <cell r="U528" t="str">
            <v>DIFF.</v>
          </cell>
          <cell r="W528">
            <v>2150</v>
          </cell>
          <cell r="X528">
            <v>2300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4450</v>
          </cell>
          <cell r="AI528">
            <v>53400</v>
          </cell>
          <cell r="AJ528">
            <v>0</v>
          </cell>
          <cell r="AK528">
            <v>0</v>
          </cell>
          <cell r="AL528">
            <v>5000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6966</v>
          </cell>
          <cell r="AR528">
            <v>65366</v>
          </cell>
          <cell r="AS528">
            <v>16.489999999999998</v>
          </cell>
        </row>
        <row r="529">
          <cell r="P529">
            <v>7</v>
          </cell>
          <cell r="S529" t="str">
            <v xml:space="preserve"> </v>
          </cell>
        </row>
        <row r="530">
          <cell r="G530">
            <v>2312</v>
          </cell>
          <cell r="H530" t="str">
            <v>MR M. RAVIKUMAR</v>
          </cell>
          <cell r="I530">
            <v>25375</v>
          </cell>
          <cell r="J530">
            <v>34416</v>
          </cell>
          <cell r="K530">
            <v>11903</v>
          </cell>
          <cell r="L530" t="str">
            <v>MA</v>
          </cell>
          <cell r="M530">
            <v>23</v>
          </cell>
          <cell r="N530" t="str">
            <v>A5</v>
          </cell>
          <cell r="O530" t="str">
            <v>MA</v>
          </cell>
          <cell r="P530">
            <v>2</v>
          </cell>
          <cell r="Q530" t="str">
            <v>Chennai</v>
          </cell>
          <cell r="R530" t="str">
            <v>Chennai</v>
          </cell>
          <cell r="S530" t="str">
            <v xml:space="preserve"> </v>
          </cell>
          <cell r="T530" t="str">
            <v>CA</v>
          </cell>
          <cell r="U530">
            <v>2001</v>
          </cell>
          <cell r="V530">
            <v>43500</v>
          </cell>
          <cell r="W530">
            <v>11500</v>
          </cell>
          <cell r="X530">
            <v>4050</v>
          </cell>
          <cell r="AA530">
            <v>500</v>
          </cell>
          <cell r="AB530">
            <v>150</v>
          </cell>
          <cell r="AC530">
            <v>1000</v>
          </cell>
          <cell r="AE530">
            <v>450</v>
          </cell>
          <cell r="AG530">
            <v>4000</v>
          </cell>
          <cell r="AH530">
            <v>21650</v>
          </cell>
          <cell r="AI530">
            <v>259800</v>
          </cell>
          <cell r="AJ530">
            <v>25000</v>
          </cell>
          <cell r="AK530">
            <v>50000</v>
          </cell>
          <cell r="AL530">
            <v>10000</v>
          </cell>
          <cell r="AO530">
            <v>10000</v>
          </cell>
          <cell r="AQ530">
            <v>37260</v>
          </cell>
          <cell r="AR530">
            <v>392060</v>
          </cell>
        </row>
        <row r="531">
          <cell r="M531">
            <v>23</v>
          </cell>
          <cell r="N531" t="str">
            <v>A5</v>
          </cell>
          <cell r="P531">
            <v>2</v>
          </cell>
          <cell r="S531" t="str">
            <v xml:space="preserve"> </v>
          </cell>
          <cell r="U531">
            <v>2002</v>
          </cell>
          <cell r="W531">
            <v>13150</v>
          </cell>
          <cell r="X531">
            <v>7000</v>
          </cell>
          <cell r="Z531">
            <v>0</v>
          </cell>
          <cell r="AA531">
            <v>500</v>
          </cell>
          <cell r="AB531">
            <v>150</v>
          </cell>
          <cell r="AC531">
            <v>1000</v>
          </cell>
          <cell r="AF531">
            <v>0</v>
          </cell>
          <cell r="AG531">
            <v>4000</v>
          </cell>
          <cell r="AH531">
            <v>25800</v>
          </cell>
          <cell r="AI531">
            <v>309600</v>
          </cell>
          <cell r="AJ531">
            <v>25000</v>
          </cell>
          <cell r="AK531">
            <v>50000</v>
          </cell>
          <cell r="AL531">
            <v>15000</v>
          </cell>
          <cell r="AM531">
            <v>0</v>
          </cell>
          <cell r="AN531">
            <v>0</v>
          </cell>
          <cell r="AO531">
            <v>10000</v>
          </cell>
          <cell r="AP531">
            <v>0</v>
          </cell>
          <cell r="AQ531">
            <v>42606</v>
          </cell>
          <cell r="AR531">
            <v>452206</v>
          </cell>
          <cell r="AS531">
            <v>0</v>
          </cell>
        </row>
        <row r="532">
          <cell r="P532">
            <v>2</v>
          </cell>
          <cell r="S532" t="str">
            <v xml:space="preserve"> </v>
          </cell>
          <cell r="U532" t="str">
            <v>DIFF.</v>
          </cell>
          <cell r="W532">
            <v>1650</v>
          </cell>
          <cell r="X532">
            <v>2950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E532">
            <v>-450</v>
          </cell>
          <cell r="AF532">
            <v>0</v>
          </cell>
          <cell r="AG532">
            <v>0</v>
          </cell>
          <cell r="AH532">
            <v>4150</v>
          </cell>
          <cell r="AI532">
            <v>49800</v>
          </cell>
          <cell r="AJ532">
            <v>0</v>
          </cell>
          <cell r="AK532">
            <v>0</v>
          </cell>
          <cell r="AL532">
            <v>5000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5346</v>
          </cell>
          <cell r="AR532">
            <v>60146</v>
          </cell>
          <cell r="AS532">
            <v>15.34</v>
          </cell>
        </row>
        <row r="533">
          <cell r="P533">
            <v>2</v>
          </cell>
          <cell r="S533" t="str">
            <v xml:space="preserve"> </v>
          </cell>
        </row>
        <row r="534">
          <cell r="G534">
            <v>2313</v>
          </cell>
          <cell r="H534" t="str">
            <v>MR BHUPENDRA SHARMA</v>
          </cell>
          <cell r="I534">
            <v>24865</v>
          </cell>
          <cell r="J534">
            <v>34439</v>
          </cell>
          <cell r="K534">
            <v>12413</v>
          </cell>
          <cell r="L534" t="str">
            <v>MA</v>
          </cell>
          <cell r="M534">
            <v>23</v>
          </cell>
          <cell r="N534" t="str">
            <v>A5</v>
          </cell>
          <cell r="O534" t="str">
            <v>MA</v>
          </cell>
          <cell r="P534">
            <v>3</v>
          </cell>
          <cell r="Q534" t="str">
            <v>Delhi</v>
          </cell>
          <cell r="R534" t="str">
            <v>Delhi</v>
          </cell>
          <cell r="S534" t="str">
            <v xml:space="preserve"> </v>
          </cell>
          <cell r="T534" t="str">
            <v>CA</v>
          </cell>
          <cell r="U534">
            <v>2001</v>
          </cell>
          <cell r="V534">
            <v>43500</v>
          </cell>
          <cell r="W534">
            <v>11025</v>
          </cell>
          <cell r="X534">
            <v>4000</v>
          </cell>
          <cell r="AA534">
            <v>500</v>
          </cell>
          <cell r="AB534">
            <v>150</v>
          </cell>
          <cell r="AC534">
            <v>1000</v>
          </cell>
          <cell r="AE534">
            <v>450</v>
          </cell>
          <cell r="AG534">
            <v>4000</v>
          </cell>
          <cell r="AH534">
            <v>21125</v>
          </cell>
          <cell r="AI534">
            <v>253500</v>
          </cell>
          <cell r="AJ534">
            <v>25000</v>
          </cell>
          <cell r="AK534">
            <v>50000</v>
          </cell>
          <cell r="AL534">
            <v>10000</v>
          </cell>
          <cell r="AO534">
            <v>10000</v>
          </cell>
          <cell r="AQ534">
            <v>35721</v>
          </cell>
          <cell r="AR534">
            <v>384221</v>
          </cell>
        </row>
        <row r="535">
          <cell r="M535">
            <v>23</v>
          </cell>
          <cell r="N535" t="str">
            <v>A5</v>
          </cell>
          <cell r="P535">
            <v>3</v>
          </cell>
          <cell r="S535" t="str">
            <v xml:space="preserve"> </v>
          </cell>
          <cell r="U535">
            <v>2002</v>
          </cell>
          <cell r="W535">
            <v>12675</v>
          </cell>
          <cell r="X535">
            <v>7000</v>
          </cell>
          <cell r="Z535">
            <v>0</v>
          </cell>
          <cell r="AA535">
            <v>500</v>
          </cell>
          <cell r="AB535">
            <v>150</v>
          </cell>
          <cell r="AC535">
            <v>1000</v>
          </cell>
          <cell r="AF535">
            <v>0</v>
          </cell>
          <cell r="AG535">
            <v>4000</v>
          </cell>
          <cell r="AH535">
            <v>25325</v>
          </cell>
          <cell r="AI535">
            <v>303900</v>
          </cell>
          <cell r="AJ535">
            <v>25000</v>
          </cell>
          <cell r="AK535">
            <v>50000</v>
          </cell>
          <cell r="AL535">
            <v>15000</v>
          </cell>
          <cell r="AM535">
            <v>0</v>
          </cell>
          <cell r="AN535">
            <v>0</v>
          </cell>
          <cell r="AO535">
            <v>10000</v>
          </cell>
          <cell r="AP535">
            <v>0</v>
          </cell>
          <cell r="AQ535">
            <v>41067</v>
          </cell>
          <cell r="AR535">
            <v>444967</v>
          </cell>
          <cell r="AS535">
            <v>0</v>
          </cell>
        </row>
        <row r="536">
          <cell r="P536">
            <v>3</v>
          </cell>
          <cell r="S536" t="str">
            <v xml:space="preserve"> </v>
          </cell>
          <cell r="U536" t="str">
            <v>DIFF.</v>
          </cell>
          <cell r="W536">
            <v>1650</v>
          </cell>
          <cell r="X536">
            <v>3000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E536">
            <v>-450</v>
          </cell>
          <cell r="AF536">
            <v>0</v>
          </cell>
          <cell r="AG536">
            <v>0</v>
          </cell>
          <cell r="AH536">
            <v>4200</v>
          </cell>
          <cell r="AI536">
            <v>50400</v>
          </cell>
          <cell r="AJ536">
            <v>0</v>
          </cell>
          <cell r="AK536">
            <v>0</v>
          </cell>
          <cell r="AL536">
            <v>5000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5346</v>
          </cell>
          <cell r="AR536">
            <v>60746</v>
          </cell>
          <cell r="AS536">
            <v>15.81</v>
          </cell>
        </row>
        <row r="537">
          <cell r="P537">
            <v>3</v>
          </cell>
          <cell r="S537" t="str">
            <v xml:space="preserve"> </v>
          </cell>
        </row>
        <row r="538">
          <cell r="G538">
            <v>2338</v>
          </cell>
          <cell r="H538" t="str">
            <v>MR MUKESH NARAYAN</v>
          </cell>
          <cell r="I538">
            <v>25769</v>
          </cell>
          <cell r="J538">
            <v>35573</v>
          </cell>
          <cell r="K538">
            <v>11509</v>
          </cell>
          <cell r="L538" t="str">
            <v>MA</v>
          </cell>
          <cell r="M538">
            <v>23</v>
          </cell>
          <cell r="N538" t="str">
            <v>A6</v>
          </cell>
          <cell r="O538" t="str">
            <v>MA</v>
          </cell>
          <cell r="P538">
            <v>7</v>
          </cell>
          <cell r="Q538" t="str">
            <v>Other Locations</v>
          </cell>
          <cell r="R538" t="str">
            <v>Amd</v>
          </cell>
          <cell r="S538" t="str">
            <v xml:space="preserve"> </v>
          </cell>
          <cell r="T538" t="str">
            <v>CA</v>
          </cell>
          <cell r="U538">
            <v>2001</v>
          </cell>
          <cell r="V538">
            <v>43500</v>
          </cell>
          <cell r="W538">
            <v>11555</v>
          </cell>
          <cell r="X538">
            <v>4050</v>
          </cell>
          <cell r="AA538">
            <v>500</v>
          </cell>
          <cell r="AB538">
            <v>150</v>
          </cell>
          <cell r="AC538">
            <v>1000</v>
          </cell>
          <cell r="AE538">
            <v>0</v>
          </cell>
          <cell r="AF538">
            <v>500</v>
          </cell>
          <cell r="AG538">
            <v>4000</v>
          </cell>
          <cell r="AH538">
            <v>21755</v>
          </cell>
          <cell r="AI538">
            <v>261060</v>
          </cell>
          <cell r="AJ538">
            <v>25000</v>
          </cell>
          <cell r="AK538">
            <v>50000</v>
          </cell>
          <cell r="AL538">
            <v>10000</v>
          </cell>
          <cell r="AM538">
            <v>0</v>
          </cell>
          <cell r="AN538">
            <v>0</v>
          </cell>
          <cell r="AO538">
            <v>10000</v>
          </cell>
          <cell r="AP538">
            <v>0</v>
          </cell>
          <cell r="AQ538">
            <v>37438</v>
          </cell>
          <cell r="AR538">
            <v>393498</v>
          </cell>
          <cell r="AS538">
            <v>0</v>
          </cell>
        </row>
        <row r="539">
          <cell r="M539">
            <v>23</v>
          </cell>
          <cell r="N539" t="str">
            <v>A6</v>
          </cell>
          <cell r="P539">
            <v>7</v>
          </cell>
          <cell r="S539" t="str">
            <v xml:space="preserve"> </v>
          </cell>
          <cell r="U539">
            <v>2002</v>
          </cell>
          <cell r="W539">
            <v>13205</v>
          </cell>
          <cell r="X539">
            <v>6500</v>
          </cell>
          <cell r="Z539">
            <v>0</v>
          </cell>
          <cell r="AA539">
            <v>500</v>
          </cell>
          <cell r="AB539">
            <v>150</v>
          </cell>
          <cell r="AC539">
            <v>1000</v>
          </cell>
          <cell r="AF539">
            <v>500</v>
          </cell>
          <cell r="AG539">
            <v>4000</v>
          </cell>
          <cell r="AH539">
            <v>25855</v>
          </cell>
          <cell r="AI539">
            <v>310260</v>
          </cell>
          <cell r="AJ539">
            <v>25000</v>
          </cell>
          <cell r="AK539">
            <v>50000</v>
          </cell>
          <cell r="AL539">
            <v>15000</v>
          </cell>
          <cell r="AM539">
            <v>0</v>
          </cell>
          <cell r="AN539">
            <v>0</v>
          </cell>
          <cell r="AO539">
            <v>10000</v>
          </cell>
          <cell r="AP539">
            <v>0</v>
          </cell>
          <cell r="AQ539">
            <v>42784</v>
          </cell>
          <cell r="AR539">
            <v>453044</v>
          </cell>
          <cell r="AS539">
            <v>0</v>
          </cell>
        </row>
        <row r="540">
          <cell r="P540">
            <v>7</v>
          </cell>
          <cell r="S540" t="str">
            <v xml:space="preserve"> </v>
          </cell>
          <cell r="U540" t="str">
            <v>DIFF.</v>
          </cell>
          <cell r="W540">
            <v>1650</v>
          </cell>
          <cell r="X540">
            <v>2450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4100</v>
          </cell>
          <cell r="AI540">
            <v>49200</v>
          </cell>
          <cell r="AJ540">
            <v>0</v>
          </cell>
          <cell r="AK540">
            <v>0</v>
          </cell>
          <cell r="AL540">
            <v>5000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5346</v>
          </cell>
          <cell r="AR540">
            <v>59546</v>
          </cell>
          <cell r="AS540">
            <v>15.13</v>
          </cell>
        </row>
        <row r="541">
          <cell r="P541">
            <v>7</v>
          </cell>
          <cell r="S541" t="str">
            <v xml:space="preserve"> </v>
          </cell>
        </row>
        <row r="542">
          <cell r="G542">
            <v>2339</v>
          </cell>
          <cell r="H542" t="str">
            <v>MR GAURAV KATYAL</v>
          </cell>
          <cell r="I542">
            <v>26330</v>
          </cell>
          <cell r="J542">
            <v>35583</v>
          </cell>
          <cell r="K542">
            <v>10948</v>
          </cell>
          <cell r="L542" t="str">
            <v>MA</v>
          </cell>
          <cell r="M542">
            <v>23</v>
          </cell>
          <cell r="N542" t="str">
            <v>A5</v>
          </cell>
          <cell r="O542" t="str">
            <v>MA</v>
          </cell>
          <cell r="P542">
            <v>3</v>
          </cell>
          <cell r="Q542" t="str">
            <v>Delhi</v>
          </cell>
          <cell r="R542" t="str">
            <v>Delhi</v>
          </cell>
          <cell r="S542" t="str">
            <v xml:space="preserve"> </v>
          </cell>
          <cell r="T542" t="str">
            <v>CA</v>
          </cell>
          <cell r="U542">
            <v>2001</v>
          </cell>
          <cell r="V542">
            <v>43500</v>
          </cell>
          <cell r="W542">
            <v>10700</v>
          </cell>
          <cell r="X542">
            <v>4000</v>
          </cell>
          <cell r="AA542">
            <v>500</v>
          </cell>
          <cell r="AB542">
            <v>150</v>
          </cell>
          <cell r="AC542">
            <v>1000</v>
          </cell>
          <cell r="AE542">
            <v>450</v>
          </cell>
          <cell r="AG542">
            <v>4000</v>
          </cell>
          <cell r="AH542">
            <v>20800</v>
          </cell>
          <cell r="AI542">
            <v>249600</v>
          </cell>
          <cell r="AJ542">
            <v>25000</v>
          </cell>
          <cell r="AK542">
            <v>50000</v>
          </cell>
          <cell r="AL542">
            <v>10000</v>
          </cell>
          <cell r="AO542">
            <v>10000</v>
          </cell>
          <cell r="AQ542">
            <v>34668</v>
          </cell>
          <cell r="AR542">
            <v>379268</v>
          </cell>
        </row>
        <row r="543">
          <cell r="M543">
            <v>23</v>
          </cell>
          <cell r="N543" t="str">
            <v>A5</v>
          </cell>
          <cell r="P543">
            <v>3</v>
          </cell>
          <cell r="S543" t="str">
            <v xml:space="preserve"> </v>
          </cell>
          <cell r="U543">
            <v>2002</v>
          </cell>
          <cell r="W543">
            <v>12350</v>
          </cell>
          <cell r="X543">
            <v>7000</v>
          </cell>
          <cell r="Z543">
            <v>0</v>
          </cell>
          <cell r="AA543">
            <v>500</v>
          </cell>
          <cell r="AB543">
            <v>150</v>
          </cell>
          <cell r="AC543">
            <v>1000</v>
          </cell>
          <cell r="AF543">
            <v>0</v>
          </cell>
          <cell r="AG543">
            <v>4000</v>
          </cell>
          <cell r="AH543">
            <v>25000</v>
          </cell>
          <cell r="AI543">
            <v>300000</v>
          </cell>
          <cell r="AJ543">
            <v>25000</v>
          </cell>
          <cell r="AK543">
            <v>50000</v>
          </cell>
          <cell r="AL543">
            <v>15000</v>
          </cell>
          <cell r="AM543">
            <v>0</v>
          </cell>
          <cell r="AN543">
            <v>0</v>
          </cell>
          <cell r="AO543">
            <v>10000</v>
          </cell>
          <cell r="AP543">
            <v>0</v>
          </cell>
          <cell r="AQ543">
            <v>40014</v>
          </cell>
          <cell r="AR543">
            <v>440014</v>
          </cell>
          <cell r="AS543">
            <v>0</v>
          </cell>
        </row>
        <row r="544">
          <cell r="P544">
            <v>3</v>
          </cell>
          <cell r="S544" t="str">
            <v xml:space="preserve"> </v>
          </cell>
          <cell r="U544" t="str">
            <v>DIFF.</v>
          </cell>
          <cell r="W544">
            <v>1650</v>
          </cell>
          <cell r="X544">
            <v>3000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E544">
            <v>-450</v>
          </cell>
          <cell r="AF544">
            <v>0</v>
          </cell>
          <cell r="AG544">
            <v>0</v>
          </cell>
          <cell r="AH544">
            <v>4200</v>
          </cell>
          <cell r="AI544">
            <v>50400</v>
          </cell>
          <cell r="AJ544">
            <v>0</v>
          </cell>
          <cell r="AK544">
            <v>0</v>
          </cell>
          <cell r="AL544">
            <v>5000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5346</v>
          </cell>
          <cell r="AR544">
            <v>60746</v>
          </cell>
          <cell r="AS544">
            <v>16.02</v>
          </cell>
        </row>
        <row r="545">
          <cell r="P545">
            <v>3</v>
          </cell>
          <cell r="S545" t="str">
            <v xml:space="preserve"> </v>
          </cell>
        </row>
        <row r="546">
          <cell r="G546">
            <v>2390</v>
          </cell>
          <cell r="H546" t="str">
            <v>MR CHAVA RAMESH BABU</v>
          </cell>
          <cell r="I546">
            <v>24634</v>
          </cell>
          <cell r="J546">
            <v>36304</v>
          </cell>
          <cell r="K546">
            <v>12644</v>
          </cell>
          <cell r="L546" t="str">
            <v>MA</v>
          </cell>
          <cell r="M546">
            <v>23</v>
          </cell>
          <cell r="N546" t="str">
            <v>A5</v>
          </cell>
          <cell r="O546" t="str">
            <v>MA</v>
          </cell>
          <cell r="P546">
            <v>7</v>
          </cell>
          <cell r="Q546" t="str">
            <v>Other Locations</v>
          </cell>
          <cell r="R546" t="str">
            <v>Vijaywada (Ap)</v>
          </cell>
          <cell r="S546" t="str">
            <v xml:space="preserve"> </v>
          </cell>
          <cell r="T546" t="str">
            <v>CA</v>
          </cell>
          <cell r="U546">
            <v>2001</v>
          </cell>
          <cell r="V546">
            <v>43500</v>
          </cell>
          <cell r="W546">
            <v>10935</v>
          </cell>
          <cell r="X546">
            <v>4000</v>
          </cell>
          <cell r="AA546">
            <v>500</v>
          </cell>
          <cell r="AB546">
            <v>150</v>
          </cell>
          <cell r="AC546">
            <v>1000</v>
          </cell>
          <cell r="AE546">
            <v>0</v>
          </cell>
          <cell r="AG546">
            <v>4000</v>
          </cell>
          <cell r="AH546">
            <v>20585</v>
          </cell>
          <cell r="AI546">
            <v>247020</v>
          </cell>
          <cell r="AJ546">
            <v>25000</v>
          </cell>
          <cell r="AK546">
            <v>50000</v>
          </cell>
          <cell r="AL546">
            <v>10000</v>
          </cell>
          <cell r="AO546">
            <v>10000</v>
          </cell>
          <cell r="AQ546">
            <v>35429</v>
          </cell>
          <cell r="AR546">
            <v>377449</v>
          </cell>
        </row>
        <row r="547">
          <cell r="M547">
            <v>23</v>
          </cell>
          <cell r="N547" t="str">
            <v>A5</v>
          </cell>
          <cell r="P547">
            <v>7</v>
          </cell>
          <cell r="S547" t="str">
            <v xml:space="preserve"> </v>
          </cell>
          <cell r="U547">
            <v>2002</v>
          </cell>
          <cell r="W547">
            <v>12585</v>
          </cell>
          <cell r="X547">
            <v>6500</v>
          </cell>
          <cell r="Z547">
            <v>0</v>
          </cell>
          <cell r="AA547">
            <v>500</v>
          </cell>
          <cell r="AB547">
            <v>150</v>
          </cell>
          <cell r="AC547">
            <v>1000</v>
          </cell>
          <cell r="AF547">
            <v>0</v>
          </cell>
          <cell r="AG547">
            <v>4000</v>
          </cell>
          <cell r="AH547">
            <v>24735</v>
          </cell>
          <cell r="AI547">
            <v>296820</v>
          </cell>
          <cell r="AJ547">
            <v>25000</v>
          </cell>
          <cell r="AK547">
            <v>50000</v>
          </cell>
          <cell r="AL547">
            <v>15000</v>
          </cell>
          <cell r="AM547">
            <v>0</v>
          </cell>
          <cell r="AN547">
            <v>0</v>
          </cell>
          <cell r="AO547">
            <v>10000</v>
          </cell>
          <cell r="AP547">
            <v>0</v>
          </cell>
          <cell r="AQ547">
            <v>40775</v>
          </cell>
          <cell r="AR547">
            <v>437595</v>
          </cell>
          <cell r="AS547">
            <v>0</v>
          </cell>
        </row>
        <row r="548">
          <cell r="P548">
            <v>7</v>
          </cell>
          <cell r="S548" t="str">
            <v xml:space="preserve"> </v>
          </cell>
          <cell r="U548" t="str">
            <v>DIFF.</v>
          </cell>
          <cell r="W548">
            <v>1650</v>
          </cell>
          <cell r="X548">
            <v>2500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4150</v>
          </cell>
          <cell r="AI548">
            <v>49800</v>
          </cell>
          <cell r="AJ548">
            <v>0</v>
          </cell>
          <cell r="AK548">
            <v>0</v>
          </cell>
          <cell r="AL548">
            <v>5000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5346</v>
          </cell>
          <cell r="AR548">
            <v>60146</v>
          </cell>
          <cell r="AS548">
            <v>15.93</v>
          </cell>
        </row>
        <row r="549">
          <cell r="P549">
            <v>7</v>
          </cell>
          <cell r="S549" t="str">
            <v xml:space="preserve"> </v>
          </cell>
        </row>
        <row r="550">
          <cell r="G550">
            <v>2391</v>
          </cell>
          <cell r="H550" t="str">
            <v>MR P.PRASAD</v>
          </cell>
          <cell r="I550">
            <v>25287</v>
          </cell>
          <cell r="J550">
            <v>36312</v>
          </cell>
          <cell r="K550">
            <v>11991</v>
          </cell>
          <cell r="L550" t="str">
            <v>MA</v>
          </cell>
          <cell r="M550">
            <v>23</v>
          </cell>
          <cell r="N550" t="str">
            <v>A5</v>
          </cell>
          <cell r="O550" t="str">
            <v>MA</v>
          </cell>
          <cell r="P550">
            <v>7</v>
          </cell>
          <cell r="Q550" t="str">
            <v>Other Locations</v>
          </cell>
          <cell r="R550" t="str">
            <v>Pune</v>
          </cell>
          <cell r="S550" t="str">
            <v xml:space="preserve"> </v>
          </cell>
          <cell r="T550" t="str">
            <v>CA</v>
          </cell>
          <cell r="U550">
            <v>2001</v>
          </cell>
          <cell r="V550">
            <v>43500</v>
          </cell>
          <cell r="W550">
            <v>6210</v>
          </cell>
          <cell r="X550">
            <v>4000</v>
          </cell>
          <cell r="AA550">
            <v>500</v>
          </cell>
          <cell r="AB550">
            <v>150</v>
          </cell>
          <cell r="AC550">
            <v>1000</v>
          </cell>
          <cell r="AE550">
            <v>0</v>
          </cell>
          <cell r="AG550">
            <v>4000</v>
          </cell>
          <cell r="AH550">
            <v>15860</v>
          </cell>
          <cell r="AI550">
            <v>190320</v>
          </cell>
          <cell r="AJ550">
            <v>25000</v>
          </cell>
          <cell r="AK550">
            <v>50000</v>
          </cell>
          <cell r="AL550">
            <v>10000</v>
          </cell>
          <cell r="AO550">
            <v>10000</v>
          </cell>
          <cell r="AQ550">
            <v>20120</v>
          </cell>
          <cell r="AR550">
            <v>305440</v>
          </cell>
        </row>
        <row r="551">
          <cell r="M551">
            <v>23</v>
          </cell>
          <cell r="N551" t="str">
            <v>A5</v>
          </cell>
          <cell r="P551">
            <v>7</v>
          </cell>
          <cell r="S551" t="str">
            <v xml:space="preserve"> </v>
          </cell>
          <cell r="U551">
            <v>2002</v>
          </cell>
          <cell r="W551">
            <v>7860</v>
          </cell>
          <cell r="X551">
            <v>6500</v>
          </cell>
          <cell r="Z551">
            <v>0</v>
          </cell>
          <cell r="AA551">
            <v>500</v>
          </cell>
          <cell r="AB551">
            <v>150</v>
          </cell>
          <cell r="AC551">
            <v>1000</v>
          </cell>
          <cell r="AF551">
            <v>0</v>
          </cell>
          <cell r="AG551">
            <v>4000</v>
          </cell>
          <cell r="AH551">
            <v>20010</v>
          </cell>
          <cell r="AI551">
            <v>240120</v>
          </cell>
          <cell r="AJ551">
            <v>25000</v>
          </cell>
          <cell r="AK551">
            <v>50000</v>
          </cell>
          <cell r="AL551">
            <v>15000</v>
          </cell>
          <cell r="AM551">
            <v>0</v>
          </cell>
          <cell r="AN551">
            <v>0</v>
          </cell>
          <cell r="AO551">
            <v>10000</v>
          </cell>
          <cell r="AP551">
            <v>0</v>
          </cell>
          <cell r="AQ551">
            <v>25466</v>
          </cell>
          <cell r="AR551">
            <v>365586</v>
          </cell>
          <cell r="AS551">
            <v>0</v>
          </cell>
        </row>
        <row r="552">
          <cell r="P552">
            <v>7</v>
          </cell>
          <cell r="S552" t="str">
            <v xml:space="preserve"> </v>
          </cell>
          <cell r="U552" t="str">
            <v>DIFF.</v>
          </cell>
          <cell r="W552">
            <v>1650</v>
          </cell>
          <cell r="X552">
            <v>2500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4150</v>
          </cell>
          <cell r="AI552">
            <v>49800</v>
          </cell>
          <cell r="AJ552">
            <v>0</v>
          </cell>
          <cell r="AK552">
            <v>0</v>
          </cell>
          <cell r="AL552">
            <v>5000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5346</v>
          </cell>
          <cell r="AR552">
            <v>60146</v>
          </cell>
          <cell r="AS552">
            <v>19.690000000000001</v>
          </cell>
        </row>
        <row r="553">
          <cell r="P553">
            <v>7</v>
          </cell>
          <cell r="S553" t="str">
            <v xml:space="preserve"> </v>
          </cell>
        </row>
        <row r="554">
          <cell r="G554">
            <v>2392</v>
          </cell>
          <cell r="H554" t="str">
            <v>MR MADHUKAR CHUGH</v>
          </cell>
          <cell r="I554">
            <v>25565</v>
          </cell>
          <cell r="J554">
            <v>36312</v>
          </cell>
          <cell r="K554">
            <v>11713</v>
          </cell>
          <cell r="L554" t="str">
            <v>MA</v>
          </cell>
          <cell r="M554">
            <v>23</v>
          </cell>
          <cell r="N554" t="str">
            <v>A5</v>
          </cell>
          <cell r="O554" t="str">
            <v>MA</v>
          </cell>
          <cell r="P554">
            <v>7</v>
          </cell>
          <cell r="Q554" t="str">
            <v>Other Locations</v>
          </cell>
          <cell r="R554" t="str">
            <v>Indore</v>
          </cell>
          <cell r="S554" t="str">
            <v xml:space="preserve"> </v>
          </cell>
          <cell r="T554" t="str">
            <v>BA</v>
          </cell>
          <cell r="U554">
            <v>2001</v>
          </cell>
          <cell r="V554">
            <v>51500</v>
          </cell>
          <cell r="W554">
            <v>9035</v>
          </cell>
          <cell r="X554">
            <v>4000</v>
          </cell>
          <cell r="AA554">
            <v>500</v>
          </cell>
          <cell r="AB554">
            <v>150</v>
          </cell>
          <cell r="AC554">
            <v>1000</v>
          </cell>
          <cell r="AE554">
            <v>0</v>
          </cell>
          <cell r="AG554">
            <v>4000</v>
          </cell>
          <cell r="AH554">
            <v>18685</v>
          </cell>
          <cell r="AI554">
            <v>224220</v>
          </cell>
          <cell r="AJ554">
            <v>25000</v>
          </cell>
          <cell r="AK554">
            <v>50000</v>
          </cell>
          <cell r="AL554">
            <v>10000</v>
          </cell>
          <cell r="AO554">
            <v>10000</v>
          </cell>
          <cell r="AQ554">
            <v>29273</v>
          </cell>
          <cell r="AR554">
            <v>348493</v>
          </cell>
        </row>
        <row r="555">
          <cell r="M555">
            <v>23</v>
          </cell>
          <cell r="N555" t="str">
            <v>A5</v>
          </cell>
          <cell r="P555">
            <v>7</v>
          </cell>
          <cell r="S555" t="str">
            <v xml:space="preserve"> </v>
          </cell>
          <cell r="U555">
            <v>2002</v>
          </cell>
          <cell r="W555">
            <v>11335</v>
          </cell>
          <cell r="X555">
            <v>6500</v>
          </cell>
          <cell r="Z555">
            <v>0</v>
          </cell>
          <cell r="AA555">
            <v>500</v>
          </cell>
          <cell r="AB555">
            <v>150</v>
          </cell>
          <cell r="AC555">
            <v>1000</v>
          </cell>
          <cell r="AF555">
            <v>0</v>
          </cell>
          <cell r="AG555">
            <v>4000</v>
          </cell>
          <cell r="AH555">
            <v>23485</v>
          </cell>
          <cell r="AI555">
            <v>281820</v>
          </cell>
          <cell r="AJ555">
            <v>25000</v>
          </cell>
          <cell r="AK555">
            <v>50000</v>
          </cell>
          <cell r="AL555">
            <v>15000</v>
          </cell>
          <cell r="AM555">
            <v>0</v>
          </cell>
          <cell r="AN555">
            <v>0</v>
          </cell>
          <cell r="AO555">
            <v>10000</v>
          </cell>
          <cell r="AP555">
            <v>0</v>
          </cell>
          <cell r="AQ555">
            <v>36725</v>
          </cell>
          <cell r="AR555">
            <v>418545</v>
          </cell>
          <cell r="AS555">
            <v>0</v>
          </cell>
        </row>
        <row r="556">
          <cell r="P556">
            <v>7</v>
          </cell>
          <cell r="S556" t="str">
            <v xml:space="preserve"> </v>
          </cell>
          <cell r="U556" t="str">
            <v>DIFF.</v>
          </cell>
          <cell r="W556">
            <v>2300</v>
          </cell>
          <cell r="X556">
            <v>2500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4800</v>
          </cell>
          <cell r="AI556">
            <v>57600</v>
          </cell>
          <cell r="AJ556">
            <v>0</v>
          </cell>
          <cell r="AK556">
            <v>0</v>
          </cell>
          <cell r="AL556">
            <v>5000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7452</v>
          </cell>
          <cell r="AR556">
            <v>70052</v>
          </cell>
          <cell r="AS556">
            <v>20.100000000000001</v>
          </cell>
        </row>
        <row r="557">
          <cell r="P557">
            <v>7</v>
          </cell>
          <cell r="S557" t="str">
            <v xml:space="preserve"> </v>
          </cell>
        </row>
        <row r="558">
          <cell r="G558">
            <v>1208</v>
          </cell>
          <cell r="H558" t="str">
            <v>MR NARAYAN P P</v>
          </cell>
          <cell r="I558">
            <v>17058</v>
          </cell>
          <cell r="J558">
            <v>27274</v>
          </cell>
          <cell r="K558">
            <v>20220</v>
          </cell>
          <cell r="L558" t="str">
            <v>MA</v>
          </cell>
          <cell r="M558">
            <v>24</v>
          </cell>
          <cell r="O558" t="str">
            <v>MAM</v>
          </cell>
          <cell r="P558">
            <v>1</v>
          </cell>
          <cell r="Q558" t="str">
            <v>Mumbai</v>
          </cell>
          <cell r="R558" t="str">
            <v>Ho</v>
          </cell>
          <cell r="S558" t="str">
            <v xml:space="preserve"> </v>
          </cell>
          <cell r="T558" t="str">
            <v>CL</v>
          </cell>
          <cell r="U558">
            <v>2001</v>
          </cell>
          <cell r="V558">
            <v>66000</v>
          </cell>
          <cell r="W558">
            <v>21250</v>
          </cell>
          <cell r="X558">
            <v>7450</v>
          </cell>
          <cell r="AA558">
            <v>500</v>
          </cell>
          <cell r="AB558">
            <v>150</v>
          </cell>
          <cell r="AC558">
            <v>1250</v>
          </cell>
          <cell r="AE558">
            <v>1000</v>
          </cell>
          <cell r="AG558">
            <v>7000</v>
          </cell>
          <cell r="AH558">
            <v>38600</v>
          </cell>
          <cell r="AI558">
            <v>463200</v>
          </cell>
          <cell r="AJ558">
            <v>30000</v>
          </cell>
          <cell r="AK558">
            <v>75000</v>
          </cell>
          <cell r="AL558">
            <v>10000</v>
          </cell>
          <cell r="AO558">
            <v>10000</v>
          </cell>
          <cell r="AQ558">
            <v>68850</v>
          </cell>
          <cell r="AR558">
            <v>657050</v>
          </cell>
        </row>
        <row r="559">
          <cell r="M559">
            <v>24</v>
          </cell>
          <cell r="P559">
            <v>1</v>
          </cell>
          <cell r="S559" t="str">
            <v xml:space="preserve"> </v>
          </cell>
          <cell r="U559">
            <v>2002</v>
          </cell>
          <cell r="W559">
            <v>23250</v>
          </cell>
          <cell r="X559">
            <v>12000</v>
          </cell>
          <cell r="Z559">
            <v>0</v>
          </cell>
          <cell r="AA559">
            <v>500</v>
          </cell>
          <cell r="AB559">
            <v>150</v>
          </cell>
          <cell r="AC559">
            <v>1250</v>
          </cell>
          <cell r="AF559">
            <v>0</v>
          </cell>
          <cell r="AG559">
            <v>7000</v>
          </cell>
          <cell r="AH559">
            <v>44150</v>
          </cell>
          <cell r="AI559">
            <v>529800</v>
          </cell>
          <cell r="AJ559">
            <v>30000</v>
          </cell>
          <cell r="AK559">
            <v>85000</v>
          </cell>
          <cell r="AL559">
            <v>15000</v>
          </cell>
          <cell r="AM559">
            <v>0</v>
          </cell>
          <cell r="AN559">
            <v>0</v>
          </cell>
          <cell r="AO559">
            <v>10000</v>
          </cell>
          <cell r="AP559">
            <v>0</v>
          </cell>
          <cell r="AQ559">
            <v>75330</v>
          </cell>
          <cell r="AR559">
            <v>745130</v>
          </cell>
          <cell r="AS559">
            <v>0</v>
          </cell>
        </row>
        <row r="560">
          <cell r="P560">
            <v>1</v>
          </cell>
          <cell r="S560" t="str">
            <v xml:space="preserve"> </v>
          </cell>
          <cell r="U560" t="str">
            <v>DIFF.</v>
          </cell>
          <cell r="W560">
            <v>2000</v>
          </cell>
          <cell r="X560">
            <v>4550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E560">
            <v>-1000</v>
          </cell>
          <cell r="AF560">
            <v>0</v>
          </cell>
          <cell r="AG560">
            <v>0</v>
          </cell>
          <cell r="AH560">
            <v>5550</v>
          </cell>
          <cell r="AI560">
            <v>66600</v>
          </cell>
          <cell r="AJ560">
            <v>0</v>
          </cell>
          <cell r="AK560">
            <v>10000</v>
          </cell>
          <cell r="AL560">
            <v>5000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6480</v>
          </cell>
          <cell r="AR560">
            <v>88080</v>
          </cell>
          <cell r="AS560">
            <v>13.41</v>
          </cell>
        </row>
        <row r="561">
          <cell r="P561">
            <v>1</v>
          </cell>
          <cell r="S561" t="str">
            <v xml:space="preserve"> </v>
          </cell>
        </row>
        <row r="562">
          <cell r="G562">
            <v>1290</v>
          </cell>
          <cell r="H562" t="str">
            <v>MR KULKARNI P A</v>
          </cell>
          <cell r="I562">
            <v>17688</v>
          </cell>
          <cell r="J562">
            <v>28534</v>
          </cell>
          <cell r="K562">
            <v>19590</v>
          </cell>
          <cell r="L562" t="str">
            <v>MA</v>
          </cell>
          <cell r="M562">
            <v>24</v>
          </cell>
          <cell r="O562" t="str">
            <v>MAT</v>
          </cell>
          <cell r="P562">
            <v>7</v>
          </cell>
          <cell r="Q562" t="str">
            <v>Other Locations</v>
          </cell>
          <cell r="R562" t="str">
            <v>Pune</v>
          </cell>
          <cell r="S562" t="str">
            <v xml:space="preserve"> </v>
          </cell>
          <cell r="T562" t="str">
            <v>BL</v>
          </cell>
          <cell r="U562">
            <v>2001</v>
          </cell>
          <cell r="V562">
            <v>76750</v>
          </cell>
          <cell r="W562">
            <v>18672</v>
          </cell>
          <cell r="X562">
            <v>6550</v>
          </cell>
          <cell r="AA562">
            <v>500</v>
          </cell>
          <cell r="AB562">
            <v>150</v>
          </cell>
          <cell r="AC562">
            <v>0</v>
          </cell>
          <cell r="AD562" t="str">
            <v>CV</v>
          </cell>
          <cell r="AE562">
            <v>0</v>
          </cell>
          <cell r="AG562">
            <v>7000</v>
          </cell>
          <cell r="AH562">
            <v>32872</v>
          </cell>
          <cell r="AI562">
            <v>394464</v>
          </cell>
          <cell r="AJ562">
            <v>30000</v>
          </cell>
          <cell r="AK562">
            <v>75000</v>
          </cell>
          <cell r="AL562">
            <v>10000</v>
          </cell>
          <cell r="AO562">
            <v>10000</v>
          </cell>
          <cell r="AQ562">
            <v>60497</v>
          </cell>
          <cell r="AR562">
            <v>579961</v>
          </cell>
        </row>
        <row r="563">
          <cell r="M563">
            <v>24</v>
          </cell>
          <cell r="P563">
            <v>7</v>
          </cell>
          <cell r="S563" t="str">
            <v xml:space="preserve"> </v>
          </cell>
          <cell r="U563">
            <v>2002</v>
          </cell>
          <cell r="W563">
            <v>21422</v>
          </cell>
          <cell r="X563">
            <v>8000</v>
          </cell>
          <cell r="Z563">
            <v>0</v>
          </cell>
          <cell r="AA563">
            <v>500</v>
          </cell>
          <cell r="AB563">
            <v>150</v>
          </cell>
          <cell r="AC563">
            <v>0</v>
          </cell>
          <cell r="AF563">
            <v>0</v>
          </cell>
          <cell r="AG563">
            <v>7000</v>
          </cell>
          <cell r="AH563">
            <v>37072</v>
          </cell>
          <cell r="AI563">
            <v>444864</v>
          </cell>
          <cell r="AJ563">
            <v>30000</v>
          </cell>
          <cell r="AK563">
            <v>85000</v>
          </cell>
          <cell r="AL563">
            <v>15000</v>
          </cell>
          <cell r="AM563">
            <v>0</v>
          </cell>
          <cell r="AN563">
            <v>0</v>
          </cell>
          <cell r="AO563">
            <v>10000</v>
          </cell>
          <cell r="AP563">
            <v>0</v>
          </cell>
          <cell r="AQ563">
            <v>69407</v>
          </cell>
          <cell r="AR563">
            <v>654271</v>
          </cell>
          <cell r="AS563">
            <v>0</v>
          </cell>
        </row>
        <row r="564">
          <cell r="P564">
            <v>7</v>
          </cell>
          <cell r="S564" t="str">
            <v xml:space="preserve"> </v>
          </cell>
          <cell r="U564" t="str">
            <v>DIFF.</v>
          </cell>
          <cell r="W564">
            <v>2750</v>
          </cell>
          <cell r="X564">
            <v>1450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4200</v>
          </cell>
          <cell r="AI564">
            <v>50400</v>
          </cell>
          <cell r="AJ564">
            <v>0</v>
          </cell>
          <cell r="AK564">
            <v>10000</v>
          </cell>
          <cell r="AL564">
            <v>5000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8910</v>
          </cell>
          <cell r="AR564">
            <v>74310</v>
          </cell>
          <cell r="AS564">
            <v>12.81</v>
          </cell>
        </row>
        <row r="565">
          <cell r="P565">
            <v>7</v>
          </cell>
          <cell r="S565" t="str">
            <v xml:space="preserve"> </v>
          </cell>
        </row>
        <row r="566">
          <cell r="G566">
            <v>1331</v>
          </cell>
          <cell r="H566" t="str">
            <v>MR BALACHANDRAN   S</v>
          </cell>
          <cell r="I566">
            <v>19683</v>
          </cell>
          <cell r="J566">
            <v>28944</v>
          </cell>
          <cell r="K566">
            <v>17595</v>
          </cell>
          <cell r="L566" t="str">
            <v>MA</v>
          </cell>
          <cell r="M566">
            <v>24</v>
          </cell>
          <cell r="O566" t="str">
            <v>MAM</v>
          </cell>
          <cell r="P566">
            <v>7</v>
          </cell>
          <cell r="Q566" t="str">
            <v>Other Locations</v>
          </cell>
          <cell r="R566" t="str">
            <v>Bangalore</v>
          </cell>
          <cell r="S566" t="str">
            <v xml:space="preserve"> </v>
          </cell>
          <cell r="T566" t="str">
            <v>CA</v>
          </cell>
          <cell r="U566">
            <v>2001</v>
          </cell>
          <cell r="V566">
            <v>66000</v>
          </cell>
          <cell r="W566">
            <v>20734</v>
          </cell>
          <cell r="X566">
            <v>7250</v>
          </cell>
          <cell r="AA566">
            <v>500</v>
          </cell>
          <cell r="AB566">
            <v>150</v>
          </cell>
          <cell r="AC566">
            <v>0</v>
          </cell>
          <cell r="AD566" t="str">
            <v>RS</v>
          </cell>
          <cell r="AE566">
            <v>0</v>
          </cell>
          <cell r="AG566">
            <v>7000</v>
          </cell>
          <cell r="AH566">
            <v>35634</v>
          </cell>
          <cell r="AI566">
            <v>427608</v>
          </cell>
          <cell r="AJ566">
            <v>30000</v>
          </cell>
          <cell r="AK566">
            <v>75000</v>
          </cell>
          <cell r="AL566">
            <v>10000</v>
          </cell>
          <cell r="AO566">
            <v>10000</v>
          </cell>
          <cell r="AQ566">
            <v>67178</v>
          </cell>
          <cell r="AR566">
            <v>619786</v>
          </cell>
        </row>
        <row r="567">
          <cell r="M567">
            <v>24</v>
          </cell>
          <cell r="P567">
            <v>7</v>
          </cell>
          <cell r="S567" t="str">
            <v xml:space="preserve"> </v>
          </cell>
          <cell r="U567">
            <v>2002</v>
          </cell>
          <cell r="W567">
            <v>22934</v>
          </cell>
          <cell r="X567">
            <v>8000</v>
          </cell>
          <cell r="Z567">
            <v>0</v>
          </cell>
          <cell r="AA567">
            <v>500</v>
          </cell>
          <cell r="AB567">
            <v>150</v>
          </cell>
          <cell r="AC567">
            <v>0</v>
          </cell>
          <cell r="AF567">
            <v>0</v>
          </cell>
          <cell r="AG567">
            <v>7000</v>
          </cell>
          <cell r="AH567">
            <v>38584</v>
          </cell>
          <cell r="AI567">
            <v>463008</v>
          </cell>
          <cell r="AJ567">
            <v>30000</v>
          </cell>
          <cell r="AK567">
            <v>85000</v>
          </cell>
          <cell r="AL567">
            <v>15000</v>
          </cell>
          <cell r="AM567">
            <v>0</v>
          </cell>
          <cell r="AN567">
            <v>0</v>
          </cell>
          <cell r="AO567">
            <v>10000</v>
          </cell>
          <cell r="AP567">
            <v>0</v>
          </cell>
          <cell r="AQ567">
            <v>74306</v>
          </cell>
          <cell r="AR567">
            <v>677314</v>
          </cell>
          <cell r="AS567">
            <v>0</v>
          </cell>
        </row>
        <row r="568">
          <cell r="P568">
            <v>7</v>
          </cell>
          <cell r="S568" t="str">
            <v xml:space="preserve"> </v>
          </cell>
          <cell r="U568" t="str">
            <v>DIFF.</v>
          </cell>
          <cell r="W568">
            <v>2200</v>
          </cell>
          <cell r="X568">
            <v>750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2950</v>
          </cell>
          <cell r="AI568">
            <v>35400</v>
          </cell>
          <cell r="AJ568">
            <v>0</v>
          </cell>
          <cell r="AK568">
            <v>10000</v>
          </cell>
          <cell r="AL568">
            <v>5000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7128</v>
          </cell>
          <cell r="AR568">
            <v>57528</v>
          </cell>
          <cell r="AS568">
            <v>9.2799999999999994</v>
          </cell>
        </row>
        <row r="569">
          <cell r="P569">
            <v>7</v>
          </cell>
          <cell r="S569" t="str">
            <v xml:space="preserve"> </v>
          </cell>
        </row>
        <row r="570">
          <cell r="G570">
            <v>1713</v>
          </cell>
          <cell r="H570" t="str">
            <v>MR RAO B</v>
          </cell>
          <cell r="I570">
            <v>19920</v>
          </cell>
          <cell r="J570">
            <v>31665</v>
          </cell>
          <cell r="K570">
            <v>17358</v>
          </cell>
          <cell r="L570" t="str">
            <v>MA</v>
          </cell>
          <cell r="M570">
            <v>24</v>
          </cell>
          <cell r="O570" t="str">
            <v>MAM</v>
          </cell>
          <cell r="P570">
            <v>7</v>
          </cell>
          <cell r="Q570" t="str">
            <v>Other Locations</v>
          </cell>
          <cell r="R570" t="str">
            <v>Hyderabad</v>
          </cell>
          <cell r="S570" t="str">
            <v xml:space="preserve"> </v>
          </cell>
          <cell r="T570" t="str">
            <v>BL</v>
          </cell>
          <cell r="U570">
            <v>2001</v>
          </cell>
          <cell r="V570">
            <v>76750</v>
          </cell>
          <cell r="W570">
            <v>20308</v>
          </cell>
          <cell r="X570">
            <v>7100</v>
          </cell>
          <cell r="Y570" t="str">
            <v>E</v>
          </cell>
          <cell r="AA570">
            <v>500</v>
          </cell>
          <cell r="AB570">
            <v>150</v>
          </cell>
          <cell r="AC570">
            <v>0</v>
          </cell>
          <cell r="AD570" t="str">
            <v>RS</v>
          </cell>
          <cell r="AE570">
            <v>0</v>
          </cell>
          <cell r="AG570">
            <v>7000</v>
          </cell>
          <cell r="AH570">
            <v>35058</v>
          </cell>
          <cell r="AI570">
            <v>420696</v>
          </cell>
          <cell r="AJ570">
            <v>30000</v>
          </cell>
          <cell r="AK570">
            <v>75000</v>
          </cell>
          <cell r="AL570">
            <v>10000</v>
          </cell>
          <cell r="AO570">
            <v>10000</v>
          </cell>
          <cell r="AQ570">
            <v>65798</v>
          </cell>
          <cell r="AR570">
            <v>611494</v>
          </cell>
        </row>
        <row r="571">
          <cell r="M571">
            <v>24</v>
          </cell>
          <cell r="P571">
            <v>7</v>
          </cell>
          <cell r="S571" t="str">
            <v xml:space="preserve"> </v>
          </cell>
          <cell r="U571">
            <v>2002</v>
          </cell>
          <cell r="W571">
            <v>23058</v>
          </cell>
          <cell r="X571">
            <v>8000</v>
          </cell>
          <cell r="Z571">
            <v>0</v>
          </cell>
          <cell r="AA571">
            <v>500</v>
          </cell>
          <cell r="AB571">
            <v>150</v>
          </cell>
          <cell r="AC571">
            <v>0</v>
          </cell>
          <cell r="AF571">
            <v>0</v>
          </cell>
          <cell r="AG571">
            <v>7000</v>
          </cell>
          <cell r="AH571">
            <v>38708</v>
          </cell>
          <cell r="AI571">
            <v>464496</v>
          </cell>
          <cell r="AJ571">
            <v>30000</v>
          </cell>
          <cell r="AK571">
            <v>85000</v>
          </cell>
          <cell r="AL571">
            <v>15000</v>
          </cell>
          <cell r="AM571">
            <v>0</v>
          </cell>
          <cell r="AN571">
            <v>0</v>
          </cell>
          <cell r="AO571">
            <v>10000</v>
          </cell>
          <cell r="AP571">
            <v>0</v>
          </cell>
          <cell r="AQ571">
            <v>74708</v>
          </cell>
          <cell r="AR571">
            <v>679204</v>
          </cell>
          <cell r="AS571">
            <v>0</v>
          </cell>
        </row>
        <row r="572">
          <cell r="P572">
            <v>7</v>
          </cell>
          <cell r="S572" t="str">
            <v xml:space="preserve"> </v>
          </cell>
          <cell r="U572" t="str">
            <v>DIFF.</v>
          </cell>
          <cell r="W572">
            <v>2750</v>
          </cell>
          <cell r="X572">
            <v>900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3650</v>
          </cell>
          <cell r="AI572">
            <v>43800</v>
          </cell>
          <cell r="AJ572">
            <v>0</v>
          </cell>
          <cell r="AK572">
            <v>10000</v>
          </cell>
          <cell r="AL572">
            <v>5000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8910</v>
          </cell>
          <cell r="AR572">
            <v>67710</v>
          </cell>
          <cell r="AS572">
            <v>11.07</v>
          </cell>
        </row>
        <row r="573">
          <cell r="P573">
            <v>7</v>
          </cell>
          <cell r="S573" t="str">
            <v xml:space="preserve"> </v>
          </cell>
        </row>
        <row r="574">
          <cell r="G574">
            <v>2075</v>
          </cell>
          <cell r="H574" t="str">
            <v>MR JOSHI M P</v>
          </cell>
          <cell r="I574">
            <v>27298</v>
          </cell>
          <cell r="J574">
            <v>35278</v>
          </cell>
          <cell r="K574">
            <v>9980</v>
          </cell>
          <cell r="L574" t="str">
            <v>MA</v>
          </cell>
          <cell r="M574">
            <v>24</v>
          </cell>
          <cell r="O574" t="str">
            <v>MA</v>
          </cell>
          <cell r="P574">
            <v>1</v>
          </cell>
          <cell r="Q574" t="str">
            <v>Mumbai</v>
          </cell>
          <cell r="R574" t="str">
            <v>Thane</v>
          </cell>
          <cell r="S574" t="str">
            <v xml:space="preserve"> </v>
          </cell>
          <cell r="T574" t="str">
            <v>CP</v>
          </cell>
          <cell r="U574">
            <v>2001</v>
          </cell>
          <cell r="V574">
            <v>66000</v>
          </cell>
          <cell r="W574">
            <v>18000</v>
          </cell>
          <cell r="Y574" t="str">
            <v>L</v>
          </cell>
          <cell r="Z574">
            <v>2750</v>
          </cell>
          <cell r="AA574">
            <v>500</v>
          </cell>
          <cell r="AB574">
            <v>0</v>
          </cell>
          <cell r="AC574">
            <v>1250</v>
          </cell>
          <cell r="AE574">
            <v>1000</v>
          </cell>
          <cell r="AG574">
            <v>7000</v>
          </cell>
          <cell r="AH574">
            <v>30500</v>
          </cell>
          <cell r="AI574">
            <v>366000</v>
          </cell>
          <cell r="AJ574">
            <v>30000</v>
          </cell>
          <cell r="AK574">
            <v>75000</v>
          </cell>
          <cell r="AL574">
            <v>10000</v>
          </cell>
          <cell r="AO574">
            <v>10000</v>
          </cell>
          <cell r="AQ574">
            <v>58320</v>
          </cell>
          <cell r="AR574">
            <v>549320</v>
          </cell>
        </row>
        <row r="575">
          <cell r="M575">
            <v>24</v>
          </cell>
          <cell r="P575">
            <v>1</v>
          </cell>
          <cell r="S575" t="str">
            <v xml:space="preserve"> </v>
          </cell>
          <cell r="U575">
            <v>2002</v>
          </cell>
          <cell r="W575">
            <v>20500</v>
          </cell>
          <cell r="X575">
            <v>0</v>
          </cell>
          <cell r="Z575">
            <v>4000</v>
          </cell>
          <cell r="AA575">
            <v>500</v>
          </cell>
          <cell r="AB575">
            <v>0</v>
          </cell>
          <cell r="AC575">
            <v>1250</v>
          </cell>
          <cell r="AF575">
            <v>0</v>
          </cell>
          <cell r="AG575">
            <v>7000</v>
          </cell>
          <cell r="AH575">
            <v>33250</v>
          </cell>
          <cell r="AI575">
            <v>399000</v>
          </cell>
          <cell r="AJ575">
            <v>30000</v>
          </cell>
          <cell r="AK575">
            <v>85000</v>
          </cell>
          <cell r="AL575">
            <v>15000</v>
          </cell>
          <cell r="AM575">
            <v>0</v>
          </cell>
          <cell r="AN575">
            <v>0</v>
          </cell>
          <cell r="AO575">
            <v>10000</v>
          </cell>
          <cell r="AP575">
            <v>0</v>
          </cell>
          <cell r="AQ575">
            <v>66420</v>
          </cell>
          <cell r="AR575">
            <v>605420</v>
          </cell>
          <cell r="AS575">
            <v>0</v>
          </cell>
        </row>
        <row r="576">
          <cell r="P576">
            <v>1</v>
          </cell>
          <cell r="S576" t="str">
            <v xml:space="preserve"> </v>
          </cell>
          <cell r="U576" t="str">
            <v>DIFF.</v>
          </cell>
          <cell r="W576">
            <v>2500</v>
          </cell>
          <cell r="X576">
            <v>0</v>
          </cell>
          <cell r="Z576">
            <v>1250</v>
          </cell>
          <cell r="AA576">
            <v>0</v>
          </cell>
          <cell r="AB576">
            <v>0</v>
          </cell>
          <cell r="AC576">
            <v>0</v>
          </cell>
          <cell r="AE576">
            <v>-1000</v>
          </cell>
          <cell r="AF576">
            <v>0</v>
          </cell>
          <cell r="AG576">
            <v>0</v>
          </cell>
          <cell r="AH576">
            <v>2750</v>
          </cell>
          <cell r="AI576">
            <v>33000</v>
          </cell>
          <cell r="AJ576">
            <v>0</v>
          </cell>
          <cell r="AK576">
            <v>10000</v>
          </cell>
          <cell r="AL576">
            <v>5000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8100</v>
          </cell>
          <cell r="AR576">
            <v>56100</v>
          </cell>
          <cell r="AS576">
            <v>10.210000000000001</v>
          </cell>
        </row>
        <row r="577">
          <cell r="P577">
            <v>1</v>
          </cell>
          <cell r="S577" t="str">
            <v xml:space="preserve"> </v>
          </cell>
        </row>
        <row r="578">
          <cell r="G578">
            <v>2136</v>
          </cell>
          <cell r="H578" t="str">
            <v xml:space="preserve">MR ANAND R K                            </v>
          </cell>
          <cell r="I578">
            <v>20743</v>
          </cell>
          <cell r="J578">
            <v>35633</v>
          </cell>
          <cell r="K578">
            <v>16535</v>
          </cell>
          <cell r="L578" t="str">
            <v>MA</v>
          </cell>
          <cell r="M578">
            <v>24</v>
          </cell>
          <cell r="O578" t="str">
            <v>MAT</v>
          </cell>
          <cell r="P578">
            <v>3</v>
          </cell>
          <cell r="Q578" t="str">
            <v>Delhi</v>
          </cell>
          <cell r="R578" t="str">
            <v>Delhi</v>
          </cell>
          <cell r="S578" t="str">
            <v xml:space="preserve"> </v>
          </cell>
          <cell r="T578" t="str">
            <v>CA</v>
          </cell>
          <cell r="U578">
            <v>2001</v>
          </cell>
          <cell r="V578">
            <v>66000</v>
          </cell>
          <cell r="W578">
            <v>21008</v>
          </cell>
          <cell r="X578">
            <v>7350</v>
          </cell>
          <cell r="Y578" t="str">
            <v>E</v>
          </cell>
          <cell r="AA578">
            <v>500</v>
          </cell>
          <cell r="AB578">
            <v>150</v>
          </cell>
          <cell r="AC578">
            <v>0</v>
          </cell>
          <cell r="AD578" t="str">
            <v>RS</v>
          </cell>
          <cell r="AE578">
            <v>450</v>
          </cell>
          <cell r="AG578">
            <v>7000</v>
          </cell>
          <cell r="AH578">
            <v>36458</v>
          </cell>
          <cell r="AI578">
            <v>437496</v>
          </cell>
          <cell r="AJ578">
            <v>30000</v>
          </cell>
          <cell r="AK578">
            <v>75000</v>
          </cell>
          <cell r="AL578">
            <v>10000</v>
          </cell>
          <cell r="AO578">
            <v>10000</v>
          </cell>
          <cell r="AQ578">
            <v>68066</v>
          </cell>
          <cell r="AR578">
            <v>630562</v>
          </cell>
        </row>
        <row r="579">
          <cell r="M579">
            <v>24</v>
          </cell>
          <cell r="P579">
            <v>3</v>
          </cell>
          <cell r="S579" t="str">
            <v xml:space="preserve"> </v>
          </cell>
          <cell r="U579">
            <v>2002</v>
          </cell>
          <cell r="W579">
            <v>23208</v>
          </cell>
          <cell r="X579">
            <v>9000</v>
          </cell>
          <cell r="Z579">
            <v>0</v>
          </cell>
          <cell r="AA579">
            <v>500</v>
          </cell>
          <cell r="AB579">
            <v>150</v>
          </cell>
          <cell r="AC579">
            <v>0</v>
          </cell>
          <cell r="AF579">
            <v>0</v>
          </cell>
          <cell r="AG579">
            <v>7000</v>
          </cell>
          <cell r="AH579">
            <v>39858</v>
          </cell>
          <cell r="AI579">
            <v>478296</v>
          </cell>
          <cell r="AJ579">
            <v>30000</v>
          </cell>
          <cell r="AK579">
            <v>85000</v>
          </cell>
          <cell r="AL579">
            <v>15000</v>
          </cell>
          <cell r="AM579">
            <v>0</v>
          </cell>
          <cell r="AN579">
            <v>0</v>
          </cell>
          <cell r="AO579">
            <v>10000</v>
          </cell>
          <cell r="AP579">
            <v>0</v>
          </cell>
          <cell r="AQ579">
            <v>75194</v>
          </cell>
          <cell r="AR579">
            <v>693490</v>
          </cell>
          <cell r="AS579">
            <v>0</v>
          </cell>
        </row>
        <row r="580">
          <cell r="P580">
            <v>3</v>
          </cell>
          <cell r="S580" t="str">
            <v xml:space="preserve"> </v>
          </cell>
          <cell r="U580" t="str">
            <v>DIFF.</v>
          </cell>
          <cell r="W580">
            <v>2200</v>
          </cell>
          <cell r="X580">
            <v>1650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E580">
            <v>-450</v>
          </cell>
          <cell r="AF580">
            <v>0</v>
          </cell>
          <cell r="AG580">
            <v>0</v>
          </cell>
          <cell r="AH580">
            <v>3400</v>
          </cell>
          <cell r="AI580">
            <v>40800</v>
          </cell>
          <cell r="AJ580">
            <v>0</v>
          </cell>
          <cell r="AK580">
            <v>10000</v>
          </cell>
          <cell r="AL580">
            <v>5000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7128</v>
          </cell>
          <cell r="AR580">
            <v>62928</v>
          </cell>
          <cell r="AS580">
            <v>9.98</v>
          </cell>
        </row>
        <row r="581">
          <cell r="P581">
            <v>3</v>
          </cell>
          <cell r="S581" t="str">
            <v xml:space="preserve"> </v>
          </cell>
        </row>
        <row r="582">
          <cell r="G582">
            <v>2211</v>
          </cell>
          <cell r="H582" t="str">
            <v>MR DATTA S K</v>
          </cell>
          <cell r="I582">
            <v>22628</v>
          </cell>
          <cell r="J582">
            <v>36357</v>
          </cell>
          <cell r="K582">
            <v>14650</v>
          </cell>
          <cell r="L582" t="str">
            <v>MA</v>
          </cell>
          <cell r="M582">
            <v>24</v>
          </cell>
          <cell r="O582" t="str">
            <v>MAM</v>
          </cell>
          <cell r="P582">
            <v>1</v>
          </cell>
          <cell r="Q582" t="str">
            <v>Mumbai</v>
          </cell>
          <cell r="R582" t="str">
            <v>Ho</v>
          </cell>
          <cell r="S582" t="str">
            <v xml:space="preserve"> </v>
          </cell>
          <cell r="T582" t="str">
            <v>CA</v>
          </cell>
          <cell r="U582">
            <v>2001</v>
          </cell>
          <cell r="V582">
            <v>66000</v>
          </cell>
          <cell r="W582">
            <v>19727</v>
          </cell>
          <cell r="Y582" t="str">
            <v>L</v>
          </cell>
          <cell r="Z582">
            <v>2750</v>
          </cell>
          <cell r="AA582">
            <v>500</v>
          </cell>
          <cell r="AB582">
            <v>150</v>
          </cell>
          <cell r="AC582">
            <v>1250</v>
          </cell>
          <cell r="AE582">
            <v>1000</v>
          </cell>
          <cell r="AG582">
            <v>7000</v>
          </cell>
          <cell r="AH582">
            <v>32377</v>
          </cell>
          <cell r="AI582">
            <v>388524</v>
          </cell>
          <cell r="AJ582">
            <v>30000</v>
          </cell>
          <cell r="AK582">
            <v>75000</v>
          </cell>
          <cell r="AL582">
            <v>10000</v>
          </cell>
          <cell r="AO582">
            <v>10000</v>
          </cell>
          <cell r="AQ582">
            <v>63915</v>
          </cell>
          <cell r="AR582">
            <v>577439</v>
          </cell>
        </row>
        <row r="583">
          <cell r="M583">
            <v>24</v>
          </cell>
          <cell r="P583">
            <v>1</v>
          </cell>
          <cell r="S583" t="str">
            <v xml:space="preserve"> </v>
          </cell>
          <cell r="U583">
            <v>2002</v>
          </cell>
          <cell r="W583">
            <v>21927</v>
          </cell>
          <cell r="Z583">
            <v>4500</v>
          </cell>
          <cell r="AA583">
            <v>500</v>
          </cell>
          <cell r="AB583">
            <v>150</v>
          </cell>
          <cell r="AC583">
            <v>1250</v>
          </cell>
          <cell r="AF583">
            <v>0</v>
          </cell>
          <cell r="AG583">
            <v>7000</v>
          </cell>
          <cell r="AH583">
            <v>35327</v>
          </cell>
          <cell r="AI583">
            <v>423924</v>
          </cell>
          <cell r="AJ583">
            <v>30000</v>
          </cell>
          <cell r="AK583">
            <v>85000</v>
          </cell>
          <cell r="AL583">
            <v>15000</v>
          </cell>
          <cell r="AM583">
            <v>0</v>
          </cell>
          <cell r="AN583">
            <v>0</v>
          </cell>
          <cell r="AO583">
            <v>10000</v>
          </cell>
          <cell r="AP583">
            <v>0</v>
          </cell>
          <cell r="AQ583">
            <v>71043</v>
          </cell>
          <cell r="AR583">
            <v>634967</v>
          </cell>
          <cell r="AS583">
            <v>0</v>
          </cell>
        </row>
        <row r="584">
          <cell r="P584">
            <v>1</v>
          </cell>
          <cell r="S584" t="str">
            <v xml:space="preserve"> </v>
          </cell>
          <cell r="U584" t="str">
            <v>DIFF.</v>
          </cell>
          <cell r="W584">
            <v>2200</v>
          </cell>
          <cell r="Z584">
            <v>1750</v>
          </cell>
          <cell r="AA584">
            <v>0</v>
          </cell>
          <cell r="AB584">
            <v>0</v>
          </cell>
          <cell r="AC584">
            <v>0</v>
          </cell>
          <cell r="AE584">
            <v>-1000</v>
          </cell>
          <cell r="AF584">
            <v>0</v>
          </cell>
          <cell r="AG584">
            <v>0</v>
          </cell>
          <cell r="AH584">
            <v>2950</v>
          </cell>
          <cell r="AI584">
            <v>35400</v>
          </cell>
          <cell r="AJ584">
            <v>0</v>
          </cell>
          <cell r="AK584">
            <v>10000</v>
          </cell>
          <cell r="AL584">
            <v>5000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7128</v>
          </cell>
          <cell r="AR584">
            <v>57528</v>
          </cell>
          <cell r="AS584">
            <v>9.9600000000000009</v>
          </cell>
        </row>
        <row r="585">
          <cell r="P585">
            <v>1</v>
          </cell>
          <cell r="S585" t="str">
            <v xml:space="preserve"> </v>
          </cell>
        </row>
        <row r="586">
          <cell r="G586">
            <v>2229</v>
          </cell>
          <cell r="H586" t="str">
            <v>MR SHUKLA C</v>
          </cell>
          <cell r="I586">
            <v>24053</v>
          </cell>
          <cell r="J586">
            <v>36557</v>
          </cell>
          <cell r="K586">
            <v>13225</v>
          </cell>
          <cell r="L586" t="str">
            <v>MA</v>
          </cell>
          <cell r="M586">
            <v>24</v>
          </cell>
          <cell r="O586" t="str">
            <v>MAM</v>
          </cell>
          <cell r="P586">
            <v>1</v>
          </cell>
          <cell r="Q586" t="str">
            <v>Mumbai</v>
          </cell>
          <cell r="R586" t="str">
            <v>Ho</v>
          </cell>
          <cell r="S586" t="str">
            <v xml:space="preserve"> </v>
          </cell>
          <cell r="T586" t="str">
            <v>BP</v>
          </cell>
          <cell r="U586">
            <v>2001</v>
          </cell>
          <cell r="V586">
            <v>76750</v>
          </cell>
          <cell r="W586">
            <v>20000</v>
          </cell>
          <cell r="X586">
            <v>0</v>
          </cell>
          <cell r="Y586" t="str">
            <v>L</v>
          </cell>
          <cell r="Z586">
            <v>2750</v>
          </cell>
          <cell r="AA586">
            <v>500</v>
          </cell>
          <cell r="AB586">
            <v>150</v>
          </cell>
          <cell r="AC586">
            <v>0</v>
          </cell>
          <cell r="AD586" t="str">
            <v>RS</v>
          </cell>
          <cell r="AE586">
            <v>1000</v>
          </cell>
          <cell r="AG586">
            <v>7000</v>
          </cell>
          <cell r="AH586">
            <v>31400</v>
          </cell>
          <cell r="AI586">
            <v>376800</v>
          </cell>
          <cell r="AJ586">
            <v>30000</v>
          </cell>
          <cell r="AK586">
            <v>75000</v>
          </cell>
          <cell r="AL586">
            <v>10000</v>
          </cell>
          <cell r="AO586">
            <v>10000</v>
          </cell>
          <cell r="AQ586">
            <v>64800</v>
          </cell>
          <cell r="AR586">
            <v>566600</v>
          </cell>
        </row>
        <row r="587">
          <cell r="M587">
            <v>24</v>
          </cell>
          <cell r="P587">
            <v>1</v>
          </cell>
          <cell r="S587" t="str">
            <v xml:space="preserve"> </v>
          </cell>
          <cell r="U587">
            <v>2002</v>
          </cell>
          <cell r="W587">
            <v>23600</v>
          </cell>
          <cell r="X587">
            <v>0</v>
          </cell>
          <cell r="Z587">
            <v>4000</v>
          </cell>
          <cell r="AA587">
            <v>500</v>
          </cell>
          <cell r="AB587">
            <v>150</v>
          </cell>
          <cell r="AC587">
            <v>0</v>
          </cell>
          <cell r="AF587">
            <v>0</v>
          </cell>
          <cell r="AG587">
            <v>7000</v>
          </cell>
          <cell r="AH587">
            <v>35250</v>
          </cell>
          <cell r="AI587">
            <v>423000</v>
          </cell>
          <cell r="AJ587">
            <v>30000</v>
          </cell>
          <cell r="AK587">
            <v>85000</v>
          </cell>
          <cell r="AL587">
            <v>15000</v>
          </cell>
          <cell r="AM587">
            <v>0</v>
          </cell>
          <cell r="AN587">
            <v>0</v>
          </cell>
          <cell r="AO587">
            <v>10000</v>
          </cell>
          <cell r="AP587">
            <v>0</v>
          </cell>
          <cell r="AQ587">
            <v>76464</v>
          </cell>
          <cell r="AR587">
            <v>639464</v>
          </cell>
          <cell r="AS587">
            <v>0</v>
          </cell>
        </row>
        <row r="588">
          <cell r="P588">
            <v>1</v>
          </cell>
          <cell r="S588" t="str">
            <v xml:space="preserve"> </v>
          </cell>
          <cell r="U588" t="str">
            <v>DIFF.</v>
          </cell>
          <cell r="W588">
            <v>3600</v>
          </cell>
          <cell r="X588">
            <v>0</v>
          </cell>
          <cell r="Z588">
            <v>1250</v>
          </cell>
          <cell r="AA588">
            <v>0</v>
          </cell>
          <cell r="AB588">
            <v>0</v>
          </cell>
          <cell r="AC588">
            <v>0</v>
          </cell>
          <cell r="AE588">
            <v>-1000</v>
          </cell>
          <cell r="AF588">
            <v>0</v>
          </cell>
          <cell r="AG588">
            <v>0</v>
          </cell>
          <cell r="AH588">
            <v>3850</v>
          </cell>
          <cell r="AI588">
            <v>46200</v>
          </cell>
          <cell r="AJ588">
            <v>0</v>
          </cell>
          <cell r="AK588">
            <v>10000</v>
          </cell>
          <cell r="AL588">
            <v>5000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11664</v>
          </cell>
          <cell r="AR588">
            <v>72864</v>
          </cell>
          <cell r="AS588">
            <v>12.86</v>
          </cell>
        </row>
        <row r="589">
          <cell r="P589">
            <v>1</v>
          </cell>
          <cell r="S589" t="str">
            <v xml:space="preserve"> </v>
          </cell>
        </row>
        <row r="590">
          <cell r="G590">
            <v>2293</v>
          </cell>
          <cell r="H590" t="str">
            <v>MR SRINIVAS SRIPADA</v>
          </cell>
          <cell r="I590">
            <v>22676</v>
          </cell>
          <cell r="J590">
            <v>31391</v>
          </cell>
          <cell r="K590">
            <v>14602</v>
          </cell>
          <cell r="L590" t="str">
            <v>MA</v>
          </cell>
          <cell r="M590">
            <v>24</v>
          </cell>
          <cell r="O590" t="str">
            <v>MA</v>
          </cell>
          <cell r="P590">
            <v>1</v>
          </cell>
          <cell r="Q590" t="str">
            <v>Mumbai</v>
          </cell>
          <cell r="R590" t="str">
            <v>Ho</v>
          </cell>
          <cell r="S590" t="str">
            <v xml:space="preserve"> </v>
          </cell>
          <cell r="T590" t="str">
            <v>CA</v>
          </cell>
          <cell r="U590">
            <v>2001</v>
          </cell>
          <cell r="V590">
            <v>66000</v>
          </cell>
          <cell r="W590">
            <v>19580</v>
          </cell>
          <cell r="X590">
            <v>0</v>
          </cell>
          <cell r="Y590" t="str">
            <v>L</v>
          </cell>
          <cell r="Z590">
            <v>2750</v>
          </cell>
          <cell r="AA590">
            <v>500</v>
          </cell>
          <cell r="AB590">
            <v>150</v>
          </cell>
          <cell r="AC590">
            <v>1250</v>
          </cell>
          <cell r="AE590">
            <v>1000</v>
          </cell>
          <cell r="AG590">
            <v>7000</v>
          </cell>
          <cell r="AH590">
            <v>32230</v>
          </cell>
          <cell r="AI590">
            <v>386760</v>
          </cell>
          <cell r="AJ590">
            <v>30000</v>
          </cell>
          <cell r="AK590">
            <v>75000</v>
          </cell>
          <cell r="AL590">
            <v>10000</v>
          </cell>
          <cell r="AO590">
            <v>10000</v>
          </cell>
          <cell r="AQ590">
            <v>63439</v>
          </cell>
          <cell r="AR590">
            <v>575199</v>
          </cell>
        </row>
        <row r="591">
          <cell r="M591">
            <v>24</v>
          </cell>
          <cell r="P591">
            <v>1</v>
          </cell>
          <cell r="S591" t="str">
            <v xml:space="preserve"> </v>
          </cell>
          <cell r="U591">
            <v>2002</v>
          </cell>
          <cell r="W591">
            <v>21780</v>
          </cell>
          <cell r="X591">
            <v>0</v>
          </cell>
          <cell r="Z591">
            <v>4000</v>
          </cell>
          <cell r="AA591">
            <v>500</v>
          </cell>
          <cell r="AB591">
            <v>150</v>
          </cell>
          <cell r="AC591">
            <v>1250</v>
          </cell>
          <cell r="AF591">
            <v>0</v>
          </cell>
          <cell r="AG591">
            <v>7000</v>
          </cell>
          <cell r="AH591">
            <v>34680</v>
          </cell>
          <cell r="AI591">
            <v>416160</v>
          </cell>
          <cell r="AJ591">
            <v>30000</v>
          </cell>
          <cell r="AK591">
            <v>85000</v>
          </cell>
          <cell r="AL591">
            <v>15000</v>
          </cell>
          <cell r="AM591">
            <v>0</v>
          </cell>
          <cell r="AN591">
            <v>0</v>
          </cell>
          <cell r="AO591">
            <v>10000</v>
          </cell>
          <cell r="AP591">
            <v>0</v>
          </cell>
          <cell r="AQ591">
            <v>70567</v>
          </cell>
          <cell r="AR591">
            <v>626727</v>
          </cell>
          <cell r="AS591">
            <v>0</v>
          </cell>
        </row>
        <row r="592">
          <cell r="P592">
            <v>1</v>
          </cell>
          <cell r="S592" t="str">
            <v xml:space="preserve"> </v>
          </cell>
          <cell r="U592" t="str">
            <v>DIFF.</v>
          </cell>
          <cell r="W592">
            <v>2200</v>
          </cell>
          <cell r="X592">
            <v>0</v>
          </cell>
          <cell r="Z592">
            <v>1250</v>
          </cell>
          <cell r="AA592">
            <v>0</v>
          </cell>
          <cell r="AB592">
            <v>0</v>
          </cell>
          <cell r="AC592">
            <v>0</v>
          </cell>
          <cell r="AE592">
            <v>-1000</v>
          </cell>
          <cell r="AF592">
            <v>0</v>
          </cell>
          <cell r="AG592">
            <v>0</v>
          </cell>
          <cell r="AH592">
            <v>2450</v>
          </cell>
          <cell r="AI592">
            <v>29400</v>
          </cell>
          <cell r="AJ592">
            <v>0</v>
          </cell>
          <cell r="AK592">
            <v>10000</v>
          </cell>
          <cell r="AL592">
            <v>5000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7128</v>
          </cell>
          <cell r="AR592">
            <v>51528</v>
          </cell>
          <cell r="AS592">
            <v>8.9600000000000009</v>
          </cell>
        </row>
        <row r="593">
          <cell r="P593">
            <v>1</v>
          </cell>
          <cell r="S593" t="str">
            <v xml:space="preserve"> </v>
          </cell>
        </row>
        <row r="594">
          <cell r="G594">
            <v>2294</v>
          </cell>
          <cell r="H594" t="str">
            <v>MR N.B. REDDY</v>
          </cell>
          <cell r="I594">
            <v>20866</v>
          </cell>
          <cell r="J594">
            <v>31455</v>
          </cell>
          <cell r="K594">
            <v>16412</v>
          </cell>
          <cell r="L594" t="str">
            <v>MA</v>
          </cell>
          <cell r="M594">
            <v>24</v>
          </cell>
          <cell r="O594" t="str">
            <v>MA</v>
          </cell>
          <cell r="P594">
            <v>3</v>
          </cell>
          <cell r="Q594" t="str">
            <v>Delhi</v>
          </cell>
          <cell r="R594" t="str">
            <v>Delhi</v>
          </cell>
          <cell r="S594" t="str">
            <v xml:space="preserve"> </v>
          </cell>
          <cell r="T594" t="str">
            <v>BL</v>
          </cell>
          <cell r="U594">
            <v>2001</v>
          </cell>
          <cell r="V594">
            <v>76750</v>
          </cell>
          <cell r="W594">
            <v>21220</v>
          </cell>
          <cell r="X594">
            <v>0</v>
          </cell>
          <cell r="Y594" t="str">
            <v>L</v>
          </cell>
          <cell r="Z594">
            <v>2750</v>
          </cell>
          <cell r="AA594">
            <v>500</v>
          </cell>
          <cell r="AB594">
            <v>150</v>
          </cell>
          <cell r="AC594">
            <v>0</v>
          </cell>
          <cell r="AD594" t="str">
            <v>RS</v>
          </cell>
          <cell r="AE594">
            <v>450</v>
          </cell>
          <cell r="AG594">
            <v>7000</v>
          </cell>
          <cell r="AH594">
            <v>32070</v>
          </cell>
          <cell r="AI594">
            <v>384840</v>
          </cell>
          <cell r="AJ594">
            <v>30000</v>
          </cell>
          <cell r="AK594">
            <v>75000</v>
          </cell>
          <cell r="AL594">
            <v>10000</v>
          </cell>
          <cell r="AO594">
            <v>10000</v>
          </cell>
          <cell r="AQ594">
            <v>68753</v>
          </cell>
          <cell r="AR594">
            <v>578593</v>
          </cell>
        </row>
        <row r="595">
          <cell r="M595">
            <v>24</v>
          </cell>
          <cell r="P595">
            <v>3</v>
          </cell>
          <cell r="S595" t="str">
            <v xml:space="preserve"> </v>
          </cell>
          <cell r="U595">
            <v>2002</v>
          </cell>
          <cell r="W595">
            <v>23970</v>
          </cell>
          <cell r="X595">
            <v>0</v>
          </cell>
          <cell r="Z595">
            <v>3200</v>
          </cell>
          <cell r="AA595">
            <v>500</v>
          </cell>
          <cell r="AB595">
            <v>150</v>
          </cell>
          <cell r="AC595">
            <v>0</v>
          </cell>
          <cell r="AF595">
            <v>0</v>
          </cell>
          <cell r="AG595">
            <v>7000</v>
          </cell>
          <cell r="AH595">
            <v>34820</v>
          </cell>
          <cell r="AI595">
            <v>417840</v>
          </cell>
          <cell r="AJ595">
            <v>30000</v>
          </cell>
          <cell r="AK595">
            <v>85000</v>
          </cell>
          <cell r="AL595">
            <v>15000</v>
          </cell>
          <cell r="AM595">
            <v>0</v>
          </cell>
          <cell r="AN595">
            <v>0</v>
          </cell>
          <cell r="AO595">
            <v>10000</v>
          </cell>
          <cell r="AP595">
            <v>0</v>
          </cell>
          <cell r="AQ595">
            <v>77663</v>
          </cell>
          <cell r="AR595">
            <v>635503</v>
          </cell>
          <cell r="AS595">
            <v>0</v>
          </cell>
        </row>
        <row r="596">
          <cell r="P596">
            <v>3</v>
          </cell>
          <cell r="S596" t="str">
            <v xml:space="preserve"> </v>
          </cell>
          <cell r="U596" t="str">
            <v>DIFF.</v>
          </cell>
          <cell r="W596">
            <v>2750</v>
          </cell>
          <cell r="X596">
            <v>0</v>
          </cell>
          <cell r="Z596">
            <v>450</v>
          </cell>
          <cell r="AA596">
            <v>0</v>
          </cell>
          <cell r="AB596">
            <v>0</v>
          </cell>
          <cell r="AC596">
            <v>0</v>
          </cell>
          <cell r="AE596">
            <v>-450</v>
          </cell>
          <cell r="AF596">
            <v>0</v>
          </cell>
          <cell r="AG596">
            <v>0</v>
          </cell>
          <cell r="AH596">
            <v>2750</v>
          </cell>
          <cell r="AI596">
            <v>33000</v>
          </cell>
          <cell r="AJ596">
            <v>0</v>
          </cell>
          <cell r="AK596">
            <v>10000</v>
          </cell>
          <cell r="AL596">
            <v>5000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8910</v>
          </cell>
          <cell r="AR596">
            <v>56910</v>
          </cell>
          <cell r="AS596">
            <v>9.84</v>
          </cell>
        </row>
        <row r="597">
          <cell r="P597">
            <v>3</v>
          </cell>
          <cell r="S597" t="str">
            <v xml:space="preserve"> </v>
          </cell>
        </row>
        <row r="598">
          <cell r="G598">
            <v>2297</v>
          </cell>
          <cell r="H598" t="str">
            <v>MR G.K. SINGH</v>
          </cell>
          <cell r="I598">
            <v>21653</v>
          </cell>
          <cell r="J598">
            <v>32469</v>
          </cell>
          <cell r="K598">
            <v>15625</v>
          </cell>
          <cell r="L598" t="str">
            <v>MA</v>
          </cell>
          <cell r="M598">
            <v>24</v>
          </cell>
          <cell r="O598" t="str">
            <v>MA</v>
          </cell>
          <cell r="P598">
            <v>1</v>
          </cell>
          <cell r="Q598" t="str">
            <v>Mumbai</v>
          </cell>
          <cell r="R598" t="str">
            <v>Ho</v>
          </cell>
          <cell r="S598" t="str">
            <v xml:space="preserve"> </v>
          </cell>
          <cell r="T598" t="str">
            <v>CA</v>
          </cell>
          <cell r="U598">
            <v>2001</v>
          </cell>
          <cell r="V598">
            <v>66000</v>
          </cell>
          <cell r="W598">
            <v>19665</v>
          </cell>
          <cell r="X598">
            <v>0</v>
          </cell>
          <cell r="Y598" t="str">
            <v>L</v>
          </cell>
          <cell r="Z598">
            <v>2750</v>
          </cell>
          <cell r="AA598">
            <v>500</v>
          </cell>
          <cell r="AB598">
            <v>150</v>
          </cell>
          <cell r="AC598">
            <v>0</v>
          </cell>
          <cell r="AD598" t="str">
            <v>RS</v>
          </cell>
          <cell r="AE598">
            <v>1000</v>
          </cell>
          <cell r="AG598">
            <v>7000</v>
          </cell>
          <cell r="AH598">
            <v>31065</v>
          </cell>
          <cell r="AI598">
            <v>372780</v>
          </cell>
          <cell r="AJ598">
            <v>30000</v>
          </cell>
          <cell r="AK598">
            <v>75000</v>
          </cell>
          <cell r="AL598">
            <v>10000</v>
          </cell>
          <cell r="AO598">
            <v>10000</v>
          </cell>
          <cell r="AQ598">
            <v>63715</v>
          </cell>
          <cell r="AR598">
            <v>561495</v>
          </cell>
        </row>
        <row r="599">
          <cell r="M599">
            <v>24</v>
          </cell>
          <cell r="P599">
            <v>1</v>
          </cell>
          <cell r="S599" t="str">
            <v xml:space="preserve"> </v>
          </cell>
          <cell r="U599">
            <v>2002</v>
          </cell>
          <cell r="W599">
            <v>21865</v>
          </cell>
          <cell r="X599">
            <v>0</v>
          </cell>
          <cell r="Z599">
            <v>4000</v>
          </cell>
          <cell r="AA599">
            <v>500</v>
          </cell>
          <cell r="AB599">
            <v>150</v>
          </cell>
          <cell r="AC599">
            <v>0</v>
          </cell>
          <cell r="AF599">
            <v>0</v>
          </cell>
          <cell r="AG599">
            <v>7000</v>
          </cell>
          <cell r="AH599">
            <v>33515</v>
          </cell>
          <cell r="AI599">
            <v>402180</v>
          </cell>
          <cell r="AJ599">
            <v>30000</v>
          </cell>
          <cell r="AK599">
            <v>85000</v>
          </cell>
          <cell r="AL599">
            <v>15000</v>
          </cell>
          <cell r="AM599">
            <v>0</v>
          </cell>
          <cell r="AN599">
            <v>0</v>
          </cell>
          <cell r="AO599">
            <v>10000</v>
          </cell>
          <cell r="AP599">
            <v>0</v>
          </cell>
          <cell r="AQ599">
            <v>70843</v>
          </cell>
          <cell r="AR599">
            <v>613023</v>
          </cell>
          <cell r="AS599">
            <v>0</v>
          </cell>
        </row>
        <row r="600">
          <cell r="P600">
            <v>1</v>
          </cell>
          <cell r="S600" t="str">
            <v xml:space="preserve"> </v>
          </cell>
          <cell r="U600" t="str">
            <v>DIFF.</v>
          </cell>
          <cell r="W600">
            <v>2200</v>
          </cell>
          <cell r="X600">
            <v>0</v>
          </cell>
          <cell r="Z600">
            <v>1250</v>
          </cell>
          <cell r="AA600">
            <v>0</v>
          </cell>
          <cell r="AB600">
            <v>0</v>
          </cell>
          <cell r="AC600">
            <v>0</v>
          </cell>
          <cell r="AE600">
            <v>-1000</v>
          </cell>
          <cell r="AF600">
            <v>0</v>
          </cell>
          <cell r="AG600">
            <v>0</v>
          </cell>
          <cell r="AH600">
            <v>2450</v>
          </cell>
          <cell r="AI600">
            <v>29400</v>
          </cell>
          <cell r="AJ600">
            <v>0</v>
          </cell>
          <cell r="AK600">
            <v>10000</v>
          </cell>
          <cell r="AL600">
            <v>5000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7128</v>
          </cell>
          <cell r="AR600">
            <v>51528</v>
          </cell>
          <cell r="AS600">
            <v>9.18</v>
          </cell>
        </row>
        <row r="601">
          <cell r="P601">
            <v>1</v>
          </cell>
          <cell r="S601" t="str">
            <v xml:space="preserve"> </v>
          </cell>
        </row>
        <row r="602">
          <cell r="G602">
            <v>2301</v>
          </cell>
          <cell r="H602" t="str">
            <v>MR SAURIN H. SHAH</v>
          </cell>
          <cell r="I602">
            <v>24896</v>
          </cell>
          <cell r="J602">
            <v>32832</v>
          </cell>
          <cell r="K602">
            <v>12382</v>
          </cell>
          <cell r="L602" t="str">
            <v>MA</v>
          </cell>
          <cell r="M602">
            <v>24</v>
          </cell>
          <cell r="O602" t="str">
            <v>MA</v>
          </cell>
          <cell r="P602">
            <v>7</v>
          </cell>
          <cell r="Q602" t="str">
            <v>Other Locations</v>
          </cell>
          <cell r="R602" t="str">
            <v>Amd</v>
          </cell>
          <cell r="S602" t="str">
            <v xml:space="preserve"> </v>
          </cell>
          <cell r="T602" t="str">
            <v>BP</v>
          </cell>
          <cell r="U602">
            <v>2001</v>
          </cell>
          <cell r="V602">
            <v>76750</v>
          </cell>
          <cell r="W602">
            <v>19200</v>
          </cell>
          <cell r="X602">
            <v>6700</v>
          </cell>
          <cell r="Y602" t="str">
            <v>E</v>
          </cell>
          <cell r="AA602">
            <v>500</v>
          </cell>
          <cell r="AB602">
            <v>150</v>
          </cell>
          <cell r="AC602">
            <v>0</v>
          </cell>
          <cell r="AD602" t="str">
            <v>RS</v>
          </cell>
          <cell r="AE602">
            <v>0</v>
          </cell>
          <cell r="AG602">
            <v>7000</v>
          </cell>
          <cell r="AH602">
            <v>33550</v>
          </cell>
          <cell r="AI602">
            <v>402600</v>
          </cell>
          <cell r="AJ602">
            <v>30000</v>
          </cell>
          <cell r="AK602">
            <v>75000</v>
          </cell>
          <cell r="AL602">
            <v>10000</v>
          </cell>
          <cell r="AO602">
            <v>10000</v>
          </cell>
          <cell r="AQ602">
            <v>62208</v>
          </cell>
          <cell r="AR602">
            <v>589808</v>
          </cell>
        </row>
        <row r="603">
          <cell r="M603">
            <v>24</v>
          </cell>
          <cell r="P603">
            <v>7</v>
          </cell>
          <cell r="S603" t="str">
            <v xml:space="preserve"> </v>
          </cell>
          <cell r="U603">
            <v>2002</v>
          </cell>
          <cell r="W603">
            <v>22800</v>
          </cell>
          <cell r="X603">
            <v>8000</v>
          </cell>
          <cell r="Z603">
            <v>0</v>
          </cell>
          <cell r="AA603">
            <v>500</v>
          </cell>
          <cell r="AB603">
            <v>150</v>
          </cell>
          <cell r="AC603">
            <v>0</v>
          </cell>
          <cell r="AF603">
            <v>0</v>
          </cell>
          <cell r="AG603">
            <v>7000</v>
          </cell>
          <cell r="AH603">
            <v>38450</v>
          </cell>
          <cell r="AI603">
            <v>461400</v>
          </cell>
          <cell r="AJ603">
            <v>30000</v>
          </cell>
          <cell r="AK603">
            <v>85000</v>
          </cell>
          <cell r="AL603">
            <v>15000</v>
          </cell>
          <cell r="AM603">
            <v>0</v>
          </cell>
          <cell r="AN603">
            <v>0</v>
          </cell>
          <cell r="AO603">
            <v>10000</v>
          </cell>
          <cell r="AP603">
            <v>0</v>
          </cell>
          <cell r="AQ603">
            <v>73872</v>
          </cell>
          <cell r="AR603">
            <v>675272</v>
          </cell>
          <cell r="AS603">
            <v>0</v>
          </cell>
        </row>
        <row r="604">
          <cell r="P604">
            <v>7</v>
          </cell>
          <cell r="S604" t="str">
            <v xml:space="preserve"> </v>
          </cell>
          <cell r="U604" t="str">
            <v>DIFF.</v>
          </cell>
          <cell r="W604">
            <v>3600</v>
          </cell>
          <cell r="X604">
            <v>1300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4900</v>
          </cell>
          <cell r="AI604">
            <v>58800</v>
          </cell>
          <cell r="AJ604">
            <v>0</v>
          </cell>
          <cell r="AK604">
            <v>10000</v>
          </cell>
          <cell r="AL604">
            <v>5000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11664</v>
          </cell>
          <cell r="AR604">
            <v>85464</v>
          </cell>
          <cell r="AS604">
            <v>14.49</v>
          </cell>
        </row>
        <row r="605">
          <cell r="P605">
            <v>7</v>
          </cell>
          <cell r="S605" t="str">
            <v xml:space="preserve"> </v>
          </cell>
        </row>
        <row r="606">
          <cell r="G606">
            <v>2303</v>
          </cell>
          <cell r="H606" t="str">
            <v>MR G. SAMBAMURTHY</v>
          </cell>
          <cell r="I606">
            <v>20598</v>
          </cell>
          <cell r="J606">
            <v>33086</v>
          </cell>
          <cell r="K606">
            <v>16680</v>
          </cell>
          <cell r="L606" t="str">
            <v>MA</v>
          </cell>
          <cell r="M606">
            <v>24</v>
          </cell>
          <cell r="O606" t="str">
            <v>MA</v>
          </cell>
          <cell r="P606">
            <v>7</v>
          </cell>
          <cell r="Q606" t="str">
            <v>Other Locations</v>
          </cell>
          <cell r="R606" t="str">
            <v>Hyderabad</v>
          </cell>
          <cell r="S606" t="str">
            <v xml:space="preserve"> </v>
          </cell>
          <cell r="T606" t="str">
            <v>CL</v>
          </cell>
          <cell r="U606">
            <v>2001</v>
          </cell>
          <cell r="V606">
            <v>66000</v>
          </cell>
          <cell r="W606">
            <v>20200</v>
          </cell>
          <cell r="X606">
            <v>7050</v>
          </cell>
          <cell r="AA606">
            <v>500</v>
          </cell>
          <cell r="AB606">
            <v>150</v>
          </cell>
          <cell r="AC606">
            <v>0</v>
          </cell>
          <cell r="AD606" t="str">
            <v>RS</v>
          </cell>
          <cell r="AE606">
            <v>0</v>
          </cell>
          <cell r="AG606">
            <v>7000</v>
          </cell>
          <cell r="AH606">
            <v>34900</v>
          </cell>
          <cell r="AI606">
            <v>418800</v>
          </cell>
          <cell r="AJ606">
            <v>30000</v>
          </cell>
          <cell r="AK606">
            <v>75000</v>
          </cell>
          <cell r="AL606">
            <v>10000</v>
          </cell>
          <cell r="AO606">
            <v>10000</v>
          </cell>
          <cell r="AQ606">
            <v>65448</v>
          </cell>
          <cell r="AR606">
            <v>609248</v>
          </cell>
        </row>
        <row r="607">
          <cell r="M607">
            <v>24</v>
          </cell>
          <cell r="P607">
            <v>7</v>
          </cell>
          <cell r="S607" t="str">
            <v xml:space="preserve"> </v>
          </cell>
          <cell r="U607">
            <v>2002</v>
          </cell>
          <cell r="W607">
            <v>22200</v>
          </cell>
          <cell r="X607">
            <v>8000</v>
          </cell>
          <cell r="Z607">
            <v>0</v>
          </cell>
          <cell r="AA607">
            <v>500</v>
          </cell>
          <cell r="AB607">
            <v>150</v>
          </cell>
          <cell r="AC607">
            <v>0</v>
          </cell>
          <cell r="AF607">
            <v>0</v>
          </cell>
          <cell r="AG607">
            <v>7000</v>
          </cell>
          <cell r="AH607">
            <v>37850</v>
          </cell>
          <cell r="AI607">
            <v>454200</v>
          </cell>
          <cell r="AJ607">
            <v>30000</v>
          </cell>
          <cell r="AK607">
            <v>85000</v>
          </cell>
          <cell r="AL607">
            <v>15000</v>
          </cell>
          <cell r="AM607">
            <v>0</v>
          </cell>
          <cell r="AN607">
            <v>0</v>
          </cell>
          <cell r="AO607">
            <v>10000</v>
          </cell>
          <cell r="AP607">
            <v>0</v>
          </cell>
          <cell r="AQ607">
            <v>71928</v>
          </cell>
          <cell r="AR607">
            <v>666128</v>
          </cell>
          <cell r="AS607">
            <v>0</v>
          </cell>
        </row>
        <row r="608">
          <cell r="P608">
            <v>7</v>
          </cell>
          <cell r="S608" t="str">
            <v xml:space="preserve"> </v>
          </cell>
          <cell r="U608" t="str">
            <v>DIFF.</v>
          </cell>
          <cell r="W608">
            <v>2000</v>
          </cell>
          <cell r="X608">
            <v>950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2950</v>
          </cell>
          <cell r="AI608">
            <v>35400</v>
          </cell>
          <cell r="AJ608">
            <v>0</v>
          </cell>
          <cell r="AK608">
            <v>10000</v>
          </cell>
          <cell r="AL608">
            <v>5000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6480</v>
          </cell>
          <cell r="AR608">
            <v>56880</v>
          </cell>
          <cell r="AS608">
            <v>9.34</v>
          </cell>
        </row>
        <row r="609">
          <cell r="P609">
            <v>7</v>
          </cell>
          <cell r="S609" t="str">
            <v xml:space="preserve"> </v>
          </cell>
        </row>
        <row r="610">
          <cell r="G610">
            <v>2331</v>
          </cell>
          <cell r="H610" t="str">
            <v>MR RAJENDRA VELAGALA</v>
          </cell>
          <cell r="I610">
            <v>26480</v>
          </cell>
          <cell r="J610">
            <v>35397</v>
          </cell>
          <cell r="K610">
            <v>10798</v>
          </cell>
          <cell r="L610" t="str">
            <v>MA</v>
          </cell>
          <cell r="M610">
            <v>24</v>
          </cell>
          <cell r="O610" t="str">
            <v>MA</v>
          </cell>
          <cell r="P610">
            <v>1</v>
          </cell>
          <cell r="Q610" t="str">
            <v>Mumbai</v>
          </cell>
          <cell r="R610" t="str">
            <v>Ho</v>
          </cell>
          <cell r="S610" t="str">
            <v xml:space="preserve"> </v>
          </cell>
          <cell r="T610" t="str">
            <v>BP</v>
          </cell>
          <cell r="U610">
            <v>2001</v>
          </cell>
          <cell r="V610">
            <v>76750</v>
          </cell>
          <cell r="W610">
            <v>16000</v>
          </cell>
          <cell r="X610">
            <v>0</v>
          </cell>
          <cell r="Y610" t="str">
            <v>L</v>
          </cell>
          <cell r="Z610">
            <v>2750</v>
          </cell>
          <cell r="AA610">
            <v>500</v>
          </cell>
          <cell r="AB610">
            <v>150</v>
          </cell>
          <cell r="AC610">
            <v>1250</v>
          </cell>
          <cell r="AE610">
            <v>1000</v>
          </cell>
          <cell r="AG610">
            <v>7000</v>
          </cell>
          <cell r="AH610">
            <v>28650</v>
          </cell>
          <cell r="AI610">
            <v>343800</v>
          </cell>
          <cell r="AJ610">
            <v>30000</v>
          </cell>
          <cell r="AK610">
            <v>75000</v>
          </cell>
          <cell r="AL610">
            <v>10000</v>
          </cell>
          <cell r="AO610">
            <v>10000</v>
          </cell>
          <cell r="AQ610">
            <v>51840</v>
          </cell>
          <cell r="AR610">
            <v>520640</v>
          </cell>
        </row>
        <row r="611">
          <cell r="M611">
            <v>24</v>
          </cell>
          <cell r="P611">
            <v>1</v>
          </cell>
          <cell r="S611" t="str">
            <v xml:space="preserve"> </v>
          </cell>
          <cell r="U611">
            <v>2002</v>
          </cell>
          <cell r="W611">
            <v>19600</v>
          </cell>
          <cell r="X611">
            <v>0</v>
          </cell>
          <cell r="Z611">
            <v>4000</v>
          </cell>
          <cell r="AA611">
            <v>500</v>
          </cell>
          <cell r="AB611">
            <v>150</v>
          </cell>
          <cell r="AC611">
            <v>1250</v>
          </cell>
          <cell r="AF611">
            <v>0</v>
          </cell>
          <cell r="AG611">
            <v>7000</v>
          </cell>
          <cell r="AH611">
            <v>32500</v>
          </cell>
          <cell r="AI611">
            <v>390000</v>
          </cell>
          <cell r="AJ611">
            <v>30000</v>
          </cell>
          <cell r="AK611">
            <v>85000</v>
          </cell>
          <cell r="AL611">
            <v>15000</v>
          </cell>
          <cell r="AM611">
            <v>0</v>
          </cell>
          <cell r="AN611">
            <v>0</v>
          </cell>
          <cell r="AO611">
            <v>10000</v>
          </cell>
          <cell r="AP611">
            <v>0</v>
          </cell>
          <cell r="AQ611">
            <v>63504</v>
          </cell>
          <cell r="AR611">
            <v>593504</v>
          </cell>
          <cell r="AS611">
            <v>0</v>
          </cell>
        </row>
        <row r="612">
          <cell r="P612">
            <v>1</v>
          </cell>
          <cell r="S612" t="str">
            <v xml:space="preserve"> </v>
          </cell>
          <cell r="U612" t="str">
            <v>DIFF.</v>
          </cell>
          <cell r="W612">
            <v>3600</v>
          </cell>
          <cell r="X612">
            <v>0</v>
          </cell>
          <cell r="Z612">
            <v>1250</v>
          </cell>
          <cell r="AA612">
            <v>0</v>
          </cell>
          <cell r="AB612">
            <v>0</v>
          </cell>
          <cell r="AC612">
            <v>0</v>
          </cell>
          <cell r="AE612">
            <v>-1000</v>
          </cell>
          <cell r="AF612">
            <v>0</v>
          </cell>
          <cell r="AG612">
            <v>0</v>
          </cell>
          <cell r="AH612">
            <v>3850</v>
          </cell>
          <cell r="AI612">
            <v>46200</v>
          </cell>
          <cell r="AJ612">
            <v>0</v>
          </cell>
          <cell r="AK612">
            <v>10000</v>
          </cell>
          <cell r="AL612">
            <v>5000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11664</v>
          </cell>
          <cell r="AR612">
            <v>72864</v>
          </cell>
          <cell r="AS612">
            <v>14</v>
          </cell>
        </row>
        <row r="613">
          <cell r="P613">
            <v>1</v>
          </cell>
          <cell r="S613" t="str">
            <v xml:space="preserve"> </v>
          </cell>
        </row>
        <row r="614">
          <cell r="G614">
            <v>2351</v>
          </cell>
          <cell r="H614" t="str">
            <v>MR BIJIT SARMAH</v>
          </cell>
          <cell r="I614">
            <v>20121</v>
          </cell>
          <cell r="J614">
            <v>35828</v>
          </cell>
          <cell r="K614">
            <v>17157</v>
          </cell>
          <cell r="L614" t="str">
            <v>MA</v>
          </cell>
          <cell r="M614">
            <v>24</v>
          </cell>
          <cell r="O614" t="str">
            <v>MA</v>
          </cell>
          <cell r="P614">
            <v>4</v>
          </cell>
          <cell r="Q614" t="str">
            <v>Kolkatta</v>
          </cell>
          <cell r="R614" t="str">
            <v>Kolkatta</v>
          </cell>
          <cell r="S614" t="str">
            <v xml:space="preserve"> </v>
          </cell>
          <cell r="T614" t="str">
            <v>CL</v>
          </cell>
          <cell r="U614">
            <v>2001</v>
          </cell>
          <cell r="V614">
            <v>66000</v>
          </cell>
          <cell r="W614">
            <v>19030</v>
          </cell>
          <cell r="X614">
            <v>0</v>
          </cell>
          <cell r="Y614" t="str">
            <v>L</v>
          </cell>
          <cell r="Z614">
            <v>2750</v>
          </cell>
          <cell r="AA614">
            <v>500</v>
          </cell>
          <cell r="AB614">
            <v>150</v>
          </cell>
          <cell r="AC614">
            <v>1250</v>
          </cell>
          <cell r="AE614">
            <v>450</v>
          </cell>
          <cell r="AG614">
            <v>7000</v>
          </cell>
          <cell r="AH614">
            <v>31130</v>
          </cell>
          <cell r="AI614">
            <v>373560</v>
          </cell>
          <cell r="AJ614">
            <v>30000</v>
          </cell>
          <cell r="AK614">
            <v>75000</v>
          </cell>
          <cell r="AL614">
            <v>10000</v>
          </cell>
          <cell r="AO614">
            <v>10000</v>
          </cell>
          <cell r="AQ614">
            <v>61657</v>
          </cell>
          <cell r="AR614">
            <v>560217</v>
          </cell>
        </row>
        <row r="615">
          <cell r="M615">
            <v>24</v>
          </cell>
          <cell r="P615">
            <v>4</v>
          </cell>
          <cell r="S615" t="str">
            <v xml:space="preserve"> </v>
          </cell>
          <cell r="U615">
            <v>2002</v>
          </cell>
          <cell r="W615">
            <v>21030</v>
          </cell>
          <cell r="X615">
            <v>0</v>
          </cell>
          <cell r="Z615">
            <v>3200</v>
          </cell>
          <cell r="AA615">
            <v>500</v>
          </cell>
          <cell r="AB615">
            <v>150</v>
          </cell>
          <cell r="AC615">
            <v>1250</v>
          </cell>
          <cell r="AF615">
            <v>0</v>
          </cell>
          <cell r="AG615">
            <v>7000</v>
          </cell>
          <cell r="AH615">
            <v>33130</v>
          </cell>
          <cell r="AI615">
            <v>397560</v>
          </cell>
          <cell r="AJ615">
            <v>30000</v>
          </cell>
          <cell r="AK615">
            <v>85000</v>
          </cell>
          <cell r="AL615">
            <v>15000</v>
          </cell>
          <cell r="AM615">
            <v>0</v>
          </cell>
          <cell r="AN615">
            <v>0</v>
          </cell>
          <cell r="AO615">
            <v>10000</v>
          </cell>
          <cell r="AP615">
            <v>0</v>
          </cell>
          <cell r="AQ615">
            <v>68137</v>
          </cell>
          <cell r="AR615">
            <v>605697</v>
          </cell>
          <cell r="AS615">
            <v>0</v>
          </cell>
        </row>
        <row r="616">
          <cell r="P616">
            <v>4</v>
          </cell>
          <cell r="S616" t="str">
            <v xml:space="preserve"> </v>
          </cell>
          <cell r="U616" t="str">
            <v>DIFF.</v>
          </cell>
          <cell r="W616">
            <v>2000</v>
          </cell>
          <cell r="X616">
            <v>0</v>
          </cell>
          <cell r="Z616">
            <v>450</v>
          </cell>
          <cell r="AA616">
            <v>0</v>
          </cell>
          <cell r="AB616">
            <v>0</v>
          </cell>
          <cell r="AC616">
            <v>0</v>
          </cell>
          <cell r="AE616">
            <v>-450</v>
          </cell>
          <cell r="AF616">
            <v>0</v>
          </cell>
          <cell r="AG616">
            <v>0</v>
          </cell>
          <cell r="AH616">
            <v>2000</v>
          </cell>
          <cell r="AI616">
            <v>24000</v>
          </cell>
          <cell r="AJ616">
            <v>0</v>
          </cell>
          <cell r="AK616">
            <v>10000</v>
          </cell>
          <cell r="AL616">
            <v>5000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6480</v>
          </cell>
          <cell r="AR616">
            <v>45480</v>
          </cell>
          <cell r="AS616">
            <v>8.1199999999999992</v>
          </cell>
        </row>
        <row r="617">
          <cell r="P617">
            <v>4</v>
          </cell>
          <cell r="S617" t="str">
            <v xml:space="preserve"> </v>
          </cell>
        </row>
        <row r="618">
          <cell r="G618">
            <v>2419</v>
          </cell>
          <cell r="H618" t="str">
            <v>MR MITTAL SUSHEEL</v>
          </cell>
          <cell r="I618">
            <v>25869</v>
          </cell>
          <cell r="J618">
            <v>37104</v>
          </cell>
          <cell r="K618">
            <v>11409</v>
          </cell>
          <cell r="L618" t="str">
            <v>MA</v>
          </cell>
          <cell r="M618">
            <v>24</v>
          </cell>
          <cell r="O618" t="str">
            <v>MA</v>
          </cell>
          <cell r="P618">
            <v>1</v>
          </cell>
          <cell r="Q618" t="str">
            <v>Mumbai</v>
          </cell>
          <cell r="R618" t="str">
            <v>Ho</v>
          </cell>
          <cell r="S618" t="str">
            <v xml:space="preserve"> </v>
          </cell>
          <cell r="U618">
            <v>2001</v>
          </cell>
          <cell r="V618">
            <v>31250</v>
          </cell>
          <cell r="W618">
            <v>22000</v>
          </cell>
          <cell r="X618">
            <v>7700</v>
          </cell>
          <cell r="AA618">
            <v>500</v>
          </cell>
          <cell r="AB618">
            <v>150</v>
          </cell>
          <cell r="AC618">
            <v>0</v>
          </cell>
          <cell r="AD618" t="str">
            <v>RS</v>
          </cell>
          <cell r="AE618">
            <v>1000</v>
          </cell>
          <cell r="AG618">
            <v>7000</v>
          </cell>
          <cell r="AH618">
            <v>38350</v>
          </cell>
          <cell r="AI618">
            <v>460200</v>
          </cell>
          <cell r="AJ618">
            <v>30000</v>
          </cell>
          <cell r="AK618">
            <v>75000</v>
          </cell>
          <cell r="AL618">
            <v>10000</v>
          </cell>
          <cell r="AO618">
            <v>10000</v>
          </cell>
          <cell r="AQ618">
            <v>71280</v>
          </cell>
          <cell r="AR618">
            <v>656480</v>
          </cell>
        </row>
        <row r="619">
          <cell r="M619">
            <v>24</v>
          </cell>
          <cell r="P619">
            <v>1</v>
          </cell>
          <cell r="S619" t="str">
            <v xml:space="preserve"> </v>
          </cell>
          <cell r="U619">
            <v>2002</v>
          </cell>
          <cell r="W619">
            <v>22000</v>
          </cell>
          <cell r="X619">
            <v>12000</v>
          </cell>
          <cell r="Z619">
            <v>0</v>
          </cell>
          <cell r="AA619">
            <v>500</v>
          </cell>
          <cell r="AB619">
            <v>150</v>
          </cell>
          <cell r="AC619">
            <v>0</v>
          </cell>
          <cell r="AF619">
            <v>0</v>
          </cell>
          <cell r="AG619">
            <v>7000</v>
          </cell>
          <cell r="AH619">
            <v>41650</v>
          </cell>
          <cell r="AI619">
            <v>499800</v>
          </cell>
          <cell r="AJ619">
            <v>30000</v>
          </cell>
          <cell r="AK619">
            <v>85000</v>
          </cell>
          <cell r="AL619">
            <v>15000</v>
          </cell>
          <cell r="AM619">
            <v>0</v>
          </cell>
          <cell r="AN619">
            <v>0</v>
          </cell>
          <cell r="AO619">
            <v>10000</v>
          </cell>
          <cell r="AP619">
            <v>0</v>
          </cell>
          <cell r="AQ619">
            <v>71280</v>
          </cell>
          <cell r="AR619">
            <v>711080</v>
          </cell>
          <cell r="AS619">
            <v>0</v>
          </cell>
        </row>
        <row r="620">
          <cell r="P620">
            <v>1</v>
          </cell>
          <cell r="S620" t="str">
            <v xml:space="preserve"> </v>
          </cell>
          <cell r="U620" t="str">
            <v>DIFF.</v>
          </cell>
          <cell r="W620">
            <v>0</v>
          </cell>
          <cell r="X620">
            <v>4300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E620">
            <v>-1000</v>
          </cell>
          <cell r="AF620">
            <v>0</v>
          </cell>
          <cell r="AG620">
            <v>0</v>
          </cell>
          <cell r="AH620">
            <v>3300</v>
          </cell>
          <cell r="AI620">
            <v>39600</v>
          </cell>
          <cell r="AJ620">
            <v>0</v>
          </cell>
          <cell r="AK620">
            <v>10000</v>
          </cell>
          <cell r="AL620">
            <v>5000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54600</v>
          </cell>
          <cell r="AS620">
            <v>8.32</v>
          </cell>
        </row>
        <row r="621">
          <cell r="P621">
            <v>1</v>
          </cell>
          <cell r="S621" t="str">
            <v xml:space="preserve"> </v>
          </cell>
        </row>
        <row r="622">
          <cell r="G622">
            <v>1335</v>
          </cell>
          <cell r="H622" t="str">
            <v>MR RAO K V</v>
          </cell>
          <cell r="I622">
            <v>18902</v>
          </cell>
          <cell r="J622">
            <v>28947</v>
          </cell>
          <cell r="K622">
            <v>18376</v>
          </cell>
          <cell r="L622" t="str">
            <v>MA</v>
          </cell>
          <cell r="M622">
            <v>25</v>
          </cell>
          <cell r="O622" t="str">
            <v>MAM</v>
          </cell>
          <cell r="P622">
            <v>1</v>
          </cell>
          <cell r="Q622" t="str">
            <v>Mumbai</v>
          </cell>
          <cell r="R622" t="str">
            <v>Ho</v>
          </cell>
          <cell r="S622" t="str">
            <v xml:space="preserve"> </v>
          </cell>
          <cell r="T622" t="str">
            <v>BP</v>
          </cell>
          <cell r="U622">
            <v>2001</v>
          </cell>
          <cell r="V622">
            <v>101500</v>
          </cell>
          <cell r="W622">
            <v>29214</v>
          </cell>
          <cell r="X622">
            <v>10750</v>
          </cell>
          <cell r="AA622">
            <v>500</v>
          </cell>
          <cell r="AB622">
            <v>150</v>
          </cell>
          <cell r="AC622">
            <v>0</v>
          </cell>
          <cell r="AE622">
            <v>1000</v>
          </cell>
          <cell r="AG622">
            <v>9000</v>
          </cell>
          <cell r="AH622">
            <v>50614</v>
          </cell>
          <cell r="AI622">
            <v>607368</v>
          </cell>
          <cell r="AJ622">
            <v>35000</v>
          </cell>
          <cell r="AK622">
            <v>100000</v>
          </cell>
          <cell r="AL622">
            <v>15000</v>
          </cell>
          <cell r="AM622">
            <v>6000</v>
          </cell>
          <cell r="AO622">
            <v>15000</v>
          </cell>
          <cell r="AQ622">
            <v>94653</v>
          </cell>
          <cell r="AR622">
            <v>873021</v>
          </cell>
        </row>
        <row r="623">
          <cell r="M623">
            <v>25</v>
          </cell>
          <cell r="P623">
            <v>1</v>
          </cell>
          <cell r="S623" t="str">
            <v xml:space="preserve"> </v>
          </cell>
          <cell r="U623">
            <v>2002</v>
          </cell>
          <cell r="W623">
            <v>33414</v>
          </cell>
          <cell r="X623">
            <v>15000</v>
          </cell>
          <cell r="Z623">
            <v>0</v>
          </cell>
          <cell r="AA623">
            <v>500</v>
          </cell>
          <cell r="AB623">
            <v>150</v>
          </cell>
          <cell r="AC623">
            <v>0</v>
          </cell>
          <cell r="AF623">
            <v>0</v>
          </cell>
          <cell r="AG623">
            <v>9000</v>
          </cell>
          <cell r="AH623">
            <v>58064</v>
          </cell>
          <cell r="AI623">
            <v>696768</v>
          </cell>
          <cell r="AJ623">
            <v>40000</v>
          </cell>
          <cell r="AK623">
            <v>125000</v>
          </cell>
          <cell r="AL623">
            <v>15000</v>
          </cell>
          <cell r="AM623">
            <v>6000</v>
          </cell>
          <cell r="AN623">
            <v>0</v>
          </cell>
          <cell r="AO623">
            <v>15000</v>
          </cell>
          <cell r="AP623">
            <v>0</v>
          </cell>
          <cell r="AQ623">
            <v>108261</v>
          </cell>
          <cell r="AR623">
            <v>1006029</v>
          </cell>
          <cell r="AS623">
            <v>0</v>
          </cell>
        </row>
        <row r="624">
          <cell r="P624">
            <v>1</v>
          </cell>
          <cell r="S624" t="str">
            <v xml:space="preserve"> </v>
          </cell>
          <cell r="U624" t="str">
            <v>DIFF.</v>
          </cell>
          <cell r="W624">
            <v>4200</v>
          </cell>
          <cell r="X624">
            <v>4250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E624">
            <v>-1000</v>
          </cell>
          <cell r="AF624">
            <v>0</v>
          </cell>
          <cell r="AG624">
            <v>0</v>
          </cell>
          <cell r="AH624">
            <v>7450</v>
          </cell>
          <cell r="AI624">
            <v>89400</v>
          </cell>
          <cell r="AJ624">
            <v>5000</v>
          </cell>
          <cell r="AK624">
            <v>25000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13608</v>
          </cell>
          <cell r="AR624">
            <v>133008</v>
          </cell>
          <cell r="AS624">
            <v>15.24</v>
          </cell>
        </row>
        <row r="625">
          <cell r="P625">
            <v>1</v>
          </cell>
          <cell r="S625" t="str">
            <v xml:space="preserve"> </v>
          </cell>
        </row>
        <row r="626">
          <cell r="G626">
            <v>1556</v>
          </cell>
          <cell r="H626" t="str">
            <v>MR SHIRVAIKAR A M</v>
          </cell>
          <cell r="I626">
            <v>18923</v>
          </cell>
          <cell r="J626">
            <v>30335</v>
          </cell>
          <cell r="K626">
            <v>18355</v>
          </cell>
          <cell r="L626" t="str">
            <v>MA</v>
          </cell>
          <cell r="M626">
            <v>25</v>
          </cell>
          <cell r="O626" t="str">
            <v>MA</v>
          </cell>
          <cell r="P626">
            <v>1</v>
          </cell>
          <cell r="Q626" t="str">
            <v>Mumbai</v>
          </cell>
          <cell r="R626" t="str">
            <v>Ho</v>
          </cell>
          <cell r="S626" t="str">
            <v xml:space="preserve"> </v>
          </cell>
          <cell r="T626" t="str">
            <v>BA</v>
          </cell>
          <cell r="U626">
            <v>2001</v>
          </cell>
          <cell r="V626">
            <v>101500</v>
          </cell>
          <cell r="W626">
            <v>32175</v>
          </cell>
          <cell r="X626">
            <v>11750</v>
          </cell>
          <cell r="Y626" t="str">
            <v>E</v>
          </cell>
          <cell r="AA626">
            <v>500</v>
          </cell>
          <cell r="AB626">
            <v>150</v>
          </cell>
          <cell r="AC626">
            <v>0</v>
          </cell>
          <cell r="AE626">
            <v>1000</v>
          </cell>
          <cell r="AG626">
            <v>9000</v>
          </cell>
          <cell r="AH626">
            <v>54575</v>
          </cell>
          <cell r="AI626">
            <v>654900</v>
          </cell>
          <cell r="AJ626">
            <v>35000</v>
          </cell>
          <cell r="AK626">
            <v>100000</v>
          </cell>
          <cell r="AL626">
            <v>15000</v>
          </cell>
          <cell r="AM626">
            <v>6000</v>
          </cell>
          <cell r="AO626">
            <v>15000</v>
          </cell>
          <cell r="AQ626">
            <v>104247</v>
          </cell>
          <cell r="AR626">
            <v>930147</v>
          </cell>
        </row>
        <row r="627">
          <cell r="M627">
            <v>25</v>
          </cell>
          <cell r="P627">
            <v>1</v>
          </cell>
          <cell r="S627" t="str">
            <v xml:space="preserve"> </v>
          </cell>
          <cell r="U627">
            <v>2002</v>
          </cell>
          <cell r="W627">
            <v>35425</v>
          </cell>
          <cell r="X627">
            <v>15000</v>
          </cell>
          <cell r="Z627">
            <v>0</v>
          </cell>
          <cell r="AA627">
            <v>500</v>
          </cell>
          <cell r="AB627">
            <v>150</v>
          </cell>
          <cell r="AC627">
            <v>0</v>
          </cell>
          <cell r="AF627">
            <v>0</v>
          </cell>
          <cell r="AG627">
            <v>9000</v>
          </cell>
          <cell r="AH627">
            <v>60075</v>
          </cell>
          <cell r="AI627">
            <v>720900</v>
          </cell>
          <cell r="AJ627">
            <v>40000</v>
          </cell>
          <cell r="AK627">
            <v>125000</v>
          </cell>
          <cell r="AL627">
            <v>15000</v>
          </cell>
          <cell r="AM627">
            <v>6000</v>
          </cell>
          <cell r="AN627">
            <v>0</v>
          </cell>
          <cell r="AO627">
            <v>15000</v>
          </cell>
          <cell r="AP627">
            <v>0</v>
          </cell>
          <cell r="AQ627">
            <v>114777</v>
          </cell>
          <cell r="AR627">
            <v>1036677</v>
          </cell>
          <cell r="AS627">
            <v>0</v>
          </cell>
        </row>
        <row r="628">
          <cell r="P628">
            <v>1</v>
          </cell>
          <cell r="S628" t="str">
            <v xml:space="preserve"> </v>
          </cell>
          <cell r="U628" t="str">
            <v>DIFF.</v>
          </cell>
          <cell r="W628">
            <v>3250</v>
          </cell>
          <cell r="X628">
            <v>3250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E628">
            <v>-1000</v>
          </cell>
          <cell r="AF628">
            <v>0</v>
          </cell>
          <cell r="AG628">
            <v>0</v>
          </cell>
          <cell r="AH628">
            <v>5500</v>
          </cell>
          <cell r="AI628">
            <v>66000</v>
          </cell>
          <cell r="AJ628">
            <v>5000</v>
          </cell>
          <cell r="AK628">
            <v>25000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10530</v>
          </cell>
          <cell r="AR628">
            <v>106530</v>
          </cell>
          <cell r="AS628">
            <v>11.45</v>
          </cell>
        </row>
        <row r="629">
          <cell r="P629">
            <v>1</v>
          </cell>
          <cell r="S629" t="str">
            <v xml:space="preserve"> </v>
          </cell>
        </row>
        <row r="630">
          <cell r="G630">
            <v>1336</v>
          </cell>
          <cell r="H630" t="str">
            <v>MR BADOLA D M</v>
          </cell>
          <cell r="I630">
            <v>19088</v>
          </cell>
          <cell r="J630">
            <v>28954</v>
          </cell>
          <cell r="K630">
            <v>18190</v>
          </cell>
          <cell r="L630" t="str">
            <v>MA</v>
          </cell>
          <cell r="M630">
            <v>26</v>
          </cell>
          <cell r="O630" t="str">
            <v>MAM</v>
          </cell>
          <cell r="P630">
            <v>1</v>
          </cell>
          <cell r="Q630" t="str">
            <v>Mumbai</v>
          </cell>
          <cell r="R630" t="str">
            <v>Ho</v>
          </cell>
          <cell r="S630" t="str">
            <v xml:space="preserve"> </v>
          </cell>
          <cell r="T630" t="str">
            <v>BA</v>
          </cell>
          <cell r="U630">
            <v>2001</v>
          </cell>
          <cell r="V630">
            <v>148125</v>
          </cell>
          <cell r="W630">
            <v>38331</v>
          </cell>
          <cell r="X630">
            <v>0</v>
          </cell>
          <cell r="Y630" t="str">
            <v>C</v>
          </cell>
          <cell r="Z630">
            <v>5500</v>
          </cell>
          <cell r="AA630">
            <v>500</v>
          </cell>
          <cell r="AB630">
            <v>0</v>
          </cell>
          <cell r="AC630">
            <v>0</v>
          </cell>
          <cell r="AE630">
            <v>1000</v>
          </cell>
          <cell r="AG630">
            <v>17000</v>
          </cell>
          <cell r="AH630">
            <v>62331</v>
          </cell>
          <cell r="AI630">
            <v>747972</v>
          </cell>
          <cell r="AJ630">
            <v>50000</v>
          </cell>
          <cell r="AK630">
            <v>150000</v>
          </cell>
          <cell r="AL630">
            <v>15000</v>
          </cell>
          <cell r="AM630">
            <v>7500</v>
          </cell>
          <cell r="AN630">
            <v>10000</v>
          </cell>
          <cell r="AO630">
            <v>15000</v>
          </cell>
          <cell r="AP630">
            <v>16000</v>
          </cell>
          <cell r="AQ630">
            <v>124192</v>
          </cell>
          <cell r="AR630">
            <v>1135664</v>
          </cell>
        </row>
        <row r="631">
          <cell r="M631">
            <v>26</v>
          </cell>
          <cell r="P631">
            <v>1</v>
          </cell>
          <cell r="S631" t="str">
            <v xml:space="preserve"> </v>
          </cell>
          <cell r="U631">
            <v>2002</v>
          </cell>
          <cell r="W631">
            <v>43831</v>
          </cell>
          <cell r="X631">
            <v>0</v>
          </cell>
          <cell r="Z631">
            <v>7000</v>
          </cell>
          <cell r="AA631">
            <v>500</v>
          </cell>
          <cell r="AB631">
            <v>0</v>
          </cell>
          <cell r="AC631">
            <v>0</v>
          </cell>
          <cell r="AF631">
            <v>0</v>
          </cell>
          <cell r="AG631">
            <v>18000</v>
          </cell>
          <cell r="AH631">
            <v>69331</v>
          </cell>
          <cell r="AI631">
            <v>831972</v>
          </cell>
          <cell r="AJ631">
            <v>55000</v>
          </cell>
          <cell r="AK631">
            <v>175000</v>
          </cell>
          <cell r="AL631">
            <v>15000</v>
          </cell>
          <cell r="AM631">
            <v>7500</v>
          </cell>
          <cell r="AN631">
            <v>10000</v>
          </cell>
          <cell r="AO631">
            <v>15000</v>
          </cell>
          <cell r="AP631">
            <v>16000</v>
          </cell>
          <cell r="AQ631">
            <v>142012</v>
          </cell>
          <cell r="AR631">
            <v>1267484</v>
          </cell>
          <cell r="AS631">
            <v>0</v>
          </cell>
        </row>
        <row r="632">
          <cell r="P632">
            <v>1</v>
          </cell>
          <cell r="S632" t="str">
            <v xml:space="preserve"> </v>
          </cell>
          <cell r="U632" t="str">
            <v>DIFF.</v>
          </cell>
          <cell r="W632">
            <v>5500</v>
          </cell>
          <cell r="X632">
            <v>0</v>
          </cell>
          <cell r="Z632">
            <v>1500</v>
          </cell>
          <cell r="AA632">
            <v>0</v>
          </cell>
          <cell r="AB632">
            <v>0</v>
          </cell>
          <cell r="AC632">
            <v>0</v>
          </cell>
          <cell r="AE632">
            <v>-1000</v>
          </cell>
          <cell r="AF632">
            <v>0</v>
          </cell>
          <cell r="AG632">
            <v>1000</v>
          </cell>
          <cell r="AH632">
            <v>7000</v>
          </cell>
          <cell r="AI632">
            <v>84000</v>
          </cell>
          <cell r="AJ632">
            <v>5000</v>
          </cell>
          <cell r="AK632">
            <v>25000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17820</v>
          </cell>
          <cell r="AR632">
            <v>131820</v>
          </cell>
          <cell r="AS632">
            <v>11.61</v>
          </cell>
        </row>
        <row r="633">
          <cell r="P633">
            <v>1</v>
          </cell>
          <cell r="S633" t="str">
            <v xml:space="preserve"> </v>
          </cell>
        </row>
        <row r="634">
          <cell r="G634">
            <v>2260</v>
          </cell>
          <cell r="H634" t="str">
            <v>MR THYAGARAJAN K S</v>
          </cell>
          <cell r="I634">
            <v>20595</v>
          </cell>
          <cell r="J634">
            <v>36913</v>
          </cell>
          <cell r="K634">
            <v>16683</v>
          </cell>
          <cell r="L634" t="str">
            <v>MA</v>
          </cell>
          <cell r="M634">
            <v>26</v>
          </cell>
          <cell r="O634" t="str">
            <v>MAT</v>
          </cell>
          <cell r="P634">
            <v>1</v>
          </cell>
          <cell r="Q634" t="str">
            <v>Mumbai</v>
          </cell>
          <cell r="R634" t="str">
            <v>Ho</v>
          </cell>
          <cell r="S634" t="str">
            <v xml:space="preserve"> </v>
          </cell>
          <cell r="T634" t="str">
            <v>BP</v>
          </cell>
          <cell r="U634">
            <v>2001</v>
          </cell>
          <cell r="V634">
            <v>148125</v>
          </cell>
          <cell r="W634">
            <v>27000</v>
          </cell>
          <cell r="X634">
            <v>0</v>
          </cell>
          <cell r="Y634" t="str">
            <v>L</v>
          </cell>
          <cell r="Z634">
            <v>5500</v>
          </cell>
          <cell r="AA634">
            <v>500</v>
          </cell>
          <cell r="AE634">
            <v>1000</v>
          </cell>
          <cell r="AG634">
            <v>17000</v>
          </cell>
          <cell r="AH634">
            <v>51000</v>
          </cell>
          <cell r="AI634">
            <v>612000</v>
          </cell>
          <cell r="AJ634">
            <v>50000</v>
          </cell>
          <cell r="AK634">
            <v>150000</v>
          </cell>
          <cell r="AL634">
            <v>15000</v>
          </cell>
          <cell r="AM634">
            <v>7500</v>
          </cell>
          <cell r="AN634">
            <v>10000</v>
          </cell>
          <cell r="AO634">
            <v>15000</v>
          </cell>
          <cell r="AP634">
            <v>16000</v>
          </cell>
          <cell r="AQ634">
            <v>87480</v>
          </cell>
          <cell r="AR634">
            <v>962980</v>
          </cell>
        </row>
        <row r="635">
          <cell r="M635">
            <v>26</v>
          </cell>
          <cell r="P635">
            <v>1</v>
          </cell>
          <cell r="S635" t="str">
            <v xml:space="preserve"> </v>
          </cell>
          <cell r="U635">
            <v>2002</v>
          </cell>
          <cell r="W635">
            <v>37000</v>
          </cell>
          <cell r="X635">
            <v>0</v>
          </cell>
          <cell r="Z635">
            <v>7000</v>
          </cell>
          <cell r="AA635">
            <v>500</v>
          </cell>
          <cell r="AB635">
            <v>0</v>
          </cell>
          <cell r="AC635">
            <v>0</v>
          </cell>
          <cell r="AF635">
            <v>0</v>
          </cell>
          <cell r="AG635">
            <v>18000</v>
          </cell>
          <cell r="AH635">
            <v>62500</v>
          </cell>
          <cell r="AI635">
            <v>750000</v>
          </cell>
          <cell r="AJ635">
            <v>55000</v>
          </cell>
          <cell r="AK635">
            <v>175000</v>
          </cell>
          <cell r="AL635">
            <v>15000</v>
          </cell>
          <cell r="AM635">
            <v>7500</v>
          </cell>
          <cell r="AN635">
            <v>10000</v>
          </cell>
          <cell r="AO635">
            <v>15000</v>
          </cell>
          <cell r="AP635">
            <v>16000</v>
          </cell>
          <cell r="AQ635">
            <v>119880</v>
          </cell>
          <cell r="AR635">
            <v>1163380</v>
          </cell>
          <cell r="AS635">
            <v>0</v>
          </cell>
        </row>
        <row r="636">
          <cell r="P636">
            <v>1</v>
          </cell>
          <cell r="S636" t="str">
            <v xml:space="preserve"> </v>
          </cell>
          <cell r="U636" t="str">
            <v>DIFF.</v>
          </cell>
          <cell r="W636">
            <v>10000</v>
          </cell>
          <cell r="X636">
            <v>0</v>
          </cell>
          <cell r="Z636">
            <v>1500</v>
          </cell>
          <cell r="AA636">
            <v>0</v>
          </cell>
          <cell r="AB636">
            <v>0</v>
          </cell>
          <cell r="AC636">
            <v>0</v>
          </cell>
          <cell r="AE636">
            <v>-1000</v>
          </cell>
          <cell r="AF636">
            <v>0</v>
          </cell>
          <cell r="AG636">
            <v>1000</v>
          </cell>
          <cell r="AH636">
            <v>11500</v>
          </cell>
          <cell r="AI636">
            <v>138000</v>
          </cell>
          <cell r="AJ636">
            <v>5000</v>
          </cell>
          <cell r="AK636">
            <v>25000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32400</v>
          </cell>
          <cell r="AR636">
            <v>200400</v>
          </cell>
          <cell r="AS636">
            <v>20.81</v>
          </cell>
        </row>
        <row r="637">
          <cell r="P637">
            <v>1</v>
          </cell>
          <cell r="S637" t="str">
            <v xml:space="preserve"> </v>
          </cell>
        </row>
        <row r="638">
          <cell r="G638">
            <v>2290</v>
          </cell>
          <cell r="H638" t="str">
            <v>MR N. JANAKIRAM RAJU</v>
          </cell>
          <cell r="I638">
            <v>20102</v>
          </cell>
          <cell r="J638">
            <v>29487</v>
          </cell>
          <cell r="K638">
            <v>17176</v>
          </cell>
          <cell r="L638" t="str">
            <v>MA</v>
          </cell>
          <cell r="M638">
            <v>26</v>
          </cell>
          <cell r="O638" t="str">
            <v>MA</v>
          </cell>
          <cell r="P638">
            <v>1</v>
          </cell>
          <cell r="Q638" t="str">
            <v>Mumbai</v>
          </cell>
          <cell r="R638" t="str">
            <v>Ho</v>
          </cell>
          <cell r="S638" t="str">
            <v xml:space="preserve"> </v>
          </cell>
          <cell r="T638" t="str">
            <v>CA</v>
          </cell>
          <cell r="U638">
            <v>2001</v>
          </cell>
          <cell r="V638">
            <v>130000</v>
          </cell>
          <cell r="W638">
            <v>42115</v>
          </cell>
          <cell r="X638">
            <v>0</v>
          </cell>
          <cell r="Y638" t="str">
            <v>L</v>
          </cell>
          <cell r="Z638">
            <v>5500</v>
          </cell>
          <cell r="AA638">
            <v>500</v>
          </cell>
          <cell r="AE638">
            <v>1000</v>
          </cell>
          <cell r="AG638">
            <v>17000</v>
          </cell>
          <cell r="AH638">
            <v>66115</v>
          </cell>
          <cell r="AI638">
            <v>793380</v>
          </cell>
          <cell r="AJ638">
            <v>50000</v>
          </cell>
          <cell r="AK638">
            <v>150000</v>
          </cell>
          <cell r="AL638">
            <v>15000</v>
          </cell>
          <cell r="AM638">
            <v>7500</v>
          </cell>
          <cell r="AN638">
            <v>10000</v>
          </cell>
          <cell r="AO638">
            <v>15000</v>
          </cell>
          <cell r="AP638">
            <v>16000</v>
          </cell>
          <cell r="AQ638">
            <v>136453</v>
          </cell>
          <cell r="AR638">
            <v>1193333</v>
          </cell>
        </row>
        <row r="639">
          <cell r="M639">
            <v>26</v>
          </cell>
          <cell r="P639">
            <v>1</v>
          </cell>
          <cell r="S639" t="str">
            <v xml:space="preserve"> </v>
          </cell>
          <cell r="U639">
            <v>2002</v>
          </cell>
          <cell r="W639">
            <v>46365</v>
          </cell>
          <cell r="X639">
            <v>0</v>
          </cell>
          <cell r="Z639">
            <v>7000</v>
          </cell>
          <cell r="AA639">
            <v>500</v>
          </cell>
          <cell r="AB639">
            <v>0</v>
          </cell>
          <cell r="AC639">
            <v>0</v>
          </cell>
          <cell r="AF639">
            <v>0</v>
          </cell>
          <cell r="AG639">
            <v>18000</v>
          </cell>
          <cell r="AH639">
            <v>71865</v>
          </cell>
          <cell r="AI639">
            <v>862380</v>
          </cell>
          <cell r="AJ639">
            <v>55000</v>
          </cell>
          <cell r="AK639">
            <v>175000</v>
          </cell>
          <cell r="AL639">
            <v>15000</v>
          </cell>
          <cell r="AM639">
            <v>7500</v>
          </cell>
          <cell r="AN639">
            <v>10000</v>
          </cell>
          <cell r="AO639">
            <v>15000</v>
          </cell>
          <cell r="AP639">
            <v>16000</v>
          </cell>
          <cell r="AQ639">
            <v>150223</v>
          </cell>
          <cell r="AR639">
            <v>1306103</v>
          </cell>
          <cell r="AS639">
            <v>0</v>
          </cell>
        </row>
        <row r="640">
          <cell r="P640">
            <v>1</v>
          </cell>
          <cell r="S640" t="str">
            <v xml:space="preserve"> </v>
          </cell>
          <cell r="U640" t="str">
            <v>DIFF.</v>
          </cell>
          <cell r="W640">
            <v>4250</v>
          </cell>
          <cell r="X640">
            <v>0</v>
          </cell>
          <cell r="Z640">
            <v>1500</v>
          </cell>
          <cell r="AA640">
            <v>0</v>
          </cell>
          <cell r="AB640">
            <v>0</v>
          </cell>
          <cell r="AC640">
            <v>0</v>
          </cell>
          <cell r="AE640">
            <v>-1000</v>
          </cell>
          <cell r="AF640">
            <v>0</v>
          </cell>
          <cell r="AG640">
            <v>1000</v>
          </cell>
          <cell r="AH640">
            <v>5750</v>
          </cell>
          <cell r="AI640">
            <v>69000</v>
          </cell>
          <cell r="AJ640">
            <v>5000</v>
          </cell>
          <cell r="AK640">
            <v>25000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13770</v>
          </cell>
          <cell r="AR640">
            <v>112770</v>
          </cell>
          <cell r="AS640">
            <v>9.4499999999999993</v>
          </cell>
        </row>
        <row r="641">
          <cell r="P641">
            <v>1</v>
          </cell>
          <cell r="S641" t="str">
            <v xml:space="preserve"> </v>
          </cell>
        </row>
        <row r="642">
          <cell r="G642">
            <v>2302</v>
          </cell>
          <cell r="H642" t="str">
            <v>MR FAIZ PATHAN</v>
          </cell>
          <cell r="I642">
            <v>20448</v>
          </cell>
          <cell r="J642">
            <v>32905</v>
          </cell>
          <cell r="K642">
            <v>16830</v>
          </cell>
          <cell r="L642" t="str">
            <v>MA</v>
          </cell>
          <cell r="M642">
            <v>26</v>
          </cell>
          <cell r="O642" t="str">
            <v>MA</v>
          </cell>
          <cell r="P642">
            <v>1</v>
          </cell>
          <cell r="Q642" t="str">
            <v>Mumbai</v>
          </cell>
          <cell r="R642" t="str">
            <v>Ho</v>
          </cell>
          <cell r="S642" t="str">
            <v xml:space="preserve"> </v>
          </cell>
          <cell r="T642" t="str">
            <v>CL</v>
          </cell>
          <cell r="U642">
            <v>2001</v>
          </cell>
          <cell r="V642">
            <v>130000</v>
          </cell>
          <cell r="W642">
            <v>45495</v>
          </cell>
          <cell r="X642">
            <v>0</v>
          </cell>
          <cell r="Y642" t="str">
            <v>L</v>
          </cell>
          <cell r="Z642">
            <v>5500</v>
          </cell>
          <cell r="AA642">
            <v>500</v>
          </cell>
          <cell r="AE642">
            <v>1000</v>
          </cell>
          <cell r="AG642">
            <v>17000</v>
          </cell>
          <cell r="AH642">
            <v>69495</v>
          </cell>
          <cell r="AI642">
            <v>833940</v>
          </cell>
          <cell r="AJ642">
            <v>50000</v>
          </cell>
          <cell r="AK642">
            <v>150000</v>
          </cell>
          <cell r="AL642">
            <v>15000</v>
          </cell>
          <cell r="AM642">
            <v>7500</v>
          </cell>
          <cell r="AN642">
            <v>10000</v>
          </cell>
          <cell r="AO642">
            <v>15000</v>
          </cell>
          <cell r="AP642">
            <v>16000</v>
          </cell>
          <cell r="AQ642">
            <v>147404</v>
          </cell>
          <cell r="AR642">
            <v>1244844</v>
          </cell>
        </row>
        <row r="643">
          <cell r="M643">
            <v>26</v>
          </cell>
          <cell r="P643">
            <v>1</v>
          </cell>
          <cell r="S643" t="str">
            <v xml:space="preserve"> </v>
          </cell>
          <cell r="U643">
            <v>2002</v>
          </cell>
          <cell r="W643">
            <v>48995</v>
          </cell>
          <cell r="X643">
            <v>0</v>
          </cell>
          <cell r="Z643">
            <v>7000</v>
          </cell>
          <cell r="AA643">
            <v>500</v>
          </cell>
          <cell r="AB643">
            <v>0</v>
          </cell>
          <cell r="AC643">
            <v>0</v>
          </cell>
          <cell r="AF643">
            <v>0</v>
          </cell>
          <cell r="AG643">
            <v>18000</v>
          </cell>
          <cell r="AH643">
            <v>74495</v>
          </cell>
          <cell r="AI643">
            <v>893940</v>
          </cell>
          <cell r="AJ643">
            <v>55000</v>
          </cell>
          <cell r="AK643">
            <v>175000</v>
          </cell>
          <cell r="AL643">
            <v>15000</v>
          </cell>
          <cell r="AM643">
            <v>7500</v>
          </cell>
          <cell r="AN643">
            <v>10000</v>
          </cell>
          <cell r="AO643">
            <v>15000</v>
          </cell>
          <cell r="AP643">
            <v>16000</v>
          </cell>
          <cell r="AQ643">
            <v>158744</v>
          </cell>
          <cell r="AR643">
            <v>1346184</v>
          </cell>
          <cell r="AS643">
            <v>0</v>
          </cell>
        </row>
        <row r="644">
          <cell r="P644">
            <v>1</v>
          </cell>
          <cell r="S644" t="str">
            <v xml:space="preserve"> </v>
          </cell>
          <cell r="U644" t="str">
            <v>DIFF.</v>
          </cell>
          <cell r="W644">
            <v>3500</v>
          </cell>
          <cell r="X644">
            <v>0</v>
          </cell>
          <cell r="Z644">
            <v>1500</v>
          </cell>
          <cell r="AA644">
            <v>0</v>
          </cell>
          <cell r="AB644">
            <v>0</v>
          </cell>
          <cell r="AC644">
            <v>0</v>
          </cell>
          <cell r="AE644">
            <v>-1000</v>
          </cell>
          <cell r="AF644">
            <v>0</v>
          </cell>
          <cell r="AG644">
            <v>1000</v>
          </cell>
          <cell r="AH644">
            <v>5000</v>
          </cell>
          <cell r="AI644">
            <v>60000</v>
          </cell>
          <cell r="AJ644">
            <v>5000</v>
          </cell>
          <cell r="AK644">
            <v>25000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11340</v>
          </cell>
          <cell r="AR644">
            <v>101340</v>
          </cell>
          <cell r="AS644">
            <v>8.14</v>
          </cell>
        </row>
        <row r="645">
          <cell r="P645">
            <v>1</v>
          </cell>
          <cell r="S645" t="str">
            <v xml:space="preserve">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賦EX"/>
      <sheetName val="業種小分類"/>
      <sheetName val="業種大分類"/>
      <sheetName val="その他"/>
      <sheetName val="全体"/>
    </sheetNames>
    <definedNames>
      <definedName name="Haifu_Execute"/>
      <definedName name="Haifu_NumberEdi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CPD"/>
      <sheetName val="CPD Output"/>
      <sheetName val="balsara"/>
      <sheetName val="bayer"/>
      <sheetName val="hll"/>
      <sheetName val="hll (2)"/>
      <sheetName val="colgate"/>
      <sheetName val="Dabur"/>
      <sheetName val="godrej soap"/>
      <sheetName val="henkel"/>
      <sheetName val="ISP"/>
      <sheetName val="Marico"/>
      <sheetName val="nirma"/>
      <sheetName val="P&amp;G"/>
      <sheetName val="Reckkit"/>
      <sheetName val="SBC"/>
      <sheetName val="Mcap"/>
      <sheetName val="Output Table"/>
      <sheetName val="Output Table (3)"/>
      <sheetName val="Input"/>
      <sheetName val="MV &amp; EI"/>
      <sheetName val="MVA &amp; EI"/>
      <sheetName val="EI  Chart"/>
      <sheetName val="EVA Improvement Profile"/>
      <sheetName val="Results"/>
      <sheetName val="Output Table (2)"/>
      <sheetName val="ANNX -II"/>
      <sheetName val="HAL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  <sheetName val="A 3.7"/>
      <sheetName val="CE"/>
      <sheetName val="201-04REL-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_SUMMARY"/>
      <sheetName val="PRICE SUMMARY"/>
      <sheetName val="FACTORS"/>
      <sheetName val="("/>
      <sheetName val="M1-O1-10.5GHz"/>
      <sheetName val="M1-O1-3.5GHz"/>
      <sheetName val="M1-O2-10.5GHz"/>
      <sheetName val="M1-O2-3.5GHz"/>
      <sheetName val="M2-10.5GHz"/>
      <sheetName val="M2-3.5GHz "/>
      <sheetName val=")"/>
      <sheetName val="{"/>
      <sheetName val="M1-O1-Acc10.5"/>
      <sheetName val="M1-O1-Acc3.5"/>
      <sheetName val="M1-O2-Acc10.5"/>
      <sheetName val="M1-O2-Acc3.5"/>
      <sheetName val="M2-Acc10.5"/>
      <sheetName val="M2-Acc3.5"/>
      <sheetName val="}"/>
      <sheetName val="&lt;"/>
      <sheetName val="M1-O1-EMS"/>
      <sheetName val="M1-O2-EMS"/>
      <sheetName val="M2-EMS"/>
      <sheetName val="&gt;"/>
      <sheetName val="Planning_Tool"/>
      <sheetName val="Interfaces"/>
      <sheetName val="10-city points"/>
      <sheetName val="Assmpns"/>
      <sheetName val="Factors-overall"/>
      <sheetName val="Summary Jun-08"/>
      <sheetName val="Collection"/>
      <sheetName val="FV-08-09"/>
      <sheetName val="Excise Cen Awailment-Jun-08"/>
      <sheetName val="Cenvat Awailment-ST"/>
      <sheetName val="ST Cenvat June-08"/>
      <sheetName val="ST Cenvat May'08 "/>
      <sheetName val="Offer_22.10.02"/>
      <sheetName val="Unit - An 2"/>
      <sheetName val="XL4Poppy"/>
      <sheetName val="PRICE_SUMMARY"/>
      <sheetName val="M1-O1-10_5GHz"/>
      <sheetName val="M1-O1-3_5GHz"/>
      <sheetName val="M1-O2-10_5GHz"/>
      <sheetName val="M1-O2-3_5GHz"/>
      <sheetName val="M2-10_5GHz"/>
      <sheetName val="M2-3_5GHz_"/>
      <sheetName val="M1-O1-Acc10_5"/>
      <sheetName val="M1-O1-Acc3_5"/>
      <sheetName val="M1-O2-Acc10_5"/>
      <sheetName val="M1-O2-Acc3_5"/>
      <sheetName val="M2-Acc10_5"/>
      <sheetName val="M2-Acc3_5"/>
      <sheetName val="PRICE_SUMMARY1"/>
      <sheetName val="M1-O1-10_5GHz1"/>
      <sheetName val="M1-O1-3_5GHz1"/>
      <sheetName val="M1-O2-10_5GHz1"/>
      <sheetName val="M1-O2-3_5GHz1"/>
      <sheetName val="M2-10_5GHz1"/>
      <sheetName val="M2-3_5GHz_1"/>
      <sheetName val="M1-O1-Acc10_51"/>
      <sheetName val="M1-O1-Acc3_51"/>
      <sheetName val="M1-O2-Acc10_51"/>
      <sheetName val="M1-O2-Acc3_51"/>
      <sheetName val="M2-Acc10_51"/>
      <sheetName val="M2-Acc3_51"/>
      <sheetName val="Offer_22_10_02"/>
      <sheetName val="Unit_-_An_2"/>
      <sheetName val="Summary_Jun-08"/>
      <sheetName val="Excise_Cen_Awailment-Jun-08"/>
      <sheetName val="Cenvat_Awailment-ST"/>
      <sheetName val="ST_Cenvat_June-08"/>
      <sheetName val="ST_Cenvat_May'08_"/>
      <sheetName val="Factor -local"/>
      <sheetName val="Factor- cables"/>
      <sheetName val="Summary_Jun-081"/>
      <sheetName val="Excise_Cen_Awailment-Jun-081"/>
      <sheetName val="Cenvat_Awailment-ST1"/>
      <sheetName val="ST_Cenvat_June-081"/>
      <sheetName val="ST_Cenvat_May'08_1"/>
      <sheetName val="PRICE_SUMMARY2"/>
      <sheetName val="M1-O1-10_5GHz2"/>
      <sheetName val="M1-O1-3_5GHz2"/>
      <sheetName val="M1-O2-10_5GHz2"/>
      <sheetName val="M1-O2-3_5GHz2"/>
      <sheetName val="M2-10_5GHz2"/>
      <sheetName val="M2-3_5GHz_2"/>
      <sheetName val="M1-O1-Acc10_52"/>
      <sheetName val="M1-O1-Acc3_52"/>
      <sheetName val="M1-O2-Acc10_52"/>
      <sheetName val="M1-O2-Acc3_52"/>
      <sheetName val="M2-Acc10_52"/>
      <sheetName val="M2-Acc3_52"/>
      <sheetName val="Summary_Jun-082"/>
      <sheetName val="Excise_Cen_Awailment-Jun-082"/>
      <sheetName val="Cenvat_Awailment-ST2"/>
      <sheetName val="ST_Cenvat_June-082"/>
      <sheetName val="ST_Cenvat_May'08_2"/>
      <sheetName val="PRICE_SUMMARY3"/>
      <sheetName val="M1-O1-10_5GHz3"/>
      <sheetName val="M1-O1-3_5GHz3"/>
      <sheetName val="M1-O2-10_5GHz3"/>
      <sheetName val="M1-O2-3_5GHz3"/>
      <sheetName val="M2-10_5GHz3"/>
      <sheetName val="M2-3_5GHz_3"/>
      <sheetName val="M1-O1-Acc10_53"/>
      <sheetName val="M1-O1-Acc3_53"/>
      <sheetName val="M1-O2-Acc10_53"/>
      <sheetName val="M1-O2-Acc3_53"/>
      <sheetName val="M2-Acc10_53"/>
      <sheetName val="M2-Acc3_53"/>
      <sheetName val="Summary_Jun-083"/>
      <sheetName val="Excise_Cen_Awailment-Jun-083"/>
      <sheetName val="Cenvat_Awailment-ST3"/>
      <sheetName val="ST_Cenvat_June-083"/>
      <sheetName val="ST_Cenvat_May'08_3"/>
      <sheetName val="COMPLEXALL"/>
      <sheetName val="Assumptions"/>
      <sheetName val="CAR-97-98"/>
      <sheetName val="OL"/>
      <sheetName val="exec summ"/>
      <sheetName val="Assump. "/>
      <sheetName val="GlobalVariables"/>
      <sheetName val="Sheet1"/>
      <sheetName val="PRICE_SUMMARY4"/>
      <sheetName val="M1-O1-10_5GHz4"/>
      <sheetName val="M1-O1-3_5GHz4"/>
      <sheetName val="M1-O2-10_5GHz4"/>
      <sheetName val="M1-O2-3_5GHz4"/>
      <sheetName val="M2-10_5GHz4"/>
      <sheetName val="M2-3_5GHz_4"/>
      <sheetName val="M1-O1-Acc10_54"/>
      <sheetName val="M1-O1-Acc3_54"/>
      <sheetName val="M1-O2-Acc10_54"/>
      <sheetName val="M1-O2-Acc3_54"/>
      <sheetName val="M2-Acc10_54"/>
      <sheetName val="M2-Acc3_54"/>
      <sheetName val="Summary_Jun-084"/>
      <sheetName val="Excise_Cen_Awailment-Jun-084"/>
      <sheetName val="Cenvat_Awailment-ST4"/>
      <sheetName val="ST_Cenvat_June-084"/>
      <sheetName val="ST_Cenvat_May'08_4"/>
      <sheetName val="PRICE_SUMMARY5"/>
      <sheetName val="M1-O1-10_5GHz5"/>
      <sheetName val="M1-O1-3_5GHz5"/>
      <sheetName val="M1-O2-10_5GHz5"/>
      <sheetName val="M1-O2-3_5GHz5"/>
      <sheetName val="M2-10_5GHz5"/>
      <sheetName val="M2-3_5GHz_5"/>
      <sheetName val="M1-O1-Acc10_55"/>
      <sheetName val="M1-O1-Acc3_55"/>
      <sheetName val="M1-O2-Acc10_55"/>
      <sheetName val="M1-O2-Acc3_55"/>
      <sheetName val="M2-Acc10_55"/>
      <sheetName val="M2-Acc3_55"/>
      <sheetName val="Summary_Jun-085"/>
      <sheetName val="Excise_Cen_Awailment-Jun-085"/>
      <sheetName val="Cenvat_Awailment-ST5"/>
      <sheetName val="ST_Cenvat_June-085"/>
      <sheetName val="ST_Cenvat_May'08_5"/>
      <sheetName val="PRICE_SUMMARY6"/>
      <sheetName val="M1-O1-10_5GHz6"/>
      <sheetName val="M1-O1-3_5GHz6"/>
      <sheetName val="M1-O2-10_5GHz6"/>
      <sheetName val="M1-O2-3_5GHz6"/>
      <sheetName val="M2-10_5GHz6"/>
      <sheetName val="M2-3_5GHz_6"/>
      <sheetName val="M1-O1-Acc10_56"/>
      <sheetName val="M1-O1-Acc3_56"/>
      <sheetName val="M1-O2-Acc10_56"/>
      <sheetName val="M1-O2-Acc3_56"/>
      <sheetName val="M2-Acc10_56"/>
      <sheetName val="M2-Acc3_56"/>
      <sheetName val="Summary_Jun-086"/>
      <sheetName val="Excise_Cen_Awailment-Jun-086"/>
      <sheetName val="Cenvat_Awailment-ST6"/>
      <sheetName val="ST_Cenvat_June-086"/>
      <sheetName val="ST_Cenvat_May'08_6"/>
      <sheetName val="PRICE_SUMMARY7"/>
      <sheetName val="M1-O1-10_5GHz7"/>
      <sheetName val="M1-O1-3_5GHz7"/>
      <sheetName val="M1-O2-10_5GHz7"/>
      <sheetName val="M1-O2-3_5GHz7"/>
      <sheetName val="M2-10_5GHz7"/>
      <sheetName val="M2-3_5GHz_7"/>
      <sheetName val="M1-O1-Acc10_57"/>
      <sheetName val="M1-O1-Acc3_57"/>
      <sheetName val="M1-O2-Acc10_57"/>
      <sheetName val="M1-O2-Acc3_57"/>
      <sheetName val="M2-Acc10_57"/>
      <sheetName val="M2-Acc3_57"/>
      <sheetName val="Summary_Jun-087"/>
      <sheetName val="Excise_Cen_Awailment-Jun-087"/>
      <sheetName val="Cenvat_Awailment-ST7"/>
      <sheetName val="ST_Cenvat_June-087"/>
      <sheetName val="ST_Cenvat_May'08_7"/>
      <sheetName val="USD Savings"/>
      <sheetName val="HKD Cheque"/>
      <sheetName val="code"/>
      <sheetName val="Offer_22_10_022"/>
      <sheetName val="Unit_-_An_22"/>
      <sheetName val="Factor_-local1"/>
      <sheetName val="Factor-_cables1"/>
      <sheetName val="Offer_22_10_021"/>
      <sheetName val="Unit_-_An_21"/>
      <sheetName val="Factor_-local"/>
      <sheetName val="Factor-_cables"/>
      <sheetName val="Howard Park-Agra-IP format"/>
      <sheetName val="ITC-All locations-IP format"/>
      <sheetName val="Consequences Categories"/>
      <sheetName val="Risk Categorization"/>
      <sheetName val="Cause Categories"/>
      <sheetName val="D-3503"/>
      <sheetName val="EXPENSES"/>
      <sheetName val="SummaryHrs"/>
      <sheetName val="plan&amp;section of foundation"/>
      <sheetName val="working load at the btm ft."/>
      <sheetName val="stability check"/>
      <sheetName val="design load"/>
      <sheetName val="硬件IBM"/>
      <sheetName val="费用_技术资料_备件_培训"/>
      <sheetName val="组网图"/>
      <sheetName val="PRICE_SUMMARY8"/>
      <sheetName val="M1-O1-10_5GHz8"/>
      <sheetName val="M1-O1-3_5GHz8"/>
      <sheetName val="M1-O2-10_5GHz8"/>
      <sheetName val="M1-O2-3_5GHz8"/>
      <sheetName val="M2-10_5GHz8"/>
      <sheetName val="M2-3_5GHz_8"/>
      <sheetName val="M1-O1-Acc10_58"/>
      <sheetName val="M1-O1-Acc3_58"/>
      <sheetName val="M1-O2-Acc10_58"/>
      <sheetName val="M1-O2-Acc3_58"/>
      <sheetName val="M2-Acc10_58"/>
      <sheetName val="M2-Acc3_58"/>
      <sheetName val="Summary_Jun-088"/>
      <sheetName val="Excise_Cen_Awailment-Jun-088"/>
      <sheetName val="Cenvat_Awailment-ST8"/>
      <sheetName val="ST_Cenvat_June-088"/>
      <sheetName val="ST_Cenvat_May'08_8"/>
      <sheetName val="PRICE_SUMMARY9"/>
      <sheetName val="M1-O1-10_5GHz9"/>
      <sheetName val="M1-O1-3_5GHz9"/>
      <sheetName val="M1-O2-10_5GHz9"/>
      <sheetName val="M1-O2-3_5GHz9"/>
      <sheetName val="M2-10_5GHz9"/>
      <sheetName val="M2-3_5GHz_9"/>
      <sheetName val="M1-O1-Acc10_59"/>
      <sheetName val="M1-O1-Acc3_59"/>
      <sheetName val="M1-O2-Acc10_59"/>
      <sheetName val="M1-O2-Acc3_59"/>
      <sheetName val="M2-Acc10_59"/>
      <sheetName val="M2-Acc3_59"/>
      <sheetName val="Summary_Jun-089"/>
      <sheetName val="Excise_Cen_Awailment-Jun-089"/>
      <sheetName val="Cenvat_Awailment-ST9"/>
      <sheetName val="ST_Cenvat_June-089"/>
      <sheetName val="ST_Cenvat_May'08_9"/>
      <sheetName val="10-city_points"/>
      <sheetName val="USD_Savings"/>
      <sheetName val="HKD_Cheque"/>
      <sheetName val="PRICE_SUMMARY10"/>
      <sheetName val="M1-O1-10_5GHz10"/>
      <sheetName val="M1-O1-3_5GHz10"/>
      <sheetName val="M1-O2-10_5GHz10"/>
      <sheetName val="M1-O2-3_5GHz10"/>
      <sheetName val="M2-10_5GHz10"/>
      <sheetName val="M2-3_5GHz_10"/>
      <sheetName val="M1-O1-Acc10_510"/>
      <sheetName val="M1-O1-Acc3_510"/>
      <sheetName val="M1-O2-Acc10_510"/>
      <sheetName val="M1-O2-Acc3_510"/>
      <sheetName val="M2-Acc10_510"/>
      <sheetName val="M2-Acc3_510"/>
      <sheetName val="Summary_Jun-0810"/>
      <sheetName val="Excise_Cen_Awailment-Jun-0810"/>
      <sheetName val="Cenvat_Awailment-ST10"/>
      <sheetName val="ST_Cenvat_June-0810"/>
      <sheetName val="ST_Cenvat_May'08_10"/>
      <sheetName val="10-city_points1"/>
      <sheetName val="USD_Savings1"/>
      <sheetName val="HKD_Cheque1"/>
      <sheetName val="PRICE_SUMMARY11"/>
      <sheetName val="M1-O1-10_5GHz11"/>
      <sheetName val="M1-O1-3_5GHz11"/>
      <sheetName val="M1-O2-10_5GHz11"/>
      <sheetName val="M1-O2-3_5GHz11"/>
      <sheetName val="M2-10_5GHz11"/>
      <sheetName val="M2-3_5GHz_11"/>
      <sheetName val="M1-O1-Acc10_511"/>
      <sheetName val="M1-O1-Acc3_511"/>
      <sheetName val="M1-O2-Acc10_511"/>
      <sheetName val="M1-O2-Acc3_511"/>
      <sheetName val="M2-Acc10_511"/>
      <sheetName val="M2-Acc3_511"/>
      <sheetName val="Summary_Jun-0811"/>
      <sheetName val="Excise_Cen_Awailment-Jun-0811"/>
      <sheetName val="Cenvat_Awailment-ST11"/>
      <sheetName val="ST_Cenvat_June-0811"/>
      <sheetName val="ST_Cenvat_May'08_11"/>
      <sheetName val="10-city_points2"/>
      <sheetName val="USD_Savings2"/>
      <sheetName val="HKD_Cheque2"/>
      <sheetName val="PRICE_SUMMARY12"/>
      <sheetName val="M1-O1-10_5GHz12"/>
      <sheetName val="M1-O1-3_5GHz12"/>
      <sheetName val="M1-O2-10_5GHz12"/>
      <sheetName val="M1-O2-3_5GHz12"/>
      <sheetName val="M2-10_5GHz12"/>
      <sheetName val="M2-3_5GHz_12"/>
      <sheetName val="M1-O1-Acc10_512"/>
      <sheetName val="M1-O1-Acc3_512"/>
      <sheetName val="M1-O2-Acc10_512"/>
      <sheetName val="M1-O2-Acc3_512"/>
      <sheetName val="M2-Acc10_512"/>
      <sheetName val="M2-Acc3_512"/>
      <sheetName val="Summary_Jun-0812"/>
      <sheetName val="Excise_Cen_Awailment-Jun-0812"/>
      <sheetName val="Cenvat_Awailment-ST12"/>
      <sheetName val="ST_Cenvat_June-0812"/>
      <sheetName val="ST_Cenvat_May'08_12"/>
      <sheetName val="10-city_points3"/>
      <sheetName val="USD_Savings3"/>
      <sheetName val="HKD_Cheque3"/>
      <sheetName val="OPERATING HEAD"/>
      <sheetName val="BS"/>
      <sheetName val="KEY INPUTS"/>
      <sheetName val="Offer_22_10_023"/>
      <sheetName val="Unit_-_An_23"/>
      <sheetName val="Factor_-local2"/>
      <sheetName val="Factor-_cables2"/>
      <sheetName val="exec_summ"/>
      <sheetName val="Assump__"/>
      <sheetName val="Howard_Park-Agra-IP_format"/>
      <sheetName val="ITC-All_locations-IP_format"/>
      <sheetName val="Consequences_Categories"/>
      <sheetName val="Risk_Categorization"/>
      <sheetName val="Cause_Categories"/>
      <sheetName val="plan&amp;section_of_foundation"/>
      <sheetName val="working_load_at_the_btm_ft_"/>
      <sheetName val="stability_check"/>
      <sheetName val="design_load"/>
      <sheetName val="Cal"/>
      <sheetName val="Erection grider"/>
      <sheetName val="Voucher"/>
      <sheetName val="Ring Details"/>
      <sheetName val="PIMS"/>
      <sheetName val="SOLUT008"/>
      <sheetName val="BR"/>
      <sheetName val="Outgoing"/>
      <sheetName val="Incoming"/>
      <sheetName val="Inventory"/>
      <sheetName val="Factors_overall"/>
      <sheetName val="Geography Heirarchy"/>
    </sheetNames>
    <sheetDataSet>
      <sheetData sheetId="0"/>
      <sheetData sheetId="1"/>
      <sheetData sheetId="2" refreshError="1">
        <row r="5">
          <cell r="B5">
            <v>1</v>
          </cell>
        </row>
        <row r="14">
          <cell r="B14">
            <v>1.2357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>
        <row r="5">
          <cell r="B5">
            <v>1</v>
          </cell>
        </row>
      </sheetData>
      <sheetData sheetId="30">
        <row r="5">
          <cell r="B5">
            <v>1</v>
          </cell>
        </row>
      </sheetData>
      <sheetData sheetId="31">
        <row r="5">
          <cell r="B5">
            <v>1</v>
          </cell>
        </row>
      </sheetData>
      <sheetData sheetId="32">
        <row r="5">
          <cell r="B5">
            <v>1</v>
          </cell>
        </row>
      </sheetData>
      <sheetData sheetId="33">
        <row r="5">
          <cell r="B5">
            <v>1</v>
          </cell>
        </row>
      </sheetData>
      <sheetData sheetId="34">
        <row r="5">
          <cell r="B5">
            <v>1</v>
          </cell>
        </row>
      </sheetData>
      <sheetData sheetId="35">
        <row r="5">
          <cell r="B5">
            <v>1</v>
          </cell>
        </row>
      </sheetData>
      <sheetData sheetId="36" refreshError="1"/>
      <sheetData sheetId="37" refreshError="1"/>
      <sheetData sheetId="38" refreshError="1"/>
      <sheetData sheetId="39">
        <row r="5">
          <cell r="B5">
            <v>1</v>
          </cell>
        </row>
      </sheetData>
      <sheetData sheetId="40">
        <row r="5">
          <cell r="B5">
            <v>1</v>
          </cell>
        </row>
      </sheetData>
      <sheetData sheetId="41">
        <row r="5">
          <cell r="B5">
            <v>1</v>
          </cell>
        </row>
      </sheetData>
      <sheetData sheetId="42">
        <row r="5">
          <cell r="B5">
            <v>1</v>
          </cell>
        </row>
      </sheetData>
      <sheetData sheetId="43">
        <row r="5">
          <cell r="B5">
            <v>1</v>
          </cell>
        </row>
      </sheetData>
      <sheetData sheetId="44">
        <row r="5">
          <cell r="B5">
            <v>1</v>
          </cell>
        </row>
      </sheetData>
      <sheetData sheetId="45">
        <row r="5">
          <cell r="B5">
            <v>1</v>
          </cell>
        </row>
      </sheetData>
      <sheetData sheetId="46">
        <row r="5">
          <cell r="B5">
            <v>1</v>
          </cell>
        </row>
      </sheetData>
      <sheetData sheetId="47">
        <row r="5">
          <cell r="B5">
            <v>1</v>
          </cell>
        </row>
      </sheetData>
      <sheetData sheetId="48">
        <row r="5">
          <cell r="B5">
            <v>1</v>
          </cell>
        </row>
      </sheetData>
      <sheetData sheetId="49">
        <row r="5">
          <cell r="B5">
            <v>1</v>
          </cell>
        </row>
      </sheetData>
      <sheetData sheetId="50">
        <row r="5">
          <cell r="B5">
            <v>1</v>
          </cell>
        </row>
      </sheetData>
      <sheetData sheetId="51">
        <row r="5">
          <cell r="B5">
            <v>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5">
          <cell r="B5">
            <v>1</v>
          </cell>
        </row>
      </sheetData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rd of Changes"/>
      <sheetName val="Copyright"/>
      <sheetName val="b"/>
      <sheetName val="Instructions"/>
      <sheetName val="Assumptions"/>
      <sheetName val="Supporting Sheet"/>
      <sheetName val="Input"/>
      <sheetName val="TV"/>
      <sheetName val="NOPAT"/>
      <sheetName val="Capital"/>
      <sheetName val="Valuation"/>
      <sheetName val="Dashboard"/>
      <sheetName val="EVA vs FCF Graph"/>
      <sheetName val="IRR"/>
      <sheetName val="Payback"/>
      <sheetName val="Payback Chart"/>
      <sheetName val="Sensitivity-Tornado"/>
      <sheetName val="Scenario Analysis"/>
      <sheetName val="Summary Output"/>
      <sheetName val="Sample Monte Carlo REPORT"/>
      <sheetName val="Depr 1"/>
      <sheetName val="Depr 2"/>
      <sheetName val="Depr 3"/>
      <sheetName val="Depr 4"/>
      <sheetName val="Depr 5"/>
      <sheetName val="Amort"/>
      <sheetName val="Module2"/>
      <sheetName val="Module1"/>
      <sheetName val="Dialog1"/>
      <sheetName val="Module4"/>
      <sheetName val="Chart1"/>
      <sheetName val="Rebuild Option"/>
      <sheetName val="Replace Option"/>
      <sheetName val="Divest Analy"/>
      <sheetName val="Parameters"/>
      <sheetName val="TB9899"/>
      <sheetName val="ANNEX-I(21(B)"/>
      <sheetName val="ANNEX-J(P)"/>
      <sheetName val="ANX-D(16b)"/>
      <sheetName val="HI-TARGE"/>
      <sheetName val="FACTORS"/>
      <sheetName val="Lists"/>
      <sheetName val="inc rec"/>
      <sheetName val="DEP-SCH-V"/>
      <sheetName val="EXIS-COMBINED"/>
      <sheetName val="Selection"/>
      <sheetName val="Record_of_Changes"/>
      <sheetName val="Supporting_Sheet"/>
      <sheetName val="EVA_vs_FCF_Graph"/>
      <sheetName val="Payback_Chart"/>
      <sheetName val="Scenario_Analysis"/>
      <sheetName val="Summary_Output"/>
      <sheetName val="Sample_Monte_Carlo_REPORT"/>
      <sheetName val="Depr_1"/>
      <sheetName val="Depr_2"/>
      <sheetName val="Depr_3"/>
      <sheetName val="Depr_4"/>
      <sheetName val="Depr_5"/>
      <sheetName val="Rebuild_Option"/>
      <sheetName val="Replace_Option"/>
      <sheetName val="Divest_Analy"/>
      <sheetName val="inc_rec"/>
      <sheetName val="Descriptions"/>
      <sheetName val="mapping"/>
      <sheetName val="Sheet2"/>
      <sheetName val="Sheet3"/>
      <sheetName val="Operating_Statistics"/>
      <sheetName val="NOTES"/>
      <sheetName val="FORM-16"/>
      <sheetName val="Company"/>
      <sheetName val="0101_00"/>
      <sheetName val="Inhouse"/>
      <sheetName val="Assume"/>
      <sheetName val="Record_of_Changes2"/>
      <sheetName val="Supporting_Sheet2"/>
      <sheetName val="EVA_vs_FCF_Graph2"/>
      <sheetName val="Payback_Chart2"/>
      <sheetName val="Scenario_Analysis2"/>
      <sheetName val="Summary_Output2"/>
      <sheetName val="Sample_Monte_Carlo_REPORT2"/>
      <sheetName val="Depr_12"/>
      <sheetName val="Depr_22"/>
      <sheetName val="Depr_32"/>
      <sheetName val="Depr_42"/>
      <sheetName val="Depr_52"/>
      <sheetName val="Rebuild_Option2"/>
      <sheetName val="Replace_Option2"/>
      <sheetName val="Divest_Analy2"/>
      <sheetName val="Record_of_Changes1"/>
      <sheetName val="Supporting_Sheet1"/>
      <sheetName val="EVA_vs_FCF_Graph1"/>
      <sheetName val="Payback_Chart1"/>
      <sheetName val="Scenario_Analysis1"/>
      <sheetName val="Summary_Output1"/>
      <sheetName val="Sample_Monte_Carlo_REPORT1"/>
      <sheetName val="Depr_11"/>
      <sheetName val="Depr_21"/>
      <sheetName val="Depr_31"/>
      <sheetName val="Depr_41"/>
      <sheetName val="Depr_51"/>
      <sheetName val="Rebuild_Option1"/>
      <sheetName val="Replace_Option1"/>
      <sheetName val="Divest_Analy1"/>
      <sheetName val="SCB - Annexure A"/>
      <sheetName val="bs-schedule"/>
      <sheetName val="Record_of_Changes3"/>
      <sheetName val="Supporting_Sheet3"/>
      <sheetName val="EVA_vs_FCF_Graph3"/>
      <sheetName val="Payback_Chart3"/>
      <sheetName val="Scenario_Analysis3"/>
      <sheetName val="Summary_Output3"/>
      <sheetName val="Sample_Monte_Carlo_REPORT3"/>
      <sheetName val="Depr_13"/>
      <sheetName val="Depr_23"/>
      <sheetName val="Depr_33"/>
      <sheetName val="Depr_43"/>
      <sheetName val="Depr_53"/>
      <sheetName val="Rebuild_Option3"/>
      <sheetName val="Replace_Option3"/>
      <sheetName val="Divest_Analy3"/>
      <sheetName val="inc_rec1"/>
      <sheetName val="Sch"/>
      <sheetName val="co_tax"/>
      <sheetName val="Groups"/>
      <sheetName val="Bsheet"/>
      <sheetName val="Page 5"/>
      <sheetName val="ORDER"/>
      <sheetName val="SHIPMENT"/>
      <sheetName val="BALANCE SHEET"/>
      <sheetName val="Fin. Proj."/>
      <sheetName val="repaymentsch"/>
      <sheetName val="Sheet1"/>
      <sheetName val="Other"/>
      <sheetName val="mancount"/>
      <sheetName val="PRESFMS"/>
      <sheetName val="License Fees"/>
      <sheetName val="cs"/>
      <sheetName val="Gen Assumptions"/>
      <sheetName val="Paid Syndication Dashboard"/>
      <sheetName val="Weekly Uniques Query"/>
      <sheetName val="GRgmshw"/>
      <sheetName val="CTI"/>
      <sheetName val="Sub Fee Rprt VOP CNBC"/>
      <sheetName val="Mobilephones"/>
    </sheetNames>
    <sheetDataSet>
      <sheetData sheetId="0" refreshError="1"/>
      <sheetData sheetId="1" refreshError="1"/>
      <sheetData sheetId="2" refreshError="1">
        <row r="10">
          <cell r="C10">
            <v>100</v>
          </cell>
        </row>
        <row r="11">
          <cell r="C11" t="b">
            <v>1</v>
          </cell>
        </row>
      </sheetData>
      <sheetData sheetId="3" refreshError="1"/>
      <sheetData sheetId="4" refreshError="1"/>
      <sheetData sheetId="5" refreshError="1"/>
      <sheetData sheetId="6" refreshError="1">
        <row r="10">
          <cell r="C10">
            <v>100</v>
          </cell>
          <cell r="D10">
            <v>110.00000000000001</v>
          </cell>
          <cell r="E10">
            <v>121.00000000000003</v>
          </cell>
          <cell r="F10">
            <v>133.10000000000005</v>
          </cell>
          <cell r="G10">
            <v>137.09300000000005</v>
          </cell>
          <cell r="H10">
            <v>141.20579000000006</v>
          </cell>
          <cell r="I10">
            <v>145.44196370000006</v>
          </cell>
          <cell r="J10">
            <v>145.44196370000006</v>
          </cell>
          <cell r="K10">
            <v>145.44196370000006</v>
          </cell>
          <cell r="L10">
            <v>145.44196370000006</v>
          </cell>
        </row>
        <row r="11">
          <cell r="C11" t="b">
            <v>1</v>
          </cell>
        </row>
        <row r="32">
          <cell r="C32">
            <v>10</v>
          </cell>
          <cell r="D32">
            <v>11.000000000000002</v>
          </cell>
          <cell r="E32">
            <v>12.100000000000003</v>
          </cell>
          <cell r="F32">
            <v>13.310000000000006</v>
          </cell>
          <cell r="G32">
            <v>13.709300000000006</v>
          </cell>
          <cell r="H32">
            <v>14.120579000000006</v>
          </cell>
          <cell r="I32">
            <v>14.544196370000007</v>
          </cell>
          <cell r="J32">
            <v>14.544196370000007</v>
          </cell>
          <cell r="K32">
            <v>14.544196370000007</v>
          </cell>
          <cell r="L32">
            <v>14.544196370000007</v>
          </cell>
        </row>
        <row r="33">
          <cell r="C33">
            <v>30</v>
          </cell>
          <cell r="D33">
            <v>31.5</v>
          </cell>
          <cell r="E33">
            <v>33.075000000000003</v>
          </cell>
          <cell r="F33">
            <v>34.728750000000005</v>
          </cell>
          <cell r="G33">
            <v>36.465187500000006</v>
          </cell>
          <cell r="H33">
            <v>38.288446875000005</v>
          </cell>
          <cell r="I33">
            <v>40.20286921875001</v>
          </cell>
          <cell r="J33">
            <v>42.213012679687509</v>
          </cell>
          <cell r="K33">
            <v>44.323663313671886</v>
          </cell>
          <cell r="L33">
            <v>46.539846479355482</v>
          </cell>
        </row>
        <row r="34">
          <cell r="C34">
            <v>50</v>
          </cell>
          <cell r="D34">
            <v>51.5</v>
          </cell>
          <cell r="E34">
            <v>53.045000000000002</v>
          </cell>
          <cell r="F34">
            <v>54.63635</v>
          </cell>
          <cell r="G34">
            <v>56.275440500000002</v>
          </cell>
          <cell r="H34">
            <v>57.963703715000001</v>
          </cell>
          <cell r="I34">
            <v>59.702614826450002</v>
          </cell>
          <cell r="J34">
            <v>61.493693271243501</v>
          </cell>
          <cell r="K34">
            <v>63.338504069380811</v>
          </cell>
          <cell r="L34">
            <v>65.238659191462233</v>
          </cell>
        </row>
        <row r="57">
          <cell r="C57">
            <v>1.5924999999999991</v>
          </cell>
          <cell r="D57">
            <v>3.152500000000003</v>
          </cell>
          <cell r="E57">
            <v>4.9153000000000029</v>
          </cell>
          <cell r="F57">
            <v>6.9029740000000128</v>
          </cell>
          <cell r="G57">
            <v>6.9596987200000076</v>
          </cell>
          <cell r="H57">
            <v>6.1922623732666784</v>
          </cell>
          <cell r="I57">
            <v>6.2336603207146775</v>
          </cell>
          <cell r="J57">
            <v>5.2453426252246178</v>
          </cell>
          <cell r="K57">
            <v>4.7044226528729771</v>
          </cell>
          <cell r="L57">
            <v>3.6341746980540726</v>
          </cell>
        </row>
        <row r="66">
          <cell r="B66">
            <v>15</v>
          </cell>
          <cell r="G66">
            <v>10</v>
          </cell>
        </row>
        <row r="67">
          <cell r="B67">
            <v>15</v>
          </cell>
        </row>
        <row r="75">
          <cell r="B75">
            <v>10</v>
          </cell>
          <cell r="G75">
            <v>6</v>
          </cell>
        </row>
        <row r="76">
          <cell r="B76">
            <v>10</v>
          </cell>
        </row>
        <row r="84">
          <cell r="B84">
            <v>15</v>
          </cell>
          <cell r="G84">
            <v>15</v>
          </cell>
        </row>
        <row r="85">
          <cell r="B85">
            <v>8</v>
          </cell>
        </row>
        <row r="123">
          <cell r="B123">
            <v>10</v>
          </cell>
        </row>
        <row r="124">
          <cell r="B124">
            <v>5</v>
          </cell>
        </row>
        <row r="132">
          <cell r="B132">
            <v>5</v>
          </cell>
          <cell r="C132">
            <v>10</v>
          </cell>
          <cell r="D132">
            <v>11.000000000000002</v>
          </cell>
          <cell r="E132">
            <v>12.100000000000003</v>
          </cell>
          <cell r="F132">
            <v>13.310000000000006</v>
          </cell>
          <cell r="G132">
            <v>13.709300000000006</v>
          </cell>
          <cell r="H132">
            <v>14.120579000000006</v>
          </cell>
          <cell r="I132">
            <v>14.544196370000007</v>
          </cell>
          <cell r="J132">
            <v>14.544196370000007</v>
          </cell>
          <cell r="K132">
            <v>14.544196370000007</v>
          </cell>
          <cell r="L132">
            <v>14.544196370000007</v>
          </cell>
        </row>
        <row r="133">
          <cell r="B133">
            <v>5</v>
          </cell>
          <cell r="C133">
            <v>1</v>
          </cell>
          <cell r="D133">
            <v>1.1000000000000003</v>
          </cell>
          <cell r="E133">
            <v>1.2100000000000004</v>
          </cell>
          <cell r="F133">
            <v>1.3310000000000006</v>
          </cell>
          <cell r="G133">
            <v>1.3709300000000006</v>
          </cell>
          <cell r="H133">
            <v>1.4120579000000006</v>
          </cell>
          <cell r="I133">
            <v>1.4544196370000009</v>
          </cell>
          <cell r="J133">
            <v>1.4544196370000009</v>
          </cell>
          <cell r="K133">
            <v>1.4544196370000009</v>
          </cell>
          <cell r="L133">
            <v>1.4544196370000009</v>
          </cell>
        </row>
        <row r="139">
          <cell r="C139">
            <v>0.82191780821917804</v>
          </cell>
          <cell r="D139">
            <v>0.90410958904109595</v>
          </cell>
          <cell r="E139">
            <v>0.99452054794520572</v>
          </cell>
          <cell r="F139">
            <v>1.0939726027397265</v>
          </cell>
          <cell r="G139">
            <v>1.1267917808219183</v>
          </cell>
          <cell r="H139">
            <v>1.1605955342465759</v>
          </cell>
          <cell r="I139">
            <v>1.1954134002739731</v>
          </cell>
          <cell r="J139">
            <v>1.1954134002739731</v>
          </cell>
          <cell r="K139">
            <v>1.1954134002739731</v>
          </cell>
          <cell r="L139">
            <v>1.1954134002739731</v>
          </cell>
        </row>
        <row r="162">
          <cell r="B162" t="b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Debt Scheduling"/>
      <sheetName val="Sensitivity"/>
      <sheetName val="interest "/>
      <sheetName val="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CG 50% 2010-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 Info"/>
      <sheetName val="Sheet1"/>
      <sheetName val="MPR Summ"/>
      <sheetName val="MPR Cons"/>
      <sheetName val="CPGA"/>
      <sheetName val="Channel Wise Subs"/>
      <sheetName val="False"/>
      <sheetName val="Financial Position (C)"/>
      <sheetName val="Capex Details"/>
      <sheetName val="Profit &amp; Loss Account (C)"/>
      <sheetName val="Fixed License-Entry Fee"/>
      <sheetName val="Investment"/>
      <sheetName val="Deposit"/>
      <sheetName val="Advances"/>
      <sheetName val="Other CA"/>
      <sheetName val="Cash &amp; Bank Balance"/>
      <sheetName val="Inventories"/>
      <sheetName val="Debtors"/>
      <sheetName val="Roaming  Debtors"/>
      <sheetName val="Borrowings"/>
      <sheetName val="Creditors"/>
      <sheetName val="Sub Dep"/>
      <sheetName val="Revenue Statement (C)"/>
      <sheetName val="Engineering Expenses (C)"/>
      <sheetName val="Customer Servicing Expenses (C)"/>
      <sheetName val="Marketing Expenses (C)"/>
      <sheetName val="General &amp; Admin Expenses (C)"/>
      <sheetName val="Interest &amp; Fin Expenses (C)"/>
      <sheetName val="MPR SUMM (M)"/>
      <sheetName val="MPR Maha"/>
      <sheetName val="False M"/>
      <sheetName val="Capex (M)"/>
      <sheetName val="Financial Position"/>
      <sheetName val="Profit &amp; Loss Account"/>
      <sheetName val="Revenue Statement"/>
      <sheetName val="Engineering Expenses"/>
      <sheetName val="Customer Servicing Expenses"/>
      <sheetName val="Marketing Expenses"/>
      <sheetName val="General &amp; Admin Expenses"/>
      <sheetName val="Interest &amp; Financing Expenses"/>
      <sheetName val="MPR Summ (G)"/>
      <sheetName val="MPR GUJ"/>
      <sheetName val="False G"/>
      <sheetName val="Financial Position (2)"/>
      <sheetName val="Capex Guj"/>
      <sheetName val="Profit &amp; Loss Account (G)"/>
      <sheetName val="Revenue Statement (G)"/>
      <sheetName val="Engineering Expenses (G)"/>
      <sheetName val="Customer Servicing Expenses (G)"/>
      <sheetName val="Marketing Expenses (G)"/>
      <sheetName val="General &amp; Admin Expenses (G)"/>
      <sheetName val="Interest &amp; Fin Expenses (G)"/>
      <sheetName val="ARPU Statement"/>
      <sheetName val="Sheet2"/>
      <sheetName val="Sheet3"/>
      <sheetName val="Inc_st"/>
      <sheetName val="Input"/>
      <sheetName val="b"/>
      <sheetName val="fco"/>
      <sheetName val="FACTORS"/>
      <sheetName val="INI"/>
      <sheetName val="Assumptions"/>
      <sheetName val="Output"/>
      <sheetName val="Sheet4"/>
      <sheetName val="AC1"/>
      <sheetName val="O1"/>
      <sheetName val="Information"/>
    </sheetNames>
    <sheetDataSet>
      <sheetData sheetId="0" refreshError="1"/>
      <sheetData sheetId="1" refreshError="1">
        <row r="4">
          <cell r="B4">
            <v>36831</v>
          </cell>
        </row>
        <row r="10">
          <cell r="A10" t="str">
            <v>Million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(R)"/>
      <sheetName val="07-10"/>
      <sheetName val="Store Details FY08"/>
      <sheetName val="Sheet3"/>
      <sheetName val="Move (R)"/>
      <sheetName val="Jun07"/>
      <sheetName val="Exp"/>
      <sheetName val="MPBF"/>
      <sheetName val="Mov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C-Insulation_Volume"/>
    </sheetNames>
    <sheetDataSet>
      <sheetData sheetId="0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A SBI Change"/>
      <sheetName val="Sensitivity"/>
      <sheetName val="Input"/>
      <sheetName val="Depreciation"/>
      <sheetName val="Tax"/>
      <sheetName val="Repayment"/>
      <sheetName val="CERC_FC"/>
      <sheetName val="CERC_VC"/>
      <sheetName val="APERC_VC"/>
      <sheetName val="APERC_FC"/>
      <sheetName val="IM"/>
      <sheetName val="Revenue"/>
      <sheetName val="BS"/>
      <sheetName val="P&amp;L"/>
      <sheetName val="CF"/>
      <sheetName val="CMA"/>
      <sheetName val="Equity IRR"/>
      <sheetName val="Project IRR"/>
      <sheetName val="Sheet1"/>
      <sheetName val="LLMS"/>
      <sheetName val="Sheet2"/>
    </sheetNames>
    <sheetDataSet>
      <sheetData sheetId="0" refreshError="1"/>
      <sheetData sheetId="1" refreshError="1"/>
      <sheetData sheetId="2">
        <row r="8">
          <cell r="J8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4">
          <cell r="I14">
            <v>1153.8273699730714</v>
          </cell>
        </row>
      </sheetData>
      <sheetData sheetId="13"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</sheetData>
      <sheetData sheetId="14">
        <row r="8">
          <cell r="I8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43">
          <cell r="D43">
            <v>0</v>
          </cell>
        </row>
        <row r="46">
          <cell r="D46">
            <v>0</v>
          </cell>
        </row>
      </sheetData>
      <sheetData sheetId="15">
        <row r="93">
          <cell r="I93">
            <v>689.12</v>
          </cell>
        </row>
      </sheetData>
      <sheetData sheetId="16" refreshError="1"/>
      <sheetData sheetId="17">
        <row r="3">
          <cell r="I3">
            <v>42825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.1 "/>
      <sheetName val="A 2.1 PY"/>
      <sheetName val="A 2.1 CY"/>
      <sheetName val="A 2.1 EY"/>
      <sheetName val="A 2.2"/>
      <sheetName val="A 2.3"/>
      <sheetName val="Power Pur 3.1 (PY)"/>
      <sheetName val="Power Pur 3.1 (CY)"/>
      <sheetName val="Power Pur 3.1 (EY)"/>
      <sheetName val="A 3.2"/>
      <sheetName val="A 3.3 PY"/>
      <sheetName val="A 3.3 CY"/>
      <sheetName val="A 3.3 EY"/>
      <sheetName val="A 3.4"/>
      <sheetName val="A 3.5"/>
      <sheetName val="A 3.6 (PY)"/>
      <sheetName val="A 3.6 (CY)"/>
      <sheetName val="A 3.6 (EY)"/>
      <sheetName val="A 3.7"/>
      <sheetName val="A 3.8"/>
      <sheetName val="A 3.9"/>
      <sheetName val="A 3.10 "/>
      <sheetName val="A-5.1(PY)"/>
      <sheetName val="A-5.1(CY) "/>
      <sheetName val="A-5.1(EY)"/>
      <sheetName val="A-5.2(PY)"/>
      <sheetName val="A-5.2(CY)"/>
      <sheetName val="A-5.2(EY)"/>
      <sheetName val="A -5.3"/>
      <sheetName val="form 6.1 (PY) Gen"/>
      <sheetName val="form 6.1(PY)T&amp;D "/>
      <sheetName val="form 6.1 (CY) Gen"/>
      <sheetName val="form 6.1(CY) T&amp;D"/>
      <sheetName val="form 6.1 (EY) Gen "/>
      <sheetName val="form 6.1(EY) T&amp;D"/>
      <sheetName val="A 7.1"/>
      <sheetName val="A 7.2"/>
      <sheetName val="A 7.3"/>
      <sheetName val="A 7.4"/>
      <sheetName val="A 8.1"/>
      <sheetName val="A 8.2"/>
      <sheetName val="A 8.3"/>
      <sheetName val="A 8.4"/>
      <sheetName val="A 8.5"/>
      <sheetName val="A 8.6"/>
      <sheetName val="A 8.7"/>
      <sheetName val="A 8.8"/>
      <sheetName val="A 8.9"/>
      <sheetName val="A 8.10"/>
      <sheetName val="8.11 PY"/>
      <sheetName val="8.11 CY"/>
      <sheetName val="8.11 EY"/>
      <sheetName val="A-10.1"/>
      <sheetName val="A 10.2 (A)"/>
      <sheetName val="A 10.2 B"/>
      <sheetName val="A 10.2 C"/>
      <sheetName val="A 10.2 D"/>
      <sheetName val="A 10.3"/>
      <sheetName val="A 10.4"/>
      <sheetName val="Rev Calculation"/>
      <sheetName val="A 9.1"/>
      <sheetName val="dpc cost"/>
      <sheetName val="SUMMERY"/>
      <sheetName val="A 3_7"/>
      <sheetName val="form_x0000__x0000__x0000__x0000__x0000__x0000__x0000__x0000__x0000__x0000__x0000__x0000__x0000_"/>
      <sheetName val=""/>
      <sheetName val="form"/>
      <sheetName val="A-1_1_"/>
      <sheetName val="A_2_1_PY"/>
      <sheetName val="A_2_1_CY"/>
      <sheetName val="A_2_1_EY"/>
      <sheetName val="A_2_2"/>
      <sheetName val="A_2_3"/>
      <sheetName val="Power_Pur_3_1_(PY)"/>
      <sheetName val="Power_Pur_3_1_(CY)"/>
      <sheetName val="Power_Pur_3_1_(EY)"/>
      <sheetName val="A_3_2"/>
      <sheetName val="A_3_3_PY"/>
      <sheetName val="A_3_3_CY"/>
      <sheetName val="A_3_3_EY"/>
      <sheetName val="A_3_4"/>
      <sheetName val="A_3_5"/>
      <sheetName val="A_3_6_(PY)"/>
      <sheetName val="A_3_6_(CY)"/>
      <sheetName val="A_3_6_(EY)"/>
      <sheetName val="A_3_7"/>
      <sheetName val="A_3_8"/>
      <sheetName val="A_3_9"/>
      <sheetName val="A_3_10_"/>
      <sheetName val="A-5_1(PY)"/>
      <sheetName val="A-5_1(CY)_"/>
      <sheetName val="A-5_1(EY)"/>
      <sheetName val="A-5_2(PY)"/>
      <sheetName val="A-5_2(CY)"/>
      <sheetName val="A-5_2(EY)"/>
      <sheetName val="A_-5_3"/>
      <sheetName val="form_6_1_(PY)_Gen"/>
      <sheetName val="form_6_1(PY)T&amp;D_"/>
      <sheetName val="form_6_1_(CY)_Gen"/>
      <sheetName val="form_6_1(CY)_T&amp;D"/>
      <sheetName val="form_6_1_(EY)_Gen_"/>
      <sheetName val="form_6_1(EY)_T&amp;D"/>
      <sheetName val="A_7_1"/>
      <sheetName val="A_7_2"/>
      <sheetName val="A_7_3"/>
      <sheetName val="A_7_4"/>
      <sheetName val="A_8_1"/>
      <sheetName val="A_8_2"/>
      <sheetName val="A_8_3"/>
      <sheetName val="A_8_4"/>
      <sheetName val="A_8_5"/>
      <sheetName val="A_8_6"/>
      <sheetName val="A_8_7"/>
      <sheetName val="A_8_8"/>
      <sheetName val="A_8_9"/>
      <sheetName val="A_8_10"/>
      <sheetName val="8_11_PY"/>
      <sheetName val="8_11_CY"/>
      <sheetName val="8_11_EY"/>
      <sheetName val="A-10_1"/>
      <sheetName val="A_10_2_(A)"/>
      <sheetName val="A_10_2_B"/>
      <sheetName val="A_10_2_C"/>
      <sheetName val="A_10_2_D"/>
      <sheetName val="A_10_3"/>
      <sheetName val="A_10_4"/>
      <sheetName val="Rev_Calculation"/>
      <sheetName val="A_9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5">
          <cell r="G35">
            <v>64254.226096970044</v>
          </cell>
          <cell r="H35">
            <v>59093.238057586968</v>
          </cell>
          <cell r="I35">
            <v>63490.540060935658</v>
          </cell>
        </row>
        <row r="44">
          <cell r="G44">
            <v>24259.407938726315</v>
          </cell>
          <cell r="H44">
            <v>16526.511773419461</v>
          </cell>
          <cell r="I44">
            <v>17654.636270525258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"/>
      <sheetName val="trial balance"/>
      <sheetName val="Sheet(2)"/>
      <sheetName val="notes"/>
      <sheetName val="itcomp"/>
      <sheetName val="itdep"/>
      <sheetName val="ANNX1"/>
      <sheetName val="ANNX2"/>
      <sheetName val="ANNX3 "/>
      <sheetName val="ANNX4 "/>
      <sheetName val="ANNX5"/>
      <sheetName val="ANNX6 "/>
      <sheetName val="ANNX7"/>
      <sheetName val="ANNX8"/>
      <sheetName val="ANNX9"/>
      <sheetName val="10ccac"/>
      <sheetName val="TB9798"/>
      <sheetName val="BS"/>
      <sheetName val="it"/>
      <sheetName val="1tdep"/>
      <sheetName val="ann1"/>
      <sheetName val="ann2"/>
      <sheetName val="ann3"/>
      <sheetName val="ann4"/>
      <sheetName val="ann5"/>
      <sheetName val="ann6"/>
      <sheetName val="ann7"/>
      <sheetName val="ann8"/>
      <sheetName val="Cash"/>
      <sheetName val="Sales Inv"/>
      <sheetName val="adp-budget"/>
      <sheetName val="Rates"/>
      <sheetName val="FINAL"/>
      <sheetName val="trial (2)"/>
      <sheetName val="OKS Data"/>
      <sheetName val="Don't Delete"/>
      <sheetName val="IncomeStatement - ALL"/>
      <sheetName val="UNIT-II"/>
      <sheetName val="Variables"/>
      <sheetName val="Sheet1"/>
      <sheetName val="STREET ESTIMATES"/>
      <sheetName val="License Summary Q2"/>
      <sheetName val="Input - 2000 Core Actual"/>
      <sheetName val="Assump"/>
      <sheetName val="China"/>
      <sheetName val="Plant &amp; Mach"/>
      <sheetName val="#REF"/>
      <sheetName val="P&amp;L(ignore)"/>
      <sheetName val="EXPENSES"/>
      <sheetName val="dividendos"/>
      <sheetName val="India Mapping"/>
      <sheetName val="BS Schdl- 1 &amp; 2"/>
      <sheetName val="Data Entry-1"/>
      <sheetName val="Data Entry-2 "/>
      <sheetName val="Lists"/>
      <sheetName val="Summary"/>
      <sheetName val="Balance Sheet "/>
      <sheetName val="Schaefer(B) 9798"/>
      <sheetName val="HIGMAN9798"/>
      <sheetName val="Higman(B)9798"/>
      <sheetName val="SCHAEFER9798"/>
      <sheetName val="SCHULMEYER9798"/>
      <sheetName val="Schulmeyer(B)9798"/>
      <sheetName val="SMITH9798"/>
      <sheetName val="Smith(B)9798"/>
      <sheetName val="Allowances"/>
      <sheetName val="_x0000_"/>
      <sheetName val="P&amp;L"/>
      <sheetName val="SCH-A,B,C"/>
      <sheetName val="Input"/>
      <sheetName val="BS Schedules"/>
      <sheetName val="Masters"/>
      <sheetName val="Customize Your Purchase Order"/>
      <sheetName val="Dep"/>
      <sheetName val="Balance SheetLinks"/>
      <sheetName val="INV"/>
      <sheetName val="BS-203"/>
      <sheetName val="IT_DDTP"/>
      <sheetName val="BLANSHT"/>
      <sheetName val="BS98"/>
      <sheetName val="Parameters"/>
      <sheetName val="pack pnl-99"/>
      <sheetName val="Comp"/>
      <sheetName val="DSM checkbook"/>
      <sheetName val="TAX INCOME"/>
      <sheetName val="Tools Rev"/>
      <sheetName val="trial_balance"/>
      <sheetName val="ANNX3_"/>
      <sheetName val="ANNX4_"/>
      <sheetName val="ANNX6_"/>
      <sheetName val="BS_Schedules"/>
      <sheetName val="trial_(2)"/>
      <sheetName val="Customize_Your_Purchase_Order"/>
      <sheetName val="trial_balance1"/>
      <sheetName val="ANNX3_1"/>
      <sheetName val="ANNX4_1"/>
      <sheetName val="ANNX6_1"/>
      <sheetName val="BS_Schedules1"/>
      <sheetName val="trial_(2)1"/>
      <sheetName val="Customize_Your_Purchase_Order1"/>
      <sheetName val="JUN 06 PAY REGISTER"/>
      <sheetName val="SCH-E,F,G,H,I"/>
      <sheetName val="P&amp;L Schedules"/>
      <sheetName val="DrillDownMacros"/>
      <sheetName val="Jan resp"/>
      <sheetName val="Intl S&amp;M"/>
      <sheetName val="Marketing"/>
      <sheetName val="Operations"/>
      <sheetName val="Product Mgmt"/>
      <sheetName val="Production"/>
      <sheetName val="R&amp;D"/>
      <sheetName val="Sales"/>
      <sheetName val="Lookup"/>
      <sheetName val="Test Equip"/>
      <sheetName val="ttam-ELP"/>
      <sheetName val="Groupings 2004"/>
      <sheetName val="pack_pnl-99"/>
      <sheetName val="Balance_SheetLinks"/>
      <sheetName val="Letter"/>
      <sheetName val="Consolidated"/>
      <sheetName val="Income Statement"/>
      <sheetName val="Ann.II"/>
      <sheetName val="Table for Template"/>
      <sheetName val="COVER"/>
      <sheetName val="STB4"/>
      <sheetName val="Preisliste"/>
      <sheetName val="XLR_NoRangeSheet"/>
      <sheetName val="wdr bldg"/>
      <sheetName val="FA-LISTING"/>
      <sheetName val="Sheet3"/>
      <sheetName val="pay Register"/>
      <sheetName val="Simulator Detail"/>
      <sheetName val="pukhraj (HUF)"/>
      <sheetName val="pack_pnl-991"/>
      <sheetName val="Balance_SheetLinks1"/>
      <sheetName val="Schedules"/>
      <sheetName val="Intermediary"/>
      <sheetName val="OPEX_VC"/>
      <sheetName val="TPM"/>
      <sheetName val="Form"/>
      <sheetName val="Challan"/>
      <sheetName val="TBAL9697 -group wise  sdpl"/>
      <sheetName val="A"/>
      <sheetName val="B"/>
      <sheetName val="Income Tax Indexation"/>
      <sheetName val="2010 FTE Summary"/>
      <sheetName val="OneSource Data"/>
      <sheetName val="OneSource Data (2)"/>
      <sheetName val="EAW Final Accounts - 99"/>
      <sheetName val="FA Register"/>
      <sheetName val="Yr. Print"/>
      <sheetName val="Model"/>
      <sheetName val="List Box"/>
      <sheetName val="Tax Computation"/>
      <sheetName val="InvoiceList"/>
      <sheetName val="Interest on Loan from Director"/>
      <sheetName val="Initialisation"/>
      <sheetName val="Grpng Dtls"/>
      <sheetName val="IPO returns"/>
      <sheetName val="Annx 8 Pg 1  Rev-Annexure (UL)"/>
      <sheetName val="Payroll_Statement"/>
      <sheetName val="234B&amp;C"/>
      <sheetName val="Total DTH Forecast"/>
      <sheetName val="Total Distribution Forecast"/>
      <sheetName val="STI"/>
      <sheetName val="CAS"/>
      <sheetName val="3CD"/>
      <sheetName val="Don't_Delete"/>
      <sheetName val="STREET_ESTIMATES"/>
      <sheetName val="License_Summary_Q2"/>
      <sheetName val="Input_-_2000_Core_Actual"/>
      <sheetName val="OKS_Data"/>
      <sheetName val="IncomeStatement_-_ALL"/>
      <sheetName val="Balance_Sheet_"/>
      <sheetName val="Schaefer(B)_9798"/>
      <sheetName val=""/>
      <sheetName val="TAX_INCOME"/>
      <sheetName val="M_Maincomp"/>
      <sheetName val="M-1 Nov"/>
      <sheetName val="K2"/>
      <sheetName val="Med Reimb."/>
      <sheetName val="Tools_Rev"/>
      <sheetName val="Groupings_2004"/>
      <sheetName val="P&amp;L_Schedules"/>
      <sheetName val="Jan_resp"/>
      <sheetName val="Intl_S&amp;M"/>
      <sheetName val="Product_Mgmt"/>
      <sheetName val="Test_Equip"/>
      <sheetName val="Ann_II"/>
      <sheetName val="Income_Statement"/>
      <sheetName val="Sing Comp"/>
      <sheetName val="Charts"/>
      <sheetName val="Audit"/>
      <sheetName val="trial_balance2"/>
      <sheetName val="ANNX3_2"/>
      <sheetName val="ANNX4_2"/>
      <sheetName val="ANNX6_2"/>
      <sheetName val="trial_balance3"/>
      <sheetName val="ANNX3_3"/>
      <sheetName val="ANNX4_3"/>
      <sheetName val="ANNX6_3"/>
      <sheetName val="trial_balance4"/>
      <sheetName val="ANNX3_4"/>
      <sheetName val="ANNX4_4"/>
      <sheetName val="ANNX6_4"/>
      <sheetName val="ICB"/>
      <sheetName val="trial_balance5"/>
      <sheetName val="ANNX3_5"/>
      <sheetName val="ANNX4_5"/>
      <sheetName val="ANNX6_5"/>
      <sheetName val="Customize_Your_Purchase_Order2"/>
      <sheetName val="Oct 2007 Moeller data"/>
      <sheetName val="CRITERIAS"/>
      <sheetName val="Master LOV"/>
      <sheetName val="HBI NCD"/>
      <sheetName val="Summary Output"/>
      <sheetName val="?"/>
      <sheetName val="_x005f_x0000_"/>
      <sheetName val="CashFlow"/>
      <sheetName val="Sales TBU"/>
      <sheetName val="Input Acq Firm"/>
      <sheetName val="Input Combined Firm"/>
      <sheetName val="cif imports 02-03"/>
      <sheetName val="TB Jan-DEC97"/>
      <sheetName val="BS&amp;PL_97"/>
      <sheetName val="Details"/>
      <sheetName val="Medical"/>
      <sheetName val="Mar-06"/>
      <sheetName val="Sydney"/>
      <sheetName val="Jul-05"/>
      <sheetName val="Ann -1"/>
      <sheetName val="Bal_Gr"/>
      <sheetName val="IOControl"/>
      <sheetName val="ROW"/>
      <sheetName val="France"/>
      <sheetName val="UK"/>
      <sheetName val="LOM_MOD"/>
      <sheetName val="Ann.VI.2"/>
      <sheetName val="OH rate"/>
      <sheetName val="Dept Lookup"/>
      <sheetName val="X-charge IN"/>
      <sheetName val="IO LIST"/>
      <sheetName val="IPAS"/>
      <sheetName val="Validation Lists"/>
      <sheetName val="Corporate"/>
      <sheetName val="COF"/>
      <sheetName val="URD-s"/>
      <sheetName val="Jul 96 Worksheet"/>
      <sheetName val="Inputs"/>
      <sheetName val="Income Statement - Trending"/>
      <sheetName val="DSM_checkbook"/>
      <sheetName val="pay_Register"/>
      <sheetName val="Simulator_Detail"/>
      <sheetName val="BS_Schdl-_1_&amp;_2"/>
      <sheetName val="wdr_bldg"/>
      <sheetName val="Table_for_Template"/>
      <sheetName val="Data Elements-Exp Driv &amp; Assump"/>
      <sheetName val="Data Elements-Staffing"/>
      <sheetName val="Assmp"/>
      <sheetName val="MasterData"/>
      <sheetName val="ODEP"/>
      <sheetName val="RM stock"/>
      <sheetName val="Bsheet"/>
      <sheetName val="FG QTY"/>
      <sheetName val="Avg Rate"/>
      <sheetName val="Control"/>
      <sheetName val="Input _EAST"/>
      <sheetName val="Input_TOTAL"/>
      <sheetName val="IT_Report"/>
      <sheetName val="20.0"/>
      <sheetName val="100.1"/>
      <sheetName val="03.0"/>
      <sheetName val="Companycode"/>
      <sheetName val="IC"/>
      <sheetName val="P&amp;L Input Sheet"/>
      <sheetName val="Sale 30-4-2006"/>
      <sheetName val="Instructions"/>
      <sheetName val="Unmatched"/>
      <sheetName val="Matched"/>
      <sheetName val="directors"/>
      <sheetName val="전체실적"/>
      <sheetName val="TB (2)"/>
      <sheetName val="trial_balance6"/>
      <sheetName val="ANNX3_6"/>
      <sheetName val="ANNX4_6"/>
      <sheetName val="ANNX6_6"/>
      <sheetName val="trial_(2)2"/>
      <sheetName val="pack_pnl-992"/>
      <sheetName val="BS_Schedules2"/>
      <sheetName val="Customize_Your_Purchase_Order3"/>
      <sheetName val="Balance_SheetLinks2"/>
      <sheetName val="Balance_Sheet_1"/>
      <sheetName val="Don't_Delete1"/>
      <sheetName val="TAX_INCOME1"/>
      <sheetName val="Tools_Rev1"/>
      <sheetName val="2010_FTE_Summary"/>
      <sheetName val="OKS_Data1"/>
      <sheetName val="STREET_ESTIMATES1"/>
      <sheetName val="License_Summary_Q21"/>
      <sheetName val="Input_-_2000_Core_Actual1"/>
      <sheetName val="IncomeStatement_-_ALL1"/>
      <sheetName val="Grpng_Dtls"/>
      <sheetName val="TBAL9697_-group_wise__sdpl"/>
      <sheetName val="Tax_Computation"/>
      <sheetName val="Interest_on_Loan_from_Director"/>
      <sheetName val="Income_Tax_Indexation"/>
      <sheetName val="JUN_06_PAY_REGISTER"/>
      <sheetName val="Schaefer(B)_97981"/>
      <sheetName val="Annx_8_Pg_1__Rev-Annexure_(UL)"/>
      <sheetName val="OneSource_Data"/>
      <sheetName val="OneSource_Data_(2)"/>
      <sheetName val="EAW_Final_Accounts_-_99"/>
      <sheetName val="M-1_Nov"/>
      <sheetName val="Master_LOV"/>
      <sheetName val="Plant_&amp;_Mach"/>
      <sheetName val="India_Mapping"/>
      <sheetName val="Data_Entry-1"/>
      <sheetName val="Data_Entry-2_"/>
      <sheetName val="Input_Acq_Firm"/>
      <sheetName val="Input_Combined_Firm"/>
      <sheetName val="TB_Jan-DEC97"/>
      <sheetName val="Sales_TBU"/>
      <sheetName val="Ann_-1"/>
      <sheetName val="pukhraj_(HUF)"/>
      <sheetName val="Total_DTH_Forecast"/>
      <sheetName val="Total_Distribution_Forecast"/>
      <sheetName val="TB_(2)"/>
      <sheetName val="Service Income"/>
      <sheetName val="cif_imports_02-03"/>
      <sheetName val="Capital advances"/>
    </sheetNames>
    <sheetDataSet>
      <sheetData sheetId="0" refreshError="1">
        <row r="2">
          <cell r="A2" t="str">
            <v>SCHEDULE:5</v>
          </cell>
        </row>
        <row r="3">
          <cell r="A3" t="str">
            <v>FIXED ASSETS</v>
          </cell>
        </row>
        <row r="4">
          <cell r="L4" t="str">
            <v>(in rupees)</v>
          </cell>
        </row>
        <row r="5">
          <cell r="D5" t="str">
            <v xml:space="preserve">   G R O S S  B L O C K</v>
          </cell>
          <cell r="H5" t="str">
            <v xml:space="preserve">  D E P R E C I A T I O N</v>
          </cell>
          <cell r="K5" t="str">
            <v xml:space="preserve">     N E T  B L O C K</v>
          </cell>
        </row>
        <row r="6">
          <cell r="A6" t="str">
            <v>SL.</v>
          </cell>
          <cell r="B6" t="str">
            <v>DESCRIPTION</v>
          </cell>
          <cell r="C6" t="str">
            <v>Cost as at</v>
          </cell>
          <cell r="D6" t="str">
            <v>Additions</v>
          </cell>
          <cell r="E6" t="str">
            <v>Deductions</v>
          </cell>
          <cell r="F6" t="str">
            <v>Cost as at</v>
          </cell>
          <cell r="G6" t="str">
            <v>Upto</v>
          </cell>
          <cell r="H6" t="str">
            <v>Deductions</v>
          </cell>
          <cell r="I6" t="str">
            <v>For the</v>
          </cell>
          <cell r="J6" t="str">
            <v>Upto</v>
          </cell>
          <cell r="K6" t="str">
            <v>As at</v>
          </cell>
          <cell r="L6" t="str">
            <v>As at</v>
          </cell>
        </row>
        <row r="7">
          <cell r="A7" t="str">
            <v>NO.</v>
          </cell>
          <cell r="C7" t="str">
            <v>1st April</v>
          </cell>
          <cell r="D7" t="str">
            <v>during</v>
          </cell>
          <cell r="E7" t="str">
            <v>during</v>
          </cell>
          <cell r="F7" t="str">
            <v>31st March</v>
          </cell>
          <cell r="G7" t="str">
            <v>31st March,</v>
          </cell>
          <cell r="H7" t="str">
            <v>on a/c of</v>
          </cell>
          <cell r="I7" t="str">
            <v>year</v>
          </cell>
          <cell r="J7" t="str">
            <v>31st March,</v>
          </cell>
          <cell r="K7" t="str">
            <v>31st March,</v>
          </cell>
          <cell r="L7" t="str">
            <v>31st March,</v>
          </cell>
        </row>
        <row r="8">
          <cell r="C8" t="str">
            <v>1997</v>
          </cell>
          <cell r="D8" t="str">
            <v>the year</v>
          </cell>
          <cell r="E8" t="str">
            <v>the year</v>
          </cell>
          <cell r="F8" t="str">
            <v>1998</v>
          </cell>
          <cell r="G8" t="str">
            <v>1997</v>
          </cell>
          <cell r="H8" t="str">
            <v>adjustments</v>
          </cell>
          <cell r="J8" t="str">
            <v>1998</v>
          </cell>
          <cell r="K8" t="str">
            <v>1998</v>
          </cell>
          <cell r="L8" t="str">
            <v>1997</v>
          </cell>
        </row>
        <row r="9">
          <cell r="A9" t="str">
            <v>1.</v>
          </cell>
          <cell r="B9" t="str">
            <v>Land</v>
          </cell>
        </row>
        <row r="10">
          <cell r="B10" t="str">
            <v xml:space="preserve">  Freehold</v>
          </cell>
          <cell r="C10">
            <v>16589275</v>
          </cell>
          <cell r="D10" t="str">
            <v>-</v>
          </cell>
          <cell r="E10">
            <v>1460406</v>
          </cell>
          <cell r="F10">
            <v>15128869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>
            <v>15128869</v>
          </cell>
          <cell r="L10">
            <v>16589275</v>
          </cell>
        </row>
        <row r="11">
          <cell r="B11" t="str">
            <v xml:space="preserve">  Leasehold</v>
          </cell>
          <cell r="C11">
            <v>2523442.7999999998</v>
          </cell>
          <cell r="D11" t="str">
            <v>-</v>
          </cell>
          <cell r="E11" t="str">
            <v>-</v>
          </cell>
          <cell r="F11">
            <v>2523442.7999999998</v>
          </cell>
          <cell r="G11">
            <v>1190343</v>
          </cell>
          <cell r="H11" t="str">
            <v>-</v>
          </cell>
          <cell r="I11">
            <v>229404</v>
          </cell>
          <cell r="J11">
            <v>1419747</v>
          </cell>
          <cell r="K11">
            <v>1103695.7999999998</v>
          </cell>
          <cell r="L11">
            <v>1333099.7999999998</v>
          </cell>
        </row>
        <row r="12">
          <cell r="A12" t="str">
            <v>2.</v>
          </cell>
          <cell r="B12" t="str">
            <v>Buildings</v>
          </cell>
          <cell r="C12">
            <v>32319740.359999996</v>
          </cell>
          <cell r="D12">
            <v>7443887.459999999</v>
          </cell>
          <cell r="E12" t="str">
            <v>-</v>
          </cell>
          <cell r="F12">
            <v>39763627.819999993</v>
          </cell>
          <cell r="G12">
            <v>9849276</v>
          </cell>
          <cell r="H12" t="str">
            <v>-</v>
          </cell>
          <cell r="I12">
            <v>2162853</v>
          </cell>
          <cell r="J12">
            <v>12012129</v>
          </cell>
          <cell r="K12">
            <v>27751498.819999993</v>
          </cell>
          <cell r="L12">
            <v>22470464.359999996</v>
          </cell>
        </row>
        <row r="13">
          <cell r="A13" t="str">
            <v>3.</v>
          </cell>
          <cell r="B13" t="str">
            <v>Plant and machinery</v>
          </cell>
          <cell r="C13">
            <v>9975087.870000001</v>
          </cell>
          <cell r="D13">
            <v>789510</v>
          </cell>
          <cell r="E13" t="str">
            <v>-</v>
          </cell>
          <cell r="F13">
            <v>10764597.870000001</v>
          </cell>
          <cell r="G13">
            <v>3796058</v>
          </cell>
          <cell r="H13" t="str">
            <v>-</v>
          </cell>
          <cell r="I13">
            <v>930386</v>
          </cell>
          <cell r="J13">
            <v>4726444</v>
          </cell>
          <cell r="K13">
            <v>6038153.870000001</v>
          </cell>
          <cell r="L13">
            <v>6179029.870000001</v>
          </cell>
        </row>
        <row r="14">
          <cell r="A14" t="str">
            <v>4.</v>
          </cell>
          <cell r="B14" t="str">
            <v>R &amp; D Equipment</v>
          </cell>
          <cell r="C14">
            <v>13996906.99</v>
          </cell>
          <cell r="D14">
            <v>1358972.1600000001</v>
          </cell>
          <cell r="E14" t="str">
            <v>-</v>
          </cell>
          <cell r="F14">
            <v>15355879.15</v>
          </cell>
          <cell r="G14">
            <v>5254513</v>
          </cell>
          <cell r="H14" t="str">
            <v>-</v>
          </cell>
          <cell r="I14">
            <v>1338096</v>
          </cell>
          <cell r="J14">
            <v>6592609</v>
          </cell>
          <cell r="K14">
            <v>8763270.1500000004</v>
          </cell>
          <cell r="L14">
            <v>8742393.9900000002</v>
          </cell>
        </row>
        <row r="15">
          <cell r="A15" t="str">
            <v>5.</v>
          </cell>
          <cell r="B15" t="str">
            <v>Other equipment</v>
          </cell>
          <cell r="C15">
            <v>2913713.73</v>
          </cell>
          <cell r="D15">
            <v>4025947</v>
          </cell>
          <cell r="E15">
            <v>1789</v>
          </cell>
          <cell r="F15">
            <v>6937871.7300000004</v>
          </cell>
          <cell r="G15">
            <v>1375617</v>
          </cell>
          <cell r="H15">
            <v>41</v>
          </cell>
          <cell r="I15">
            <v>362031</v>
          </cell>
          <cell r="J15">
            <v>1737607</v>
          </cell>
          <cell r="K15">
            <v>5200264.7300000004</v>
          </cell>
          <cell r="L15">
            <v>1538096.73</v>
          </cell>
        </row>
        <row r="16">
          <cell r="A16" t="str">
            <v>6.</v>
          </cell>
          <cell r="B16" t="str">
            <v>Furniture and fixtures</v>
          </cell>
          <cell r="C16">
            <v>1952272.27</v>
          </cell>
          <cell r="D16">
            <v>114753.19999999995</v>
          </cell>
          <cell r="E16" t="str">
            <v>-</v>
          </cell>
          <cell r="F16">
            <v>2067025.47</v>
          </cell>
          <cell r="G16">
            <v>779893</v>
          </cell>
          <cell r="H16" t="str">
            <v>-</v>
          </cell>
          <cell r="I16">
            <v>221076</v>
          </cell>
          <cell r="J16">
            <v>1000969</v>
          </cell>
          <cell r="K16">
            <v>1066056.47</v>
          </cell>
          <cell r="L16">
            <v>1172379.27</v>
          </cell>
        </row>
        <row r="17">
          <cell r="A17" t="str">
            <v>7.</v>
          </cell>
          <cell r="B17" t="str">
            <v>Vehicles</v>
          </cell>
          <cell r="C17">
            <v>1652981.06</v>
          </cell>
          <cell r="D17">
            <v>701354</v>
          </cell>
          <cell r="E17" t="str">
            <v>-</v>
          </cell>
          <cell r="F17">
            <v>2354335.06</v>
          </cell>
          <cell r="G17">
            <v>479520</v>
          </cell>
          <cell r="H17" t="str">
            <v>-</v>
          </cell>
          <cell r="I17">
            <v>364004</v>
          </cell>
          <cell r="J17">
            <v>843524</v>
          </cell>
          <cell r="K17">
            <v>1510811.06</v>
          </cell>
          <cell r="L17">
            <v>1173461.06</v>
          </cell>
        </row>
        <row r="18">
          <cell r="B18" t="str">
            <v>TOTAL</v>
          </cell>
          <cell r="C18">
            <v>81923420</v>
          </cell>
          <cell r="D18">
            <v>14434423.819999998</v>
          </cell>
          <cell r="E18">
            <v>1462195</v>
          </cell>
          <cell r="F18">
            <v>94895648.900000006</v>
          </cell>
          <cell r="G18">
            <v>22725220</v>
          </cell>
          <cell r="H18">
            <v>41</v>
          </cell>
          <cell r="I18">
            <v>5607850</v>
          </cell>
          <cell r="J18">
            <v>28333029</v>
          </cell>
          <cell r="K18">
            <v>66562619.899999991</v>
          </cell>
          <cell r="L18">
            <v>59198200.080000006</v>
          </cell>
        </row>
        <row r="19">
          <cell r="B19" t="str">
            <v>PREVIOUS YEAR</v>
          </cell>
          <cell r="C19">
            <v>71862746</v>
          </cell>
          <cell r="D19">
            <v>10425875</v>
          </cell>
          <cell r="E19">
            <v>365200</v>
          </cell>
          <cell r="F19">
            <v>81923421</v>
          </cell>
          <cell r="G19">
            <v>18228265</v>
          </cell>
          <cell r="H19">
            <v>131472</v>
          </cell>
          <cell r="I19">
            <v>4628428</v>
          </cell>
          <cell r="J19">
            <v>22725221</v>
          </cell>
          <cell r="K19">
            <v>59198200</v>
          </cell>
          <cell r="L19" t="str">
            <v>-</v>
          </cell>
        </row>
        <row r="24">
          <cell r="A24" t="str">
            <v>BIOCON INDIA LIMITED</v>
          </cell>
        </row>
        <row r="26">
          <cell r="C26" t="str">
            <v>GROSS BLOCK</v>
          </cell>
          <cell r="G26" t="str">
            <v>DEPRECIATION</v>
          </cell>
        </row>
        <row r="27">
          <cell r="D27" t="str">
            <v>ADDITIONS</v>
          </cell>
          <cell r="E27" t="str">
            <v>DELETIONS</v>
          </cell>
          <cell r="H27" t="str">
            <v>DELETIONS</v>
          </cell>
          <cell r="I27" t="str">
            <v>ADDITIONS</v>
          </cell>
          <cell r="K27" t="str">
            <v>&lt;---WDV---&gt;</v>
          </cell>
        </row>
        <row r="28">
          <cell r="D28" t="str">
            <v>01-04-97</v>
          </cell>
          <cell r="E28" t="str">
            <v>01-04-97</v>
          </cell>
          <cell r="F28" t="str">
            <v>TOTAL</v>
          </cell>
          <cell r="G28" t="str">
            <v xml:space="preserve">Upto </v>
          </cell>
          <cell r="H28" t="str">
            <v>01-04-97</v>
          </cell>
          <cell r="I28" t="str">
            <v>01-04-97</v>
          </cell>
          <cell r="J28" t="str">
            <v>TOTAL DEPN.</v>
          </cell>
          <cell r="K28" t="str">
            <v>WDV</v>
          </cell>
        </row>
        <row r="29">
          <cell r="A29" t="str">
            <v xml:space="preserve">SL </v>
          </cell>
          <cell r="B29" t="str">
            <v>DESCRIPTION</v>
          </cell>
          <cell r="C29" t="str">
            <v>Cost as on</v>
          </cell>
          <cell r="D29" t="str">
            <v>Upto</v>
          </cell>
          <cell r="E29" t="str">
            <v>Upto</v>
          </cell>
          <cell r="F29" t="str">
            <v>COST AS ON</v>
          </cell>
          <cell r="H29" t="str">
            <v>Upto</v>
          </cell>
          <cell r="I29" t="str">
            <v>Upto</v>
          </cell>
          <cell r="J29" t="str">
            <v>UPTO</v>
          </cell>
          <cell r="K29" t="str">
            <v>AS ON</v>
          </cell>
        </row>
        <row r="30">
          <cell r="A30" t="str">
            <v>NO</v>
          </cell>
          <cell r="C30" t="str">
            <v>31-03-1997</v>
          </cell>
          <cell r="D30" t="str">
            <v>31-03-98</v>
          </cell>
          <cell r="E30" t="str">
            <v>31-03-98</v>
          </cell>
          <cell r="F30" t="str">
            <v>31-03-98</v>
          </cell>
          <cell r="G30" t="str">
            <v>31-03-1997</v>
          </cell>
          <cell r="H30" t="str">
            <v>31-03-98</v>
          </cell>
          <cell r="I30" t="str">
            <v>31-03-98</v>
          </cell>
          <cell r="J30" t="str">
            <v>31-03-98</v>
          </cell>
          <cell r="K30" t="str">
            <v>31-03-98</v>
          </cell>
        </row>
        <row r="32">
          <cell r="A32" t="str">
            <v>1</v>
          </cell>
          <cell r="B32" t="str">
            <v>Freehold land - factory</v>
          </cell>
          <cell r="C32">
            <v>280336</v>
          </cell>
          <cell r="D32">
            <v>0</v>
          </cell>
          <cell r="E32">
            <v>40402</v>
          </cell>
          <cell r="F32">
            <v>239934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239934</v>
          </cell>
        </row>
        <row r="33">
          <cell r="A33" t="str">
            <v>2</v>
          </cell>
          <cell r="B33" t="str">
            <v>Revaluation - freehold land factory</v>
          </cell>
          <cell r="C33">
            <v>9853089</v>
          </cell>
          <cell r="D33">
            <v>0</v>
          </cell>
          <cell r="E33">
            <v>1420004</v>
          </cell>
          <cell r="F33">
            <v>8433085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8433085</v>
          </cell>
        </row>
        <row r="34">
          <cell r="A34" t="str">
            <v>3</v>
          </cell>
          <cell r="B34" t="str">
            <v>Freehold land - housing</v>
          </cell>
          <cell r="C34">
            <v>2963115</v>
          </cell>
          <cell r="D34">
            <v>0</v>
          </cell>
          <cell r="F34">
            <v>2963115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2963115</v>
          </cell>
        </row>
        <row r="35">
          <cell r="A35" t="str">
            <v>4</v>
          </cell>
          <cell r="B35" t="str">
            <v>Revaluation - freehold land housing</v>
          </cell>
          <cell r="C35">
            <v>3492735</v>
          </cell>
          <cell r="D35">
            <v>0</v>
          </cell>
          <cell r="F35">
            <v>3492735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3492735</v>
          </cell>
        </row>
        <row r="36">
          <cell r="A36" t="str">
            <v>5</v>
          </cell>
          <cell r="B36" t="str">
            <v>Leasehold land - housing - KMZ</v>
          </cell>
          <cell r="C36">
            <v>1000000</v>
          </cell>
          <cell r="D36">
            <v>0</v>
          </cell>
          <cell r="F36">
            <v>1000000</v>
          </cell>
          <cell r="G36">
            <v>636363</v>
          </cell>
          <cell r="H36">
            <v>0</v>
          </cell>
          <cell r="I36">
            <v>90909</v>
          </cell>
          <cell r="J36">
            <v>727272</v>
          </cell>
          <cell r="K36">
            <v>272728</v>
          </cell>
        </row>
        <row r="37">
          <cell r="A37" t="str">
            <v>6</v>
          </cell>
          <cell r="B37" t="str">
            <v>Leasehold land - housing - PKA</v>
          </cell>
          <cell r="C37">
            <v>1523442.8</v>
          </cell>
          <cell r="D37">
            <v>0</v>
          </cell>
          <cell r="F37">
            <v>1523442.8</v>
          </cell>
          <cell r="G37">
            <v>553980</v>
          </cell>
          <cell r="H37">
            <v>0</v>
          </cell>
          <cell r="I37">
            <v>138495</v>
          </cell>
          <cell r="J37">
            <v>692475</v>
          </cell>
          <cell r="K37">
            <v>830967.8</v>
          </cell>
        </row>
        <row r="38">
          <cell r="A38" t="str">
            <v>7</v>
          </cell>
          <cell r="B38" t="str">
            <v>Factory Buildings</v>
          </cell>
          <cell r="C38">
            <v>6308285.4000000004</v>
          </cell>
          <cell r="D38">
            <v>0</v>
          </cell>
          <cell r="F38">
            <v>6308285.4000000004</v>
          </cell>
          <cell r="G38">
            <v>3548280</v>
          </cell>
          <cell r="H38">
            <v>0</v>
          </cell>
          <cell r="I38">
            <v>276001</v>
          </cell>
          <cell r="J38">
            <v>3824281</v>
          </cell>
          <cell r="K38">
            <v>2484004.4000000004</v>
          </cell>
        </row>
        <row r="39">
          <cell r="A39" t="str">
            <v>8</v>
          </cell>
          <cell r="B39" t="str">
            <v xml:space="preserve">Building R &amp; D </v>
          </cell>
          <cell r="C39">
            <v>2003264.13</v>
          </cell>
          <cell r="D39">
            <v>0</v>
          </cell>
          <cell r="F39">
            <v>2003264.13</v>
          </cell>
          <cell r="G39">
            <v>244095</v>
          </cell>
          <cell r="H39">
            <v>0</v>
          </cell>
          <cell r="I39">
            <v>175917</v>
          </cell>
          <cell r="J39">
            <v>420012</v>
          </cell>
          <cell r="K39">
            <v>1583252.13</v>
          </cell>
        </row>
        <row r="40">
          <cell r="A40" t="str">
            <v>9</v>
          </cell>
          <cell r="B40" t="str">
            <v>Revaluation - factory building</v>
          </cell>
          <cell r="C40">
            <v>15323127</v>
          </cell>
          <cell r="D40">
            <v>0</v>
          </cell>
          <cell r="F40">
            <v>15323127</v>
          </cell>
          <cell r="G40">
            <v>4152567</v>
          </cell>
          <cell r="H40">
            <v>0</v>
          </cell>
          <cell r="I40">
            <v>1117056</v>
          </cell>
          <cell r="J40">
            <v>5269623</v>
          </cell>
          <cell r="K40">
            <v>10053504</v>
          </cell>
        </row>
        <row r="41">
          <cell r="A41" t="str">
            <v>10</v>
          </cell>
          <cell r="B41" t="str">
            <v>Residential Flats</v>
          </cell>
          <cell r="C41">
            <v>2718908.83</v>
          </cell>
          <cell r="D41">
            <v>6568241.459999999</v>
          </cell>
          <cell r="F41">
            <v>9287150.2899999991</v>
          </cell>
          <cell r="G41">
            <v>986773</v>
          </cell>
          <cell r="H41">
            <v>0</v>
          </cell>
          <cell r="I41">
            <v>333141</v>
          </cell>
          <cell r="J41">
            <v>1319914</v>
          </cell>
          <cell r="K41">
            <v>7967236.2899999991</v>
          </cell>
        </row>
        <row r="42">
          <cell r="A42" t="str">
            <v>11</v>
          </cell>
          <cell r="B42" t="str">
            <v>Bombay Premises</v>
          </cell>
          <cell r="D42">
            <v>875646</v>
          </cell>
          <cell r="F42">
            <v>875646</v>
          </cell>
          <cell r="I42">
            <v>7077</v>
          </cell>
          <cell r="J42">
            <v>7077</v>
          </cell>
          <cell r="K42">
            <v>868569</v>
          </cell>
        </row>
        <row r="43">
          <cell r="A43" t="str">
            <v>12</v>
          </cell>
          <cell r="B43" t="str">
            <v>Revaluation - residential flats</v>
          </cell>
          <cell r="C43">
            <v>5859722</v>
          </cell>
          <cell r="D43">
            <v>0</v>
          </cell>
          <cell r="F43">
            <v>5859722</v>
          </cell>
          <cell r="G43">
            <v>835743</v>
          </cell>
          <cell r="H43">
            <v>0</v>
          </cell>
          <cell r="I43">
            <v>251199</v>
          </cell>
          <cell r="J43">
            <v>1086942</v>
          </cell>
          <cell r="K43">
            <v>4772780</v>
          </cell>
        </row>
        <row r="44">
          <cell r="A44" t="str">
            <v>13</v>
          </cell>
          <cell r="B44" t="str">
            <v>Wells &amp; Tanks</v>
          </cell>
          <cell r="C44">
            <v>106433</v>
          </cell>
          <cell r="D44">
            <v>0</v>
          </cell>
          <cell r="F44">
            <v>106433</v>
          </cell>
          <cell r="G44">
            <v>81818</v>
          </cell>
          <cell r="H44">
            <v>0</v>
          </cell>
          <cell r="I44">
            <v>2462</v>
          </cell>
          <cell r="J44">
            <v>84280</v>
          </cell>
          <cell r="K44">
            <v>22153</v>
          </cell>
        </row>
        <row r="45">
          <cell r="A45" t="str">
            <v>14</v>
          </cell>
          <cell r="B45" t="str">
            <v>Electrical Installation</v>
          </cell>
          <cell r="C45">
            <v>870048.36</v>
          </cell>
          <cell r="D45">
            <v>235296.00000000012</v>
          </cell>
          <cell r="F45">
            <v>1105344.3600000001</v>
          </cell>
          <cell r="G45">
            <v>647270</v>
          </cell>
          <cell r="H45">
            <v>0</v>
          </cell>
          <cell r="I45">
            <v>49999</v>
          </cell>
          <cell r="J45">
            <v>697269</v>
          </cell>
          <cell r="K45">
            <v>408075.3600000001</v>
          </cell>
        </row>
        <row r="46">
          <cell r="A46" t="str">
            <v>15</v>
          </cell>
          <cell r="B46" t="str">
            <v>Plant &amp; machinery</v>
          </cell>
          <cell r="C46">
            <v>3834791.4</v>
          </cell>
          <cell r="D46">
            <v>278200</v>
          </cell>
          <cell r="F46">
            <v>4112991.4</v>
          </cell>
          <cell r="G46">
            <v>2175249</v>
          </cell>
          <cell r="H46">
            <v>0</v>
          </cell>
          <cell r="I46">
            <v>251791</v>
          </cell>
          <cell r="J46">
            <v>2427040</v>
          </cell>
          <cell r="K46">
            <v>1685951.4</v>
          </cell>
        </row>
        <row r="47">
          <cell r="A47" t="str">
            <v>16</v>
          </cell>
          <cell r="B47" t="str">
            <v>100% depn-Equip</v>
          </cell>
          <cell r="C47">
            <v>2520495.2599999998</v>
          </cell>
          <cell r="D47">
            <v>15306</v>
          </cell>
          <cell r="F47">
            <v>2535801.2599999998</v>
          </cell>
          <cell r="G47">
            <v>526426</v>
          </cell>
          <cell r="H47">
            <v>0</v>
          </cell>
          <cell r="I47">
            <v>279329</v>
          </cell>
          <cell r="J47">
            <v>805755</v>
          </cell>
          <cell r="K47">
            <v>1730046.2599999998</v>
          </cell>
        </row>
        <row r="48">
          <cell r="A48" t="str">
            <v>17</v>
          </cell>
          <cell r="B48" t="str">
            <v>Generator</v>
          </cell>
          <cell r="C48">
            <v>2584899.21</v>
          </cell>
          <cell r="D48">
            <v>0</v>
          </cell>
          <cell r="F48">
            <v>2584899.21</v>
          </cell>
          <cell r="G48">
            <v>613381</v>
          </cell>
          <cell r="H48">
            <v>0</v>
          </cell>
          <cell r="I48">
            <v>274238</v>
          </cell>
          <cell r="J48">
            <v>887619</v>
          </cell>
          <cell r="K48">
            <v>1697280.21</v>
          </cell>
        </row>
        <row r="49">
          <cell r="A49" t="str">
            <v>18</v>
          </cell>
          <cell r="B49" t="str">
            <v>Computers</v>
          </cell>
          <cell r="C49">
            <v>22356</v>
          </cell>
          <cell r="D49">
            <v>115000</v>
          </cell>
          <cell r="F49">
            <v>137356</v>
          </cell>
          <cell r="G49">
            <v>17527</v>
          </cell>
          <cell r="H49">
            <v>0</v>
          </cell>
          <cell r="I49">
            <v>44151</v>
          </cell>
          <cell r="J49">
            <v>61678</v>
          </cell>
          <cell r="K49">
            <v>75678</v>
          </cell>
        </row>
        <row r="50">
          <cell r="A50" t="str">
            <v>19</v>
          </cell>
          <cell r="B50" t="str">
            <v>Furniture &amp; fixtures</v>
          </cell>
          <cell r="C50">
            <v>1952272.27</v>
          </cell>
          <cell r="D50">
            <v>114753.19999999995</v>
          </cell>
          <cell r="F50">
            <v>2067025.47</v>
          </cell>
          <cell r="G50">
            <v>779893</v>
          </cell>
          <cell r="H50">
            <v>0</v>
          </cell>
          <cell r="I50">
            <v>221076</v>
          </cell>
          <cell r="J50">
            <v>1000969</v>
          </cell>
          <cell r="K50">
            <v>1066056.47</v>
          </cell>
        </row>
        <row r="51">
          <cell r="A51" t="str">
            <v>20</v>
          </cell>
          <cell r="B51" t="str">
            <v>Laboratory Equipment</v>
          </cell>
          <cell r="C51">
            <v>1196180.22</v>
          </cell>
          <cell r="D51">
            <v>3681291</v>
          </cell>
          <cell r="E51">
            <v>1789</v>
          </cell>
          <cell r="F51">
            <v>4875682.42</v>
          </cell>
          <cell r="G51">
            <v>389896</v>
          </cell>
          <cell r="H51">
            <v>41</v>
          </cell>
          <cell r="I51">
            <v>234593</v>
          </cell>
          <cell r="J51">
            <v>624448</v>
          </cell>
          <cell r="K51">
            <v>4251234.42</v>
          </cell>
        </row>
        <row r="52">
          <cell r="A52" t="str">
            <v>21</v>
          </cell>
          <cell r="B52" t="str">
            <v>Office Equipment</v>
          </cell>
          <cell r="C52">
            <v>803545.8</v>
          </cell>
          <cell r="D52">
            <v>0</v>
          </cell>
          <cell r="F52">
            <v>803545.8</v>
          </cell>
          <cell r="G52">
            <v>315028</v>
          </cell>
          <cell r="H52">
            <v>0</v>
          </cell>
          <cell r="I52">
            <v>67953</v>
          </cell>
          <cell r="J52">
            <v>382981</v>
          </cell>
          <cell r="K52">
            <v>420564.80000000005</v>
          </cell>
        </row>
        <row r="53">
          <cell r="A53" t="str">
            <v>22</v>
          </cell>
          <cell r="B53" t="str">
            <v>Other Equipment</v>
          </cell>
          <cell r="C53">
            <v>43939.35</v>
          </cell>
          <cell r="D53">
            <v>109360</v>
          </cell>
          <cell r="F53">
            <v>153299.35</v>
          </cell>
          <cell r="G53">
            <v>23423</v>
          </cell>
          <cell r="H53">
            <v>0</v>
          </cell>
          <cell r="I53">
            <v>9486</v>
          </cell>
          <cell r="J53">
            <v>32909</v>
          </cell>
          <cell r="K53">
            <v>120390.35</v>
          </cell>
        </row>
        <row r="54">
          <cell r="A54" t="str">
            <v>23</v>
          </cell>
          <cell r="B54" t="str">
            <v>Air Conditioners</v>
          </cell>
          <cell r="C54">
            <v>1012546</v>
          </cell>
          <cell r="D54">
            <v>381004</v>
          </cell>
          <cell r="F54">
            <v>1393550</v>
          </cell>
          <cell r="G54">
            <v>463475</v>
          </cell>
          <cell r="H54">
            <v>0</v>
          </cell>
          <cell r="I54">
            <v>80877</v>
          </cell>
          <cell r="J54">
            <v>544352</v>
          </cell>
          <cell r="K54">
            <v>849198</v>
          </cell>
        </row>
        <row r="55">
          <cell r="A55" t="str">
            <v>24</v>
          </cell>
          <cell r="B55" t="str">
            <v>Vehicles</v>
          </cell>
          <cell r="C55">
            <v>1652981.06</v>
          </cell>
          <cell r="D55">
            <v>701354</v>
          </cell>
          <cell r="F55">
            <v>2354335.06</v>
          </cell>
          <cell r="G55">
            <v>479520</v>
          </cell>
          <cell r="I55">
            <v>364004</v>
          </cell>
          <cell r="J55">
            <v>843524</v>
          </cell>
          <cell r="K55">
            <v>1510811.06</v>
          </cell>
        </row>
        <row r="56">
          <cell r="A56" t="str">
            <v>25</v>
          </cell>
          <cell r="B56" t="str">
            <v>R &amp; D equipments</v>
          </cell>
          <cell r="C56">
            <v>13996906.99</v>
          </cell>
          <cell r="D56">
            <v>1358972.1600000001</v>
          </cell>
          <cell r="F56">
            <v>15355879.15</v>
          </cell>
          <cell r="G56">
            <v>5254513</v>
          </cell>
          <cell r="H56">
            <v>0</v>
          </cell>
          <cell r="I56">
            <v>1338096</v>
          </cell>
          <cell r="J56">
            <v>6592609</v>
          </cell>
          <cell r="K56">
            <v>8763270.1500000004</v>
          </cell>
        </row>
        <row r="57">
          <cell r="A57" t="str">
            <v>=</v>
          </cell>
          <cell r="B57" t="str">
            <v>=</v>
          </cell>
          <cell r="C57" t="str">
            <v>=</v>
          </cell>
          <cell r="D57" t="str">
            <v>=</v>
          </cell>
          <cell r="E57" t="str">
            <v>=</v>
          </cell>
          <cell r="F57" t="str">
            <v>=</v>
          </cell>
          <cell r="G57" t="str">
            <v>=</v>
          </cell>
          <cell r="H57" t="str">
            <v>=</v>
          </cell>
          <cell r="I57" t="str">
            <v>=</v>
          </cell>
          <cell r="J57" t="str">
            <v>=</v>
          </cell>
          <cell r="K57" t="str">
            <v>=</v>
          </cell>
        </row>
        <row r="58">
          <cell r="B58" t="str">
            <v>TOTAL</v>
          </cell>
          <cell r="C58">
            <v>81923420.079999983</v>
          </cell>
          <cell r="D58">
            <v>14434423.82</v>
          </cell>
          <cell r="E58">
            <v>1462195</v>
          </cell>
          <cell r="F58">
            <v>94895649.099999994</v>
          </cell>
          <cell r="G58">
            <v>22725220</v>
          </cell>
          <cell r="H58">
            <v>41</v>
          </cell>
          <cell r="I58">
            <v>5607850</v>
          </cell>
          <cell r="J58">
            <v>28333029</v>
          </cell>
          <cell r="K58">
            <v>66562620.100000001</v>
          </cell>
        </row>
        <row r="59">
          <cell r="A59" t="str">
            <v>=</v>
          </cell>
          <cell r="B59" t="str">
            <v>=</v>
          </cell>
          <cell r="C59" t="str">
            <v>=</v>
          </cell>
          <cell r="D59" t="str">
            <v>=</v>
          </cell>
          <cell r="E59" t="str">
            <v>=</v>
          </cell>
          <cell r="F59" t="str">
            <v>=</v>
          </cell>
          <cell r="G59" t="str">
            <v>=</v>
          </cell>
          <cell r="H59" t="str">
            <v>=</v>
          </cell>
          <cell r="I59" t="str">
            <v>=</v>
          </cell>
          <cell r="J59" t="str">
            <v>=</v>
          </cell>
          <cell r="K59" t="str">
            <v>=</v>
          </cell>
        </row>
      </sheetData>
      <sheetData sheetId="1">
        <row r="2">
          <cell r="A2" t="str">
            <v>SCHEDULE:5</v>
          </cell>
        </row>
      </sheetData>
      <sheetData sheetId="2">
        <row r="2">
          <cell r="A2" t="str">
            <v>SCHEDULE:5</v>
          </cell>
        </row>
      </sheetData>
      <sheetData sheetId="3">
        <row r="2">
          <cell r="A2" t="str">
            <v>SCHEDULE:5</v>
          </cell>
        </row>
      </sheetData>
      <sheetData sheetId="4">
        <row r="2">
          <cell r="A2" t="str">
            <v>SCHEDULE:5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/>
      <sheetData sheetId="86">
        <row r="2">
          <cell r="A2" t="str">
            <v>SCHEDULE:5</v>
          </cell>
        </row>
      </sheetData>
      <sheetData sheetId="87">
        <row r="2">
          <cell r="A2" t="str">
            <v>SCHEDULE:5</v>
          </cell>
        </row>
      </sheetData>
      <sheetData sheetId="88">
        <row r="2">
          <cell r="A2" t="str">
            <v>SCHEDULE:5</v>
          </cell>
        </row>
      </sheetData>
      <sheetData sheetId="89">
        <row r="2">
          <cell r="A2" t="str">
            <v>SCHEDULE:5</v>
          </cell>
        </row>
      </sheetData>
      <sheetData sheetId="90"/>
      <sheetData sheetId="91">
        <row r="2">
          <cell r="A2" t="str">
            <v>SCHEDULE:5</v>
          </cell>
        </row>
      </sheetData>
      <sheetData sheetId="92" refreshError="1"/>
      <sheetData sheetId="93"/>
      <sheetData sheetId="94"/>
      <sheetData sheetId="95"/>
      <sheetData sheetId="96"/>
      <sheetData sheetId="97"/>
      <sheetData sheetId="98"/>
      <sheetData sheetId="99">
        <row r="2">
          <cell r="A2" t="str">
            <v>SCHEDULE:5</v>
          </cell>
        </row>
      </sheetData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>
        <row r="2">
          <cell r="A2" t="str">
            <v>SCHEDULE:5</v>
          </cell>
        </row>
      </sheetData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>
        <row r="2">
          <cell r="A2" t="str">
            <v>SCHEDULE:5</v>
          </cell>
        </row>
      </sheetData>
      <sheetData sheetId="194">
        <row r="2">
          <cell r="A2" t="str">
            <v>SCHEDULE:5</v>
          </cell>
        </row>
      </sheetData>
      <sheetData sheetId="195">
        <row r="2">
          <cell r="A2" t="str">
            <v>SCHEDULE:5</v>
          </cell>
        </row>
      </sheetData>
      <sheetData sheetId="196">
        <row r="2">
          <cell r="A2" t="str">
            <v>SCHEDULE:5</v>
          </cell>
        </row>
      </sheetData>
      <sheetData sheetId="197">
        <row r="2">
          <cell r="A2" t="str">
            <v>SCHEDULE:5</v>
          </cell>
        </row>
      </sheetData>
      <sheetData sheetId="198">
        <row r="2">
          <cell r="A2" t="str">
            <v>SCHEDULE:5</v>
          </cell>
        </row>
      </sheetData>
      <sheetData sheetId="199">
        <row r="2">
          <cell r="A2" t="str">
            <v>SCHEDULE:5</v>
          </cell>
        </row>
      </sheetData>
      <sheetData sheetId="200">
        <row r="2">
          <cell r="A2" t="str">
            <v>SCHEDULE:5</v>
          </cell>
        </row>
      </sheetData>
      <sheetData sheetId="201" refreshError="1"/>
      <sheetData sheetId="202">
        <row r="2">
          <cell r="A2" t="str">
            <v>SCHEDULE:5</v>
          </cell>
        </row>
      </sheetData>
      <sheetData sheetId="203">
        <row r="2">
          <cell r="A2" t="str">
            <v>SCHEDULE:5</v>
          </cell>
        </row>
      </sheetData>
      <sheetData sheetId="204">
        <row r="2">
          <cell r="A2" t="str">
            <v>SCHEDULE:5</v>
          </cell>
        </row>
      </sheetData>
      <sheetData sheetId="205" refreshError="1"/>
      <sheetData sheetId="206">
        <row r="2">
          <cell r="A2" t="str">
            <v>SCHEDULE:5</v>
          </cell>
        </row>
      </sheetData>
      <sheetData sheetId="207">
        <row r="2">
          <cell r="A2" t="str">
            <v>SCHEDULE:5</v>
          </cell>
        </row>
      </sheetData>
      <sheetData sheetId="208">
        <row r="2">
          <cell r="A2" t="str">
            <v>SCHEDULE:5</v>
          </cell>
        </row>
      </sheetData>
      <sheetData sheetId="209">
        <row r="2">
          <cell r="A2" t="str">
            <v>SCHEDULE:5</v>
          </cell>
        </row>
      </sheetData>
      <sheetData sheetId="210">
        <row r="2">
          <cell r="A2" t="str">
            <v>SCHEDULE:5</v>
          </cell>
        </row>
      </sheetData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>
        <row r="2">
          <cell r="A2" t="str">
            <v>SCHEDULE:5</v>
          </cell>
        </row>
      </sheetData>
      <sheetData sheetId="221">
        <row r="2">
          <cell r="A2" t="str">
            <v>SCHEDULE:5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>
        <row r="2">
          <cell r="A2" t="str">
            <v>SCHEDULE:5</v>
          </cell>
        </row>
      </sheetData>
      <sheetData sheetId="251"/>
      <sheetData sheetId="252">
        <row r="2">
          <cell r="A2" t="str">
            <v>SCHEDULE:5</v>
          </cell>
        </row>
      </sheetData>
      <sheetData sheetId="253">
        <row r="2">
          <cell r="A2" t="str">
            <v>SCHEDULE:5</v>
          </cell>
        </row>
      </sheetData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2">
          <cell r="A2" t="str">
            <v>SCHEDULE:5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>
        <row r="2">
          <cell r="A2" t="str">
            <v>SCHEDULE:5</v>
          </cell>
        </row>
      </sheetData>
      <sheetData sheetId="301"/>
      <sheetData sheetId="302"/>
      <sheetData sheetId="303"/>
      <sheetData sheetId="304">
        <row r="2">
          <cell r="A2" t="str">
            <v>SCHEDULE:5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>
        <row r="2">
          <cell r="A2" t="str">
            <v>SCHEDULE:5</v>
          </cell>
        </row>
      </sheetData>
      <sheetData sheetId="316">
        <row r="2">
          <cell r="A2" t="str">
            <v>SCHEDULE:5</v>
          </cell>
        </row>
      </sheetData>
      <sheetData sheetId="317"/>
      <sheetData sheetId="318">
        <row r="2">
          <cell r="A2" t="str">
            <v>SCHEDULE:5</v>
          </cell>
        </row>
      </sheetData>
      <sheetData sheetId="319">
        <row r="2">
          <cell r="A2" t="str">
            <v>SCHEDULE:5</v>
          </cell>
        </row>
      </sheetData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/>
      <sheetData sheetId="329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</sheetNames>
    <sheetDataSet>
      <sheetData sheetId="0">
        <row r="16">
          <cell r="A16" t="str">
            <v xml:space="preserve">01 - ANDAMAN AND NICOBAR ISLANDS </v>
          </cell>
        </row>
        <row r="17">
          <cell r="A17" t="str">
            <v xml:space="preserve">02 - ANDHRA PRADESH </v>
          </cell>
        </row>
        <row r="18">
          <cell r="A18" t="str">
            <v xml:space="preserve">03 - ARUNACHAL PRADESH </v>
          </cell>
        </row>
        <row r="19">
          <cell r="A19" t="str">
            <v xml:space="preserve">04 - ASSAM </v>
          </cell>
        </row>
        <row r="20">
          <cell r="A20" t="str">
            <v xml:space="preserve">05 - BIHAR </v>
          </cell>
        </row>
        <row r="21">
          <cell r="A21" t="str">
            <v xml:space="preserve">06 - CHANDIGARH </v>
          </cell>
        </row>
        <row r="22">
          <cell r="A22" t="str">
            <v xml:space="preserve">07 - DADRA &amp; NAGAR HAVELI </v>
          </cell>
        </row>
        <row r="23">
          <cell r="A23" t="str">
            <v xml:space="preserve">08 - DAMAN &amp; DIU </v>
          </cell>
        </row>
        <row r="24">
          <cell r="A24" t="str">
            <v xml:space="preserve">09 - DELHI </v>
          </cell>
        </row>
        <row r="25">
          <cell r="A25" t="str">
            <v xml:space="preserve">10 - GOA </v>
          </cell>
        </row>
        <row r="26">
          <cell r="A26" t="str">
            <v xml:space="preserve">11 - GUJARAT </v>
          </cell>
        </row>
        <row r="27">
          <cell r="A27" t="str">
            <v xml:space="preserve">12 - HARYANA </v>
          </cell>
        </row>
        <row r="28">
          <cell r="A28" t="str">
            <v xml:space="preserve">13 - HIMACHAL PRADESH </v>
          </cell>
        </row>
        <row r="29">
          <cell r="A29" t="str">
            <v xml:space="preserve">14 - JAMMU &amp; KASHMIR </v>
          </cell>
        </row>
        <row r="30">
          <cell r="A30" t="str">
            <v xml:space="preserve">15 - KARNATAKA </v>
          </cell>
        </row>
        <row r="31">
          <cell r="A31" t="str">
            <v xml:space="preserve">16 - KERALA </v>
          </cell>
        </row>
        <row r="32">
          <cell r="A32" t="str">
            <v xml:space="preserve">17 - LAKHSWADEEP </v>
          </cell>
        </row>
        <row r="33">
          <cell r="A33" t="str">
            <v xml:space="preserve">18 - MADHYA PRADESH </v>
          </cell>
        </row>
        <row r="34">
          <cell r="A34" t="str">
            <v xml:space="preserve">19 - MAHARASHTRA </v>
          </cell>
        </row>
        <row r="35">
          <cell r="A35" t="str">
            <v xml:space="preserve">20 - MANIPUR </v>
          </cell>
        </row>
        <row r="36">
          <cell r="A36" t="str">
            <v xml:space="preserve">21 - MEGHALAYA </v>
          </cell>
        </row>
        <row r="37">
          <cell r="A37" t="str">
            <v xml:space="preserve">22 - MIZORAM </v>
          </cell>
        </row>
        <row r="38">
          <cell r="A38" t="str">
            <v xml:space="preserve">23 - NAGALAND </v>
          </cell>
        </row>
        <row r="39">
          <cell r="A39" t="str">
            <v xml:space="preserve">24 - ORISSA </v>
          </cell>
        </row>
        <row r="40">
          <cell r="A40" t="str">
            <v xml:space="preserve">25 - PONDICHERRY </v>
          </cell>
        </row>
        <row r="41">
          <cell r="A41" t="str">
            <v xml:space="preserve">26 - PUNJAB </v>
          </cell>
        </row>
        <row r="42">
          <cell r="A42" t="str">
            <v xml:space="preserve">27 - RAJASTHAN </v>
          </cell>
        </row>
        <row r="43">
          <cell r="A43" t="str">
            <v xml:space="preserve">28 - SIKKIM </v>
          </cell>
        </row>
        <row r="44">
          <cell r="A44" t="str">
            <v xml:space="preserve">29 - TAMILNADU </v>
          </cell>
        </row>
        <row r="45">
          <cell r="A45" t="str">
            <v xml:space="preserve">30 - TRIPURA </v>
          </cell>
        </row>
        <row r="46">
          <cell r="A46" t="str">
            <v xml:space="preserve">31 - UTTAR PRADESH </v>
          </cell>
        </row>
        <row r="47">
          <cell r="A47" t="str">
            <v xml:space="preserve">32 - WEST BENGAL </v>
          </cell>
        </row>
        <row r="48">
          <cell r="A48" t="str">
            <v xml:space="preserve">33 - CHHATISHGARH </v>
          </cell>
        </row>
        <row r="49">
          <cell r="A49" t="str">
            <v xml:space="preserve">34 - UTTARANCHAL </v>
          </cell>
        </row>
        <row r="50">
          <cell r="A50" t="str">
            <v>35 - JHARKHAND</v>
          </cell>
        </row>
        <row r="56">
          <cell r="A56" t="str">
            <v>11- Sec 139</v>
          </cell>
        </row>
        <row r="57">
          <cell r="A57" t="str">
            <v>12 - Sec 142</v>
          </cell>
        </row>
        <row r="58">
          <cell r="A58" t="str">
            <v>13 - Sec 148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KEC Global  "/>
      <sheetName val="KEC Global Revised Schedule III"/>
      <sheetName val="EXPENSES"/>
      <sheetName val="sum"/>
      <sheetName val="Daily Product Cost Sheet"/>
      <sheetName val="SALES-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>
        <row r="64">
          <cell r="E64">
            <v>0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1. Policy"/>
      <sheetName val="2. Balance Test"/>
      <sheetName val="3. list of samples"/>
      <sheetName val="4. Depreciation Test"/>
      <sheetName val="5. Repairs &amp; Maintenance"/>
      <sheetName val="Tickmarks "/>
      <sheetName val="ﾏﾁｭﾘﾃｨﾗﾀﾞｰ（月次ベース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替"/>
      <sheetName val="EQ海外"/>
      <sheetName val="海外WORK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tnal"/>
      <sheetName val="HONOTES"/>
    </sheetNames>
    <sheetDataSet>
      <sheetData sheetId="0"/>
      <sheetData sheetId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替"/>
      <sheetName val="EQ海外"/>
      <sheetName val="海外WORK"/>
    </sheetNames>
    <sheetDataSet>
      <sheetData sheetId="0"/>
      <sheetData sheetId="1"/>
      <sheetData sheetId="2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"/>
      <sheetName val="Inc.Statment_inputs"/>
      <sheetName val="Bal_Sheet"/>
      <sheetName val="Intangadjst"/>
      <sheetName val="Adjst"/>
      <sheetName val="Nopatop"/>
      <sheetName val="Nopatfin"/>
      <sheetName val="Capop"/>
      <sheetName val="Capfin"/>
      <sheetName val="Capsbs"/>
      <sheetName val="nopatsbs"/>
      <sheetName val="Tax"/>
      <sheetName val="EVA"/>
      <sheetName val="EvaGraph"/>
      <sheetName val="MVA"/>
      <sheetName val="MvaGraph"/>
      <sheetName val="Sumperf"/>
      <sheetName val="SixP"/>
      <sheetName val="CostofCap"/>
      <sheetName val="MBRD"/>
      <sheetName val="Links"/>
      <sheetName val="Lead"/>
      <sheetName val="Debt Qtrwise JB"/>
      <sheetName val="Assum"/>
      <sheetName val="entitlements"/>
      <sheetName val="AANEX-L(TDS)"/>
      <sheetName val="Sheet1"/>
      <sheetName val="LTA"/>
      <sheetName val="MAPSHEET"/>
      <sheetName val="Financials"/>
      <sheetName val="Input"/>
      <sheetName val="b"/>
      <sheetName val="Assumptions"/>
      <sheetName val="Master Price List"/>
      <sheetName val="wwww"/>
      <sheetName val="Control"/>
      <sheetName val="mkg"/>
      <sheetName val="BANK TRANSF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ation"/>
      <sheetName val="DCF Valuation"/>
      <sheetName val="BV Valuation"/>
      <sheetName val="Listed market comparables"/>
      <sheetName val="Earning Capt."/>
      <sheetName val="Cash Flow"/>
      <sheetName val="Consolidated Balance Sheet"/>
      <sheetName val="Current Asset built up"/>
      <sheetName val="Consolidated Profitability "/>
      <sheetName val="Profitability- Sugar"/>
      <sheetName val="Profitability- Power"/>
      <sheetName val="Profitability - Distillery"/>
      <sheetName val="Assumptions- Sugar"/>
      <sheetName val="Assumption- Power"/>
      <sheetName val="Assumption- Distillery"/>
      <sheetName val="Direct Cost attributable"/>
      <sheetName val="Unallocated Common Cost"/>
      <sheetName val="Fixed Assets &amp; Depreciation"/>
      <sheetName val="Term Loan Working"/>
      <sheetName val="Term Loan details"/>
      <sheetName val="IT Working"/>
      <sheetName val="Rat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ation"/>
      <sheetName val="DCF Valuation"/>
      <sheetName val="BV Valuation"/>
      <sheetName val="Listed market comparables"/>
      <sheetName val="Earning Capt."/>
      <sheetName val="Cash Flow"/>
      <sheetName val="Consolidated Balance Sheet"/>
      <sheetName val="Current Asset built up"/>
      <sheetName val="Consolidated Profitability "/>
      <sheetName val="Profitability- Sugar"/>
      <sheetName val="Profitability- Power"/>
      <sheetName val="Profitability - Distillery"/>
      <sheetName val="Assumptions- Sugar"/>
      <sheetName val="Assumption- Power"/>
      <sheetName val="Assumption- Distillery"/>
      <sheetName val="Direct Cost attributable"/>
      <sheetName val="Unallocated Common Cost"/>
      <sheetName val="Fixed Assets &amp; Depreciation"/>
      <sheetName val="Term Loan Working"/>
      <sheetName val="Term Loan details"/>
      <sheetName val="IT Working"/>
      <sheetName val="Rat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Indicators"/>
      <sheetName val="Assum"/>
      <sheetName val="Phasing"/>
      <sheetName val="PC"/>
      <sheetName val="Capex Phasing &amp; financing"/>
      <sheetName val="LC Drawdown"/>
      <sheetName val="Capex Phasing &amp; Fin-RE"/>
      <sheetName val="Addl Capex &amp; Debt"/>
      <sheetName val="TrafficRev"/>
      <sheetName val="CDM"/>
      <sheetName val="RE-Revenue"/>
      <sheetName val="Sheet2"/>
      <sheetName val="Sheet3"/>
      <sheetName val="Opex"/>
      <sheetName val="FA Schedule"/>
      <sheetName val="Deprn"/>
      <sheetName val="ITDeprn"/>
      <sheetName val="Tax"/>
      <sheetName val="P&amp;L"/>
      <sheetName val="Cash Flow"/>
      <sheetName val="BS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Indicators"/>
      <sheetName val="Assum"/>
      <sheetName val="Phasing"/>
      <sheetName val="PC"/>
      <sheetName val="Capex Phasing &amp; financing"/>
      <sheetName val="LC Drawdown"/>
      <sheetName val="Capex Phasing &amp; Fin-RE"/>
      <sheetName val="Addl Capex &amp; Debt"/>
      <sheetName val="TrafficRev"/>
      <sheetName val="CDM"/>
      <sheetName val="RE-Revenue"/>
      <sheetName val="Sheet2"/>
      <sheetName val="Sheet3"/>
      <sheetName val="Opex"/>
      <sheetName val="FA Schedule"/>
      <sheetName val="Deprn"/>
      <sheetName val="ITDeprn"/>
      <sheetName val="Tax"/>
      <sheetName val="P&amp;L"/>
      <sheetName val="Cash Flow"/>
      <sheetName val="BS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ALES"/>
      <sheetName val="BookingregisterNew.rpt"/>
      <sheetName val="NOTES"/>
      <sheetName val="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Inputs"/>
      <sheetName val="Traffic Assumptions"/>
      <sheetName val="Capital Cost"/>
      <sheetName val="JNPT"/>
      <sheetName val="Loan_JNPT"/>
      <sheetName val="BOT"/>
      <sheetName val="Loan_BOT"/>
      <sheetName val="Ratios"/>
      <sheetName val="Scenario Summary 2"/>
      <sheetName val="Sheet1"/>
    </sheetNames>
    <sheetDataSet>
      <sheetData sheetId="0" refreshError="1"/>
      <sheetData sheetId="1"/>
      <sheetData sheetId="2" refreshError="1"/>
      <sheetData sheetId="3">
        <row r="111">
          <cell r="A111" t="str">
            <v>Loan Counter</v>
          </cell>
          <cell r="D111">
            <v>0</v>
          </cell>
          <cell r="E111">
            <v>1</v>
          </cell>
          <cell r="F111">
            <v>2</v>
          </cell>
          <cell r="G111">
            <v>3</v>
          </cell>
          <cell r="H111">
            <v>4</v>
          </cell>
          <cell r="I111">
            <v>5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6</v>
          </cell>
          <cell r="O111">
            <v>6</v>
          </cell>
          <cell r="P111">
            <v>6</v>
          </cell>
          <cell r="Q111">
            <v>6</v>
          </cell>
          <cell r="R111">
            <v>6</v>
          </cell>
          <cell r="S111">
            <v>6</v>
          </cell>
          <cell r="T111">
            <v>6</v>
          </cell>
          <cell r="U111">
            <v>6</v>
          </cell>
          <cell r="V111">
            <v>6</v>
          </cell>
          <cell r="W111">
            <v>6</v>
          </cell>
          <cell r="X111">
            <v>7</v>
          </cell>
          <cell r="Y111">
            <v>7</v>
          </cell>
          <cell r="Z111">
            <v>8</v>
          </cell>
          <cell r="AA111">
            <v>9</v>
          </cell>
          <cell r="AB111">
            <v>9</v>
          </cell>
          <cell r="AC111">
            <v>9</v>
          </cell>
          <cell r="AD111">
            <v>9</v>
          </cell>
          <cell r="AE111">
            <v>9</v>
          </cell>
          <cell r="AF111">
            <v>9</v>
          </cell>
          <cell r="AG111">
            <v>9</v>
          </cell>
          <cell r="AH111">
            <v>9</v>
          </cell>
          <cell r="AI111">
            <v>9</v>
          </cell>
        </row>
      </sheetData>
      <sheetData sheetId="4">
        <row r="7">
          <cell r="A7" t="str">
            <v>Year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S Rec Control Sheet"/>
      <sheetName val="OIPL"/>
      <sheetName val="Questrix"/>
      <sheetName val="CC"/>
      <sheetName val="Journal 1"/>
      <sheetName val="RR"/>
      <sheetName val="Links"/>
      <sheetName val="Lea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3&amp;4 rev"/>
      <sheetName val="m01"/>
      <sheetName val="m02"/>
      <sheetName val="m3&amp;4"/>
      <sheetName val="costsheet"/>
      <sheetName val="m05"/>
      <sheetName val="m05rev"/>
      <sheetName val="m06"/>
      <sheetName val="m7a"/>
      <sheetName val="m7a rev"/>
      <sheetName val="m08"/>
      <sheetName val="M09"/>
      <sheetName val="m10"/>
      <sheetName val="TB "/>
      <sheetName val="m11"/>
      <sheetName val="OUT0999"/>
      <sheetName val="RMCN"/>
      <sheetName val="rm9900"/>
      <sheetName val="notes&amp;cover"/>
      <sheetName val="M6ANAL"/>
      <sheetName val="SALE9900"/>
      <sheetName val="enrg"/>
      <sheetName val="Foil &amp; die"/>
      <sheetName val="Links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&amp; Valuation"/>
      <sheetName val="Summary USD"/>
      <sheetName val="Summary INR"/>
      <sheetName val="Essar Ports Consolidated_USD"/>
      <sheetName val="Essar Ports Consolidated"/>
      <sheetName val="Vadinar Consolidated"/>
      <sheetName val="Hazira"/>
      <sheetName val="Paradip1 Iron ore"/>
      <sheetName val="Salaya"/>
      <sheetName val="Paradip2 Coal"/>
      <sheetName val="EPLHoldco"/>
      <sheetName val="FY12_Numbers"/>
      <sheetName val="Vadinar"/>
      <sheetName val="Vadinar Expansion"/>
      <sheetName val="Vadinar + Vadinar expn"/>
      <sheetName val="Vadinar 3P storage"/>
      <sheetName val="Dollarization assumptions"/>
      <sheetName val="Capex Assump"/>
      <sheetName val="Taxcalculations"/>
      <sheetName val="Concession and COD Assump"/>
      <sheetName val="Exch, Tax, and otherassump"/>
      <sheetName val="Traffic and Revenue assump"/>
      <sheetName val="Opex Assump"/>
      <sheetName val="Debt &amp; Interest Schedules"/>
      <sheetName val="Relative Valuation"/>
      <sheetName val="Internal Accruals"/>
      <sheetName val="VOTL_Facilities_Summary_Dollard"/>
      <sheetName val="VOTL_Facilities_Summary"/>
      <sheetName val="Consolidated"/>
      <sheetName val="Facility-wise work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&amp; Valuation"/>
      <sheetName val="Summary USD"/>
      <sheetName val="Summary INR"/>
      <sheetName val="Essar Ports Consolidated_USD"/>
      <sheetName val="Essar Ports Consolidated"/>
      <sheetName val="Vadinar Consolidated"/>
      <sheetName val="Hazira"/>
      <sheetName val="Paradip1 Iron ore"/>
      <sheetName val="Salaya"/>
      <sheetName val="Paradip2 Coal"/>
      <sheetName val="EPLHoldco"/>
      <sheetName val="FY12_Numbers"/>
      <sheetName val="Vadinar"/>
      <sheetName val="Vadinar Expansion"/>
      <sheetName val="Vadinar + Vadinar expn"/>
      <sheetName val="Vadinar 3P storage"/>
      <sheetName val="Dollarization assumptions"/>
      <sheetName val="Capex Assump"/>
      <sheetName val="Taxcalculations"/>
      <sheetName val="Concession and COD Assump"/>
      <sheetName val="Exch, Tax, and otherassump"/>
      <sheetName val="Traffic and Revenue assump"/>
      <sheetName val="Opex Assump"/>
      <sheetName val="Debt &amp; Interest Schedules"/>
      <sheetName val="Relative Valuation"/>
      <sheetName val="Internal Accruals"/>
      <sheetName val="VOTL_Facilities_Summary_Dollard"/>
      <sheetName val="VOTL_Facilities_Summary"/>
      <sheetName val="Consolidated"/>
      <sheetName val="Facility-wise work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esreqsum"/>
      <sheetName val="cover "/>
      <sheetName val="critical"/>
      <sheetName val="over all s curve"/>
      <sheetName val="ROW STATUS"/>
      <sheetName val="LINKWISE STATUS "/>
      <sheetName val="crossing detailed "/>
      <sheetName val="DETAIL SHEET"/>
      <sheetName val="Progress"/>
      <sheetName val="Const activity list"/>
      <sheetName val="NLD7000-Backup"/>
      <sheetName val="AY-202&amp;270"/>
      <sheetName val="cum"/>
      <sheetName val="SCurv"/>
      <sheetName val="synop"/>
      <sheetName val="ex&amp;mob"/>
      <sheetName val="pi chart"/>
      <sheetName val="IBR (2)"/>
      <sheetName val="NIBR (2)"/>
      <sheetName val="act"/>
      <sheetName val="factors"/>
      <sheetName val="["/>
      <sheetName val="ikonos"/>
      <sheetName val="GRIDDING"/>
      <sheetName val="Digitisation"/>
      <sheetName val="QAQC"/>
      <sheetName val="fIELD SURVEY"/>
      <sheetName val="edgematching"/>
      <sheetName val="Attribute "/>
      <sheetName val="LANDBASE"/>
      <sheetName val="asbuilt drgs"/>
      <sheetName val="ASBUILT GIS LANDBASE"/>
      <sheetName val="CODIFICATION"/>
      <sheetName val="Summary"/>
      <sheetName val="SCURCUM"/>
      <sheetName val="wavelength"/>
      <sheetName val="Input for codification,bandwidt"/>
      <sheetName val="SCUR-PERIOD"/>
      <sheetName val="Engg summary"/>
      <sheetName val="LM ASBLT"/>
      <sheetName val="LM FIBRE"/>
      <sheetName val="ISP "/>
      <sheetName val="MA,CA-ASBLT"/>
      <sheetName val="Sheet5"/>
      <sheetName val="MA,CA-FIBRE"/>
      <sheetName val="S-curve"/>
      <sheetName val="Level 2 mhrs"/>
      <sheetName val="Level 2 deliverables"/>
      <sheetName val="INPUT SHEET"/>
      <sheetName val="Sheet4"/>
      <sheetName val="P3 CITIES MA,CA"/>
      <sheetName val="P3CITIES LM"/>
      <sheetName val="Sheet1"/>
      <sheetName val="AP MA,CA"/>
      <sheetName val="MUMBAI LM"/>
      <sheetName val="CHENNAI MA,CA"/>
      <sheetName val="CHENNAI LM"/>
      <sheetName val="KOL MA,CA"/>
      <sheetName val="KOL LM"/>
      <sheetName val="BLR MA,CA"/>
      <sheetName val="BLR LM"/>
      <sheetName val="HYD MA,CA"/>
      <sheetName val="HYD LM"/>
      <sheetName val="PUNE MA,CA"/>
      <sheetName val="PUNE LM"/>
      <sheetName val="AHD MA,CA"/>
      <sheetName val="AHD LM"/>
      <sheetName val="SURAT MA,CA"/>
      <sheetName val="SURAT LM"/>
      <sheetName val="VAD MA,CA"/>
      <sheetName val="VAD LM"/>
      <sheetName val="City S-curves"/>
      <sheetName val="Interconn updation sheet"/>
      <sheetName val="Intercon s-curves"/>
      <sheetName val="Sheet2"/>
      <sheetName val="Sheet3"/>
      <sheetName val="Mumbai"/>
      <sheetName val="delhi"/>
      <sheetName val="hyd"/>
      <sheetName val="chn"/>
      <sheetName val="blr"/>
      <sheetName val="Sheet10"/>
      <sheetName val="digitisation manpwr"/>
      <sheetName val="field manpwr"/>
      <sheetName val="Temp"/>
      <sheetName val="Cover"/>
      <sheetName val="S Curve"/>
      <sheetName val="Critical Action"/>
      <sheetName val="Liquidation"/>
      <sheetName val="2.00-03 Final Budget"/>
      <sheetName val="Vlookup"/>
      <sheetName val="ecc_res"/>
      <sheetName val="_"/>
      <sheetName val="10-city points"/>
      <sheetName val="Assmpns"/>
      <sheetName val="cover_"/>
      <sheetName val="over_all_s_curve"/>
      <sheetName val="ROW_STATUS"/>
      <sheetName val="LINKWISE_STATUS_"/>
      <sheetName val="crossing_detailed_"/>
      <sheetName val="DETAIL_SHEET"/>
      <sheetName val="Const_activity_list"/>
      <sheetName val="spool"/>
      <sheetName val="Assumptions"/>
      <sheetName val="fco"/>
      <sheetName val="NLD - Assum"/>
      <sheetName val="Const QMS Dash Board"/>
      <sheetName val="cover_1"/>
      <sheetName val="over_all_s_curve1"/>
      <sheetName val="ROW_STATUS1"/>
      <sheetName val="LINKWISE_STATUS_1"/>
      <sheetName val="crossing_detailed_1"/>
      <sheetName val="DETAIL_SHEET1"/>
      <sheetName val="Const_activity_list1"/>
      <sheetName val="pi_chart"/>
      <sheetName val="IBR_(2)"/>
      <sheetName val="NIBR_(2)"/>
      <sheetName val="fIELD_SURVEY"/>
      <sheetName val="Attribute_"/>
      <sheetName val="asbuilt_drgs"/>
      <sheetName val="ASBUILT_GIS_LANDBASE"/>
      <sheetName val="Input_for_codification,bandwidt"/>
      <sheetName val="Engg_summary"/>
      <sheetName val="LM_ASBLT"/>
      <sheetName val="LM_FIBRE"/>
      <sheetName val="ISP_"/>
      <sheetName val="Level_2_mhrs"/>
      <sheetName val="Level_2_deliverables"/>
      <sheetName val="INPUT_SHEET"/>
      <sheetName val="P3_CITIES_MA,CA"/>
      <sheetName val="P3CITIES_LM"/>
      <sheetName val="AP_MA,CA"/>
      <sheetName val="MUMBAI_LM"/>
      <sheetName val="CHENNAI_MA,CA"/>
      <sheetName val="CHENNAI_LM"/>
      <sheetName val="KOL_MA,CA"/>
      <sheetName val="KOL_LM"/>
      <sheetName val="BLR_MA,CA"/>
      <sheetName val="BLR_LM"/>
      <sheetName val="HYD_MA,CA"/>
      <sheetName val="HYD_LM"/>
      <sheetName val="PUNE_MA,CA"/>
      <sheetName val="PUNE_LM"/>
      <sheetName val="AHD_MA,CA"/>
      <sheetName val="AHD_LM"/>
      <sheetName val="SURAT_MA,CA"/>
      <sheetName val="SURAT_LM"/>
      <sheetName val="VAD_MA,CA"/>
      <sheetName val="VAD_LM"/>
      <sheetName val="City_S-curves"/>
      <sheetName val="Interconn_updation_sheet"/>
      <sheetName val="Intercon_s-curves"/>
      <sheetName val="digitisation_manpwr"/>
      <sheetName val="field_manpwr"/>
      <sheetName val="S_Curve"/>
      <sheetName val="Critical_Action"/>
      <sheetName val="2_00-03_Final_Budget"/>
      <sheetName val="10-city_points"/>
      <sheetName val="NLD_-_Assum"/>
      <sheetName val="Factors-overall"/>
      <sheetName val="Quantity"/>
      <sheetName val="A6"/>
      <sheetName val="General inputs"/>
      <sheetName val="FORM7"/>
      <sheetName val="Input"/>
      <sheetName val="Const_QMS_Dash_Board"/>
      <sheetName val="COVER SHEET"/>
      <sheetName val="R0 DATA1"/>
      <sheetName val="TERMSHEET"/>
      <sheetName val="SOFTDATA"/>
      <sheetName val="SHEET"/>
      <sheetName val="LAND SPEC"/>
      <sheetName val="TRAFFIC COUNTS"/>
      <sheetName val="QUALITATIVE DETAILS"/>
      <sheetName val="SEZ -S CURVE"/>
      <sheetName val="MFG_TAG"/>
      <sheetName val="General_inputs"/>
      <sheetName val="cover_2"/>
      <sheetName val="over_all_s_curve2"/>
      <sheetName val="ROW_STATUS2"/>
      <sheetName val="LINKWISE_STATUS_2"/>
      <sheetName val="crossing_detailed_2"/>
      <sheetName val="DETAIL_SHEET2"/>
      <sheetName val="Const_activity_list2"/>
      <sheetName val="fIELD_SURVEY1"/>
      <sheetName val="Attribute_1"/>
      <sheetName val="asbuilt_drgs1"/>
      <sheetName val="ASBUILT_GIS_LANDBASE1"/>
      <sheetName val="Input_for_codification,bandwid1"/>
      <sheetName val="Engg_summary1"/>
      <sheetName val="LM_ASBLT1"/>
      <sheetName val="LM_FIBRE1"/>
      <sheetName val="ISP_1"/>
      <sheetName val="Level_2_mhrs1"/>
      <sheetName val="Level_2_deliverables1"/>
      <sheetName val="INPUT_SHEET1"/>
      <sheetName val="P3_CITIES_MA,CA1"/>
      <sheetName val="P3CITIES_LM1"/>
      <sheetName val="AP_MA,CA1"/>
      <sheetName val="MUMBAI_LM1"/>
      <sheetName val="CHENNAI_MA,CA1"/>
      <sheetName val="CHENNAI_LM1"/>
      <sheetName val="KOL_MA,CA1"/>
      <sheetName val="KOL_LM1"/>
      <sheetName val="BLR_MA,CA1"/>
      <sheetName val="BLR_LM1"/>
      <sheetName val="HYD_MA,CA1"/>
      <sheetName val="HYD_LM1"/>
      <sheetName val="PUNE_MA,CA1"/>
      <sheetName val="PUNE_LM1"/>
      <sheetName val="AHD_MA,CA1"/>
      <sheetName val="AHD_LM1"/>
      <sheetName val="SURAT_MA,CA1"/>
      <sheetName val="SURAT_LM1"/>
      <sheetName val="VAD_MA,CA1"/>
      <sheetName val="VAD_LM1"/>
      <sheetName val="City_S-curves1"/>
      <sheetName val="Interconn_updation_sheet1"/>
      <sheetName val="Intercon_s-curves1"/>
      <sheetName val="General_inputs1"/>
      <sheetName val="cover_3"/>
      <sheetName val="over_all_s_curve3"/>
      <sheetName val="ROW_STATUS3"/>
      <sheetName val="LINKWISE_STATUS_3"/>
      <sheetName val="crossing_detailed_3"/>
      <sheetName val="DETAIL_SHEET3"/>
      <sheetName val="Const_activity_list3"/>
      <sheetName val="fIELD_SURVEY2"/>
      <sheetName val="Attribute_2"/>
      <sheetName val="asbuilt_drgs2"/>
      <sheetName val="ASBUILT_GIS_LANDBASE2"/>
      <sheetName val="Input_for_codification,bandwid2"/>
      <sheetName val="Engg_summary2"/>
      <sheetName val="LM_ASBLT2"/>
      <sheetName val="LM_FIBRE2"/>
      <sheetName val="ISP_2"/>
      <sheetName val="Level_2_mhrs2"/>
      <sheetName val="Level_2_deliverables2"/>
      <sheetName val="INPUT_SHEET2"/>
      <sheetName val="P3_CITIES_MA,CA2"/>
      <sheetName val="P3CITIES_LM2"/>
      <sheetName val="AP_MA,CA2"/>
      <sheetName val="MUMBAI_LM2"/>
      <sheetName val="CHENNAI_MA,CA2"/>
      <sheetName val="CHENNAI_LM2"/>
      <sheetName val="KOL_MA,CA2"/>
      <sheetName val="KOL_LM2"/>
      <sheetName val="BLR_MA,CA2"/>
      <sheetName val="BLR_LM2"/>
      <sheetName val="HYD_MA,CA2"/>
      <sheetName val="HYD_LM2"/>
      <sheetName val="PUNE_MA,CA2"/>
      <sheetName val="PUNE_LM2"/>
      <sheetName val="AHD_MA,CA2"/>
      <sheetName val="AHD_LM2"/>
      <sheetName val="SURAT_MA,CA2"/>
      <sheetName val="SURAT_LM2"/>
      <sheetName val="VAD_MA,CA2"/>
      <sheetName val="VAD_LM2"/>
      <sheetName val="City_S-curves2"/>
      <sheetName val="Interconn_updation_sheet2"/>
      <sheetName val="Intercon_s-curves2"/>
      <sheetName val="General_inputs2"/>
      <sheetName val="TAX"/>
      <sheetName val="NAV"/>
      <sheetName val="CRUDNAME"/>
      <sheetName val="FINAL SHEET"/>
      <sheetName val="Parameters"/>
      <sheetName val="LOCAL RATES"/>
      <sheetName val="Project Budget Worksheet"/>
      <sheetName val="Builtup Area"/>
      <sheetName val="MHR"/>
      <sheetName val="3MLKQ"/>
      <sheetName val="Back up"/>
      <sheetName val="EXPLOT AGUA PVC"/>
      <sheetName val="pi_chart2"/>
      <sheetName val="IBR_(2)2"/>
      <sheetName val="NIBR_(2)2"/>
      <sheetName val="2_00-03_Final_Budget2"/>
      <sheetName val="digitisation_manpwr2"/>
      <sheetName val="field_manpwr2"/>
      <sheetName val="S_Curve2"/>
      <sheetName val="Critical_Action2"/>
      <sheetName val="10-city_points2"/>
      <sheetName val="NLD_-_Assum2"/>
      <sheetName val="Const_QMS_Dash_Board2"/>
      <sheetName val="COVER_SHEET1"/>
      <sheetName val="R0_DATA11"/>
      <sheetName val="LAND_SPEC1"/>
      <sheetName val="TRAFFIC_COUNTS1"/>
      <sheetName val="QUALITATIVE_DETAILS1"/>
      <sheetName val="SEZ_-S_CURVE1"/>
      <sheetName val="pi_chart1"/>
      <sheetName val="IBR_(2)1"/>
      <sheetName val="NIBR_(2)1"/>
      <sheetName val="2_00-03_Final_Budget1"/>
      <sheetName val="digitisation_manpwr1"/>
      <sheetName val="field_manpwr1"/>
      <sheetName val="S_Curve1"/>
      <sheetName val="Critical_Action1"/>
      <sheetName val="10-city_points1"/>
      <sheetName val="NLD_-_Assum1"/>
      <sheetName val="Const_QMS_Dash_Board1"/>
      <sheetName val="COVER_SHEET"/>
      <sheetName val="R0_DATA1"/>
      <sheetName val="LAND_SPEC"/>
      <sheetName val="TRAFFIC_COUNTS"/>
      <sheetName val="QUALITATIVE_DETAILS"/>
      <sheetName val="SEZ_-S_CURVE"/>
      <sheetName val="RFE SITES"/>
      <sheetName val="DIS"/>
      <sheetName val="2005-06"/>
      <sheetName val="3.Grouping - Profit &amp; Loss(mio)"/>
      <sheetName val="PyrllDeduc"/>
      <sheetName val="Pivot2"/>
      <sheetName val="MIFOR- MTM"/>
      <sheetName val="Master Price List"/>
      <sheetName val="ALL-IBANK-BRS"/>
      <sheetName val="IRU_Pivot"/>
      <sheetName val="LEA_Pivot"/>
      <sheetName val="Slopes"/>
      <sheetName val="P&amp;M"/>
      <sheetName val="Labour"/>
      <sheetName val="MAchinery(R1)"/>
      <sheetName val="Materials "/>
      <sheetName val="Sheet2 (2)"/>
      <sheetName val="Intaccrual"/>
      <sheetName val="Project_Data_File"/>
      <sheetName val="BHIT_hrs_dd"/>
      <sheetName val="Users Authorisations"/>
      <sheetName val="Control"/>
      <sheetName val="PPG_MOB2"/>
      <sheetName val="Discount &amp; Margin"/>
      <sheetName val="Invested capital_VDF"/>
      <sheetName val="WACC_VDF"/>
      <sheetName val="cover_4"/>
      <sheetName val="over_all_s_curve4"/>
      <sheetName val="ROW_STATUS4"/>
      <sheetName val="LINKWISE_STATUS_4"/>
      <sheetName val="crossing_detailed_4"/>
      <sheetName val="DETAIL_SHEET4"/>
      <sheetName val="Const_activity_list4"/>
      <sheetName val="fIELD_SURVEY3"/>
      <sheetName val="Attribute_3"/>
      <sheetName val="asbuilt_drgs3"/>
      <sheetName val="ASBUILT_GIS_LANDBASE3"/>
      <sheetName val="Input_for_codification,bandwid3"/>
      <sheetName val="Engg_summary3"/>
      <sheetName val="LM_ASBLT3"/>
      <sheetName val="LM_FIBRE3"/>
      <sheetName val="ISP_3"/>
      <sheetName val="Level_2_mhrs3"/>
      <sheetName val="Level_2_deliverables3"/>
      <sheetName val="INPUT_SHEET3"/>
      <sheetName val="P3_CITIES_MA,CA3"/>
      <sheetName val="P3CITIES_LM3"/>
      <sheetName val="AP_MA,CA3"/>
      <sheetName val="MUMBAI_LM3"/>
      <sheetName val="CHENNAI_MA,CA3"/>
      <sheetName val="CHENNAI_LM3"/>
      <sheetName val="KOL_MA,CA3"/>
      <sheetName val="KOL_LM3"/>
      <sheetName val="BLR_MA,CA3"/>
      <sheetName val="BLR_LM3"/>
      <sheetName val="HYD_MA,CA3"/>
      <sheetName val="HYD_LM3"/>
      <sheetName val="PUNE_MA,CA3"/>
      <sheetName val="PUNE_LM3"/>
      <sheetName val="AHD_MA,CA3"/>
      <sheetName val="AHD_LM3"/>
      <sheetName val="SURAT_MA,CA3"/>
      <sheetName val="SURAT_LM3"/>
      <sheetName val="VAD_MA,CA3"/>
      <sheetName val="VAD_LM3"/>
      <sheetName val="City_S-curves3"/>
      <sheetName val="Interconn_updation_sheet3"/>
      <sheetName val="Intercon_s-curves3"/>
      <sheetName val="General_inputs3"/>
      <sheetName val="Master_Price_List"/>
      <sheetName val="cover_5"/>
      <sheetName val="over_all_s_curve5"/>
      <sheetName val="ROW_STATUS5"/>
      <sheetName val="LINKWISE_STATUS_5"/>
      <sheetName val="crossing_detailed_5"/>
      <sheetName val="DETAIL_SHEET5"/>
      <sheetName val="Const_activity_list5"/>
      <sheetName val="fIELD_SURVEY4"/>
      <sheetName val="Attribute_4"/>
      <sheetName val="asbuilt_drgs4"/>
      <sheetName val="ASBUILT_GIS_LANDBASE4"/>
      <sheetName val="Input_for_codification,bandwid4"/>
      <sheetName val="Engg_summary4"/>
      <sheetName val="LM_ASBLT4"/>
      <sheetName val="LM_FIBRE4"/>
      <sheetName val="ISP_4"/>
      <sheetName val="Level_2_mhrs4"/>
      <sheetName val="Level_2_deliverables4"/>
      <sheetName val="INPUT_SHEET4"/>
      <sheetName val="P3_CITIES_MA,CA4"/>
      <sheetName val="P3CITIES_LM4"/>
      <sheetName val="AP_MA,CA4"/>
      <sheetName val="MUMBAI_LM4"/>
      <sheetName val="CHENNAI_MA,CA4"/>
      <sheetName val="CHENNAI_LM4"/>
      <sheetName val="KOL_MA,CA4"/>
      <sheetName val="KOL_LM4"/>
      <sheetName val="BLR_MA,CA4"/>
      <sheetName val="BLR_LM4"/>
      <sheetName val="HYD_MA,CA4"/>
      <sheetName val="HYD_LM4"/>
      <sheetName val="PUNE_MA,CA4"/>
      <sheetName val="PUNE_LM4"/>
      <sheetName val="AHD_MA,CA4"/>
      <sheetName val="AHD_LM4"/>
      <sheetName val="SURAT_MA,CA4"/>
      <sheetName val="SURAT_LM4"/>
      <sheetName val="VAD_MA,CA4"/>
      <sheetName val="VAD_LM4"/>
      <sheetName val="City_S-curves4"/>
      <sheetName val="Interconn_updation_sheet4"/>
      <sheetName val="Intercon_s-curves4"/>
      <sheetName val="General_inputs4"/>
      <sheetName val="Master_Price_List1"/>
      <sheetName val="cover_6"/>
      <sheetName val="over_all_s_curve6"/>
      <sheetName val="ROW_STATUS6"/>
      <sheetName val="LINKWISE_STATUS_6"/>
      <sheetName val="crossing_detailed_6"/>
      <sheetName val="DETAIL_SHEET6"/>
      <sheetName val="Const_activity_list6"/>
      <sheetName val="fIELD_SURVEY5"/>
      <sheetName val="Attribute_5"/>
      <sheetName val="asbuilt_drgs5"/>
      <sheetName val="ASBUILT_GIS_LANDBASE5"/>
      <sheetName val="Input_for_codification,bandwid5"/>
      <sheetName val="Engg_summary5"/>
      <sheetName val="LM_ASBLT5"/>
      <sheetName val="LM_FIBRE5"/>
      <sheetName val="ISP_5"/>
      <sheetName val="Level_2_mhrs5"/>
      <sheetName val="Level_2_deliverables5"/>
      <sheetName val="INPUT_SHEET5"/>
      <sheetName val="P3_CITIES_MA,CA5"/>
      <sheetName val="P3CITIES_LM5"/>
      <sheetName val="AP_MA,CA5"/>
      <sheetName val="MUMBAI_LM5"/>
      <sheetName val="CHENNAI_MA,CA5"/>
      <sheetName val="CHENNAI_LM5"/>
      <sheetName val="KOL_MA,CA5"/>
      <sheetName val="KOL_LM5"/>
      <sheetName val="BLR_MA,CA5"/>
      <sheetName val="BLR_LM5"/>
      <sheetName val="HYD_MA,CA5"/>
      <sheetName val="HYD_LM5"/>
      <sheetName val="PUNE_MA,CA5"/>
      <sheetName val="PUNE_LM5"/>
      <sheetName val="AHD_MA,CA5"/>
      <sheetName val="AHD_LM5"/>
      <sheetName val="SURAT_MA,CA5"/>
      <sheetName val="SURAT_LM5"/>
      <sheetName val="VAD_MA,CA5"/>
      <sheetName val="VAD_LM5"/>
      <sheetName val="City_S-curves5"/>
      <sheetName val="Interconn_updation_sheet5"/>
      <sheetName val="Intercon_s-curves5"/>
      <sheetName val="General_inputs5"/>
      <sheetName val="Master_Price_List2"/>
      <sheetName val="cover_7"/>
      <sheetName val="over_all_s_curve7"/>
      <sheetName val="ROW_STATUS7"/>
      <sheetName val="LINKWISE_STATUS_7"/>
      <sheetName val="crossing_detailed_7"/>
      <sheetName val="DETAIL_SHEET7"/>
      <sheetName val="Const_activity_list7"/>
      <sheetName val="fIELD_SURVEY6"/>
      <sheetName val="Attribute_6"/>
      <sheetName val="asbuilt_drgs6"/>
      <sheetName val="ASBUILT_GIS_LANDBASE6"/>
      <sheetName val="Input_for_codification,bandwid6"/>
      <sheetName val="Engg_summary6"/>
      <sheetName val="LM_ASBLT6"/>
      <sheetName val="LM_FIBRE6"/>
      <sheetName val="ISP_6"/>
      <sheetName val="Level_2_mhrs6"/>
      <sheetName val="Level_2_deliverables6"/>
      <sheetName val="INPUT_SHEET6"/>
      <sheetName val="P3_CITIES_MA,CA6"/>
      <sheetName val="P3CITIES_LM6"/>
      <sheetName val="AP_MA,CA6"/>
      <sheetName val="MUMBAI_LM6"/>
      <sheetName val="CHENNAI_MA,CA6"/>
      <sheetName val="CHENNAI_LM6"/>
      <sheetName val="KOL_MA,CA6"/>
      <sheetName val="KOL_LM6"/>
      <sheetName val="BLR_MA,CA6"/>
      <sheetName val="BLR_LM6"/>
      <sheetName val="HYD_MA,CA6"/>
      <sheetName val="HYD_LM6"/>
      <sheetName val="PUNE_MA,CA6"/>
      <sheetName val="PUNE_LM6"/>
      <sheetName val="AHD_MA,CA6"/>
      <sheetName val="AHD_LM6"/>
      <sheetName val="SURAT_MA,CA6"/>
      <sheetName val="SURAT_LM6"/>
      <sheetName val="VAD_MA,CA6"/>
      <sheetName val="VAD_LM6"/>
      <sheetName val="City_S-curves6"/>
      <sheetName val="Interconn_updation_sheet6"/>
      <sheetName val="Intercon_s-curves6"/>
      <sheetName val="General_inputs6"/>
      <sheetName val="pi_chart3"/>
      <sheetName val="IBR_(2)3"/>
      <sheetName val="NIBR_(2)3"/>
      <sheetName val="Master_Price_List3"/>
      <sheetName val="2_00-03_Final_Budget3"/>
      <sheetName val="digitisation_manpwr3"/>
      <sheetName val="field_manpwr3"/>
      <sheetName val="S_Curve3"/>
      <sheetName val="Critical_Action3"/>
      <sheetName val="10-city_points3"/>
      <sheetName val="NLD_-_Assum3"/>
      <sheetName val="Const_QMS_Dash_Board3"/>
      <sheetName val="cover_8"/>
      <sheetName val="over_all_s_curve8"/>
      <sheetName val="ROW_STATUS8"/>
      <sheetName val="LINKWISE_STATUS_8"/>
      <sheetName val="crossing_detailed_8"/>
      <sheetName val="DETAIL_SHEET8"/>
      <sheetName val="Const_activity_list8"/>
      <sheetName val="fIELD_SURVEY7"/>
      <sheetName val="Attribute_7"/>
      <sheetName val="asbuilt_drgs7"/>
      <sheetName val="ASBUILT_GIS_LANDBASE7"/>
      <sheetName val="Input_for_codification,bandwid7"/>
      <sheetName val="Engg_summary7"/>
      <sheetName val="LM_ASBLT7"/>
      <sheetName val="LM_FIBRE7"/>
      <sheetName val="ISP_7"/>
      <sheetName val="Level_2_mhrs7"/>
      <sheetName val="Level_2_deliverables7"/>
      <sheetName val="INPUT_SHEET7"/>
      <sheetName val="P3_CITIES_MA,CA7"/>
      <sheetName val="P3CITIES_LM7"/>
      <sheetName val="AP_MA,CA7"/>
      <sheetName val="MUMBAI_LM7"/>
      <sheetName val="CHENNAI_MA,CA7"/>
      <sheetName val="CHENNAI_LM7"/>
      <sheetName val="KOL_MA,CA7"/>
      <sheetName val="KOL_LM7"/>
      <sheetName val="BLR_MA,CA7"/>
      <sheetName val="BLR_LM7"/>
      <sheetName val="HYD_MA,CA7"/>
      <sheetName val="HYD_LM7"/>
      <sheetName val="PUNE_MA,CA7"/>
      <sheetName val="PUNE_LM7"/>
      <sheetName val="AHD_MA,CA7"/>
      <sheetName val="AHD_LM7"/>
      <sheetName val="SURAT_MA,CA7"/>
      <sheetName val="SURAT_LM7"/>
      <sheetName val="VAD_MA,CA7"/>
      <sheetName val="VAD_LM7"/>
      <sheetName val="City_S-curves7"/>
      <sheetName val="Interconn_updation_sheet7"/>
      <sheetName val="Intercon_s-curves7"/>
      <sheetName val="General_inputs7"/>
      <sheetName val="pi_chart4"/>
      <sheetName val="IBR_(2)4"/>
      <sheetName val="NIBR_(2)4"/>
      <sheetName val="Master_Price_List4"/>
      <sheetName val="2_00-03_Final_Budget4"/>
      <sheetName val="digitisation_manpwr4"/>
      <sheetName val="field_manpwr4"/>
      <sheetName val="S_Curve4"/>
      <sheetName val="Critical_Action4"/>
      <sheetName val="10-city_points4"/>
      <sheetName val="NLD_-_Assum4"/>
      <sheetName val="Const_QMS_Dash_Board4"/>
      <sheetName val="cover_9"/>
      <sheetName val="over_all_s_curve9"/>
      <sheetName val="ROW_STATUS9"/>
      <sheetName val="LINKWISE_STATUS_9"/>
      <sheetName val="crossing_detailed_9"/>
      <sheetName val="DETAIL_SHEET9"/>
      <sheetName val="Const_activity_list9"/>
      <sheetName val="fIELD_SURVEY8"/>
      <sheetName val="Attribute_8"/>
      <sheetName val="asbuilt_drgs8"/>
      <sheetName val="ASBUILT_GIS_LANDBASE8"/>
      <sheetName val="Input_for_codification,bandwid8"/>
      <sheetName val="Engg_summary8"/>
      <sheetName val="LM_ASBLT8"/>
      <sheetName val="LM_FIBRE8"/>
      <sheetName val="ISP_8"/>
      <sheetName val="Level_2_mhrs8"/>
      <sheetName val="Level_2_deliverables8"/>
      <sheetName val="INPUT_SHEET8"/>
      <sheetName val="P3_CITIES_MA,CA8"/>
      <sheetName val="P3CITIES_LM8"/>
      <sheetName val="AP_MA,CA8"/>
      <sheetName val="MUMBAI_LM8"/>
      <sheetName val="CHENNAI_MA,CA8"/>
      <sheetName val="CHENNAI_LM8"/>
      <sheetName val="KOL_MA,CA8"/>
      <sheetName val="KOL_LM8"/>
      <sheetName val="BLR_MA,CA8"/>
      <sheetName val="BLR_LM8"/>
      <sheetName val="HYD_MA,CA8"/>
      <sheetName val="HYD_LM8"/>
      <sheetName val="PUNE_MA,CA8"/>
      <sheetName val="PUNE_LM8"/>
      <sheetName val="AHD_MA,CA8"/>
      <sheetName val="AHD_LM8"/>
      <sheetName val="SURAT_MA,CA8"/>
      <sheetName val="SURAT_LM8"/>
      <sheetName val="VAD_MA,CA8"/>
      <sheetName val="VAD_LM8"/>
      <sheetName val="City_S-curves8"/>
      <sheetName val="Interconn_updation_sheet8"/>
      <sheetName val="Intercon_s-curves8"/>
      <sheetName val="General_inputs8"/>
      <sheetName val="pi_chart5"/>
      <sheetName val="IBR_(2)5"/>
      <sheetName val="NIBR_(2)5"/>
      <sheetName val="Master_Price_List5"/>
      <sheetName val="2_00-03_Final_Budget5"/>
      <sheetName val="digitisation_manpwr5"/>
      <sheetName val="field_manpwr5"/>
      <sheetName val="S_Curve5"/>
      <sheetName val="Critical_Action5"/>
      <sheetName val="10-city_points5"/>
      <sheetName val="NLD_-_Assum5"/>
      <sheetName val="Const_QMS_Dash_Board5"/>
      <sheetName val="cover_10"/>
      <sheetName val="over_all_s_curve10"/>
      <sheetName val="ROW_STATUS10"/>
      <sheetName val="LINKWISE_STATUS_10"/>
      <sheetName val="crossing_detailed_10"/>
      <sheetName val="DETAIL_SHEET10"/>
      <sheetName val="Const_activity_list10"/>
      <sheetName val="fIELD_SURVEY9"/>
      <sheetName val="Attribute_9"/>
      <sheetName val="asbuilt_drgs9"/>
      <sheetName val="ASBUILT_GIS_LANDBASE9"/>
      <sheetName val="Input_for_codification,bandwid9"/>
      <sheetName val="Engg_summary9"/>
      <sheetName val="LM_ASBLT9"/>
      <sheetName val="LM_FIBRE9"/>
      <sheetName val="ISP_9"/>
      <sheetName val="Level_2_mhrs9"/>
      <sheetName val="Level_2_deliverables9"/>
      <sheetName val="INPUT_SHEET9"/>
      <sheetName val="P3_CITIES_MA,CA9"/>
      <sheetName val="P3CITIES_LM9"/>
      <sheetName val="AP_MA,CA9"/>
      <sheetName val="MUMBAI_LM9"/>
      <sheetName val="CHENNAI_MA,CA9"/>
      <sheetName val="CHENNAI_LM9"/>
      <sheetName val="KOL_MA,CA9"/>
      <sheetName val="KOL_LM9"/>
      <sheetName val="BLR_MA,CA9"/>
      <sheetName val="BLR_LM9"/>
      <sheetName val="HYD_MA,CA9"/>
      <sheetName val="HYD_LM9"/>
      <sheetName val="PUNE_MA,CA9"/>
      <sheetName val="PUNE_LM9"/>
      <sheetName val="AHD_MA,CA9"/>
      <sheetName val="AHD_LM9"/>
      <sheetName val="SURAT_MA,CA9"/>
      <sheetName val="SURAT_LM9"/>
      <sheetName val="VAD_MA,CA9"/>
      <sheetName val="VAD_LM9"/>
      <sheetName val="City_S-curves9"/>
      <sheetName val="Interconn_updation_sheet9"/>
      <sheetName val="Intercon_s-curves9"/>
      <sheetName val="General_inputs9"/>
      <sheetName val="pi_chart6"/>
      <sheetName val="IBR_(2)6"/>
      <sheetName val="NIBR_(2)6"/>
      <sheetName val="Master_Price_List6"/>
      <sheetName val="2_00-03_Final_Budget6"/>
      <sheetName val="digitisation_manpwr6"/>
      <sheetName val="field_manpwr6"/>
      <sheetName val="S_Curve6"/>
      <sheetName val="Critical_Action6"/>
      <sheetName val="10-city_points6"/>
      <sheetName val="NLD_-_Assum6"/>
      <sheetName val="Const_QMS_Dash_Board6"/>
      <sheetName val="Invested_capital_VDF"/>
      <sheetName val="Users_Authorisations"/>
      <sheetName val="cover_11"/>
      <sheetName val="over_all_s_curve11"/>
      <sheetName val="ROW_STATUS11"/>
      <sheetName val="LINKWISE_STATUS_11"/>
      <sheetName val="crossing_detailed_11"/>
      <sheetName val="DETAIL_SHEET11"/>
      <sheetName val="Const_activity_list11"/>
      <sheetName val="fIELD_SURVEY10"/>
      <sheetName val="Attribute_10"/>
      <sheetName val="asbuilt_drgs10"/>
      <sheetName val="ASBUILT_GIS_LANDBASE10"/>
      <sheetName val="Input_for_codification,bandwi10"/>
      <sheetName val="Engg_summary10"/>
      <sheetName val="LM_ASBLT10"/>
      <sheetName val="LM_FIBRE10"/>
      <sheetName val="ISP_10"/>
      <sheetName val="Level_2_mhrs10"/>
      <sheetName val="Level_2_deliverables10"/>
      <sheetName val="INPUT_SHEET10"/>
      <sheetName val="P3_CITIES_MA,CA10"/>
      <sheetName val="P3CITIES_LM10"/>
      <sheetName val="AP_MA,CA10"/>
      <sheetName val="MUMBAI_LM10"/>
      <sheetName val="CHENNAI_MA,CA10"/>
      <sheetName val="CHENNAI_LM10"/>
      <sheetName val="KOL_MA,CA10"/>
      <sheetName val="KOL_LM10"/>
      <sheetName val="BLR_MA,CA10"/>
      <sheetName val="BLR_LM10"/>
      <sheetName val="HYD_MA,CA10"/>
      <sheetName val="HYD_LM10"/>
      <sheetName val="PUNE_MA,CA10"/>
      <sheetName val="PUNE_LM10"/>
      <sheetName val="AHD_MA,CA10"/>
      <sheetName val="AHD_LM10"/>
      <sheetName val="SURAT_MA,CA10"/>
      <sheetName val="SURAT_LM10"/>
      <sheetName val="VAD_MA,CA10"/>
      <sheetName val="VAD_LM10"/>
      <sheetName val="City_S-curves10"/>
      <sheetName val="Interconn_updation_sheet10"/>
      <sheetName val="Intercon_s-curves10"/>
      <sheetName val="General_inputs10"/>
      <sheetName val="pi_chart7"/>
      <sheetName val="IBR_(2)7"/>
      <sheetName val="NIBR_(2)7"/>
      <sheetName val="Master_Price_List7"/>
      <sheetName val="2_00-03_Final_Budget7"/>
      <sheetName val="digitisation_manpwr7"/>
      <sheetName val="field_manpwr7"/>
      <sheetName val="S_Curve7"/>
      <sheetName val="Critical_Action7"/>
      <sheetName val="10-city_points7"/>
      <sheetName val="NLD_-_Assum7"/>
      <sheetName val="Const_QMS_Dash_Board7"/>
      <sheetName val="Invested_capital_VDF1"/>
      <sheetName val="Users_Authorisations1"/>
      <sheetName val="DATA"/>
      <sheetName val="Detail"/>
      <sheetName val="data.exp"/>
      <sheetName val="data_exp"/>
      <sheetName val="data_exp1"/>
      <sheetName val="data_exp2"/>
      <sheetName val="data_exp3"/>
      <sheetName val="data_exp4"/>
      <sheetName val="data_exp5"/>
      <sheetName val="data_exp6"/>
      <sheetName val="data_exp7"/>
      <sheetName val="cover_12"/>
      <sheetName val="over_all_s_curve12"/>
      <sheetName val="ROW_STATUS12"/>
      <sheetName val="LINKWISE_STATUS_12"/>
      <sheetName val="crossing_detailed_12"/>
      <sheetName val="DETAIL_SHEET12"/>
      <sheetName val="Const_activity_list12"/>
      <sheetName val="pi_chart8"/>
      <sheetName val="IBR_(2)8"/>
      <sheetName val="NIBR_(2)8"/>
      <sheetName val="fIELD_SURVEY11"/>
      <sheetName val="Attribute_11"/>
      <sheetName val="asbuilt_drgs11"/>
      <sheetName val="ASBUILT_GIS_LANDBASE11"/>
      <sheetName val="Input_for_codification,bandwi11"/>
      <sheetName val="Engg_summary11"/>
      <sheetName val="LM_ASBLT11"/>
      <sheetName val="LM_FIBRE11"/>
      <sheetName val="ISP_11"/>
      <sheetName val="Level_2_mhrs11"/>
      <sheetName val="Level_2_deliverables11"/>
      <sheetName val="INPUT_SHEET11"/>
      <sheetName val="P3_CITIES_MA,CA11"/>
      <sheetName val="P3CITIES_LM11"/>
      <sheetName val="AP_MA,CA11"/>
      <sheetName val="MUMBAI_LM11"/>
      <sheetName val="CHENNAI_MA,CA11"/>
      <sheetName val="CHENNAI_LM11"/>
      <sheetName val="KOL_MA,CA11"/>
      <sheetName val="KOL_LM11"/>
      <sheetName val="BLR_MA,CA11"/>
      <sheetName val="BLR_LM11"/>
      <sheetName val="HYD_MA,CA11"/>
      <sheetName val="HYD_LM11"/>
      <sheetName val="PUNE_MA,CA11"/>
      <sheetName val="PUNE_LM11"/>
      <sheetName val="AHD_MA,CA11"/>
      <sheetName val="AHD_LM11"/>
      <sheetName val="SURAT_MA,CA11"/>
      <sheetName val="SURAT_LM11"/>
      <sheetName val="VAD_MA,CA11"/>
      <sheetName val="VAD_LM11"/>
      <sheetName val="City_S-curves11"/>
      <sheetName val="Interconn_updation_sheet11"/>
      <sheetName val="Intercon_s-curves11"/>
      <sheetName val="digitisation_manpwr8"/>
      <sheetName val="field_manpwr8"/>
      <sheetName val="S_Curve8"/>
      <sheetName val="Critical_Action8"/>
      <sheetName val="2_00-03_Final_Budget8"/>
      <sheetName val="10-city_points8"/>
      <sheetName val="NLD_-_Assum8"/>
      <sheetName val="Const_QMS_Dash_Board8"/>
      <sheetName val="General_inputs11"/>
      <sheetName val="COVER_SHEET2"/>
      <sheetName val="R0_DATA12"/>
      <sheetName val="LAND_SPEC2"/>
      <sheetName val="TRAFFIC_COUNTS2"/>
      <sheetName val="QUALITATIVE_DETAILS2"/>
      <sheetName val="SEZ_-S_CURVE2"/>
      <sheetName val="FINAL_SHEET"/>
      <sheetName val="Back_up"/>
      <sheetName val="LOCAL_RATES"/>
      <sheetName val="Project_Budget_Worksheet"/>
      <sheetName val="Builtup_Area"/>
      <sheetName val="EXPLOT_AGUA_PVC"/>
      <sheetName val="RFE_SITES"/>
      <sheetName val="3_Grouping_-_Profit_&amp;_Loss(mio)"/>
      <sheetName val="Users_Authorisations2"/>
      <sheetName val="Discount_&amp;_Margin"/>
      <sheetName val="Master_Price_List8"/>
      <sheetName val="Invested_capital_VDF2"/>
      <sheetName val="New May"/>
      <sheetName val="D-623D"/>
      <sheetName val="Man-Plan Forecast"/>
      <sheetName val="A"/>
      <sheetName val="worksheet"/>
      <sheetName val="Bspl Main"/>
      <sheetName val="OpTrack"/>
      <sheetName val="Coversheet"/>
      <sheetName val="VEN"/>
      <sheetName val="Aladdin Macro1"/>
      <sheetName val="Employee Master"/>
      <sheetName val="B"/>
      <sheetName val="Ãhty S-curves"/>
      <sheetName val="Kumbai"/>
      <sheetName val="RCTL-SCH"/>
      <sheetName val="COMPARISON"/>
      <sheetName val="Sales"/>
      <sheetName val="Clause 9"/>
      <sheetName val="Design"/>
      <sheetName val="dBase"/>
      <sheetName val="drop-dwn list"/>
      <sheetName val="CPC Cost - By Site"/>
      <sheetName val="ACTUAL DATA"/>
      <sheetName val="BUDGET DATA"/>
      <sheetName val="Depreciation"/>
      <sheetName val="InputPO_Del"/>
      <sheetName val="Factor -local"/>
      <sheetName val="Factor- c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 refreshError="1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/>
      <sheetData sheetId="837"/>
      <sheetData sheetId="838"/>
      <sheetData sheetId="839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1 (2)"/>
      <sheetName val="Link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賃借2"/>
      <sheetName val="Sheet1"/>
    </sheetNames>
    <definedNames>
      <definedName name="Module1.On_Click"/>
    </definedNames>
    <sheetDataSet>
      <sheetData sheetId="0" refreshError="1"/>
      <sheetData sheetId="1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(2)"/>
      <sheetName val="SUMMARY SHEET"/>
      <sheetName val="Index"/>
      <sheetName val="BalanceSheet"/>
      <sheetName val="Cash Flow Local"/>
      <sheetName val="CONSO P&amp;L REGION WISE"/>
      <sheetName val="CONSO P&amp;L"/>
      <sheetName val="Debtors Summary-Dec M"/>
      <sheetName val="Debtors Summary - Mumbai"/>
      <sheetName val="Debtors Summary-Dec C"/>
      <sheetName val="Debtors Summary- Chennai"/>
      <sheetName val="Debtors Summary - DEC (Bang)"/>
      <sheetName val="Debtors Bang"/>
      <sheetName val="Debtors Summary-Conso-Dec"/>
      <sheetName val="Debtors Ageing Conso "/>
      <sheetName val="MUMBAI P&amp;L"/>
      <sheetName val="CONSO MUMBAI"/>
      <sheetName val="CONSO MUMBAI TRANSPORT"/>
      <sheetName val="MAHAPE"/>
      <sheetName val="MAHAPE - TRNSP"/>
      <sheetName val="KANDIVILI PLANT"/>
      <sheetName val="KANDIVILI TRANSPORT"/>
      <sheetName val="KURLA PLANT"/>
      <sheetName val="KURLA TRANSPORT"/>
      <sheetName val="THANE"/>
      <sheetName val="THANE TRANSPORT"/>
      <sheetName val="PUMP - MUM"/>
      <sheetName val="MU - Clab"/>
      <sheetName val="AMBERNATH QUARRY"/>
      <sheetName val="ADMIN 1 MUMBAI"/>
      <sheetName val="ADMIN 2 MUMBAI"/>
      <sheetName val="MUMBAI REGIONAL"/>
      <sheetName val="CHENNAI P&amp;L"/>
      <sheetName val="THIRU"/>
      <sheetName val="THIRU - TRNSP"/>
      <sheetName val="CHENNAI - PUMPING"/>
      <sheetName val="CH - CLAB"/>
      <sheetName val="KEERAPAKKAM QUARRY"/>
      <sheetName val="CH - ADMIN 1"/>
      <sheetName val="CH - ADMIN 2"/>
      <sheetName val="CH - REGIONAL"/>
      <sheetName val="BANGALORE P&amp;L"/>
      <sheetName val="BANGALORE PLANT CONSO"/>
      <sheetName val="BANGALORE TRANSPORT CONSO"/>
      <sheetName val="HARLUR PLANT"/>
      <sheetName val="HARLUR TRANSPORT"/>
      <sheetName val="YELAHANKA PLANT"/>
      <sheetName val="YELAHANKA TRANSPORT"/>
      <sheetName val="BANGALORE PUMPING"/>
      <sheetName val="BANGALORE LAB"/>
      <sheetName val="HARLUR QUARRY"/>
      <sheetName val="HARLUR PRODN"/>
      <sheetName val="HARLUR QUARRY TPT"/>
      <sheetName val="YEL CRUSHER"/>
      <sheetName val="CRUSHER PRODN"/>
      <sheetName val="BANGALORE ADMIN 1"/>
      <sheetName val="BANGALORE ADMIN 2"/>
      <sheetName val="BANGALORE REGIONAL"/>
      <sheetName val="CORP 1"/>
      <sheetName val="CORP 2"/>
      <sheetName val="CORPORATE"/>
      <sheetName val="TALOJA"/>
      <sheetName val="INS MUM"/>
      <sheetName val="SALARY"/>
      <sheetName val="MUMBAI FAR"/>
      <sheetName val="CHENNAI FAR"/>
      <sheetName val="BANG FAR"/>
      <sheetName val="WORKINGS"/>
    </sheetNames>
    <sheetDataSet>
      <sheetData sheetId="0" refreshError="1"/>
      <sheetData sheetId="1">
        <row r="3">
          <cell r="B3" t="str">
            <v xml:space="preserve">  30TH  </v>
          </cell>
        </row>
        <row r="4">
          <cell r="B4" t="str">
            <v>SEPTEMBER 2003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YS"/>
      <sheetName val="BS"/>
      <sheetName val="GW"/>
      <sheetName val="Head office"/>
      <sheetName val="consolidated"/>
      <sheetName val="Consolidated excl pz&amp;gw"/>
      <sheetName val="Financials"/>
      <sheetName val="trial_HO"/>
      <sheetName val="trial_Plant"/>
      <sheetName val="P&amp;LSC"/>
      <sheetName val="U-4_Investments &amp; FD"/>
      <sheetName val="Stock St."/>
      <sheetName val="TOTAL GP"/>
      <sheetName val="sales "/>
      <sheetName val="Do not delete"/>
      <sheetName val="Financial Codes"/>
      <sheetName val="MCCW"/>
      <sheetName val="PO"/>
      <sheetName val="1-2-1"/>
      <sheetName val="dump"/>
      <sheetName val="Head_office"/>
      <sheetName val="Consolidated_excl_pz&amp;gw"/>
      <sheetName val="U-4_Investments_&amp;_FD"/>
      <sheetName val="TB   Rs  $  APR"/>
      <sheetName val="TB  Rupees "/>
      <sheetName val="SUMMARY SHEET"/>
      <sheetName val="KPMG-Balance Sheet_EXAMPLE"/>
    </sheetNames>
    <sheetDataSet>
      <sheetData sheetId="0" refreshError="1">
        <row r="7">
          <cell r="D7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 List"/>
      <sheetName val="Master Price List"/>
      <sheetName val="Configurations2"/>
      <sheetName val="Config-unbundle"/>
    </sheetNames>
    <sheetDataSet>
      <sheetData sheetId="0"/>
      <sheetData sheetId="1" refreshError="1">
        <row r="8">
          <cell r="A8">
            <v>10001</v>
          </cell>
          <cell r="C8" t="str">
            <v>AF5</v>
          </cell>
          <cell r="D8" t="str">
            <v>Air Filter 5-Pack</v>
          </cell>
          <cell r="E8">
            <v>300</v>
          </cell>
          <cell r="F8" t="str">
            <v>C</v>
          </cell>
          <cell r="G8" t="str">
            <v>1 year</v>
          </cell>
          <cell r="H8" t="str">
            <v>Purchase at list price</v>
          </cell>
          <cell r="I8" t="str">
            <v>Purchase at list price</v>
          </cell>
          <cell r="J8" t="str">
            <v>Purchase at list price</v>
          </cell>
          <cell r="K8" t="str">
            <v>Purchase at list price</v>
          </cell>
          <cell r="L8" t="str">
            <v>Purchase at list price</v>
          </cell>
          <cell r="M8" t="str">
            <v>Purchase at list price</v>
          </cell>
        </row>
        <row r="9">
          <cell r="A9">
            <v>15001</v>
          </cell>
          <cell r="C9" t="str">
            <v>RED-DS3R16-PAK</v>
          </cell>
          <cell r="D9" t="str">
            <v>Red 1:6 DS3 TSU (incl: 7xTSU-155, 6xDS3-LIU1-1N, 1xDS3-LIU1-316MUX, and 1xDS3-MID-316) ** avail Rel 1.1**</v>
          </cell>
          <cell r="E9">
            <v>270000</v>
          </cell>
          <cell r="F9" t="str">
            <v>C</v>
          </cell>
          <cell r="G9" t="str">
            <v>1 year</v>
          </cell>
          <cell r="I9">
            <v>18900</v>
          </cell>
          <cell r="J9">
            <v>21600</v>
          </cell>
          <cell r="K9">
            <v>32400</v>
          </cell>
          <cell r="L9">
            <v>45900</v>
          </cell>
          <cell r="M9">
            <v>13500</v>
          </cell>
        </row>
        <row r="10">
          <cell r="A10">
            <v>15002</v>
          </cell>
          <cell r="C10" t="str">
            <v>SPR-CE-PAK</v>
          </cell>
          <cell r="D10" t="str">
            <v>Common Equipment Spares Kit (includes one of: CP, SIU, TIU, HDU), to be ordered at initial order only</v>
          </cell>
          <cell r="E10">
            <v>40000</v>
          </cell>
          <cell r="F10" t="str">
            <v>C</v>
          </cell>
          <cell r="G10" t="str">
            <v>1 year</v>
          </cell>
          <cell r="I10">
            <v>2800</v>
          </cell>
          <cell r="J10">
            <v>3200</v>
          </cell>
          <cell r="K10">
            <v>4800</v>
          </cell>
        </row>
        <row r="11">
          <cell r="A11">
            <v>20000</v>
          </cell>
          <cell r="C11" t="str">
            <v>SPR-RACK</v>
          </cell>
          <cell r="D11" t="str">
            <v>Rack-mountable Spares Cabinet for 1 Chassis worth of Spares</v>
          </cell>
          <cell r="E11">
            <v>6000</v>
          </cell>
          <cell r="F11" t="str">
            <v>C</v>
          </cell>
          <cell r="G11" t="str">
            <v>1 year</v>
          </cell>
          <cell r="H11" t="str">
            <v>Purchase at list price</v>
          </cell>
          <cell r="I11" t="str">
            <v>Purchase at list price</v>
          </cell>
          <cell r="J11" t="str">
            <v>Purchase at list price</v>
          </cell>
          <cell r="K11" t="str">
            <v>Purchase at list price</v>
          </cell>
          <cell r="L11" t="str">
            <v>Purchase at list price</v>
          </cell>
          <cell r="M11" t="str">
            <v>Purchase at list price</v>
          </cell>
        </row>
        <row r="12">
          <cell r="A12">
            <v>20001</v>
          </cell>
          <cell r="D12" t="str">
            <v>Rear safety shield covers entire back of ICS2000 chassis</v>
          </cell>
          <cell r="E12">
            <v>240</v>
          </cell>
          <cell r="F12" t="str">
            <v>A</v>
          </cell>
          <cell r="G12" t="str">
            <v>1 year</v>
          </cell>
          <cell r="H12" t="str">
            <v>Purchase at list price</v>
          </cell>
          <cell r="I12" t="str">
            <v>Purchase at list price</v>
          </cell>
          <cell r="J12" t="str">
            <v>Purchase at list price</v>
          </cell>
          <cell r="K12" t="str">
            <v>Purchase at list price</v>
          </cell>
          <cell r="L12" t="str">
            <v>Purchase at list price</v>
          </cell>
          <cell r="M12" t="str">
            <v>Purchase at list price</v>
          </cell>
        </row>
        <row r="13">
          <cell r="A13">
            <v>21000</v>
          </cell>
          <cell r="B13">
            <v>435186</v>
          </cell>
          <cell r="C13" t="str">
            <v>CHS</v>
          </cell>
          <cell r="D13" t="str">
            <v>Chassis (includes bare chassis, DC power distribution, mid-plane, fan tray assemblies, and CD-ROM documentation)</v>
          </cell>
          <cell r="E13">
            <v>40549.5</v>
          </cell>
          <cell r="F13" t="str">
            <v>C</v>
          </cell>
          <cell r="G13" t="str">
            <v>1 year</v>
          </cell>
          <cell r="I13">
            <v>2838.4650000000001</v>
          </cell>
          <cell r="J13">
            <v>3243.96</v>
          </cell>
          <cell r="K13">
            <v>4865.9399999999996</v>
          </cell>
          <cell r="L13">
            <v>6893.4150000000009</v>
          </cell>
          <cell r="M13">
            <v>2027.4749999999999</v>
          </cell>
        </row>
        <row r="14">
          <cell r="A14">
            <v>23000</v>
          </cell>
          <cell r="C14" t="str">
            <v>RED-CHS-PAK</v>
          </cell>
          <cell r="D14" t="str">
            <v>Redundant Chassis (includes CHS plus two of CP, SIU, HDU, TIU)</v>
          </cell>
          <cell r="E14">
            <v>120000</v>
          </cell>
          <cell r="F14" t="str">
            <v>C</v>
          </cell>
          <cell r="G14" t="str">
            <v>1 year</v>
          </cell>
          <cell r="I14">
            <v>8400</v>
          </cell>
          <cell r="J14">
            <v>9600</v>
          </cell>
          <cell r="K14">
            <v>14400</v>
          </cell>
          <cell r="L14">
            <v>20400</v>
          </cell>
          <cell r="M14">
            <v>6000</v>
          </cell>
        </row>
        <row r="15">
          <cell r="A15">
            <v>29001</v>
          </cell>
          <cell r="D15" t="str">
            <v>Front Filler Panel</v>
          </cell>
          <cell r="E15">
            <v>100</v>
          </cell>
          <cell r="F15" t="str">
            <v>A</v>
          </cell>
          <cell r="G15" t="str">
            <v>1 year</v>
          </cell>
          <cell r="H15" t="str">
            <v>Purchase at list price</v>
          </cell>
          <cell r="I15" t="str">
            <v>Purchase at list price</v>
          </cell>
          <cell r="J15" t="str">
            <v>Purchase at list price</v>
          </cell>
          <cell r="K15" t="str">
            <v>Purchase at list price</v>
          </cell>
          <cell r="L15" t="str">
            <v>Purchase at list price</v>
          </cell>
          <cell r="M15" t="str">
            <v>Purchase at list price</v>
          </cell>
        </row>
        <row r="16">
          <cell r="A16">
            <v>29002</v>
          </cell>
          <cell r="D16" t="str">
            <v>Rear Filler Panel</v>
          </cell>
          <cell r="E16">
            <v>100</v>
          </cell>
          <cell r="F16" t="str">
            <v>A</v>
          </cell>
          <cell r="G16" t="str">
            <v>1 year</v>
          </cell>
          <cell r="H16" t="str">
            <v>Purchase at list price</v>
          </cell>
          <cell r="I16" t="str">
            <v>Purchase at list price</v>
          </cell>
          <cell r="J16" t="str">
            <v>Purchase at list price</v>
          </cell>
          <cell r="K16" t="str">
            <v>Purchase at list price</v>
          </cell>
          <cell r="L16" t="str">
            <v>Purchase at list price</v>
          </cell>
          <cell r="M16" t="str">
            <v>Purchase at list price</v>
          </cell>
        </row>
        <row r="17">
          <cell r="A17">
            <v>29003</v>
          </cell>
          <cell r="D17" t="str">
            <v>TIU Blank Panel</v>
          </cell>
          <cell r="E17">
            <v>100</v>
          </cell>
          <cell r="F17" t="str">
            <v>A</v>
          </cell>
          <cell r="G17" t="str">
            <v>1 year</v>
          </cell>
          <cell r="H17" t="str">
            <v>Purchase at list price</v>
          </cell>
          <cell r="I17" t="str">
            <v>Purchase at list price</v>
          </cell>
          <cell r="J17" t="str">
            <v>Purchase at list price</v>
          </cell>
          <cell r="K17" t="str">
            <v>Purchase at list price</v>
          </cell>
          <cell r="L17" t="str">
            <v>Purchase at list price</v>
          </cell>
          <cell r="M17" t="str">
            <v>Purchase at list price</v>
          </cell>
        </row>
        <row r="18">
          <cell r="A18">
            <v>29004</v>
          </cell>
          <cell r="D18" t="str">
            <v>SIU Blank Panel</v>
          </cell>
          <cell r="E18">
            <v>100</v>
          </cell>
          <cell r="F18" t="str">
            <v>A</v>
          </cell>
          <cell r="G18" t="str">
            <v>1 year</v>
          </cell>
          <cell r="H18" t="str">
            <v>Purchase at list price</v>
          </cell>
          <cell r="I18" t="str">
            <v>Purchase at list price</v>
          </cell>
          <cell r="J18" t="str">
            <v>Purchase at list price</v>
          </cell>
          <cell r="K18" t="str">
            <v>Purchase at list price</v>
          </cell>
          <cell r="L18" t="str">
            <v>Purchase at list price</v>
          </cell>
          <cell r="M18" t="str">
            <v>Purchase at list price</v>
          </cell>
        </row>
        <row r="19">
          <cell r="A19">
            <v>29005</v>
          </cell>
          <cell r="D19" t="str">
            <v>HDU Blank Panel</v>
          </cell>
          <cell r="E19">
            <v>100</v>
          </cell>
          <cell r="F19" t="str">
            <v>A</v>
          </cell>
          <cell r="G19" t="str">
            <v>1 year</v>
          </cell>
          <cell r="H19" t="str">
            <v>Purchase at list price</v>
          </cell>
          <cell r="I19" t="str">
            <v>Purchase at list price</v>
          </cell>
          <cell r="J19" t="str">
            <v>Purchase at list price</v>
          </cell>
          <cell r="K19" t="str">
            <v>Purchase at list price</v>
          </cell>
          <cell r="L19" t="str">
            <v>Purchase at list price</v>
          </cell>
          <cell r="M19" t="str">
            <v>Purchase at list price</v>
          </cell>
        </row>
        <row r="20">
          <cell r="A20">
            <v>30100</v>
          </cell>
          <cell r="B20">
            <v>262015</v>
          </cell>
          <cell r="C20" t="str">
            <v>TSU-155</v>
          </cell>
          <cell r="D20" t="str">
            <v>TDM Service Unit - 155M for OC3 or DS3 LIU1s</v>
          </cell>
          <cell r="E20">
            <v>41250</v>
          </cell>
          <cell r="F20" t="str">
            <v>C</v>
          </cell>
          <cell r="G20" t="str">
            <v>1 year</v>
          </cell>
          <cell r="I20">
            <v>2887.5</v>
          </cell>
          <cell r="J20">
            <v>3300</v>
          </cell>
          <cell r="K20">
            <v>4950</v>
          </cell>
          <cell r="L20">
            <v>7012.5</v>
          </cell>
          <cell r="M20">
            <v>2062.5</v>
          </cell>
        </row>
        <row r="21">
          <cell r="A21">
            <v>30201</v>
          </cell>
          <cell r="B21">
            <v>262016</v>
          </cell>
          <cell r="C21" t="str">
            <v>CP</v>
          </cell>
          <cell r="D21" t="str">
            <v>Control Processor Module</v>
          </cell>
          <cell r="E21">
            <v>44250</v>
          </cell>
          <cell r="F21" t="str">
            <v>C</v>
          </cell>
          <cell r="G21" t="str">
            <v>1 year</v>
          </cell>
          <cell r="I21">
            <v>3097.5</v>
          </cell>
          <cell r="J21">
            <v>3540</v>
          </cell>
          <cell r="K21">
            <v>5310</v>
          </cell>
          <cell r="L21">
            <v>7522.5</v>
          </cell>
          <cell r="M21">
            <v>2212.5</v>
          </cell>
        </row>
        <row r="22">
          <cell r="A22">
            <v>30300</v>
          </cell>
          <cell r="B22">
            <v>262017</v>
          </cell>
          <cell r="C22" t="str">
            <v>ASU-155</v>
          </cell>
          <cell r="D22" t="str">
            <v>ATM Service Unit - 155M for OC3 or DS3 LIU1s</v>
          </cell>
          <cell r="E22">
            <v>35700</v>
          </cell>
          <cell r="F22" t="str">
            <v>C</v>
          </cell>
          <cell r="G22" t="str">
            <v>1 year</v>
          </cell>
          <cell r="I22">
            <v>2499</v>
          </cell>
          <cell r="J22">
            <v>2856</v>
          </cell>
          <cell r="K22">
            <v>4284</v>
          </cell>
          <cell r="L22">
            <v>6069</v>
          </cell>
          <cell r="M22">
            <v>1785</v>
          </cell>
        </row>
        <row r="23">
          <cell r="A23">
            <v>30400</v>
          </cell>
          <cell r="B23">
            <v>262018</v>
          </cell>
          <cell r="C23" t="str">
            <v>SIU</v>
          </cell>
          <cell r="D23" t="str">
            <v xml:space="preserve">System Interface Unit </v>
          </cell>
          <cell r="E23">
            <v>2250</v>
          </cell>
          <cell r="F23" t="str">
            <v>C</v>
          </cell>
          <cell r="G23" t="str">
            <v>1 year</v>
          </cell>
          <cell r="I23">
            <v>157.5</v>
          </cell>
          <cell r="J23">
            <v>180</v>
          </cell>
          <cell r="K23">
            <v>270</v>
          </cell>
          <cell r="L23">
            <v>382.5</v>
          </cell>
          <cell r="M23">
            <v>112.5</v>
          </cell>
        </row>
        <row r="24">
          <cell r="A24">
            <v>30500</v>
          </cell>
          <cell r="B24">
            <v>262019</v>
          </cell>
          <cell r="C24" t="str">
            <v>TIU</v>
          </cell>
          <cell r="D24" t="str">
            <v>Timing Interface Unit</v>
          </cell>
          <cell r="E24">
            <v>8250</v>
          </cell>
          <cell r="F24" t="str">
            <v>C</v>
          </cell>
          <cell r="G24" t="str">
            <v>1 year</v>
          </cell>
          <cell r="I24">
            <v>577.5</v>
          </cell>
          <cell r="J24">
            <v>660</v>
          </cell>
          <cell r="K24">
            <v>990</v>
          </cell>
          <cell r="L24">
            <v>1402.5</v>
          </cell>
          <cell r="M24">
            <v>412.5</v>
          </cell>
        </row>
        <row r="25">
          <cell r="A25">
            <v>31000</v>
          </cell>
          <cell r="B25">
            <v>435185</v>
          </cell>
          <cell r="C25" t="str">
            <v>Fan Tray</v>
          </cell>
          <cell r="D25" t="str">
            <v>Fan Tray Assemblies</v>
          </cell>
          <cell r="E25">
            <v>7150</v>
          </cell>
          <cell r="F25" t="str">
            <v>C</v>
          </cell>
          <cell r="G25" t="str">
            <v>1 year</v>
          </cell>
          <cell r="H25" t="str">
            <v>Purchase at list price</v>
          </cell>
          <cell r="I25" t="str">
            <v>Purchase at list price</v>
          </cell>
          <cell r="J25" t="str">
            <v>Purchase at list price</v>
          </cell>
          <cell r="K25" t="str">
            <v>Purchase at list price</v>
          </cell>
          <cell r="L25" t="str">
            <v>Purchase at list price</v>
          </cell>
          <cell r="M25" t="str">
            <v>Purchase at list price</v>
          </cell>
        </row>
        <row r="26">
          <cell r="A26">
            <v>31200</v>
          </cell>
          <cell r="C26" t="str">
            <v>TSP</v>
          </cell>
          <cell r="D26" t="str">
            <v>Time Slot Processor **available Rel 2.x, includes the following software:- G.711 Codec- Echo Cancellation (G.168)- Tone Generation / Detection</v>
          </cell>
          <cell r="E26">
            <v>50000</v>
          </cell>
          <cell r="F26" t="str">
            <v>C</v>
          </cell>
          <cell r="G26" t="str">
            <v>1 year</v>
          </cell>
          <cell r="H26">
            <v>1500</v>
          </cell>
          <cell r="I26">
            <v>3000</v>
          </cell>
          <cell r="J26">
            <v>4000</v>
          </cell>
          <cell r="K26">
            <v>6000</v>
          </cell>
          <cell r="L26">
            <v>8500</v>
          </cell>
          <cell r="M26">
            <v>2500</v>
          </cell>
        </row>
        <row r="27">
          <cell r="A27">
            <v>31400</v>
          </cell>
          <cell r="C27" t="str">
            <v>ASU-622</v>
          </cell>
          <cell r="D27" t="str">
            <v>ATM Service Unit - 622M for QuadOC3/OC12 LIU2s   **available Rel 1.1**</v>
          </cell>
          <cell r="E27">
            <v>49000</v>
          </cell>
          <cell r="F27" t="str">
            <v>C</v>
          </cell>
          <cell r="G27" t="str">
            <v>1 year</v>
          </cell>
          <cell r="I27">
            <v>3430</v>
          </cell>
          <cell r="J27">
            <v>3920</v>
          </cell>
          <cell r="K27">
            <v>5880</v>
          </cell>
          <cell r="L27">
            <v>8330</v>
          </cell>
          <cell r="M27">
            <v>2450</v>
          </cell>
        </row>
        <row r="28">
          <cell r="A28">
            <v>31700</v>
          </cell>
          <cell r="B28">
            <v>262021</v>
          </cell>
          <cell r="C28" t="str">
            <v>HDU</v>
          </cell>
          <cell r="D28" t="str">
            <v>Hard Drive Unit</v>
          </cell>
          <cell r="E28">
            <v>4100</v>
          </cell>
          <cell r="F28" t="str">
            <v>C</v>
          </cell>
          <cell r="G28" t="str">
            <v>1 year</v>
          </cell>
          <cell r="I28">
            <v>287</v>
          </cell>
          <cell r="J28">
            <v>328</v>
          </cell>
          <cell r="K28">
            <v>492</v>
          </cell>
          <cell r="L28">
            <v>697</v>
          </cell>
          <cell r="M28">
            <v>205</v>
          </cell>
        </row>
        <row r="29">
          <cell r="A29">
            <v>32802</v>
          </cell>
          <cell r="B29">
            <v>262030</v>
          </cell>
          <cell r="C29" t="str">
            <v>OC3-LIM1-SMIR</v>
          </cell>
          <cell r="D29" t="str">
            <v>OC3 Line Interface Module, Single Mode/Intermediate Range, use two per OC3 LIU1</v>
          </cell>
          <cell r="E29">
            <v>3750</v>
          </cell>
          <cell r="F29" t="str">
            <v>C</v>
          </cell>
          <cell r="G29" t="str">
            <v>1 year</v>
          </cell>
          <cell r="I29">
            <v>187.5</v>
          </cell>
          <cell r="J29">
            <v>225</v>
          </cell>
          <cell r="K29">
            <v>375</v>
          </cell>
          <cell r="L29">
            <v>562.5</v>
          </cell>
          <cell r="M29">
            <v>112.5</v>
          </cell>
        </row>
        <row r="30">
          <cell r="A30">
            <v>33100</v>
          </cell>
          <cell r="C30" t="str">
            <v>DS3-MID-316</v>
          </cell>
          <cell r="D30" t="str">
            <v>1:N Midplane (for use with 34400 and 33300 only)</v>
          </cell>
          <cell r="E30">
            <v>3800</v>
          </cell>
          <cell r="F30" t="str">
            <v>C</v>
          </cell>
          <cell r="G30" t="str">
            <v>1 year</v>
          </cell>
          <cell r="I30">
            <v>190</v>
          </cell>
          <cell r="J30">
            <v>228</v>
          </cell>
          <cell r="K30">
            <v>380</v>
          </cell>
          <cell r="L30">
            <v>570</v>
          </cell>
          <cell r="M30">
            <v>114</v>
          </cell>
        </row>
        <row r="31">
          <cell r="A31">
            <v>33300</v>
          </cell>
          <cell r="C31" t="str">
            <v>DS3-LIU1-316MUX</v>
          </cell>
          <cell r="D31" t="str">
            <v>1:6 Redundant DS3 Line Interface Unit Mux Card for 1:N DS3 LIU's (34400's) and Midplane (33100)</v>
          </cell>
          <cell r="E31">
            <v>3500</v>
          </cell>
          <cell r="F31" t="str">
            <v>C</v>
          </cell>
          <cell r="G31" t="str">
            <v>1 year</v>
          </cell>
          <cell r="I31">
            <v>175</v>
          </cell>
          <cell r="J31">
            <v>210</v>
          </cell>
          <cell r="K31">
            <v>350</v>
          </cell>
          <cell r="L31">
            <v>525</v>
          </cell>
          <cell r="M31">
            <v>105</v>
          </cell>
        </row>
        <row r="32">
          <cell r="A32">
            <v>33500</v>
          </cell>
          <cell r="C32" t="str">
            <v>OC3/12-LIU2-4</v>
          </cell>
          <cell r="D32" t="str">
            <v>Dual OC3/OC12 Line Interface Unit, APS, use with LIM2 **available Rel 1.1**</v>
          </cell>
          <cell r="E32">
            <v>4100</v>
          </cell>
          <cell r="F32" t="str">
            <v>C</v>
          </cell>
          <cell r="G32" t="str">
            <v>1 year</v>
          </cell>
          <cell r="I32">
            <v>205</v>
          </cell>
          <cell r="J32">
            <v>246</v>
          </cell>
          <cell r="K32">
            <v>410</v>
          </cell>
          <cell r="L32">
            <v>615</v>
          </cell>
          <cell r="M32">
            <v>123</v>
          </cell>
        </row>
        <row r="33">
          <cell r="A33">
            <v>33600</v>
          </cell>
          <cell r="C33" t="str">
            <v>OC3/12-LIU2-8R</v>
          </cell>
          <cell r="D33" t="str">
            <v>Quad OC3/OC12 Line Interface Unit, Redundant, APS, use with LIM2  ** available Rel 1.1**</v>
          </cell>
          <cell r="E33">
            <v>4850</v>
          </cell>
          <cell r="F33" t="str">
            <v>C</v>
          </cell>
          <cell r="G33" t="str">
            <v>1 year</v>
          </cell>
          <cell r="I33">
            <v>242.5</v>
          </cell>
          <cell r="J33">
            <v>291</v>
          </cell>
          <cell r="K33">
            <v>485</v>
          </cell>
          <cell r="L33">
            <v>727.5</v>
          </cell>
          <cell r="M33">
            <v>145.5</v>
          </cell>
        </row>
        <row r="34">
          <cell r="A34">
            <v>33700</v>
          </cell>
          <cell r="C34" t="str">
            <v>OC12-LIM2-SMIR</v>
          </cell>
          <cell r="D34" t="str">
            <v>OC12 Line Interface Module, Single Mode/Intermediate Range, use with LIU2  **available Rel 1.1**</v>
          </cell>
          <cell r="E34">
            <v>3750</v>
          </cell>
          <cell r="F34" t="str">
            <v>C</v>
          </cell>
          <cell r="G34" t="str">
            <v>1 year</v>
          </cell>
          <cell r="I34">
            <v>187.5</v>
          </cell>
          <cell r="J34">
            <v>225</v>
          </cell>
          <cell r="K34">
            <v>375</v>
          </cell>
          <cell r="L34">
            <v>562.5</v>
          </cell>
          <cell r="M34">
            <v>112.5</v>
          </cell>
        </row>
        <row r="35">
          <cell r="A35">
            <v>33900</v>
          </cell>
          <cell r="C35" t="str">
            <v>OC3-LIM2-SMIR</v>
          </cell>
          <cell r="D35" t="str">
            <v>OC3 Line Interface Module, Single Mode/Intermediate Range, use with LIU2 **available Rel 1.1**</v>
          </cell>
          <cell r="E35">
            <v>3750</v>
          </cell>
          <cell r="F35" t="str">
            <v>C</v>
          </cell>
          <cell r="G35" t="str">
            <v>1 year</v>
          </cell>
          <cell r="I35">
            <v>187.5</v>
          </cell>
          <cell r="J35">
            <v>225</v>
          </cell>
          <cell r="K35">
            <v>375</v>
          </cell>
          <cell r="L35">
            <v>562.5</v>
          </cell>
          <cell r="M35">
            <v>112.5</v>
          </cell>
        </row>
        <row r="36">
          <cell r="A36">
            <v>34000</v>
          </cell>
          <cell r="B36">
            <v>262023</v>
          </cell>
          <cell r="C36" t="str">
            <v>DS3-LIU1-3</v>
          </cell>
          <cell r="D36" t="str">
            <v>DS3 Line Interface Unit, 3 port BNC (formerly 30603)</v>
          </cell>
          <cell r="E36">
            <v>7299.5</v>
          </cell>
          <cell r="F36" t="str">
            <v>C</v>
          </cell>
          <cell r="G36" t="str">
            <v>1 year</v>
          </cell>
          <cell r="I36">
            <v>364.97500000000002</v>
          </cell>
          <cell r="J36">
            <v>437.97</v>
          </cell>
          <cell r="K36">
            <v>729.95</v>
          </cell>
          <cell r="L36">
            <v>1094.925</v>
          </cell>
          <cell r="M36">
            <v>218.98500000000001</v>
          </cell>
        </row>
        <row r="37">
          <cell r="A37">
            <v>34100</v>
          </cell>
          <cell r="B37">
            <v>262027</v>
          </cell>
          <cell r="C37" t="str">
            <v>DS3-LIU1-3R</v>
          </cell>
          <cell r="D37" t="str">
            <v>1:1 Redundant DS3 Line Interface Unit, 3 port BNC (formerly 32103)</v>
          </cell>
          <cell r="E37">
            <v>8799.5</v>
          </cell>
          <cell r="F37" t="str">
            <v>C</v>
          </cell>
          <cell r="G37" t="str">
            <v>1 year</v>
          </cell>
          <cell r="I37">
            <v>439.97500000000002</v>
          </cell>
          <cell r="J37">
            <v>527.97</v>
          </cell>
          <cell r="K37">
            <v>879.95</v>
          </cell>
          <cell r="L37">
            <v>1319.925</v>
          </cell>
          <cell r="M37">
            <v>263.98500000000001</v>
          </cell>
        </row>
        <row r="38">
          <cell r="A38">
            <v>34200</v>
          </cell>
          <cell r="B38">
            <v>262026</v>
          </cell>
          <cell r="C38" t="str">
            <v>OC3-LIU1-1</v>
          </cell>
          <cell r="D38" t="str">
            <v>OC3 Line Interface Unit, 1+1 APS (formerly 30702) ** APS available Rel 1.1**</v>
          </cell>
          <cell r="E38">
            <v>4100</v>
          </cell>
          <cell r="F38" t="str">
            <v>C</v>
          </cell>
          <cell r="G38" t="str">
            <v>1 year</v>
          </cell>
          <cell r="I38">
            <v>205</v>
          </cell>
          <cell r="J38">
            <v>246</v>
          </cell>
          <cell r="K38">
            <v>410</v>
          </cell>
          <cell r="L38">
            <v>615</v>
          </cell>
          <cell r="M38">
            <v>123</v>
          </cell>
        </row>
        <row r="39">
          <cell r="A39">
            <v>34300</v>
          </cell>
          <cell r="B39">
            <v>262028</v>
          </cell>
          <cell r="C39" t="str">
            <v>OC3-LIU1-1R</v>
          </cell>
          <cell r="D39" t="str">
            <v>1:1 Redundant OC3 Line Interface Unit, 1+1 APS (formerly 32202) ** APS available Rel 1.1**</v>
          </cell>
          <cell r="E39">
            <v>4850</v>
          </cell>
          <cell r="F39" t="str">
            <v>C</v>
          </cell>
          <cell r="G39" t="str">
            <v>1 year</v>
          </cell>
          <cell r="I39">
            <v>242.5</v>
          </cell>
          <cell r="J39">
            <v>291</v>
          </cell>
          <cell r="K39">
            <v>485</v>
          </cell>
          <cell r="L39">
            <v>727.5</v>
          </cell>
          <cell r="M39">
            <v>145.5</v>
          </cell>
        </row>
        <row r="40">
          <cell r="A40">
            <v>34400</v>
          </cell>
          <cell r="C40" t="str">
            <v>DS3-LIU1-31N</v>
          </cell>
          <cell r="D40" t="str">
            <v>1:N Redundant DS3 Line Interface Unit, 3 port BNC ** available Rel 1.1**</v>
          </cell>
          <cell r="E40">
            <v>7300</v>
          </cell>
          <cell r="F40" t="str">
            <v>C</v>
          </cell>
          <cell r="G40" t="str">
            <v>1 year</v>
          </cell>
          <cell r="I40">
            <v>365</v>
          </cell>
          <cell r="J40">
            <v>438</v>
          </cell>
          <cell r="K40">
            <v>730</v>
          </cell>
          <cell r="L40">
            <v>1095</v>
          </cell>
          <cell r="M40">
            <v>219</v>
          </cell>
        </row>
        <row r="41">
          <cell r="A41">
            <v>40001</v>
          </cell>
          <cell r="C41" t="str">
            <v>ICSG-DUP-T1</v>
          </cell>
          <cell r="D41" t="str">
            <v>DUPLEX Signaling Gateway Base Software (Multi-Switch, T1 Link Drivers) ~ redundant license, runs on two SUN Netra platforms</v>
          </cell>
          <cell r="E41">
            <v>100000</v>
          </cell>
          <cell r="F41" t="str">
            <v>A</v>
          </cell>
          <cell r="G41" t="str">
            <v>90 days</v>
          </cell>
          <cell r="H41" t="str">
            <v>?</v>
          </cell>
          <cell r="I41" t="str">
            <v>?</v>
          </cell>
          <cell r="J41" t="str">
            <v>?</v>
          </cell>
          <cell r="K41" t="str">
            <v>?</v>
          </cell>
          <cell r="L41" t="str">
            <v>?</v>
          </cell>
          <cell r="M41" t="str">
            <v>?</v>
          </cell>
        </row>
        <row r="42">
          <cell r="A42">
            <v>40002</v>
          </cell>
          <cell r="D42" t="str">
            <v>ICView BMP Current Release with Documentation</v>
          </cell>
          <cell r="E42">
            <v>15000</v>
          </cell>
          <cell r="F42" t="str">
            <v>A</v>
          </cell>
          <cell r="G42" t="str">
            <v>90 days</v>
          </cell>
          <cell r="H42">
            <v>450</v>
          </cell>
          <cell r="I42">
            <v>600</v>
          </cell>
          <cell r="J42">
            <v>600</v>
          </cell>
          <cell r="K42">
            <v>600</v>
          </cell>
          <cell r="L42">
            <v>600</v>
          </cell>
          <cell r="M42">
            <v>600</v>
          </cell>
        </row>
        <row r="43">
          <cell r="A43">
            <v>40004</v>
          </cell>
          <cell r="D43" t="str">
            <v>ICView EMS Base Software plus full documentation, Current Release per ICView Management System</v>
          </cell>
          <cell r="E43">
            <v>23000</v>
          </cell>
          <cell r="F43" t="str">
            <v>C</v>
          </cell>
          <cell r="G43" t="str">
            <v>90 days</v>
          </cell>
          <cell r="H43">
            <v>690</v>
          </cell>
          <cell r="I43">
            <v>920</v>
          </cell>
          <cell r="J43">
            <v>920</v>
          </cell>
          <cell r="K43">
            <v>920</v>
          </cell>
          <cell r="L43">
            <v>920</v>
          </cell>
          <cell r="M43">
            <v>920</v>
          </cell>
        </row>
        <row r="44">
          <cell r="A44">
            <v>40006</v>
          </cell>
          <cell r="C44" t="str">
            <v>TSP-G726</v>
          </cell>
          <cell r="D44" t="str">
            <v>G.726 Codec (per TSP)</v>
          </cell>
          <cell r="E44">
            <v>10000</v>
          </cell>
          <cell r="F44" t="str">
            <v>A</v>
          </cell>
          <cell r="G44" t="str">
            <v>1 year</v>
          </cell>
          <cell r="H44">
            <v>300</v>
          </cell>
          <cell r="I44">
            <v>600</v>
          </cell>
          <cell r="J44">
            <v>800</v>
          </cell>
          <cell r="K44">
            <v>1200</v>
          </cell>
          <cell r="L44">
            <v>1700</v>
          </cell>
          <cell r="M44">
            <v>500</v>
          </cell>
        </row>
        <row r="45">
          <cell r="A45">
            <v>40008</v>
          </cell>
          <cell r="C45" t="str">
            <v>ICSG-DUP-V35</v>
          </cell>
          <cell r="D45" t="str">
            <v>DUPLEX Signaling Gateway Base Software (Multi-Switch, V.35 Link Drivers) ~ redundant license, runs on two SUN Netra platforms</v>
          </cell>
          <cell r="E45">
            <v>100000</v>
          </cell>
          <cell r="F45" t="str">
            <v>A</v>
          </cell>
          <cell r="G45" t="str">
            <v>90 days</v>
          </cell>
          <cell r="H45" t="str">
            <v>?</v>
          </cell>
          <cell r="I45" t="str">
            <v>?</v>
          </cell>
          <cell r="J45" t="str">
            <v>?</v>
          </cell>
          <cell r="K45" t="str">
            <v>?</v>
          </cell>
          <cell r="L45" t="str">
            <v>?</v>
          </cell>
          <cell r="M45" t="str">
            <v>?</v>
          </cell>
        </row>
        <row r="46">
          <cell r="A46">
            <v>40009</v>
          </cell>
          <cell r="C46" t="str">
            <v>ICSG-DUP-S-T1</v>
          </cell>
          <cell r="D46" t="str">
            <v xml:space="preserve">DUPLEX Signaling Gateway Base Software (Single or Dual Switch, T1 Link Drivers) ~ redundant license, runs on two SUN Netra platforms. </v>
          </cell>
          <cell r="E46">
            <v>40000</v>
          </cell>
          <cell r="F46" t="str">
            <v>A</v>
          </cell>
          <cell r="G46" t="str">
            <v>90 days</v>
          </cell>
          <cell r="H46" t="str">
            <v>?</v>
          </cell>
          <cell r="I46" t="str">
            <v>?</v>
          </cell>
          <cell r="J46" t="str">
            <v>?</v>
          </cell>
          <cell r="K46" t="str">
            <v>?</v>
          </cell>
          <cell r="L46" t="str">
            <v>?</v>
          </cell>
          <cell r="M46" t="str">
            <v>?</v>
          </cell>
        </row>
        <row r="47">
          <cell r="A47">
            <v>40010</v>
          </cell>
          <cell r="C47" t="str">
            <v>ICSG-DUP-S-V35</v>
          </cell>
          <cell r="D47" t="str">
            <v>DUPLEX Signaling Gateway Base Software (Single or Dual Switch, V.35 Link Drivers) ~ redundant license, runs on two SUN Netra platforms</v>
          </cell>
          <cell r="E47">
            <v>40000</v>
          </cell>
          <cell r="F47" t="str">
            <v>A</v>
          </cell>
          <cell r="G47" t="str">
            <v>90 days</v>
          </cell>
          <cell r="H47" t="str">
            <v>?</v>
          </cell>
          <cell r="I47" t="str">
            <v>?</v>
          </cell>
          <cell r="J47" t="str">
            <v>?</v>
          </cell>
          <cell r="K47" t="str">
            <v>?</v>
          </cell>
          <cell r="L47" t="str">
            <v>?</v>
          </cell>
          <cell r="M47" t="str">
            <v>?</v>
          </cell>
        </row>
        <row r="48">
          <cell r="A48">
            <v>40011</v>
          </cell>
          <cell r="C48" t="str">
            <v>ICSG-DUP-S-UPG</v>
          </cell>
          <cell r="D48" t="str">
            <v>DUPLEX Signaling Gateway Multi-Switch Upgrade for 40009 or 40010</v>
          </cell>
          <cell r="E48">
            <v>60000</v>
          </cell>
          <cell r="F48" t="str">
            <v>A</v>
          </cell>
          <cell r="G48" t="str">
            <v>90 days</v>
          </cell>
          <cell r="H48" t="str">
            <v>?</v>
          </cell>
          <cell r="I48" t="str">
            <v>?</v>
          </cell>
          <cell r="J48" t="str">
            <v>?</v>
          </cell>
          <cell r="K48" t="str">
            <v>?</v>
          </cell>
          <cell r="L48" t="str">
            <v>?</v>
          </cell>
          <cell r="M48" t="str">
            <v>?</v>
          </cell>
        </row>
        <row r="49">
          <cell r="A49">
            <v>42000</v>
          </cell>
          <cell r="D49" t="str">
            <v>ICS2000 Base System Software, Current Release per chassis</v>
          </cell>
          <cell r="E49">
            <v>2500</v>
          </cell>
          <cell r="F49" t="str">
            <v>C</v>
          </cell>
          <cell r="G49" t="str">
            <v>90 days</v>
          </cell>
          <cell r="H49">
            <v>2500</v>
          </cell>
          <cell r="I49" t="str">
            <v xml:space="preserve">Included </v>
          </cell>
          <cell r="J49" t="str">
            <v xml:space="preserve">Included </v>
          </cell>
          <cell r="K49" t="str">
            <v xml:space="preserve">Included </v>
          </cell>
          <cell r="L49" t="str">
            <v xml:space="preserve">Included </v>
          </cell>
          <cell r="M49" t="str">
            <v xml:space="preserve">Included </v>
          </cell>
        </row>
        <row r="50">
          <cell r="A50">
            <v>44001</v>
          </cell>
          <cell r="D50" t="str">
            <v>ICS2000 Base System Software, Current Release - Enterprise License</v>
          </cell>
          <cell r="E50">
            <v>1000000</v>
          </cell>
          <cell r="F50" t="str">
            <v>A</v>
          </cell>
          <cell r="G50" t="str">
            <v>90 days</v>
          </cell>
          <cell r="H50">
            <v>30000</v>
          </cell>
          <cell r="I50" t="str">
            <v xml:space="preserve">Included </v>
          </cell>
          <cell r="J50" t="str">
            <v xml:space="preserve">Included </v>
          </cell>
          <cell r="K50" t="str">
            <v xml:space="preserve">Included </v>
          </cell>
          <cell r="L50" t="str">
            <v xml:space="preserve">Included </v>
          </cell>
          <cell r="M50" t="str">
            <v xml:space="preserve">Included </v>
          </cell>
        </row>
        <row r="51">
          <cell r="A51">
            <v>50003</v>
          </cell>
          <cell r="D51" t="str">
            <v>SUN Enterprise 450, floor-standing SMG platform option (order link cards separately)</v>
          </cell>
          <cell r="E51">
            <v>24150</v>
          </cell>
          <cell r="F51" t="str">
            <v>A</v>
          </cell>
          <cell r="G51" t="str">
            <v>1 year</v>
          </cell>
          <cell r="H51" t="str">
            <v>?</v>
          </cell>
          <cell r="I51" t="str">
            <v>?</v>
          </cell>
          <cell r="J51" t="str">
            <v>?</v>
          </cell>
          <cell r="K51" t="str">
            <v>?</v>
          </cell>
          <cell r="L51" t="str">
            <v>?</v>
          </cell>
          <cell r="M51" t="str">
            <v>?</v>
          </cell>
        </row>
        <row r="52">
          <cell r="A52">
            <v>50006</v>
          </cell>
          <cell r="D52" t="str">
            <v>Netra ICSG for T1 (includes Ethernet Card &amp;1 8-link, single-port T1 Card)</v>
          </cell>
          <cell r="E52">
            <v>33400</v>
          </cell>
          <cell r="F52" t="str">
            <v>A</v>
          </cell>
          <cell r="G52" t="str">
            <v>1 year</v>
          </cell>
          <cell r="H52" t="str">
            <v>?</v>
          </cell>
          <cell r="I52" t="str">
            <v>?</v>
          </cell>
          <cell r="J52" t="str">
            <v>?</v>
          </cell>
          <cell r="K52" t="str">
            <v>?</v>
          </cell>
          <cell r="L52" t="str">
            <v>?</v>
          </cell>
          <cell r="M52" t="str">
            <v>?</v>
          </cell>
        </row>
        <row r="53">
          <cell r="A53">
            <v>50007</v>
          </cell>
          <cell r="D53" t="str">
            <v>Netra ICSG for V.35 (includes Ethernet Card,1 2xV.35 Link Card)</v>
          </cell>
          <cell r="E53">
            <v>25450</v>
          </cell>
          <cell r="F53" t="str">
            <v>A</v>
          </cell>
          <cell r="G53" t="str">
            <v>1 year</v>
          </cell>
          <cell r="H53" t="str">
            <v>?</v>
          </cell>
          <cell r="I53" t="str">
            <v>?</v>
          </cell>
          <cell r="J53" t="str">
            <v>?</v>
          </cell>
          <cell r="K53" t="str">
            <v>?</v>
          </cell>
          <cell r="L53" t="str">
            <v>?</v>
          </cell>
          <cell r="M53" t="str">
            <v>?</v>
          </cell>
        </row>
        <row r="54">
          <cell r="A54">
            <v>51002</v>
          </cell>
          <cell r="D54" t="str">
            <v>8-link, single-port T1 PCI Card</v>
          </cell>
          <cell r="E54">
            <v>17250</v>
          </cell>
          <cell r="F54" t="str">
            <v>A</v>
          </cell>
          <cell r="G54" t="str">
            <v>1 year</v>
          </cell>
          <cell r="H54" t="str">
            <v>?</v>
          </cell>
          <cell r="I54" t="str">
            <v>?</v>
          </cell>
          <cell r="J54" t="str">
            <v>?</v>
          </cell>
          <cell r="K54" t="str">
            <v>?</v>
          </cell>
          <cell r="L54" t="str">
            <v>?</v>
          </cell>
          <cell r="M54" t="str">
            <v>?</v>
          </cell>
        </row>
        <row r="55">
          <cell r="A55">
            <v>51003</v>
          </cell>
          <cell r="D55" t="str">
            <v>10/100 BaseT PCI Card</v>
          </cell>
          <cell r="E55">
            <v>1150</v>
          </cell>
          <cell r="F55" t="str">
            <v>A</v>
          </cell>
          <cell r="G55" t="str">
            <v>1 year</v>
          </cell>
          <cell r="H55" t="str">
            <v>?</v>
          </cell>
          <cell r="I55" t="str">
            <v>?</v>
          </cell>
          <cell r="J55" t="str">
            <v>?</v>
          </cell>
          <cell r="K55" t="str">
            <v>?</v>
          </cell>
          <cell r="L55" t="str">
            <v>?</v>
          </cell>
          <cell r="M55" t="str">
            <v>?</v>
          </cell>
        </row>
        <row r="56">
          <cell r="A56">
            <v>51005</v>
          </cell>
          <cell r="D56" t="str">
            <v>2xV.35 Link PCI Card</v>
          </cell>
          <cell r="E56">
            <v>9300</v>
          </cell>
          <cell r="F56" t="str">
            <v>A</v>
          </cell>
          <cell r="G56" t="str">
            <v>1 year</v>
          </cell>
          <cell r="H56" t="str">
            <v>?</v>
          </cell>
          <cell r="I56" t="str">
            <v>?</v>
          </cell>
          <cell r="J56" t="str">
            <v>?</v>
          </cell>
          <cell r="K56" t="str">
            <v>?</v>
          </cell>
          <cell r="L56" t="str">
            <v>?</v>
          </cell>
          <cell r="M56" t="str">
            <v>?</v>
          </cell>
        </row>
        <row r="57">
          <cell r="A57">
            <v>60100</v>
          </cell>
          <cell r="D57" t="str">
            <v>Standard Installation Services</v>
          </cell>
          <cell r="E57" t="str">
            <v>6% Net + T&amp;E</v>
          </cell>
          <cell r="F57" t="str">
            <v>A</v>
          </cell>
          <cell r="H57" t="str">
            <v>A</v>
          </cell>
          <cell r="I57" t="str">
            <v>A</v>
          </cell>
          <cell r="J57" t="str">
            <v>6% Net + T&amp;E</v>
          </cell>
          <cell r="L57" t="str">
            <v>A</v>
          </cell>
          <cell r="M57" t="str">
            <v>6% Net + T&amp;E</v>
          </cell>
        </row>
        <row r="58">
          <cell r="A58">
            <v>60200</v>
          </cell>
          <cell r="D58" t="str">
            <v>Premium Installation Services (full EF&amp;I services, including electrical, cabling, and rackwork as needed)</v>
          </cell>
          <cell r="E58" t="str">
            <v>Custom Quote</v>
          </cell>
          <cell r="F58" t="str">
            <v>A</v>
          </cell>
          <cell r="H58" t="str">
            <v>A</v>
          </cell>
          <cell r="I58" t="str">
            <v>A</v>
          </cell>
          <cell r="J58" t="str">
            <v>Custom Quote</v>
          </cell>
          <cell r="L58" t="str">
            <v>A</v>
          </cell>
          <cell r="M58" t="str">
            <v>Custom Quote</v>
          </cell>
        </row>
        <row r="59">
          <cell r="A59">
            <v>61100</v>
          </cell>
          <cell r="D59" t="str">
            <v>Extended Warranty</v>
          </cell>
          <cell r="E59" t="str">
            <v>3% net</v>
          </cell>
          <cell r="F59" t="str">
            <v>A</v>
          </cell>
          <cell r="H59" t="str">
            <v>A</v>
          </cell>
          <cell r="I59" t="str">
            <v>A</v>
          </cell>
          <cell r="J59" t="str">
            <v>3% net</v>
          </cell>
          <cell r="L59" t="str">
            <v>A</v>
          </cell>
          <cell r="M59" t="str">
            <v>3% net</v>
          </cell>
        </row>
        <row r="60">
          <cell r="A60">
            <v>61101</v>
          </cell>
          <cell r="D60" t="str">
            <v>Basic Support</v>
          </cell>
          <cell r="E60" t="str">
            <v>5% net</v>
          </cell>
          <cell r="F60" t="str">
            <v>A</v>
          </cell>
          <cell r="H60" t="str">
            <v>A</v>
          </cell>
          <cell r="I60" t="str">
            <v>A</v>
          </cell>
          <cell r="J60" t="str">
            <v>5% net</v>
          </cell>
          <cell r="L60" t="str">
            <v>A</v>
          </cell>
          <cell r="M60" t="str">
            <v>5% net</v>
          </cell>
        </row>
        <row r="61">
          <cell r="A61">
            <v>61102</v>
          </cell>
          <cell r="D61" t="str">
            <v>Premium Support</v>
          </cell>
          <cell r="E61" t="str">
            <v>12% net</v>
          </cell>
          <cell r="F61" t="str">
            <v>A</v>
          </cell>
          <cell r="H61" t="str">
            <v>A</v>
          </cell>
          <cell r="I61" t="str">
            <v>A</v>
          </cell>
          <cell r="J61" t="str">
            <v>12% net</v>
          </cell>
          <cell r="L61" t="str">
            <v>A</v>
          </cell>
          <cell r="M61" t="str">
            <v>12% net</v>
          </cell>
        </row>
        <row r="62">
          <cell r="A62">
            <v>62100</v>
          </cell>
          <cell r="D62" t="str">
            <v>Software Support</v>
          </cell>
          <cell r="E62" t="str">
            <v>3% net</v>
          </cell>
          <cell r="F62" t="str">
            <v>A</v>
          </cell>
          <cell r="H62" t="str">
            <v>A</v>
          </cell>
          <cell r="I62" t="str">
            <v>A</v>
          </cell>
          <cell r="J62" t="str">
            <v>3% net</v>
          </cell>
          <cell r="L62" t="str">
            <v>A</v>
          </cell>
          <cell r="M62" t="str">
            <v>3% net</v>
          </cell>
        </row>
        <row r="63">
          <cell r="A63">
            <v>63100</v>
          </cell>
          <cell r="D63" t="str">
            <v>Installation, Operations &amp; Maintenance, Convergent facility</v>
          </cell>
          <cell r="E63" t="str">
            <v>$2750 per student</v>
          </cell>
          <cell r="F63" t="str">
            <v>A</v>
          </cell>
          <cell r="H63" t="str">
            <v>A</v>
          </cell>
          <cell r="I63" t="str">
            <v>A</v>
          </cell>
          <cell r="J63" t="str">
            <v>$2750 per student</v>
          </cell>
          <cell r="L63" t="str">
            <v>A</v>
          </cell>
          <cell r="M63" t="str">
            <v>$2750 per student</v>
          </cell>
        </row>
        <row r="64">
          <cell r="A64">
            <v>68100</v>
          </cell>
          <cell r="D64" t="str">
            <v>Weekday Standard Business Hours (4 hour minimum)</v>
          </cell>
          <cell r="E64" t="str">
            <v>$250/hr + T&amp;E</v>
          </cell>
          <cell r="F64" t="str">
            <v>A</v>
          </cell>
          <cell r="H64" t="str">
            <v>A</v>
          </cell>
          <cell r="I64" t="str">
            <v>A</v>
          </cell>
          <cell r="J64" t="str">
            <v>$250/hr + T&amp;E</v>
          </cell>
          <cell r="L64" t="str">
            <v>A</v>
          </cell>
          <cell r="M64" t="str">
            <v>$250/hr + T&amp;E</v>
          </cell>
        </row>
        <row r="65">
          <cell r="A65">
            <v>68200</v>
          </cell>
          <cell r="D65" t="str">
            <v>Weekday Non-Standard Business Hours (4 hour minimum)</v>
          </cell>
          <cell r="E65" t="str">
            <v>$375/hr + T&amp;E</v>
          </cell>
          <cell r="F65" t="str">
            <v>A</v>
          </cell>
          <cell r="H65" t="str">
            <v>A</v>
          </cell>
          <cell r="I65" t="str">
            <v>A</v>
          </cell>
          <cell r="J65" t="str">
            <v>$375/hr + T&amp;E</v>
          </cell>
          <cell r="L65" t="str">
            <v>A</v>
          </cell>
          <cell r="M65" t="str">
            <v>$375/hr + T&amp;E</v>
          </cell>
        </row>
        <row r="66">
          <cell r="A66">
            <v>68300</v>
          </cell>
          <cell r="D66" t="str">
            <v>Weekend Hours (4 hour minimum)</v>
          </cell>
          <cell r="E66" t="str">
            <v>$500/hr + T&amp;E</v>
          </cell>
          <cell r="F66" t="str">
            <v>A</v>
          </cell>
          <cell r="H66" t="str">
            <v>A</v>
          </cell>
          <cell r="I66" t="str">
            <v>A</v>
          </cell>
          <cell r="J66" t="str">
            <v>$500/hr + T&amp;E</v>
          </cell>
          <cell r="L66" t="str">
            <v>A</v>
          </cell>
          <cell r="M66" t="str">
            <v>$500/hr + T&amp;E</v>
          </cell>
        </row>
        <row r="67">
          <cell r="A67">
            <v>68400</v>
          </cell>
          <cell r="D67" t="str">
            <v>Holiday Coverage</v>
          </cell>
          <cell r="E67" t="str">
            <v>Custom Quote</v>
          </cell>
          <cell r="F67" t="str">
            <v>A</v>
          </cell>
          <cell r="H67" t="str">
            <v>A</v>
          </cell>
          <cell r="I67" t="str">
            <v>A</v>
          </cell>
          <cell r="J67" t="str">
            <v>Custom Quote</v>
          </cell>
          <cell r="L67" t="str">
            <v>A</v>
          </cell>
          <cell r="M67" t="str">
            <v>Custom Quote</v>
          </cell>
        </row>
        <row r="68">
          <cell r="A68">
            <v>68500</v>
          </cell>
          <cell r="D68" t="str">
            <v>Travel &amp; Expenses</v>
          </cell>
          <cell r="E68" t="str">
            <v>Actual Costs</v>
          </cell>
          <cell r="F68" t="str">
            <v>A</v>
          </cell>
          <cell r="H68" t="str">
            <v>A</v>
          </cell>
          <cell r="I68" t="str">
            <v>A</v>
          </cell>
          <cell r="J68" t="str">
            <v>Actual Costs</v>
          </cell>
          <cell r="L68" t="str">
            <v>A</v>
          </cell>
          <cell r="M68" t="str">
            <v>Actual Costs</v>
          </cell>
        </row>
        <row r="69">
          <cell r="A69">
            <v>70000</v>
          </cell>
          <cell r="D69" t="str">
            <v>Additional Convergent Networks Documentation Sets (ICS and ICView) on CD</v>
          </cell>
          <cell r="E69">
            <v>2000</v>
          </cell>
          <cell r="F69" t="str">
            <v>A</v>
          </cell>
          <cell r="G69" t="str">
            <v>N/A</v>
          </cell>
        </row>
        <row r="70">
          <cell r="A70">
            <v>70001</v>
          </cell>
          <cell r="D70" t="str">
            <v xml:space="preserve">Convergent Networks Documentation Sets (ICS and ICView) Hard Copy. </v>
          </cell>
          <cell r="E70">
            <v>5000</v>
          </cell>
          <cell r="F70" t="str">
            <v>A</v>
          </cell>
          <cell r="G70" t="str">
            <v>N/A</v>
          </cell>
        </row>
        <row r="71">
          <cell r="A71">
            <v>80000</v>
          </cell>
          <cell r="D71" t="str">
            <v>V.35 to DB15 (DSR) Pig-Tail Connetor</v>
          </cell>
          <cell r="E71">
            <v>100</v>
          </cell>
          <cell r="F71" t="str">
            <v>A</v>
          </cell>
          <cell r="G71" t="str">
            <v>1 year</v>
          </cell>
          <cell r="H71" t="str">
            <v>Purchase at list price</v>
          </cell>
          <cell r="I71" t="str">
            <v>Purchase at list price</v>
          </cell>
          <cell r="J71" t="str">
            <v>Purchase at list price</v>
          </cell>
          <cell r="K71" t="str">
            <v>Purchase at list price</v>
          </cell>
          <cell r="L71" t="str">
            <v>Purchase at list price</v>
          </cell>
          <cell r="M71" t="str">
            <v>Purchase at list price</v>
          </cell>
        </row>
        <row r="72">
          <cell r="A72">
            <v>80001</v>
          </cell>
          <cell r="D72" t="str">
            <v>V.35 to DB15 (Non-DSR) Pig-Tail Connector for Tekelec Eagle STP (for use with 50006 or 51005)</v>
          </cell>
          <cell r="E72">
            <v>100</v>
          </cell>
          <cell r="F72" t="str">
            <v>A</v>
          </cell>
          <cell r="G72" t="str">
            <v>1 year</v>
          </cell>
          <cell r="H72" t="str">
            <v>Purchase at list price</v>
          </cell>
          <cell r="I72" t="str">
            <v>Purchase at list price</v>
          </cell>
          <cell r="J72" t="str">
            <v>Purchase at list price</v>
          </cell>
          <cell r="K72" t="str">
            <v>Purchase at list price</v>
          </cell>
          <cell r="L72" t="str">
            <v>Purchase at list price</v>
          </cell>
          <cell r="M72" t="str">
            <v>Purchase at list price</v>
          </cell>
        </row>
        <row r="73">
          <cell r="A73" t="str">
            <v>RD-90003</v>
          </cell>
          <cell r="C73" t="str">
            <v>RED-CT-PAK</v>
          </cell>
          <cell r="D73" t="str">
            <v>Redundant Chassis Bundle with TSU (includes 23000(1), 30100(2), 34400(1), 33100(1), 33300(1))</v>
          </cell>
          <cell r="E73">
            <v>195000</v>
          </cell>
          <cell r="F73" t="str">
            <v>C</v>
          </cell>
          <cell r="G73" t="str">
            <v>1 year</v>
          </cell>
          <cell r="I73">
            <v>13650</v>
          </cell>
          <cell r="J73">
            <v>15600</v>
          </cell>
          <cell r="K73">
            <v>23400</v>
          </cell>
          <cell r="L73">
            <v>33150</v>
          </cell>
          <cell r="M73">
            <v>9750</v>
          </cell>
        </row>
      </sheetData>
      <sheetData sheetId="2"/>
      <sheetData sheetId="3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out"/>
      <sheetName val="Summary"/>
      <sheetName val="combined_cash flows"/>
      <sheetName val="Inputs Only"/>
      <sheetName val="BS"/>
      <sheetName val="Debt Schedule"/>
      <sheetName val="Capex"/>
      <sheetName val="P&amp;L"/>
      <sheetName val="Debottlenecking"/>
      <sheetName val="Options"/>
      <sheetName val="QrtrEsc"/>
      <sheetName val="Report (USD Mn)"/>
      <sheetName val="IRR"/>
      <sheetName val="pipeline"/>
      <sheetName val="Imdt_Cal"/>
      <sheetName val="Report"/>
      <sheetName val="Rev"/>
      <sheetName val="WC"/>
      <sheetName val="Exp_Depots"/>
      <sheetName val="Price (History)"/>
      <sheetName val="CF"/>
      <sheetName val="ProdDistbn"/>
      <sheetName val="CMA"/>
      <sheetName val="AnnEsc"/>
      <sheetName val="Prod Sales"/>
      <sheetName val="Price"/>
      <sheetName val="IPP"/>
      <sheetName val="EPP"/>
      <sheetName val="ProdPrice"/>
      <sheetName val="Prodn"/>
      <sheetName val="SaleTax"/>
      <sheetName val="Opex"/>
      <sheetName val="TranspCost"/>
      <sheetName val="Excise"/>
      <sheetName val="Tax"/>
      <sheetName val="Depr"/>
      <sheetName val="MrgMon"/>
      <sheetName val="GRM"/>
      <sheetName val="Freight Tables"/>
      <sheetName val="Net Back"/>
      <sheetName val="Assumptions_BOPP"/>
      <sheetName val="Capex_BOPP"/>
      <sheetName val="MoF_BOPP"/>
      <sheetName val="Depr_BOPP"/>
      <sheetName val="Prod_BOPP"/>
      <sheetName val="P&amp;L_BOPP"/>
      <sheetName val="WC_BOPP"/>
      <sheetName val="BS_BOPP"/>
      <sheetName val="CFS_BOPP"/>
      <sheetName val="Tax_BOPP"/>
      <sheetName val="DSCR_BOPP"/>
      <sheetName val="IRR_BOPP"/>
      <sheetName val="Cost_BOPP"/>
      <sheetName val="Report_BOPP"/>
      <sheetName val="Prices_BOPP"/>
      <sheetName val="Sensitivities_BOPP"/>
      <sheetName val="Margins_BOPP"/>
      <sheetName val="Sheet1"/>
      <sheetName val="Freight Ad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dr bldg"/>
      <sheetName val="#REF"/>
    </sheetNames>
    <sheetDataSet>
      <sheetData sheetId="0"/>
      <sheetData sheetId="1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out"/>
      <sheetName val="Summary"/>
      <sheetName val="combined_cash flows"/>
      <sheetName val="Inputs Only"/>
      <sheetName val="BS"/>
      <sheetName val="Debt Schedule"/>
      <sheetName val="Capex"/>
      <sheetName val="P&amp;L"/>
      <sheetName val="Debottlenecking"/>
      <sheetName val="Options"/>
      <sheetName val="QrtrEsc"/>
      <sheetName val="Report (USD Mn)"/>
      <sheetName val="IRR"/>
      <sheetName val="pipeline"/>
      <sheetName val="Imdt_Cal"/>
      <sheetName val="Report"/>
      <sheetName val="Rev"/>
      <sheetName val="WC"/>
      <sheetName val="Exp_Depots"/>
      <sheetName val="Price (History)"/>
      <sheetName val="CF"/>
      <sheetName val="ProdDistbn"/>
      <sheetName val="CMA"/>
      <sheetName val="AnnEsc"/>
      <sheetName val="Prod Sales"/>
      <sheetName val="Price"/>
      <sheetName val="IPP"/>
      <sheetName val="EPP"/>
      <sheetName val="ProdPrice"/>
      <sheetName val="Prodn"/>
      <sheetName val="SaleTax"/>
      <sheetName val="Opex"/>
      <sheetName val="TranspCost"/>
      <sheetName val="Excise"/>
      <sheetName val="Tax"/>
      <sheetName val="Depr"/>
      <sheetName val="MrgMon"/>
      <sheetName val="GRM"/>
      <sheetName val="Freight Tables"/>
      <sheetName val="Net Back"/>
      <sheetName val="Assumptions_BOPP"/>
      <sheetName val="Capex_BOPP"/>
      <sheetName val="MoF_BOPP"/>
      <sheetName val="Depr_BOPP"/>
      <sheetName val="Prod_BOPP"/>
      <sheetName val="P&amp;L_BOPP"/>
      <sheetName val="WC_BOPP"/>
      <sheetName val="BS_BOPP"/>
      <sheetName val="CFS_BOPP"/>
      <sheetName val="Tax_BOPP"/>
      <sheetName val="DSCR_BOPP"/>
      <sheetName val="IRR_BOPP"/>
      <sheetName val="Cost_BOPP"/>
      <sheetName val="Report_BOPP"/>
      <sheetName val="Prices_BOPP"/>
      <sheetName val="Sensitivities_BOPP"/>
      <sheetName val="Margins_BOPP"/>
      <sheetName val="Sheet1"/>
      <sheetName val="Freight Ad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_5"/>
      <sheetName val="summary_13"/>
      <sheetName val="Portfolio Summary"/>
      <sheetName val="Portfolio CFs"/>
      <sheetName val="Consolidated East Roc Summary"/>
      <sheetName val="PrintManagerCode"/>
      <sheetName val="Module2"/>
      <sheetName val="Consolidated East Roc CFs"/>
      <sheetName val="East Roc 1,2,4 Summary"/>
      <sheetName val="East Roc 1,2,4 CFs"/>
      <sheetName val="East Roc 3 Summary"/>
      <sheetName val="East Roc 3 CFs"/>
      <sheetName val="Glenmont Summary"/>
      <sheetName val="Module3"/>
      <sheetName val="Glenmont CFs"/>
      <sheetName val="Consolidated Greenbrier Summary"/>
      <sheetName val="Consolidated Greenbrier CFs"/>
      <sheetName val="Greenbrier I Summary"/>
      <sheetName val="Greenbrier I CFs"/>
      <sheetName val="Greenbrier III Summary"/>
      <sheetName val="Greenbrier III CFs"/>
      <sheetName val="Greenbrier V Summary"/>
      <sheetName val="Greenbrier V CFs"/>
      <sheetName val="Consolidated Maplecrest Summary"/>
      <sheetName val="Consolidated Maplecrest CFs"/>
      <sheetName val="MC 1,2,5 Summary"/>
      <sheetName val="MC 1,2,5 CFs"/>
      <sheetName val="MC 3 Summary"/>
      <sheetName val="MC 3 CFs"/>
      <sheetName val="MC 4A Summary"/>
      <sheetName val="MC 4A CFs"/>
      <sheetName val="MC 4B Summary"/>
      <sheetName val="MC 4B CFs"/>
      <sheetName val="Consolidated Normandy Summary"/>
      <sheetName val="Consolidated Normandy CFs"/>
      <sheetName val="Normandy Woods 1 Summary"/>
      <sheetName val="Normandy Woods 1 CFs"/>
      <sheetName val="Normandy Woods 2 Summary"/>
      <sheetName val="Normandy Woods 2 CFs"/>
      <sheetName val="Normandy Woods 3 Summary"/>
      <sheetName val="Normandy Woods 3 CFs"/>
      <sheetName val="Sheet2"/>
    </sheetNames>
    <sheetDataSet>
      <sheetData sheetId="0">
        <row r="33">
          <cell r="I33">
            <v>0.9</v>
          </cell>
        </row>
      </sheetData>
      <sheetData sheetId="1"/>
      <sheetData sheetId="2" refreshError="1">
        <row r="33">
          <cell r="I33">
            <v>0.9</v>
          </cell>
          <cell r="K33">
            <v>9.9999999999999978E-2</v>
          </cell>
        </row>
      </sheetData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69SS (final)"/>
      <sheetName val="269T(final)"/>
      <sheetName val="269T_final_"/>
      <sheetName val="Data for Multiple &amp; ratios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5GHz"/>
      <sheetName val="Acc_10.5"/>
      <sheetName val="EMS_10.5"/>
      <sheetName val="26GHz"/>
      <sheetName val="Acc_26"/>
      <sheetName val="EMS_26"/>
      <sheetName val="Acc_10_5"/>
      <sheetName val="FACTORS"/>
      <sheetName val="10_5GHz"/>
      <sheetName val="Acc_10_51"/>
      <sheetName val="EMS_10_5"/>
      <sheetName val="10_5GHz1"/>
      <sheetName val="Acc_10_52"/>
      <sheetName val="EMS_10_51"/>
      <sheetName val="10_5GHz2"/>
      <sheetName val="Acc_10_53"/>
      <sheetName val="EMS_10_52"/>
      <sheetName val="TAX 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 Done"/>
      <sheetName val="Legends (2)"/>
      <sheetName val="Samples For FA Additions (2)"/>
      <sheetName val="Guidance"/>
      <sheetName val="FA Schedule Dec 07"/>
      <sheetName val="Additions Dec 07"/>
      <sheetName val="FA SHEDULE-Audited Mar 07"/>
      <sheetName val="Reco- FAMS &amp; Tally"/>
      <sheetName val="FA Additions Apr- Dec 07"/>
      <sheetName val="FA register Dec 07"/>
      <sheetName val="Reco-FAMS &amp; Tally"/>
      <sheetName val="Sheet1"/>
      <sheetName val="Total Additions Apr to Nov 07"/>
      <sheetName val="Samples For FA Additions"/>
      <sheetName val="Sampling-CMA-DP"/>
      <sheetName val="Sampling-CMA-OE"/>
      <sheetName val="FA Register-Additions"/>
      <sheetName val="Additions"/>
      <sheetName val="Disposals"/>
      <sheetName val="Fixed Asset Register Dec 07"/>
      <sheetName val="Schedule Dec 06"/>
      <sheetName val="Expectation"/>
      <sheetName val="Audited MArch 07"/>
      <sheetName val="FA register Nov 07"/>
      <sheetName val="Retirements"/>
      <sheetName val="XREF"/>
      <sheetName val="Tickmarks"/>
      <sheetName val="IAA"/>
      <sheetName val="Worksheet in (C) 56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compu"/>
      <sheetName val="P &amp; L"/>
      <sheetName val="Portfolio Summary"/>
      <sheetName val="Sheet3 _2_"/>
      <sheetName val="DEPRE"/>
      <sheetName val="Set"/>
      <sheetName val="Income Statements"/>
      <sheetName val="Main Sheet (MTD)"/>
      <sheetName val="Consl Daily Report"/>
      <sheetName val="Calculation (2)"/>
      <sheetName val="QoQ Forecast"/>
      <sheetName val="Acc_10_5"/>
      <sheetName val="Sheet1"/>
      <sheetName val="Input"/>
      <sheetName val="Master Price List"/>
      <sheetName val="Introduction"/>
      <sheetName val="IDC macro"/>
      <sheetName val="SALE"/>
      <sheetName val="reference"/>
      <sheetName val="sheet6"/>
      <sheetName val="Analysis"/>
      <sheetName val="Sheet2"/>
      <sheetName val="van khuon"/>
      <sheetName val="Names"/>
      <sheetName val="BBEuros"/>
      <sheetName val="InvoiceList"/>
      <sheetName val="Income &amp; Occupancy Customer"/>
      <sheetName val="Summary"/>
      <sheetName val="노무비"/>
      <sheetName val="Sheet3_(2)"/>
      <sheetName val="Sheet3__2_"/>
      <sheetName val="Rollup Summary"/>
      <sheetName val="Acc_10.5"/>
      <sheetName val="new_data"/>
      <sheetName val="earnmodl"/>
      <sheetName val="Dom Cell (IS)"/>
      <sheetName val="LISTS"/>
      <sheetName val="Inputs"/>
      <sheetName val="M-2 Adjusted"/>
      <sheetName val="Preside"/>
      <sheetName val="balance sheet"/>
      <sheetName val="fco"/>
      <sheetName val="Factor_Sheet"/>
      <sheetName val="download"/>
      <sheetName val="170810-lease tax"/>
      <sheetName val="유통망계획"/>
      <sheetName val="CV"/>
      <sheetName val="ES(Kor)"/>
      <sheetName val="TIll_Q_sal"/>
      <sheetName val="tiller"/>
      <sheetName val="JCF"/>
      <sheetName val="Multiple output"/>
      <sheetName val="q-details"/>
      <sheetName val="International"/>
      <sheetName val="Internet"/>
      <sheetName val="Main workings"/>
      <sheetName val="assumptions"/>
      <sheetName val="Company"/>
      <sheetName val="Global Assm."/>
      <sheetName val="Aladdin Macro1"/>
      <sheetName val="BalSht"/>
      <sheetName val="ABP inputs"/>
      <sheetName val="Synergy Sales Budget"/>
      <sheetName val="Project Budget Worksheet"/>
      <sheetName val="Builtup Area"/>
      <sheetName val="Headings"/>
      <sheetName val="RCC,Ret. Wall"/>
      <sheetName val="BOQ T4B"/>
      <sheetName val="F1a-Pile"/>
      <sheetName val="INDIGINEOUS ITEMS "/>
      <sheetName val="Formulas"/>
      <sheetName val="IMPORT T12"/>
      <sheetName val="SCH-E-1"/>
      <sheetName val="BIPR"/>
      <sheetName val="BPCA"/>
      <sheetName val="BBRS"/>
      <sheetName val="KPM DT"/>
      <sheetName val="EBITDA"/>
      <sheetName val="Income_Statements"/>
      <sheetName val="QoQ_Forecast"/>
      <sheetName val="Depreciation"/>
      <sheetName val="Material "/>
      <sheetName val="Labour &amp; Plant"/>
      <sheetName val="Lead"/>
      <sheetName val="Main-Material"/>
      <sheetName val="GBW"/>
      <sheetName val="Design"/>
      <sheetName val="BOQ"/>
      <sheetName val=" B3"/>
      <sheetName val=" B1"/>
      <sheetName val="beam-reinft-IIInd floor"/>
      <sheetName val="PLGroupings"/>
      <sheetName val="Results"/>
      <sheetName val="Current Bill MB ref"/>
      <sheetName val="Meas.-Hotel Part"/>
      <sheetName val="Approved MTD Proj #'s"/>
      <sheetName val="PLAN_FEB97"/>
      <sheetName val="Fin Sum"/>
      <sheetName val="ras"/>
      <sheetName val="CapitalOutlay"/>
      <sheetName val="Assum"/>
      <sheetName val="Aladdin_Macro1"/>
      <sheetName val="TB_FOR_MIS"/>
      <sheetName val="Area"/>
      <sheetName val="TB FOR MIS"/>
      <sheetName val="INPUT SHEET"/>
      <sheetName val="MN T.B."/>
      <sheetName val="CFForecast detail"/>
      <sheetName val="Site Dev BOQ"/>
      <sheetName val="Break up Sheet"/>
      <sheetName val="Load Details-220kV"/>
      <sheetName val="Block A - BOQ"/>
      <sheetName val="strand"/>
      <sheetName val="Vind-BtB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Occ"/>
      <sheetName val="Demand"/>
      <sheetName val="Ref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Index"/>
      <sheetName val="Rates"/>
      <sheetName val="F"/>
      <sheetName val="EXHIBIT&quot; T&quot;"/>
      <sheetName val="Turnover"/>
      <sheetName val="02022005"/>
      <sheetName val="16022005"/>
      <sheetName val="05012005"/>
      <sheetName val="19012005"/>
      <sheetName val="02032005"/>
      <sheetName val="16032005"/>
      <sheetName val="30032005"/>
      <sheetName val="Balance Sheet "/>
      <sheetName val="Summary Excise"/>
      <sheetName val="BS"/>
      <sheetName val="Other BS Sch 5-9"/>
      <sheetName val="Excess Calc"/>
      <sheetName val="Grouping Master"/>
      <sheetName val="March Analysts"/>
      <sheetName val="CABLE DATA"/>
      <sheetName val="1st flr"/>
      <sheetName val="Civil Boq"/>
      <sheetName val="final abstract"/>
      <sheetName val="Rate analysis"/>
      <sheetName val="02"/>
      <sheetName val="03"/>
      <sheetName val="04"/>
      <sheetName val="01"/>
      <sheetName val=" Acc. Sched."/>
      <sheetName val="EDS  Bestshore Migration"/>
      <sheetName val="NewCo"/>
      <sheetName val="sept-plan"/>
      <sheetName val="van_khuon"/>
      <sheetName val="IDC_macro"/>
      <sheetName val="Portfolio_Summary"/>
      <sheetName val="Current_Bill_MB_ref"/>
      <sheetName val="Meas_-Hotel_Part"/>
      <sheetName val="Fin_Sum"/>
      <sheetName val="OpRes"/>
      <sheetName val="master"/>
      <sheetName val="Base"/>
      <sheetName val="Hot"/>
      <sheetName val="Mico"/>
      <sheetName val="03 (2)"/>
      <sheetName val="WIng F(Typical)"/>
      <sheetName val="Legal Risk Analysis"/>
      <sheetName val="CARO"/>
      <sheetName val="IMPORT_T12"/>
      <sheetName val="KPM_DT"/>
      <sheetName val="Task"/>
      <sheetName val="OpTrack"/>
      <sheetName val="CashFlow"/>
      <sheetName val="TB"/>
      <sheetName val="Training Deposits coding"/>
      <sheetName val="Sensitivity"/>
      <sheetName val="Checks"/>
      <sheetName val="DET0900"/>
      <sheetName val="Theatre mgmt cont"/>
      <sheetName val="AOR"/>
      <sheetName val="Pay_Sep06"/>
      <sheetName val="Macro1"/>
      <sheetName val="Licences"/>
      <sheetName val="LBO Financials"/>
      <sheetName val="97-98"/>
      <sheetName val="SODA02"/>
      <sheetName val="classes"/>
      <sheetName val="IT Block"/>
      <sheetName val="Location CODE"/>
      <sheetName val="Location TYPE"/>
      <sheetName val="sub class"/>
      <sheetName val=" sub Loc "/>
      <sheetName val="LBO"/>
      <sheetName val="Sheet3"/>
      <sheetName val="#REF"/>
      <sheetName val="Data"/>
      <sheetName val="MASTER_RATE ANALYSIS"/>
      <sheetName val="Valuation - block 2"/>
      <sheetName val="RNT"/>
      <sheetName val="Combi"/>
      <sheetName val="A-Mum"/>
      <sheetName val="Base Assumptions"/>
      <sheetName val="Summ"/>
      <sheetName val="Fossil_DCF"/>
      <sheetName val="SOPMA DD"/>
      <sheetName val="Code"/>
      <sheetName val="RES-PLANNING"/>
      <sheetName val="Cost_any"/>
      <sheetName val="10. &amp; 11. Rate Code &amp; BQ"/>
      <sheetName val="FlashMgtMo"/>
      <sheetName val="FlashMgtYTD"/>
      <sheetName val="FITZ MORT 94"/>
      <sheetName val="QoQ In Lakhs"/>
      <sheetName val="GENERAL2"/>
      <sheetName val="YTD"/>
      <sheetName val="vb 9&amp;10"/>
      <sheetName val="GenAssump"/>
      <sheetName val="Goldberg Portfolio Combined"/>
      <sheetName val="BKCSTOCKVAL"/>
      <sheetName val="MAHSTOCKVAL"/>
      <sheetName val="Commercial Research"/>
      <sheetName val="Intaccrual"/>
      <sheetName val="SBU"/>
      <sheetName val="Portfolio_Summary1"/>
      <sheetName val="Current_Bill_MB_ref1"/>
      <sheetName val="Meas_-Hotel_Part1"/>
      <sheetName val="IO LIST"/>
      <sheetName val="Fill this out first..."/>
      <sheetName val="NEW-IDs Fun &amp; Group"/>
      <sheetName val="MIS - kINR"/>
      <sheetName val="AOP13"/>
      <sheetName val="CAP"/>
      <sheetName val="ANN.K"/>
      <sheetName val="FA Schedule Dec 07"/>
      <sheetName val="Open Items-311208"/>
      <sheetName val="Params"/>
      <sheetName val="269T(final)"/>
      <sheetName val="Trial Balance"/>
      <sheetName val="Contribution"/>
      <sheetName val="Rx"/>
      <sheetName val="Variables_x"/>
      <sheetName val="Operating Statistics"/>
      <sheetName val=""/>
      <sheetName val="Menu"/>
      <sheetName val="9. Package split - Cost "/>
      <sheetName val="Service Invoice"/>
      <sheetName val="Cash Flow Working"/>
      <sheetName val="Retail Mall"/>
      <sheetName val="Master list"/>
      <sheetName val="Labour List"/>
      <sheetName val="Material List"/>
      <sheetName val="Architectural Summary"/>
      <sheetName val="Labor abs-NMR"/>
      <sheetName val="Beam at Ground flr lvl(Steel)"/>
      <sheetName val="AREAS"/>
      <sheetName val="sumary"/>
      <sheetName val="1st -vpd"/>
      <sheetName val="conc-foot-gradeslab"/>
      <sheetName val="Material List "/>
      <sheetName val="SCHEDULE"/>
      <sheetName val="Database"/>
      <sheetName val="schedule nos"/>
      <sheetName val="WT-LIST"/>
      <sheetName val="Material"/>
      <sheetName val="Leasing Commision"/>
      <sheetName val="XZLC003_PART1"/>
      <sheetName val="15-21"/>
      <sheetName val="P.R. TAXES"/>
      <sheetName val="BILLING SUM"/>
      <sheetName val="MIS AC wise"/>
      <sheetName val="Cover"/>
      <sheetName val="RA"/>
      <sheetName val="Control"/>
      <sheetName val="Related party - P&amp;L"/>
      <sheetName val="Night Shift"/>
      <sheetName val="horizontal"/>
      <sheetName val="wdr bldg"/>
      <sheetName val="Formated Trial Balance"/>
      <sheetName val="Notes-pivot1 "/>
      <sheetName val="Scope"/>
      <sheetName val="Estimate"/>
      <sheetName val="12-ACTPL"/>
      <sheetName val="Debtors analysis"/>
      <sheetName val="A1-Continuous"/>
      <sheetName val="pile Fabrication"/>
      <sheetName val="Improvements"/>
      <sheetName val="Kontensalden"/>
      <sheetName val="ASSETS P&amp;M"/>
      <sheetName val="Assets Land &amp; Mise FA"/>
      <sheetName val="Variables"/>
      <sheetName val="Publicbuilding"/>
      <sheetName val="Non-Factory"/>
      <sheetName val="extra work elec bill "/>
      <sheetName val="WC analytics (+data pages)"/>
      <sheetName val="FY2001-02"/>
      <sheetName val="XLR_NoRangeSheet"/>
      <sheetName val="Sheet3_(2)5"/>
      <sheetName val="Sheet3__2_5"/>
      <sheetName val="Calculation_(2)5"/>
      <sheetName val="Multiple_output5"/>
      <sheetName val="170810-lease_tax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Main_Sheet_(MTD)"/>
      <sheetName val="Consl_Daily_Report"/>
      <sheetName val="balance_sheet"/>
      <sheetName val="Aladdin_Macro15"/>
      <sheetName val="Acc_10_55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4.4 External Plaster"/>
      <sheetName val="TMasterCurrency"/>
      <sheetName val="TMasterSeg"/>
      <sheetName val="apr-aug"/>
      <sheetName val="Rev Opt - Rollup"/>
      <sheetName val="CASHFLOWS"/>
      <sheetName val="drop-dwn list"/>
      <sheetName val="tngst1"/>
      <sheetName val="Boiler&amp;TG"/>
      <sheetName val="Timeline"/>
      <sheetName val="Notes"/>
      <sheetName val="Assump"/>
      <sheetName val="A.O.R."/>
      <sheetName val="SEW4"/>
      <sheetName val="MFG"/>
      <sheetName val="exp"/>
      <sheetName val="Sheet4"/>
      <sheetName val="ES"/>
      <sheetName val="HBI NCD"/>
      <sheetName val="CUSTOM Jun99"/>
      <sheetName val="Felix Street Summary"/>
      <sheetName val="Newspapers"/>
      <sheetName val="AccDil"/>
      <sheetName val="Overall Summary"/>
      <sheetName val="소상 &quot;1&quot;"/>
      <sheetName val="CrRajWMM"/>
      <sheetName val="Cost summary"/>
      <sheetName val="RCC Rates"/>
      <sheetName val="FORM7"/>
      <sheetName val="目录"/>
      <sheetName val="PRECAST lightconc-II"/>
      <sheetName val="Tender Summary"/>
      <sheetName val="Bill 1-BOQ-Civil Works"/>
      <sheetName val="UNP-NCW "/>
      <sheetName val="Debt"/>
      <sheetName val="SALES"/>
      <sheetName val="van_khuon1"/>
      <sheetName val="IDC_macro1"/>
      <sheetName val="P_&amp;_L"/>
      <sheetName val="Summary_Excise"/>
      <sheetName val="Other_BS_Sch_5-9"/>
      <sheetName val="Excess_Calc"/>
      <sheetName val="Grouping_Master"/>
      <sheetName val="March_Analysts"/>
      <sheetName val="Fin_Sum1"/>
      <sheetName val="Main_workings"/>
      <sheetName val="Balance_Sheet_"/>
      <sheetName val="IMPORT_T121"/>
      <sheetName val="KPM_DT1"/>
      <sheetName val="Dom_Cell_(IS)"/>
      <sheetName val="M-2_Adjusted"/>
      <sheetName val="Master_Price_List"/>
      <sheetName val="EXHIBIT&quot;_T&quot;"/>
      <sheetName val="TB_FOR_MIS1"/>
      <sheetName val="INPUT_SHEET"/>
      <sheetName val="_Acc__Sched_"/>
      <sheetName val="EDS__Bestshore_Migration"/>
      <sheetName val="IT_Block"/>
      <sheetName val="Location_CODE"/>
      <sheetName val="Location_TYPE"/>
      <sheetName val="sub_class"/>
      <sheetName val="_sub_Loc_"/>
      <sheetName val="Training_Deposits_coding"/>
      <sheetName val="Rev_Opt_-_Rollup"/>
      <sheetName val="MASTER_RATE_ANALYSIS"/>
      <sheetName val="Valuation_-_block_2"/>
      <sheetName val="SAP downloaded schedule"/>
      <sheetName val="?????"/>
      <sheetName val="Budget Summary"/>
      <sheetName val="Basework"/>
      <sheetName val="Monthly Inputs"/>
      <sheetName val="2000-1 Monthly Cashflows"/>
      <sheetName val="2002-2 Monthly Cashflows"/>
      <sheetName val="cl 14 Annex 7 "/>
      <sheetName val="Encl 7A"/>
      <sheetName val="RA-markate"/>
      <sheetName val="Basement Budget"/>
      <sheetName val="labour"/>
      <sheetName val="currency"/>
      <sheetName val="Assumption"/>
      <sheetName val="EVA1"/>
      <sheetName val="ITEM  STUDY (2)"/>
      <sheetName val="EXPENSES"/>
      <sheetName val="TDS Certificate-Format"/>
      <sheetName val="FA"/>
      <sheetName val="A-1"/>
      <sheetName val="MultipleSecurities"/>
      <sheetName val="Ins Erection"/>
      <sheetName val="Rollup"/>
      <sheetName val="0. Data Validation List"/>
      <sheetName val="Crest"/>
      <sheetName val="Pinnacle"/>
      <sheetName val="Zenith"/>
      <sheetName val="stacking sheet"/>
      <sheetName val="Portfolio_Summary2"/>
      <sheetName val="03_(2)"/>
      <sheetName val="Current_Bill_MB_ref2"/>
      <sheetName val="Meas_-Hotel_Part2"/>
      <sheetName val="WIng_F(Typical)"/>
      <sheetName val="Legal_Risk_Analysis"/>
      <sheetName val="SOPMA_DD"/>
      <sheetName val="Architectural_Summary"/>
      <sheetName val="IO_LIST"/>
      <sheetName val="Fill_this_out_first___"/>
      <sheetName val="extra_work_elec_bill_"/>
      <sheetName val="10__&amp;_11__Rate_Code_&amp;_BQ"/>
      <sheetName val="NEW-IDs_Fun_&amp;_Group"/>
      <sheetName val="Graph (LGEN)"/>
      <sheetName val="out_prog"/>
      <sheetName val="선적schedule (2)"/>
      <sheetName val="BQ"/>
      <sheetName val="USB 1"/>
      <sheetName val="BOQ Distribution"/>
      <sheetName val="wordsdata"/>
      <sheetName val="GM &amp; TA"/>
      <sheetName val="steam outlet"/>
      <sheetName val="crs"/>
      <sheetName val="PIMS"/>
      <sheetName val="SCH 10"/>
      <sheetName val="SAP EMP"/>
      <sheetName val="I"/>
      <sheetName val="DYN PP"/>
      <sheetName val="TXN97"/>
      <sheetName val="June Reserve - Far East"/>
      <sheetName val="PERHW"/>
      <sheetName val="Loss 3004"/>
      <sheetName val="Reconciliation of GL &amp; FAR"/>
      <sheetName val="Settings"/>
      <sheetName val="Recon"/>
      <sheetName val="Sheet3_(2)6"/>
      <sheetName val="Sheet3__2_6"/>
      <sheetName val="Income_Statements6"/>
      <sheetName val="Main_Sheet_(MTD)1"/>
      <sheetName val="Consl_Daily_Report1"/>
      <sheetName val="Calculation_(2)6"/>
      <sheetName val="QoQ_Forecast6"/>
      <sheetName val="Income_&amp;_Occupancy_Customer6"/>
      <sheetName val="Rollup_Summary1"/>
      <sheetName val="Acc_10_56"/>
      <sheetName val="balance_sheet1"/>
      <sheetName val="170810-lease_tax1"/>
      <sheetName val="Multiple_output6"/>
      <sheetName val="Aladdin_Macro16"/>
      <sheetName val="Global_Assm_6"/>
      <sheetName val="ABP_inputs6"/>
      <sheetName val="Synergy_Sales_Budget6"/>
      <sheetName val="Project_Budget_Worksheet6"/>
      <sheetName val="Builtup_Area6"/>
      <sheetName val="RCC,Ret__Wall6"/>
      <sheetName val="BOQ_T4B6"/>
      <sheetName val="INDIGINEOUS_ITEMS_6"/>
      <sheetName val="Material_6"/>
      <sheetName val="Labour_&amp;_Plant6"/>
      <sheetName val="_B36"/>
      <sheetName val="_B16"/>
      <sheetName val="beam-reinft-IIInd_floor6"/>
      <sheetName val="Approved_MTD_Proj_#'s6"/>
      <sheetName val="MN_T_B_6"/>
      <sheetName val="CFForecast_detail6"/>
      <sheetName val="Site_Dev_BOQ6"/>
      <sheetName val="Break_up_Sheet6"/>
      <sheetName val="Load_Details-220kV6"/>
      <sheetName val="Block_A_-_BOQ6"/>
      <sheetName val="LBO_Financials"/>
      <sheetName val="CABLE_DATA1"/>
      <sheetName val="1st_flr1"/>
      <sheetName val="Civil_Boq1"/>
      <sheetName val="final_abstract1"/>
      <sheetName val="Rate_analysis1"/>
      <sheetName val="MIS_-_kINR1"/>
      <sheetName val="QoQ_In_Lakhs"/>
      <sheetName val="Theatre_mgmt_cont"/>
      <sheetName val="Open_Items-311208"/>
      <sheetName val="Transaction"/>
      <sheetName val="FA(Apr 07)"/>
      <sheetName val="Reco O.S"/>
      <sheetName val="Accounts"/>
      <sheetName val="BOM"/>
      <sheetName val="HRD1"/>
      <sheetName val="Taluka wise dealer (2)"/>
      <sheetName val="Standalone"/>
      <sheetName val="RATE LIST (2)"/>
      <sheetName val="Control Sheet"/>
      <sheetName val="schedules"/>
      <sheetName val="Summary_Local"/>
      <sheetName val="HELP"/>
      <sheetName val="BS-2005"/>
      <sheetName val="MAIN_MENU"/>
      <sheetName val="exec summ"/>
      <sheetName val="TH"/>
      <sheetName val="details"/>
      <sheetName val="Phasing"/>
      <sheetName val="Hardware"/>
      <sheetName val="Power &amp; Fuel (S)"/>
      <sheetName val="concrete"/>
      <sheetName val="CSCCincSKR"/>
      <sheetName val="IO"/>
      <sheetName val="Timesheet"/>
      <sheetName val="Loads"/>
      <sheetName val="p&amp;m"/>
      <sheetName val="S &amp; A"/>
      <sheetName val="Schedule v1"/>
      <sheetName val="final 061106"/>
      <sheetName val="SAB P&amp;L"/>
      <sheetName val="cash flow"/>
      <sheetName val="HIDDEN"/>
      <sheetName val="DEP99"/>
      <sheetName val="IGAAP"/>
      <sheetName val="INI"/>
      <sheetName val="Output"/>
      <sheetName val="meeting rectification control"/>
      <sheetName val="Loan Data"/>
      <sheetName val="Challan"/>
      <sheetName val="NGS Data Sheet"/>
      <sheetName val="SGS Data Sheet"/>
      <sheetName val="Standalone seg"/>
      <sheetName val="Gen_Ass"/>
      <sheetName val="Op_Ass"/>
      <sheetName val="Staff Costs"/>
      <sheetName val="General_Assumptions"/>
      <sheetName val="Determination of Threshold"/>
      <sheetName val="800CC_FR_HOSE"/>
      <sheetName val="Esteem Rear"/>
      <sheetName val="Rs in lacs"/>
      <sheetName val="C120102"/>
      <sheetName val="PROV_CONSOLIDATED"/>
      <sheetName val="Multipliers &amp; KRA"/>
      <sheetName val="Trial_Balance"/>
      <sheetName val="MIS_AC_wise"/>
      <sheetName val="Base_Assumptions"/>
      <sheetName val="FITZ_MORT_94"/>
      <sheetName val="vb_9&amp;10"/>
      <sheetName val="Goldberg_Portfolio_Combined"/>
      <sheetName val="Commercial_Research"/>
      <sheetName val="Material_List_"/>
      <sheetName val="9__Package_split_-_Cost_"/>
      <sheetName val="Operating_Statistics"/>
      <sheetName val="FA_Schedule_Dec_07"/>
      <sheetName val="P_R__TAXES"/>
      <sheetName val="BILLING_SUM"/>
      <sheetName val="Master_list"/>
      <sheetName val="Labour_List"/>
      <sheetName val="Material_List"/>
      <sheetName val="Labor_abs-NMR"/>
      <sheetName val="Beam_at_Ground_flr_lvl(Steel)"/>
      <sheetName val="1st_-vpd"/>
      <sheetName val="schedule_nos"/>
      <sheetName val="Leasing_Commision"/>
      <sheetName val="Service_Invoice"/>
      <sheetName val="Cash_Flow_Working"/>
      <sheetName val="Retail_Mall"/>
      <sheetName val="Related_party_-_P&amp;L"/>
      <sheetName val="Debtors_analysis"/>
      <sheetName val="pile_Fabrication"/>
      <sheetName val="ANN_K"/>
      <sheetName val="Notes-pivot1_"/>
      <sheetName val="ASSETS_P&amp;M"/>
      <sheetName val="Assets_Land_&amp;_Mise_FA"/>
      <sheetName val="drop-dwn_list"/>
      <sheetName val="소상_&quot;1&quot;"/>
      <sheetName val="Felix_Street_Summary"/>
      <sheetName val="Overall_Summary"/>
      <sheetName val="RCC_Rates"/>
      <sheetName val="Cost_summary"/>
      <sheetName val="PRECAST_lightconc-II"/>
      <sheetName val="Tender_Summary"/>
      <sheetName val="Bill_1-BOQ-Civil_Works"/>
      <sheetName val="UNP-NCW_"/>
      <sheetName val="4_4_External_Plaster"/>
      <sheetName val="HBI_NCD"/>
      <sheetName val="CUSTOM_Jun99"/>
      <sheetName val="A_O_R_"/>
      <sheetName val="Ins_Erection"/>
      <sheetName val="Staff_Costs"/>
      <sheetName val="0__Data_Validation_List"/>
      <sheetName val="stacking_sheet"/>
      <sheetName val="Basement_Budget"/>
      <sheetName val="Night_Shift"/>
      <sheetName val="ITEM__STUDY_(2)"/>
      <sheetName val="TDS_Certificate-Format"/>
      <sheetName val="Quotation"/>
      <sheetName val="RCC_Ret_ Wall"/>
      <sheetName val="Sources"/>
      <sheetName val="Audit"/>
      <sheetName val="register"/>
      <sheetName val="Earnings"/>
      <sheetName val=" "/>
      <sheetName val="EAST"/>
      <sheetName val="YOEMAGUM"/>
      <sheetName val="Lease Expiry"/>
      <sheetName val="Customize Your Invoice"/>
      <sheetName val="Dep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form26"/>
      <sheetName val="F29B"/>
      <sheetName val="Base data Security Procedures"/>
      <sheetName val="Parameter"/>
      <sheetName val="Inv_Data"/>
      <sheetName val="Tyre1"/>
      <sheetName val="Auto"/>
      <sheetName val="Sale Charts"/>
      <sheetName val="EXIS-COMBINED"/>
      <sheetName val="HOUSE RENT DEPO."/>
      <sheetName val="Approval"/>
      <sheetName val="FCIIHyperion"/>
      <sheetName val="Lease-rents"/>
      <sheetName val="Key Assumption"/>
      <sheetName val="Master Information"/>
      <sheetName val="Expansion"/>
      <sheetName val="Collection"/>
      <sheetName val="Cases"/>
      <sheetName val="CPR"/>
      <sheetName val="MARCH"/>
      <sheetName val="SEP "/>
      <sheetName val="Misc. Master"/>
      <sheetName val="Capital Structure"/>
      <sheetName val="GROUPING"/>
      <sheetName val="TBAL9697 -group wise  sdpl"/>
      <sheetName val="dlvoid"/>
      <sheetName val="Coalmine"/>
      <sheetName val="Account title"/>
      <sheetName val="Titel"/>
      <sheetName val="Fin"/>
      <sheetName val="Intro"/>
      <sheetName val="Micro"/>
      <sheetName val="Macro"/>
      <sheetName val="Scaff-Rose"/>
      <sheetName val="Tickmarks"/>
      <sheetName val="Check Register"/>
      <sheetName val="EBITDA Bridge"/>
      <sheetName val="Detailed"/>
      <sheetName val="2003 Budget-PL-case1"/>
      <sheetName val="STATSUM"/>
      <sheetName val="TB9899"/>
      <sheetName val="Fin. Assumpt. - Sensitivities"/>
      <sheetName val="现金流量分析表"/>
      <sheetName val="边际贡献分析表"/>
      <sheetName val="Temp"/>
      <sheetName val="4 Annex 1 Basic rate"/>
      <sheetName val="oresreqsum"/>
      <sheetName val="Elec Summ"/>
      <sheetName val="ELEC BOQ"/>
      <sheetName val="TRACK BUSWAY"/>
      <sheetName val="BBT"/>
      <sheetName val="LIGHTING"/>
      <sheetName val="LMS"/>
      <sheetName val="Other notes"/>
      <sheetName val="OHT_Abs"/>
      <sheetName val="1"/>
      <sheetName val="Linked Lead"/>
      <sheetName val="hist&amp;proj"/>
      <sheetName val="L"/>
      <sheetName val="STAFFSCHED "/>
      <sheetName val="Basic Rate"/>
      <sheetName val=" COP"/>
      <sheetName val="Main"/>
      <sheetName val="Redelvery provision changed"/>
      <sheetName val="Sch5TO10"/>
      <sheetName val="macroDat"/>
      <sheetName val="Power_&amp;_Fuel_(S)"/>
      <sheetName val="Budget_Summary"/>
      <sheetName val="MIS"/>
      <sheetName val="ADV-TK-HORT"/>
      <sheetName val="Classification"/>
      <sheetName val="XREF"/>
      <sheetName val="Income"/>
      <sheetName val="EPS"/>
      <sheetName val="currency (2)"/>
      <sheetName val="Companies"/>
      <sheetName val="People"/>
      <sheetName val="NW RTU"/>
      <sheetName val="Clause 9"/>
      <sheetName val="SP Break Up"/>
      <sheetName val="Cash Flow "/>
      <sheetName val="INQVAR PY"/>
      <sheetName val="NEES"/>
      <sheetName val="COST-MTRS"/>
      <sheetName val="FLASH"/>
      <sheetName val="Annexure"/>
      <sheetName val="Schedules 3-8"/>
      <sheetName val="RELACION REFERENCIAS"/>
      <sheetName val="XWR"/>
      <sheetName val="van_khuon2"/>
      <sheetName val="IDC_macro2"/>
      <sheetName val="IMPORT_T122"/>
      <sheetName val="KPM_DT2"/>
      <sheetName val="Portfolio_Summary3"/>
      <sheetName val="Current_Bill_MB_ref3"/>
      <sheetName val="Meas_-Hotel_Part3"/>
      <sheetName val="Fin_Sum2"/>
      <sheetName val="Summary_Excise1"/>
      <sheetName val="Other_BS_Sch_5-91"/>
      <sheetName val="Excess_Calc1"/>
      <sheetName val="Grouping_Master1"/>
      <sheetName val="TB_FOR_MIS2"/>
      <sheetName val="INPUT_SHEET1"/>
      <sheetName val="P_&amp;_L1"/>
      <sheetName val="March_Analysts1"/>
      <sheetName val="Dom_Cell_(IS)1"/>
      <sheetName val="EXHIBIT&quot;_T&quot;1"/>
      <sheetName val="_Acc__Sched_1"/>
      <sheetName val="Training_Deposits_coding1"/>
      <sheetName val="M-2_Adjusted1"/>
      <sheetName val="03_(2)1"/>
      <sheetName val="WIng_F(Typical)1"/>
      <sheetName val="Master_Price_List1"/>
      <sheetName val="Main_workings1"/>
      <sheetName val="Balance_Sheet_1"/>
      <sheetName val="EDS__Bestshore_Migration1"/>
      <sheetName val="IT_Block1"/>
      <sheetName val="Location_CODE1"/>
      <sheetName val="Location_TYPE1"/>
      <sheetName val="sub_class1"/>
      <sheetName val="_sub_Loc_1"/>
      <sheetName val="Open_Items-3112081"/>
      <sheetName val="Legal_Risk_Analysis1"/>
      <sheetName val="LBO_Financials1"/>
      <sheetName val="MASTER_RATE_ANALYSIS1"/>
      <sheetName val="Valuation_-_block_21"/>
      <sheetName val="ANN_K1"/>
      <sheetName val="FA_Schedule_Dec_071"/>
      <sheetName val="NEW-IDs_Fun_&amp;_Group1"/>
      <sheetName val="Rev_Opt_-_Rollup1"/>
      <sheetName val="SOPMA_DD1"/>
      <sheetName val="Debtors_analysis1"/>
      <sheetName val="Architectural_Summary1"/>
      <sheetName val="pile_Fabrication1"/>
      <sheetName val="IO_LIST1"/>
      <sheetName val="Master_list1"/>
      <sheetName val="Labour_List1"/>
      <sheetName val="Material_List1"/>
      <sheetName val="Labor_abs-NMR1"/>
      <sheetName val="Beam_at_Ground_flr_lvl(Steel)1"/>
      <sheetName val="1st_-vpd1"/>
      <sheetName val="Material_List_1"/>
      <sheetName val="schedule_nos1"/>
      <sheetName val="Theatre_mgmt_cont1"/>
      <sheetName val="Base_Assumptions1"/>
      <sheetName val="10__&amp;_11__Rate_Code_&amp;_BQ1"/>
      <sheetName val="FITZ_MORT_941"/>
      <sheetName val="QoQ_In_Lakhs1"/>
      <sheetName val="vb_9&amp;101"/>
      <sheetName val="Goldberg_Portfolio_Combined1"/>
      <sheetName val="Commercial_Research1"/>
      <sheetName val="Fill_this_out_first___1"/>
      <sheetName val="COSTMAR"/>
      <sheetName val="Jun 2000"/>
      <sheetName val="Sheet2 (2)"/>
      <sheetName val="3-dep"/>
      <sheetName val="1996-97"/>
      <sheetName val="Bal_Gr"/>
      <sheetName val="BM"/>
      <sheetName val="entitlements"/>
      <sheetName val="Conversion Table"/>
      <sheetName val="PetroChina"/>
      <sheetName val="차수"/>
      <sheetName val="P&amp;L"/>
      <sheetName val="DIVBUD99"/>
      <sheetName val="nela"/>
      <sheetName val="Annexure-I"/>
      <sheetName val="Sheet3_(2)7"/>
      <sheetName val="Sheet3__2_7"/>
      <sheetName val="Income_&amp;_Occupancy_Customer7"/>
      <sheetName val="Income_Statements7"/>
      <sheetName val="QoQ_Forecast7"/>
      <sheetName val="Aladdin_Macro17"/>
      <sheetName val="Acc_10_57"/>
      <sheetName val="Global_Assm_7"/>
      <sheetName val="Builtup_Area7"/>
      <sheetName val="Project_Budget_Worksheet7"/>
      <sheetName val="ABP_inputs7"/>
      <sheetName val="Synergy_Sales_Budget7"/>
      <sheetName val="Calculation_(2)7"/>
      <sheetName val="Multiple_output7"/>
      <sheetName val="RCC,Ret__Wall7"/>
      <sheetName val="BOQ_T4B7"/>
      <sheetName val="INDIGINEOUS_ITEMS_7"/>
      <sheetName val="Material_7"/>
      <sheetName val="Labour_&amp;_Plant7"/>
      <sheetName val="_B37"/>
      <sheetName val="_B17"/>
      <sheetName val="beam-reinft-IIInd_floor7"/>
      <sheetName val="Approved_MTD_Proj_#'s7"/>
      <sheetName val="Main_Sheet_(MTD)2"/>
      <sheetName val="Consl_Daily_Report2"/>
      <sheetName val="Rollup_Summary2"/>
      <sheetName val="MN_T_B_7"/>
      <sheetName val="CFForecast_detail7"/>
      <sheetName val="Site_Dev_BOQ7"/>
      <sheetName val="Break_up_Sheet7"/>
      <sheetName val="Load_Details-220kV7"/>
      <sheetName val="Block_A_-_BOQ7"/>
      <sheetName val="170810-lease_tax2"/>
      <sheetName val="ASSETS_P&amp;M1"/>
      <sheetName val="Assets_Land_&amp;_Mise_FA1"/>
      <sheetName val="CABLE_DATA2"/>
      <sheetName val="1st_flr2"/>
      <sheetName val="Civil_Boq2"/>
      <sheetName val="balance_sheet2"/>
      <sheetName val="final_abstract2"/>
      <sheetName val="Rate_analysis2"/>
      <sheetName val="Trial_Balance1"/>
      <sheetName val="MIS_AC_wise1"/>
      <sheetName val="MIS_-_kINR2"/>
      <sheetName val="9__Package_split_-_Cost_1"/>
      <sheetName val="Operating_Statistics1"/>
      <sheetName val="P_R__TAXES1"/>
      <sheetName val="BILLING_SUM1"/>
      <sheetName val="Leasing_Commision1"/>
      <sheetName val="Service_Invoice1"/>
      <sheetName val="Cash_Flow_Working1"/>
      <sheetName val="Retail_Mall1"/>
      <sheetName val="Related_party_-_P&amp;L1"/>
      <sheetName val="Notes-pivot1_1"/>
      <sheetName val="drop-dwn_list1"/>
      <sheetName val="extra_work_elec_bill_1"/>
      <sheetName val="소상_&quot;1&quot;1"/>
      <sheetName val="Felix_Street_Summary1"/>
      <sheetName val="Overall_Summary1"/>
      <sheetName val="RCC_Rates1"/>
      <sheetName val="Cost_summary1"/>
      <sheetName val="PRECAST_lightconc-II1"/>
      <sheetName val="Tender_Summary1"/>
      <sheetName val="Bill_1-BOQ-Civil_Works1"/>
      <sheetName val="UNP-NCW_1"/>
      <sheetName val="4_4_External_Plaster1"/>
      <sheetName val="HBI_NCD1"/>
      <sheetName val="CUSTOM_Jun991"/>
      <sheetName val="A_O_R_1"/>
      <sheetName val="Ins_Erection1"/>
      <sheetName val="0__Data_Validation_List1"/>
      <sheetName val="stacking_sheet1"/>
      <sheetName val="Basement_Budget1"/>
      <sheetName val="Night_Shift1"/>
      <sheetName val="ITEM__STUDY_(2)1"/>
      <sheetName val="TDS_Certificate-Format1"/>
      <sheetName val="Staff_Costs1"/>
      <sheetName val="Taluka_wise_dealer_(2)"/>
      <sheetName val="FA(Apr_07)"/>
      <sheetName val="Reco_O_S"/>
      <sheetName val="Determination_of_Threshold"/>
      <sheetName val="cl_14_Annex_7_"/>
      <sheetName val="Encl_7A"/>
      <sheetName val="Graph_(LGEN)"/>
      <sheetName val="선적schedule_(2)"/>
      <sheetName val="USB_1"/>
      <sheetName val="BOQ_Distribution"/>
      <sheetName val="GM_&amp;_TA"/>
      <sheetName val="steam_outlet"/>
      <sheetName val="SCH_10"/>
      <sheetName val="SAP_EMP"/>
      <sheetName val="RATE_LIST_(2)"/>
      <sheetName val="Control_Sheet"/>
      <sheetName val="Loss_3004"/>
      <sheetName val="Reconciliation_of_GL_&amp;_FAR"/>
      <sheetName val="exec_summ"/>
      <sheetName val="RCC_Ret__Wall"/>
      <sheetName val="wdr_bldg"/>
      <sheetName val="Formated_Trial_Balance"/>
      <sheetName val="Monthly_Inputs"/>
      <sheetName val="2000-1_Monthly_Cashflows"/>
      <sheetName val="2002-2_Monthly_Cashflows"/>
      <sheetName val="SAP_downloaded_schedule"/>
      <sheetName val="S_&amp;_A"/>
      <sheetName val="_"/>
      <sheetName val="Lease_Expiry"/>
      <sheetName val="Customize_Your_Invoice"/>
      <sheetName val="Base_data_Security_Procedures"/>
      <sheetName val="HOUSE_RENT_DEPO_"/>
      <sheetName val="Key_Assumption"/>
      <sheetName val="Master_Information"/>
      <sheetName val="Sale_Charts"/>
      <sheetName val="DYN_PP"/>
      <sheetName val="June_Reserve_-_Far_East"/>
      <sheetName val="Schedule_v1"/>
      <sheetName val="Multipliers_&amp;_KRA"/>
      <sheetName val="WC_analytics_(+data_pages)"/>
      <sheetName val="final_061106"/>
      <sheetName val="SAB_P&amp;L"/>
      <sheetName val="cash_flow1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>
        <row r="65">
          <cell r="A65" t="str">
            <v>(II)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>
        <row r="65">
          <cell r="A65" t="str">
            <v>(II)</v>
          </cell>
        </row>
      </sheetData>
      <sheetData sheetId="168">
        <row r="65">
          <cell r="A65" t="str">
            <v>(II)</v>
          </cell>
        </row>
      </sheetData>
      <sheetData sheetId="169">
        <row r="65">
          <cell r="A65" t="str">
            <v>(II)</v>
          </cell>
        </row>
      </sheetData>
      <sheetData sheetId="170">
        <row r="65">
          <cell r="A65" t="str">
            <v>(II)</v>
          </cell>
        </row>
      </sheetData>
      <sheetData sheetId="171">
        <row r="65">
          <cell r="A65" t="str">
            <v>(II)</v>
          </cell>
        </row>
      </sheetData>
      <sheetData sheetId="172">
        <row r="65">
          <cell r="A65" t="str">
            <v>(II)</v>
          </cell>
        </row>
      </sheetData>
      <sheetData sheetId="173">
        <row r="65">
          <cell r="A65" t="str">
            <v>(II)</v>
          </cell>
        </row>
      </sheetData>
      <sheetData sheetId="174">
        <row r="65">
          <cell r="A65" t="str">
            <v>(II)</v>
          </cell>
        </row>
      </sheetData>
      <sheetData sheetId="175">
        <row r="65">
          <cell r="A65" t="str">
            <v>(II)</v>
          </cell>
        </row>
      </sheetData>
      <sheetData sheetId="176">
        <row r="65">
          <cell r="A65" t="str">
            <v>(II)</v>
          </cell>
        </row>
      </sheetData>
      <sheetData sheetId="177">
        <row r="65">
          <cell r="A65" t="str">
            <v>(II)</v>
          </cell>
        </row>
      </sheetData>
      <sheetData sheetId="178">
        <row r="65">
          <cell r="A65" t="str">
            <v>(II)</v>
          </cell>
        </row>
      </sheetData>
      <sheetData sheetId="179">
        <row r="65">
          <cell r="A65" t="str">
            <v>(II)</v>
          </cell>
        </row>
      </sheetData>
      <sheetData sheetId="180">
        <row r="65">
          <cell r="A65" t="str">
            <v>(II)</v>
          </cell>
        </row>
      </sheetData>
      <sheetData sheetId="181">
        <row r="65">
          <cell r="A65" t="str">
            <v>(II)</v>
          </cell>
        </row>
      </sheetData>
      <sheetData sheetId="182">
        <row r="65">
          <cell r="A65" t="str">
            <v>(II)</v>
          </cell>
        </row>
      </sheetData>
      <sheetData sheetId="183">
        <row r="65">
          <cell r="A65" t="str">
            <v>(II)</v>
          </cell>
        </row>
      </sheetData>
      <sheetData sheetId="184">
        <row r="65">
          <cell r="A65" t="str">
            <v>(II)</v>
          </cell>
        </row>
      </sheetData>
      <sheetData sheetId="185">
        <row r="65">
          <cell r="A65" t="str">
            <v>(II)</v>
          </cell>
        </row>
      </sheetData>
      <sheetData sheetId="186">
        <row r="65">
          <cell r="A65" t="str">
            <v>(II)</v>
          </cell>
        </row>
      </sheetData>
      <sheetData sheetId="187">
        <row r="65">
          <cell r="A65" t="str">
            <v>(II)</v>
          </cell>
        </row>
      </sheetData>
      <sheetData sheetId="188">
        <row r="65">
          <cell r="A65" t="str">
            <v>(II)</v>
          </cell>
        </row>
      </sheetData>
      <sheetData sheetId="189">
        <row r="65">
          <cell r="A65" t="str">
            <v>(II)</v>
          </cell>
        </row>
      </sheetData>
      <sheetData sheetId="190">
        <row r="65">
          <cell r="A65" t="str">
            <v>(II)</v>
          </cell>
        </row>
      </sheetData>
      <sheetData sheetId="191">
        <row r="65">
          <cell r="A65" t="str">
            <v>(II)</v>
          </cell>
        </row>
      </sheetData>
      <sheetData sheetId="192">
        <row r="65">
          <cell r="A65" t="str">
            <v>(II)</v>
          </cell>
        </row>
      </sheetData>
      <sheetData sheetId="193">
        <row r="65">
          <cell r="A65" t="str">
            <v>(II)</v>
          </cell>
        </row>
      </sheetData>
      <sheetData sheetId="194">
        <row r="65">
          <cell r="A65" t="str">
            <v>(II)</v>
          </cell>
        </row>
      </sheetData>
      <sheetData sheetId="195">
        <row r="65">
          <cell r="A65" t="str">
            <v>(II)</v>
          </cell>
        </row>
      </sheetData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>
        <row r="65">
          <cell r="A65" t="str">
            <v>(II)</v>
          </cell>
        </row>
      </sheetData>
      <sheetData sheetId="360">
        <row r="65">
          <cell r="A65" t="str">
            <v>(II)</v>
          </cell>
        </row>
      </sheetData>
      <sheetData sheetId="361">
        <row r="65">
          <cell r="A65" t="str">
            <v>(II)</v>
          </cell>
        </row>
      </sheetData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>
        <row r="65">
          <cell r="A65" t="str">
            <v>(II)</v>
          </cell>
        </row>
      </sheetData>
      <sheetData sheetId="433">
        <row r="65">
          <cell r="A65" t="str">
            <v>(II)</v>
          </cell>
        </row>
      </sheetData>
      <sheetData sheetId="434">
        <row r="65">
          <cell r="A65" t="str">
            <v>(II)</v>
          </cell>
        </row>
      </sheetData>
      <sheetData sheetId="435">
        <row r="65">
          <cell r="A65" t="str">
            <v>(II)</v>
          </cell>
        </row>
      </sheetData>
      <sheetData sheetId="436">
        <row r="65">
          <cell r="A65" t="str">
            <v>(II)</v>
          </cell>
        </row>
      </sheetData>
      <sheetData sheetId="437">
        <row r="65">
          <cell r="A65" t="str">
            <v>(II)</v>
          </cell>
        </row>
      </sheetData>
      <sheetData sheetId="438">
        <row r="65">
          <cell r="A65" t="str">
            <v>(II)</v>
          </cell>
        </row>
      </sheetData>
      <sheetData sheetId="439">
        <row r="65">
          <cell r="A65" t="str">
            <v>(II)</v>
          </cell>
        </row>
      </sheetData>
      <sheetData sheetId="440">
        <row r="65">
          <cell r="A65" t="str">
            <v>(II)</v>
          </cell>
        </row>
      </sheetData>
      <sheetData sheetId="441">
        <row r="65">
          <cell r="A65" t="str">
            <v>(II)</v>
          </cell>
        </row>
      </sheetData>
      <sheetData sheetId="442">
        <row r="65">
          <cell r="A65" t="str">
            <v>(II)</v>
          </cell>
        </row>
      </sheetData>
      <sheetData sheetId="443">
        <row r="65">
          <cell r="A65" t="str">
            <v>(II)</v>
          </cell>
        </row>
      </sheetData>
      <sheetData sheetId="444">
        <row r="65">
          <cell r="A65" t="str">
            <v>(II)</v>
          </cell>
        </row>
      </sheetData>
      <sheetData sheetId="445">
        <row r="65">
          <cell r="A65" t="str">
            <v>(II)</v>
          </cell>
        </row>
      </sheetData>
      <sheetData sheetId="446">
        <row r="65">
          <cell r="A65" t="str">
            <v>(II)</v>
          </cell>
        </row>
      </sheetData>
      <sheetData sheetId="447">
        <row r="65">
          <cell r="A65" t="str">
            <v>(II)</v>
          </cell>
        </row>
      </sheetData>
      <sheetData sheetId="448">
        <row r="65">
          <cell r="A65" t="str">
            <v>(II)</v>
          </cell>
        </row>
      </sheetData>
      <sheetData sheetId="449">
        <row r="65">
          <cell r="A65" t="str">
            <v>(II)</v>
          </cell>
        </row>
      </sheetData>
      <sheetData sheetId="450">
        <row r="65">
          <cell r="A65" t="str">
            <v>(II)</v>
          </cell>
        </row>
      </sheetData>
      <sheetData sheetId="451" refreshError="1"/>
      <sheetData sheetId="452" refreshError="1"/>
      <sheetData sheetId="453" refreshError="1"/>
      <sheetData sheetId="454" refreshError="1"/>
      <sheetData sheetId="455">
        <row r="65">
          <cell r="A65" t="str">
            <v>(II)</v>
          </cell>
        </row>
      </sheetData>
      <sheetData sheetId="456">
        <row r="65">
          <cell r="A65" t="str">
            <v>(II)</v>
          </cell>
        </row>
      </sheetData>
      <sheetData sheetId="457">
        <row r="65">
          <cell r="A65" t="str">
            <v>(II)</v>
          </cell>
        </row>
      </sheetData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>
        <row r="65">
          <cell r="A65" t="str">
            <v>(II)</v>
          </cell>
        </row>
      </sheetData>
      <sheetData sheetId="509"/>
      <sheetData sheetId="510">
        <row r="65">
          <cell r="A65" t="str">
            <v>(II)</v>
          </cell>
        </row>
      </sheetData>
      <sheetData sheetId="511">
        <row r="65">
          <cell r="A65" t="str">
            <v>(II)</v>
          </cell>
        </row>
      </sheetData>
      <sheetData sheetId="512">
        <row r="65">
          <cell r="A65" t="str">
            <v>(II)</v>
          </cell>
        </row>
      </sheetData>
      <sheetData sheetId="513">
        <row r="65">
          <cell r="A65" t="str">
            <v>(II)</v>
          </cell>
        </row>
      </sheetData>
      <sheetData sheetId="514">
        <row r="65">
          <cell r="A65" t="str">
            <v>(II)</v>
          </cell>
        </row>
      </sheetData>
      <sheetData sheetId="515">
        <row r="65">
          <cell r="A65" t="str">
            <v>(II)</v>
          </cell>
        </row>
      </sheetData>
      <sheetData sheetId="516">
        <row r="65">
          <cell r="A65" t="str">
            <v>(II)</v>
          </cell>
        </row>
      </sheetData>
      <sheetData sheetId="517">
        <row r="65">
          <cell r="A65" t="str">
            <v>(II)</v>
          </cell>
        </row>
      </sheetData>
      <sheetData sheetId="518">
        <row r="65">
          <cell r="A65" t="str">
            <v>(II)</v>
          </cell>
        </row>
      </sheetData>
      <sheetData sheetId="519">
        <row r="65">
          <cell r="A65" t="str">
            <v>(II)</v>
          </cell>
        </row>
      </sheetData>
      <sheetData sheetId="520">
        <row r="65">
          <cell r="A65" t="str">
            <v>(II)</v>
          </cell>
        </row>
      </sheetData>
      <sheetData sheetId="521">
        <row r="65">
          <cell r="A65" t="str">
            <v>(II)</v>
          </cell>
        </row>
      </sheetData>
      <sheetData sheetId="522">
        <row r="65">
          <cell r="A65" t="str">
            <v>(II)</v>
          </cell>
        </row>
      </sheetData>
      <sheetData sheetId="523">
        <row r="65">
          <cell r="A65" t="str">
            <v>(II)</v>
          </cell>
        </row>
      </sheetData>
      <sheetData sheetId="524">
        <row r="65">
          <cell r="A65" t="str">
            <v>(II)</v>
          </cell>
        </row>
      </sheetData>
      <sheetData sheetId="525">
        <row r="65">
          <cell r="A65" t="str">
            <v>(II)</v>
          </cell>
        </row>
      </sheetData>
      <sheetData sheetId="526">
        <row r="65">
          <cell r="A65" t="str">
            <v>(II)</v>
          </cell>
        </row>
      </sheetData>
      <sheetData sheetId="527">
        <row r="65">
          <cell r="A65" t="str">
            <v>(II)</v>
          </cell>
        </row>
      </sheetData>
      <sheetData sheetId="528">
        <row r="65">
          <cell r="A65" t="str">
            <v>(II)</v>
          </cell>
        </row>
      </sheetData>
      <sheetData sheetId="529">
        <row r="65">
          <cell r="A65" t="str">
            <v>(II)</v>
          </cell>
        </row>
      </sheetData>
      <sheetData sheetId="530">
        <row r="65">
          <cell r="A65" t="str">
            <v>(II)</v>
          </cell>
        </row>
      </sheetData>
      <sheetData sheetId="531">
        <row r="65">
          <cell r="A65" t="str">
            <v>(II)</v>
          </cell>
        </row>
      </sheetData>
      <sheetData sheetId="532">
        <row r="65">
          <cell r="A65" t="str">
            <v>(II)</v>
          </cell>
        </row>
      </sheetData>
      <sheetData sheetId="533">
        <row r="65">
          <cell r="A65" t="str">
            <v>(II)</v>
          </cell>
        </row>
      </sheetData>
      <sheetData sheetId="534">
        <row r="65">
          <cell r="A65" t="str">
            <v>(II)</v>
          </cell>
        </row>
      </sheetData>
      <sheetData sheetId="535">
        <row r="65">
          <cell r="A65" t="str">
            <v>(II)</v>
          </cell>
        </row>
      </sheetData>
      <sheetData sheetId="536">
        <row r="65">
          <cell r="A65" t="str">
            <v>(II)</v>
          </cell>
        </row>
      </sheetData>
      <sheetData sheetId="537">
        <row r="65">
          <cell r="A65" t="str">
            <v>(II)</v>
          </cell>
        </row>
      </sheetData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>
        <row r="65">
          <cell r="A65" t="str">
            <v>(II)</v>
          </cell>
        </row>
      </sheetData>
      <sheetData sheetId="562">
        <row r="65">
          <cell r="A65" t="str">
            <v>(II)</v>
          </cell>
        </row>
      </sheetData>
      <sheetData sheetId="563">
        <row r="65">
          <cell r="A65" t="str">
            <v>(II)</v>
          </cell>
        </row>
      </sheetData>
      <sheetData sheetId="564">
        <row r="65">
          <cell r="A65" t="str">
            <v>(II)</v>
          </cell>
        </row>
      </sheetData>
      <sheetData sheetId="565"/>
      <sheetData sheetId="566" refreshError="1"/>
      <sheetData sheetId="567">
        <row r="65">
          <cell r="A65" t="str">
            <v>(II)</v>
          </cell>
        </row>
      </sheetData>
      <sheetData sheetId="568">
        <row r="65">
          <cell r="A65" t="str">
            <v>(II)</v>
          </cell>
        </row>
      </sheetData>
      <sheetData sheetId="569">
        <row r="65">
          <cell r="A65" t="str">
            <v>(II)</v>
          </cell>
        </row>
      </sheetData>
      <sheetData sheetId="570">
        <row r="65">
          <cell r="A65" t="str">
            <v>(II)</v>
          </cell>
        </row>
      </sheetData>
      <sheetData sheetId="571">
        <row r="65">
          <cell r="A65" t="str">
            <v>(II)</v>
          </cell>
        </row>
      </sheetData>
      <sheetData sheetId="572">
        <row r="65">
          <cell r="A65" t="str">
            <v>(II)</v>
          </cell>
        </row>
      </sheetData>
      <sheetData sheetId="573">
        <row r="65">
          <cell r="A65" t="str">
            <v>(II)</v>
          </cell>
        </row>
      </sheetData>
      <sheetData sheetId="574">
        <row r="65">
          <cell r="A65" t="str">
            <v>(II)</v>
          </cell>
        </row>
      </sheetData>
      <sheetData sheetId="575">
        <row r="65">
          <cell r="A65" t="str">
            <v>(II)</v>
          </cell>
        </row>
      </sheetData>
      <sheetData sheetId="576">
        <row r="65">
          <cell r="A65" t="str">
            <v>(II)</v>
          </cell>
        </row>
      </sheetData>
      <sheetData sheetId="577">
        <row r="65">
          <cell r="A65" t="str">
            <v>(II)</v>
          </cell>
        </row>
      </sheetData>
      <sheetData sheetId="578">
        <row r="65">
          <cell r="A65" t="str">
            <v>(II)</v>
          </cell>
        </row>
      </sheetData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>
        <row r="65">
          <cell r="A65" t="str">
            <v>(II)</v>
          </cell>
        </row>
      </sheetData>
      <sheetData sheetId="602">
        <row r="65">
          <cell r="A65" t="str">
            <v>(II)</v>
          </cell>
        </row>
      </sheetData>
      <sheetData sheetId="603">
        <row r="65">
          <cell r="A65" t="str">
            <v>(II)</v>
          </cell>
        </row>
      </sheetData>
      <sheetData sheetId="604">
        <row r="65">
          <cell r="A65" t="str">
            <v>(II)</v>
          </cell>
        </row>
      </sheetData>
      <sheetData sheetId="605">
        <row r="65">
          <cell r="A65" t="str">
            <v>(II)</v>
          </cell>
        </row>
      </sheetData>
      <sheetData sheetId="606">
        <row r="65">
          <cell r="A65" t="str">
            <v>(II)</v>
          </cell>
        </row>
      </sheetData>
      <sheetData sheetId="607">
        <row r="65">
          <cell r="A65" t="str">
            <v>(II)</v>
          </cell>
        </row>
      </sheetData>
      <sheetData sheetId="608">
        <row r="65">
          <cell r="A65" t="str">
            <v>(II)</v>
          </cell>
        </row>
      </sheetData>
      <sheetData sheetId="609">
        <row r="65">
          <cell r="A65" t="str">
            <v>(II)</v>
          </cell>
        </row>
      </sheetData>
      <sheetData sheetId="610">
        <row r="65">
          <cell r="A65" t="str">
            <v>(II)</v>
          </cell>
        </row>
      </sheetData>
      <sheetData sheetId="611">
        <row r="65">
          <cell r="A65" t="str">
            <v>(II)</v>
          </cell>
        </row>
      </sheetData>
      <sheetData sheetId="612">
        <row r="65">
          <cell r="A65" t="str">
            <v>(II)</v>
          </cell>
        </row>
      </sheetData>
      <sheetData sheetId="613">
        <row r="65">
          <cell r="A65" t="str">
            <v>(II)</v>
          </cell>
        </row>
      </sheetData>
      <sheetData sheetId="614">
        <row r="65">
          <cell r="A65" t="str">
            <v>(II)</v>
          </cell>
        </row>
      </sheetData>
      <sheetData sheetId="615">
        <row r="65">
          <cell r="A65" t="str">
            <v>(II)</v>
          </cell>
        </row>
      </sheetData>
      <sheetData sheetId="616">
        <row r="65">
          <cell r="A65" t="str">
            <v>(II)</v>
          </cell>
        </row>
      </sheetData>
      <sheetData sheetId="617">
        <row r="65">
          <cell r="A65" t="str">
            <v>(II)</v>
          </cell>
        </row>
      </sheetData>
      <sheetData sheetId="618">
        <row r="65">
          <cell r="A65" t="str">
            <v>(II)</v>
          </cell>
        </row>
      </sheetData>
      <sheetData sheetId="619">
        <row r="65">
          <cell r="A65" t="str">
            <v>(II)</v>
          </cell>
        </row>
      </sheetData>
      <sheetData sheetId="620">
        <row r="65">
          <cell r="A65" t="str">
            <v>(II)</v>
          </cell>
        </row>
      </sheetData>
      <sheetData sheetId="621">
        <row r="65">
          <cell r="A65" t="str">
            <v>(II)</v>
          </cell>
        </row>
      </sheetData>
      <sheetData sheetId="622">
        <row r="65">
          <cell r="A65" t="str">
            <v>(II)</v>
          </cell>
        </row>
      </sheetData>
      <sheetData sheetId="623">
        <row r="65">
          <cell r="A65" t="str">
            <v>(II)</v>
          </cell>
        </row>
      </sheetData>
      <sheetData sheetId="624">
        <row r="65">
          <cell r="A65" t="str">
            <v>(II)</v>
          </cell>
        </row>
      </sheetData>
      <sheetData sheetId="625">
        <row r="65">
          <cell r="A65" t="str">
            <v>(II)</v>
          </cell>
        </row>
      </sheetData>
      <sheetData sheetId="626">
        <row r="65">
          <cell r="A65" t="str">
            <v>(II)</v>
          </cell>
        </row>
      </sheetData>
      <sheetData sheetId="627">
        <row r="65">
          <cell r="A65" t="str">
            <v>(II)</v>
          </cell>
        </row>
      </sheetData>
      <sheetData sheetId="628">
        <row r="65">
          <cell r="A65" t="str">
            <v>(II)</v>
          </cell>
        </row>
      </sheetData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>
        <row r="65">
          <cell r="A65" t="str">
            <v>(II)</v>
          </cell>
        </row>
      </sheetData>
      <sheetData sheetId="638"/>
      <sheetData sheetId="639"/>
      <sheetData sheetId="640"/>
      <sheetData sheetId="641"/>
      <sheetData sheetId="642"/>
      <sheetData sheetId="643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>
        <row r="65">
          <cell r="A65" t="str">
            <v>(II)</v>
          </cell>
        </row>
      </sheetData>
      <sheetData sheetId="700"/>
      <sheetData sheetId="701"/>
      <sheetData sheetId="702">
        <row r="65">
          <cell r="A65" t="str">
            <v>(II)</v>
          </cell>
        </row>
      </sheetData>
      <sheetData sheetId="703"/>
      <sheetData sheetId="704"/>
      <sheetData sheetId="705"/>
      <sheetData sheetId="706">
        <row r="65">
          <cell r="A65" t="str">
            <v>(II)</v>
          </cell>
        </row>
      </sheetData>
      <sheetData sheetId="707"/>
      <sheetData sheetId="708"/>
      <sheetData sheetId="709"/>
      <sheetData sheetId="710"/>
      <sheetData sheetId="711"/>
      <sheetData sheetId="712">
        <row r="65">
          <cell r="A65" t="str">
            <v>(II)</v>
          </cell>
        </row>
      </sheetData>
      <sheetData sheetId="713">
        <row r="65">
          <cell r="A65" t="str">
            <v>(II)</v>
          </cell>
        </row>
      </sheetData>
      <sheetData sheetId="714">
        <row r="65">
          <cell r="A65" t="str">
            <v>(II)</v>
          </cell>
        </row>
      </sheetData>
      <sheetData sheetId="715">
        <row r="65">
          <cell r="A65" t="str">
            <v>(II)</v>
          </cell>
        </row>
      </sheetData>
      <sheetData sheetId="716">
        <row r="65">
          <cell r="A65" t="str">
            <v>(II)</v>
          </cell>
        </row>
      </sheetData>
      <sheetData sheetId="717">
        <row r="65">
          <cell r="A65" t="str">
            <v>(II)</v>
          </cell>
        </row>
      </sheetData>
      <sheetData sheetId="718">
        <row r="65">
          <cell r="A65" t="str">
            <v>(II)</v>
          </cell>
        </row>
      </sheetData>
      <sheetData sheetId="719"/>
      <sheetData sheetId="720"/>
      <sheetData sheetId="721"/>
      <sheetData sheetId="722"/>
      <sheetData sheetId="723"/>
      <sheetData sheetId="724">
        <row r="65">
          <cell r="A65" t="str">
            <v>(II)</v>
          </cell>
        </row>
      </sheetData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>
        <row r="65">
          <cell r="A65" t="str">
            <v>(II)</v>
          </cell>
        </row>
      </sheetData>
      <sheetData sheetId="741">
        <row r="65">
          <cell r="A65" t="str">
            <v>(II)</v>
          </cell>
        </row>
      </sheetData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/>
      <sheetData sheetId="821"/>
      <sheetData sheetId="822"/>
      <sheetData sheetId="823"/>
      <sheetData sheetId="824"/>
      <sheetData sheetId="825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>
        <row r="65">
          <cell r="A65" t="str">
            <v>(II)</v>
          </cell>
        </row>
      </sheetData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 refreshError="1"/>
      <sheetData sheetId="939" refreshError="1"/>
      <sheetData sheetId="940">
        <row r="65">
          <cell r="A65" t="str">
            <v>(II)</v>
          </cell>
        </row>
      </sheetData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ss on Sale of asset "/>
      <sheetName val="Plant New  (3)"/>
      <sheetName val="Plant New  (2)"/>
      <sheetName val="Profit &amp; Loss on Sale (2)"/>
      <sheetName val="Sale of asset  (2)"/>
      <sheetName val="E-SCH (RISHRA) 08-09 2Months"/>
      <sheetName val="E-SCH (RISHRA) 08-09 10months"/>
      <sheetName val="Profit &amp; Loss on Sale"/>
      <sheetName val="38900510"/>
      <sheetName val="38900500"/>
      <sheetName val="E-SCH (RISHRA) 08-09Final"/>
      <sheetName val="Sheet1 (2)"/>
      <sheetName val="Trial"/>
      <sheetName val="Sheet3"/>
      <sheetName val="CWIP  (2)"/>
      <sheetName val="CWIP "/>
      <sheetName val="Duty "/>
      <sheetName val="factory re"/>
      <sheetName val="Orderwise capitalisation "/>
      <sheetName val="Machine 64 ADD"/>
      <sheetName val="Machine 64 (2)"/>
      <sheetName val="Machine 64  Fin"/>
      <sheetName val="Factory Buildings  "/>
      <sheetName val="64"/>
      <sheetName val="Order "/>
      <sheetName val="Sheet1"/>
      <sheetName val="Discard of 64"/>
      <sheetName val="E-SCH (RISHRA) 08-09"/>
      <sheetName val="Discarded  "/>
      <sheetName val="March08-09"/>
      <sheetName val="Assets 08-09 upto March09 "/>
      <sheetName val="sale "/>
      <sheetName val="Sale of asset "/>
      <sheetName val="Discard of asset "/>
      <sheetName val="Office "/>
      <sheetName val="Plant Old "/>
      <sheetName val="Sheet2"/>
      <sheetName val="Repair  "/>
      <sheetName val="Computers "/>
      <sheetName val="Combined E-SCH (RISHRA)"/>
      <sheetName val="Plant New "/>
      <sheetName val="Furniture "/>
      <sheetName val="Motor Car "/>
      <sheetName val="Motor Truck "/>
      <sheetName val="Railway Sidings "/>
      <sheetName val="Freehold Land "/>
      <sheetName val="CWP Feb 2009"/>
      <sheetName val="Capex machine  "/>
      <sheetName val="Plant Final "/>
      <sheetName val="Land"/>
      <sheetName val="Plant"/>
      <sheetName val="E-SCH (RISHRA)"/>
      <sheetName val="Intangible "/>
      <sheetName val="Sensitivity"/>
      <sheetName val="Input-outpu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S_Configurator"/>
      <sheetName val="Data"/>
      <sheetName val="@NAT-Fin (Financial summary)"/>
      <sheetName val="@NAT-Fin_(Financial_summary)"/>
      <sheetName val="@NAT-Fin_(Financial_summary)1"/>
      <sheetName val="@NAT-Fin_(Financial_summary)2"/>
      <sheetName val="ecc_res"/>
      <sheetName val="Acc_10.5"/>
      <sheetName val="MRP_Act"/>
      <sheetName val="MRP_Plan"/>
      <sheetName val="COMPLEXALL"/>
      <sheetName val="FACTORS"/>
      <sheetName val="Assumptions"/>
      <sheetName val="Assmpns"/>
      <sheetName val="CURVES BY VENDOR"/>
      <sheetName val="Data - Base Salary Sch"/>
      <sheetName val="Acc_10_5"/>
      <sheetName val="CURVES_BY_VENDOR"/>
      <sheetName val="Factors-overall"/>
      <sheetName val="Acc_10_51"/>
      <sheetName val="Acc_10_52"/>
      <sheetName val="Acc_10_53"/>
      <sheetName val="@NAT-Fin_(Financial_summary)3"/>
      <sheetName val="oresreqsum"/>
      <sheetName val="dghn"/>
      <sheetName val="Input"/>
      <sheetName val="PIMS"/>
      <sheetName val="Freight"/>
      <sheetName val="SCHDF1"/>
      <sheetName val="Main Bs Cr"/>
      <sheetName val="SOLUT011"/>
      <sheetName val="sch_7-19"/>
      <sheetName val="Shell Future_18Feb"/>
      <sheetName val="Feed1"/>
      <sheetName val="Sell1"/>
      <sheetName val="Acc_10_55"/>
      <sheetName val="@NAT-Fin_(Financial_summary)5"/>
      <sheetName val="CURVES_BY_VENDOR2"/>
      <sheetName val="Data_-_Base_Salary_Sch1"/>
      <sheetName val="Acc_10_54"/>
      <sheetName val="@NAT-Fin_(Financial_summary)4"/>
      <sheetName val="CURVES_BY_VENDOR1"/>
      <sheetName val="Data_-_Base_Salary_Sch"/>
      <sheetName val="17200"/>
      <sheetName val="Global"/>
      <sheetName val="Sheet2"/>
      <sheetName val="1001871"/>
      <sheetName val="Factor -local"/>
      <sheetName val="Factor- cables"/>
      <sheetName val="Debtors Sum"/>
      <sheetName val="DATE"/>
      <sheetName val="SEZ HNUU Platformer (Revamp)"/>
      <sheetName val="ODEP"/>
      <sheetName val="Introduction"/>
      <sheetName val="Mar'06"/>
      <sheetName val="Mar' 06 &amp; Sep'06"/>
      <sheetName val="Factor_-local"/>
      <sheetName val="Factor-_cables"/>
      <sheetName val="Debtors_Sum"/>
      <sheetName val="Factor_-local1"/>
      <sheetName val="Factor-_cables1"/>
      <sheetName val="Debtors_Sum1"/>
      <sheetName val="Factor_-local2"/>
      <sheetName val="Factor-_cables2"/>
      <sheetName val="Debtors_Sum2"/>
      <sheetName val="@NAT-Fin_(Financial_summary)6"/>
      <sheetName val="Factor_-local3"/>
      <sheetName val="Factor-_cables3"/>
      <sheetName val="Debtors_Sum3"/>
      <sheetName val="@NAT-Fin_(Financial_summary)7"/>
      <sheetName val="Factor_-local4"/>
      <sheetName val="Factor-_cables4"/>
      <sheetName val="Debtors_Sum4"/>
      <sheetName val="@NAT-Fin_(Financial_summary)8"/>
      <sheetName val="Factor_-local5"/>
      <sheetName val="Factor-_cables5"/>
      <sheetName val="Debtors_Sum5"/>
      <sheetName val="@NAT-Fin_(Financial_summary)9"/>
      <sheetName val="Factor_-local6"/>
      <sheetName val="Factor-_cables6"/>
      <sheetName val="Acc_10_56"/>
      <sheetName val="Debtors_Sum6"/>
      <sheetName val="Mar'_06_&amp;_Sep'06"/>
      <sheetName val="@NAT-Fin_(Financial_summary)10"/>
      <sheetName val="Factor_-local7"/>
      <sheetName val="Factor-_cables7"/>
      <sheetName val="Acc_10_57"/>
      <sheetName val="Debtors_Sum7"/>
      <sheetName val="Mar'_06_&amp;_Sep'061"/>
      <sheetName val="@NAT-Fin_(Financial_summary)11"/>
      <sheetName val="Factor_-local8"/>
      <sheetName val="Factor-_cables8"/>
      <sheetName val="Acc_10_58"/>
      <sheetName val="Debtors_Sum8"/>
      <sheetName val="Mar'_06_&amp;_Sep'062"/>
      <sheetName val="@NAT-Fin_(Financial_summary)12"/>
      <sheetName val="Factor_-local9"/>
      <sheetName val="Factor-_cables9"/>
      <sheetName val="Acc_10_59"/>
      <sheetName val="Debtors_Sum9"/>
      <sheetName val="Mar'_06_&amp;_Sep'063"/>
      <sheetName val="Master Price List"/>
      <sheetName val="Misc"/>
      <sheetName val="TEJAS1"/>
      <sheetName val="Income OCT"/>
      <sheetName val="CURVES_BY_VENDOR3"/>
      <sheetName val="Data_-_Base_Salary_Sch2"/>
      <sheetName val="Main_Bs_Cr"/>
      <sheetName val="Shell_Future_18Feb"/>
      <sheetName val="SEZ_HNUU_Platformer_(Revamp)"/>
      <sheetName val="GL"/>
      <sheetName val="Holiday List"/>
      <sheetName val="Perf Distribution"/>
      <sheetName val="Other assumptions"/>
      <sheetName val="Sheet3 (2)"/>
      <sheetName val="Sheet1"/>
      <sheetName val="Portfolio Summary"/>
    </sheetNames>
    <sheetDataSet>
      <sheetData sheetId="0" refreshError="1">
        <row r="4">
          <cell r="B4" t="b">
            <v>1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LSGAA"/>
      <sheetName val="FA Schedule Dec 07"/>
    </sheetNames>
    <definedNames>
      <definedName name="On_Click"/>
    </definedNames>
    <sheetDataSet>
      <sheetData sheetId="0" refreshError="1"/>
      <sheetData sheetId="1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EconSummary"/>
      <sheetName val="P&amp;L"/>
      <sheetName val="B-S"/>
      <sheetName val="ShipsPrint"/>
      <sheetName val="Shareholders"/>
      <sheetName val="ShareData"/>
      <sheetName val="VLGC"/>
      <sheetName val="LGC"/>
      <sheetName val="MGC"/>
      <sheetName val="Handy-Igloo"/>
      <sheetName val="LNGas"/>
      <sheetName val="Motor Tankers"/>
      <sheetName val="Turbine Tankers"/>
      <sheetName val="Bulker"/>
      <sheetName val="FPSO-CF"/>
      <sheetName val="CP-Operat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TYRE1"/>
      <sheetName val="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EconSummary"/>
      <sheetName val="P&amp;L"/>
      <sheetName val="B-S"/>
      <sheetName val="ShipsPrint"/>
      <sheetName val="Shareholders"/>
      <sheetName val="ShareData"/>
      <sheetName val="VLGC"/>
      <sheetName val="LGC"/>
      <sheetName val="MGC"/>
      <sheetName val="Handy-Igloo"/>
      <sheetName val="LNGas"/>
      <sheetName val="Motor Tankers"/>
      <sheetName val="Turbine Tankers"/>
      <sheetName val="Bulker"/>
      <sheetName val="FPSO-CF"/>
      <sheetName val="CP-Operat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olcharac"/>
      <sheetName val="EMI"/>
      <sheetName val="deleted"/>
    </sheetNames>
    <sheetDataSet>
      <sheetData sheetId="0"/>
      <sheetData sheetId="1"/>
      <sheetData sheetId="2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olcharac"/>
      <sheetName val="EMI"/>
      <sheetName val="deleted"/>
    </sheetNames>
    <sheetDataSet>
      <sheetData sheetId="0"/>
      <sheetData sheetId="1"/>
      <sheetData sheetId="2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-98"/>
      <sheetName val="NOTES"/>
    </sheetNames>
    <sheetDataSet>
      <sheetData sheetId="0" refreshError="1"/>
      <sheetData sheetId="1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UN"/>
      <sheetName val="WELCOME"/>
      <sheetName val="PARAMS"/>
      <sheetName val="SALE_MODE"/>
      <sheetName val="EXECUTING_AGENCY"/>
      <sheetName val="STATE"/>
      <sheetName val="SECTOR"/>
      <sheetName val="CATEGORIES"/>
      <sheetName val="PLANT_TYPE"/>
      <sheetName val="PLANT_SUB_TYPE"/>
      <sheetName val="STATUS"/>
      <sheetName val="PLAN"/>
      <sheetName val="Pivot Table"/>
      <sheetName val="PLANT"/>
      <sheetName val="Futr_Capacity Summ_Domest_Coal"/>
      <sheetName val="ALLOCATION"/>
      <sheetName val="Future_Capacity Addition"/>
      <sheetName val="SALE_AGREEMENT_TYPE"/>
      <sheetName val="REGIONAL_CAPACITY"/>
      <sheetName val="VARIABLE_COST"/>
      <sheetName val="PLF_PERCENT"/>
      <sheetName val="PLF_4_FUTURE"/>
      <sheetName val="PROBABILITY_SLIPPAGES"/>
      <sheetName val="MONTHS_DAYS"/>
      <sheetName val="TRANSMISSION_LOSSES"/>
      <sheetName val="AUXILLIARY_CONSUMPTION"/>
      <sheetName val="HOURLY_HYDRO_PATTERN"/>
      <sheetName val="AVG_PLF"/>
      <sheetName val="VC_PROJECTION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Regional</v>
          </cell>
        </row>
      </sheetData>
      <sheetData sheetId="4" refreshError="1"/>
      <sheetData sheetId="5">
        <row r="2">
          <cell r="A2" t="str">
            <v>Andaman &amp; Nicobar</v>
          </cell>
        </row>
      </sheetData>
      <sheetData sheetId="6">
        <row r="2">
          <cell r="A2" t="str">
            <v>Private</v>
          </cell>
        </row>
      </sheetData>
      <sheetData sheetId="7" refreshError="1"/>
      <sheetData sheetId="8">
        <row r="2">
          <cell r="A2" t="str">
            <v>Hydro</v>
          </cell>
        </row>
      </sheetData>
      <sheetData sheetId="9" refreshError="1"/>
      <sheetData sheetId="10">
        <row r="2">
          <cell r="A2" t="str">
            <v>UC/Synchronised</v>
          </cell>
        </row>
      </sheetData>
      <sheetData sheetId="11">
        <row r="2">
          <cell r="A2" t="str">
            <v>XI</v>
          </cell>
        </row>
        <row r="3">
          <cell r="A3" t="str">
            <v>XII</v>
          </cell>
        </row>
        <row r="4">
          <cell r="A4" t="str">
            <v>XIII</v>
          </cell>
        </row>
      </sheetData>
      <sheetData sheetId="12" refreshError="1"/>
      <sheetData sheetId="13">
        <row r="2">
          <cell r="F2" t="str">
            <v>A.P.SAHIB  ST.I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UN"/>
      <sheetName val="WELCOME"/>
      <sheetName val="PARAMS"/>
      <sheetName val="SALE_MODE"/>
      <sheetName val="EXECUTING_AGENCY"/>
      <sheetName val="STATE"/>
      <sheetName val="SECTOR"/>
      <sheetName val="CATEGORIES"/>
      <sheetName val="PLANT_TYPE"/>
      <sheetName val="PLANT_SUB_TYPE"/>
      <sheetName val="STATUS"/>
      <sheetName val="PLAN"/>
      <sheetName val="Pivot Table"/>
      <sheetName val="Futr_Capacity Summ_Domest_Coal"/>
      <sheetName val="Future_Capacity Addition"/>
      <sheetName val="PLF_2010-11"/>
      <sheetName val="PLF-2011-12"/>
      <sheetName val="PLF-2012-13"/>
      <sheetName val="PLANT_PLF_ALL"/>
      <sheetName val="SALE_AGREEMENT_TYPE"/>
      <sheetName val="PLF_4_FUTURE"/>
      <sheetName val="MONTHS_DAYS"/>
      <sheetName val="TRANSMISSION_LOSSES"/>
      <sheetName val="AUXILLIARY_CONSUMPTION"/>
      <sheetName val="VC_PROJECTION"/>
      <sheetName val="Sheet3"/>
      <sheetName val="Installed Capacity Addition"/>
      <sheetName val="Sheet5"/>
      <sheetName val="PLANT"/>
      <sheetName val="Sheet8"/>
      <sheetName val="Sheet9"/>
      <sheetName val="Sheet6"/>
      <sheetName val="ALLOCATION"/>
      <sheetName val="PIVOT CAP"/>
      <sheetName val="PLF"/>
      <sheetName val="Sheet1"/>
      <sheetName val="AP,MH,MP,BH,HR,TN,GJ,RJ"/>
      <sheetName val="Sheet7"/>
      <sheetName val="Central &amp; State"/>
      <sheetName val="Private"/>
      <sheetName val="Sheet2"/>
      <sheetName val="new pivot of allocation"/>
      <sheetName val="Sheet4"/>
      <sheetName val="Sheet10"/>
    </sheetNames>
    <sheetDataSet>
      <sheetData sheetId="0"/>
      <sheetData sheetId="1"/>
      <sheetData sheetId="2"/>
      <sheetData sheetId="3">
        <row r="2">
          <cell r="A2" t="str">
            <v>Regional</v>
          </cell>
        </row>
        <row r="3">
          <cell r="A3" t="str">
            <v>Home</v>
          </cell>
        </row>
        <row r="4">
          <cell r="A4" t="str">
            <v>Merchant</v>
          </cell>
        </row>
        <row r="5">
          <cell r="A5" t="str">
            <v>Other</v>
          </cell>
        </row>
      </sheetData>
      <sheetData sheetId="4"/>
      <sheetData sheetId="5">
        <row r="2">
          <cell r="A2" t="str">
            <v>Andaman &amp; Nicobar</v>
          </cell>
        </row>
        <row r="3">
          <cell r="A3" t="str">
            <v>Andhra Pradesh</v>
          </cell>
        </row>
        <row r="4">
          <cell r="A4" t="str">
            <v>Arunachal Pradesh</v>
          </cell>
        </row>
        <row r="5">
          <cell r="A5" t="str">
            <v>Assam</v>
          </cell>
        </row>
        <row r="6">
          <cell r="A6" t="str">
            <v>Bihar</v>
          </cell>
        </row>
        <row r="7">
          <cell r="A7" t="str">
            <v>Chandigarh</v>
          </cell>
        </row>
        <row r="8">
          <cell r="A8" t="str">
            <v>Chhattisgarh</v>
          </cell>
        </row>
        <row r="9">
          <cell r="A9" t="str">
            <v>D &amp; N Haveli</v>
          </cell>
        </row>
        <row r="10">
          <cell r="A10" t="str">
            <v>Daman &amp; Diu</v>
          </cell>
        </row>
        <row r="11">
          <cell r="A11" t="str">
            <v>Delhi</v>
          </cell>
        </row>
        <row r="12">
          <cell r="A12" t="str">
            <v>DVC</v>
          </cell>
        </row>
        <row r="13">
          <cell r="A13" t="str">
            <v>Goa</v>
          </cell>
        </row>
        <row r="14">
          <cell r="A14" t="str">
            <v>Gujarat</v>
          </cell>
        </row>
        <row r="15">
          <cell r="A15" t="str">
            <v>Haryana</v>
          </cell>
        </row>
        <row r="16">
          <cell r="A16" t="str">
            <v>Himachal Pradesh</v>
          </cell>
        </row>
        <row r="17">
          <cell r="A17" t="str">
            <v>Jammu &amp; Kashmir</v>
          </cell>
        </row>
        <row r="18">
          <cell r="A18" t="str">
            <v>Jharkhand</v>
          </cell>
        </row>
        <row r="19">
          <cell r="A19" t="str">
            <v>Karnataka</v>
          </cell>
        </row>
        <row r="20">
          <cell r="A20" t="str">
            <v>Kerala</v>
          </cell>
        </row>
        <row r="21">
          <cell r="A21" t="str">
            <v>Lakshwadeep</v>
          </cell>
        </row>
        <row r="22">
          <cell r="A22" t="str">
            <v>Madhya Pradesh</v>
          </cell>
        </row>
        <row r="23">
          <cell r="A23" t="str">
            <v>Maharashtra</v>
          </cell>
        </row>
        <row r="24">
          <cell r="A24" t="str">
            <v>Manipur</v>
          </cell>
        </row>
        <row r="25">
          <cell r="A25" t="str">
            <v>Meghalya</v>
          </cell>
        </row>
        <row r="26">
          <cell r="A26" t="str">
            <v>Mizoram</v>
          </cell>
        </row>
        <row r="27">
          <cell r="A27" t="str">
            <v>Nagaland</v>
          </cell>
        </row>
        <row r="28">
          <cell r="A28" t="str">
            <v>None</v>
          </cell>
        </row>
        <row r="29">
          <cell r="A29" t="str">
            <v>Orissa</v>
          </cell>
        </row>
        <row r="30">
          <cell r="A30" t="str">
            <v>Others</v>
          </cell>
        </row>
        <row r="31">
          <cell r="A31" t="str">
            <v>Pondicherry</v>
          </cell>
        </row>
        <row r="32">
          <cell r="A32" t="str">
            <v>Punjab</v>
          </cell>
        </row>
        <row r="33">
          <cell r="A33" t="str">
            <v>Rajasthan</v>
          </cell>
        </row>
        <row r="34">
          <cell r="A34" t="str">
            <v>Sikkim</v>
          </cell>
        </row>
        <row r="35">
          <cell r="A35" t="str">
            <v>Tamil Nadu</v>
          </cell>
        </row>
        <row r="36">
          <cell r="A36" t="str">
            <v>Tripura</v>
          </cell>
        </row>
        <row r="37">
          <cell r="A37" t="str">
            <v>Uttar Pradesh</v>
          </cell>
        </row>
        <row r="38">
          <cell r="A38" t="str">
            <v>Uttarakhand</v>
          </cell>
        </row>
        <row r="39">
          <cell r="A39" t="str">
            <v>West Bengal</v>
          </cell>
        </row>
        <row r="40">
          <cell r="A40" t="str">
            <v>Bhutan</v>
          </cell>
        </row>
      </sheetData>
      <sheetData sheetId="6">
        <row r="2">
          <cell r="A2" t="str">
            <v>Private</v>
          </cell>
        </row>
        <row r="3">
          <cell r="A3" t="str">
            <v>Central</v>
          </cell>
        </row>
        <row r="4">
          <cell r="A4" t="str">
            <v>State</v>
          </cell>
        </row>
        <row r="5">
          <cell r="A5" t="str">
            <v>Joint Venture</v>
          </cell>
        </row>
      </sheetData>
      <sheetData sheetId="7"/>
      <sheetData sheetId="8">
        <row r="2">
          <cell r="A2" t="str">
            <v>Hydro</v>
          </cell>
        </row>
        <row r="3">
          <cell r="A3" t="str">
            <v>Gas</v>
          </cell>
        </row>
        <row r="4">
          <cell r="A4" t="str">
            <v>Domestic Coal</v>
          </cell>
        </row>
        <row r="5">
          <cell r="A5" t="str">
            <v>Imported Coal</v>
          </cell>
        </row>
        <row r="6">
          <cell r="A6" t="str">
            <v>Nuclear</v>
          </cell>
        </row>
        <row r="7">
          <cell r="A7" t="str">
            <v>Diesel</v>
          </cell>
        </row>
        <row r="8">
          <cell r="A8" t="str">
            <v>Renewables</v>
          </cell>
        </row>
      </sheetData>
      <sheetData sheetId="9"/>
      <sheetData sheetId="10">
        <row r="2">
          <cell r="A2" t="str">
            <v>UC/Synchronised</v>
          </cell>
        </row>
        <row r="3">
          <cell r="A3" t="str">
            <v>DPR under preparation</v>
          </cell>
        </row>
        <row r="4">
          <cell r="A4" t="str">
            <v>Planning</v>
          </cell>
        </row>
        <row r="5">
          <cell r="A5" t="str">
            <v>Fuel Linkage Applied for</v>
          </cell>
        </row>
        <row r="6">
          <cell r="A6" t="str">
            <v>Fuel Linkage/ Eqpt Order</v>
          </cell>
        </row>
        <row r="7">
          <cell r="A7" t="str">
            <v>Clearances Awaited</v>
          </cell>
        </row>
        <row r="8">
          <cell r="A8" t="str">
            <v>Clearances Obtained</v>
          </cell>
        </row>
        <row r="9">
          <cell r="A9" t="str">
            <v>DPR prepared</v>
          </cell>
        </row>
        <row r="10">
          <cell r="A10" t="str">
            <v>Bid Invited</v>
          </cell>
        </row>
        <row r="11">
          <cell r="A11" t="str">
            <v>Bids Awarded</v>
          </cell>
        </row>
        <row r="12">
          <cell r="A12" t="str">
            <v>Financial Closure Awaited</v>
          </cell>
        </row>
        <row r="13">
          <cell r="A13" t="str">
            <v>FC</v>
          </cell>
        </row>
        <row r="14">
          <cell r="A14" t="str">
            <v>Commissioned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</row>
        <row r="6">
          <cell r="D6">
            <v>0</v>
          </cell>
        </row>
        <row r="7">
          <cell r="D7">
            <v>0</v>
          </cell>
        </row>
        <row r="8">
          <cell r="D8">
            <v>0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2">
          <cell r="D12">
            <v>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0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0</v>
          </cell>
        </row>
        <row r="54">
          <cell r="D54">
            <v>0</v>
          </cell>
        </row>
        <row r="55">
          <cell r="D55">
            <v>0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>
            <v>0</v>
          </cell>
        </row>
        <row r="59">
          <cell r="D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</row>
        <row r="66">
          <cell r="D66">
            <v>0</v>
          </cell>
        </row>
        <row r="67">
          <cell r="D67">
            <v>0</v>
          </cell>
        </row>
        <row r="68">
          <cell r="D68">
            <v>0</v>
          </cell>
        </row>
        <row r="69">
          <cell r="D69">
            <v>0</v>
          </cell>
        </row>
        <row r="70">
          <cell r="D70">
            <v>0</v>
          </cell>
        </row>
        <row r="71">
          <cell r="D71">
            <v>0</v>
          </cell>
        </row>
        <row r="72">
          <cell r="D72">
            <v>0</v>
          </cell>
        </row>
        <row r="73">
          <cell r="D73">
            <v>0</v>
          </cell>
        </row>
        <row r="74">
          <cell r="D74">
            <v>0</v>
          </cell>
        </row>
        <row r="75">
          <cell r="D75">
            <v>0</v>
          </cell>
        </row>
        <row r="76">
          <cell r="D76">
            <v>0</v>
          </cell>
        </row>
        <row r="77">
          <cell r="D77">
            <v>0</v>
          </cell>
        </row>
        <row r="78">
          <cell r="D78">
            <v>0</v>
          </cell>
        </row>
        <row r="79">
          <cell r="D79">
            <v>0</v>
          </cell>
        </row>
        <row r="80">
          <cell r="D80">
            <v>0</v>
          </cell>
        </row>
        <row r="81">
          <cell r="D81">
            <v>0</v>
          </cell>
        </row>
        <row r="82">
          <cell r="D8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  <row r="86">
          <cell r="D86">
            <v>0</v>
          </cell>
        </row>
        <row r="87">
          <cell r="D87">
            <v>0</v>
          </cell>
        </row>
        <row r="88">
          <cell r="D88">
            <v>0</v>
          </cell>
        </row>
        <row r="89">
          <cell r="D89">
            <v>0</v>
          </cell>
        </row>
        <row r="90">
          <cell r="D90">
            <v>0</v>
          </cell>
        </row>
        <row r="91">
          <cell r="D91">
            <v>0</v>
          </cell>
        </row>
        <row r="92">
          <cell r="D92">
            <v>0</v>
          </cell>
        </row>
        <row r="93">
          <cell r="D93">
            <v>0</v>
          </cell>
        </row>
        <row r="94">
          <cell r="D94">
            <v>0</v>
          </cell>
        </row>
        <row r="95">
          <cell r="D95">
            <v>0</v>
          </cell>
        </row>
        <row r="96">
          <cell r="D96">
            <v>0</v>
          </cell>
        </row>
        <row r="97">
          <cell r="D97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0</v>
          </cell>
        </row>
        <row r="102">
          <cell r="D102">
            <v>0</v>
          </cell>
        </row>
        <row r="103">
          <cell r="D103">
            <v>0</v>
          </cell>
        </row>
        <row r="104">
          <cell r="D104">
            <v>0</v>
          </cell>
        </row>
        <row r="105">
          <cell r="D105">
            <v>0</v>
          </cell>
        </row>
        <row r="106">
          <cell r="D106">
            <v>0</v>
          </cell>
        </row>
        <row r="107">
          <cell r="D107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0</v>
          </cell>
        </row>
        <row r="135">
          <cell r="D135">
            <v>0</v>
          </cell>
        </row>
        <row r="136">
          <cell r="D136">
            <v>0</v>
          </cell>
        </row>
        <row r="137">
          <cell r="D137">
            <v>0</v>
          </cell>
        </row>
        <row r="138">
          <cell r="D138">
            <v>0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D141">
            <v>0</v>
          </cell>
        </row>
        <row r="142">
          <cell r="D142">
            <v>0</v>
          </cell>
        </row>
        <row r="143">
          <cell r="D143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1">
          <cell r="D151">
            <v>0</v>
          </cell>
        </row>
        <row r="152">
          <cell r="D152">
            <v>0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0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0">
          <cell r="D210">
            <v>0</v>
          </cell>
        </row>
        <row r="211">
          <cell r="D211">
            <v>0</v>
          </cell>
        </row>
        <row r="212">
          <cell r="D212">
            <v>0</v>
          </cell>
        </row>
        <row r="213">
          <cell r="D213">
            <v>0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0</v>
          </cell>
        </row>
        <row r="217">
          <cell r="D217">
            <v>0</v>
          </cell>
        </row>
        <row r="218">
          <cell r="D218">
            <v>0</v>
          </cell>
        </row>
        <row r="219">
          <cell r="D219">
            <v>0</v>
          </cell>
        </row>
        <row r="220">
          <cell r="D220">
            <v>0</v>
          </cell>
        </row>
        <row r="221">
          <cell r="D221">
            <v>0</v>
          </cell>
        </row>
        <row r="222">
          <cell r="D222">
            <v>0</v>
          </cell>
        </row>
        <row r="223">
          <cell r="D223">
            <v>0</v>
          </cell>
        </row>
        <row r="224">
          <cell r="D224">
            <v>0</v>
          </cell>
        </row>
        <row r="225">
          <cell r="D225">
            <v>0</v>
          </cell>
        </row>
        <row r="226">
          <cell r="D226">
            <v>0</v>
          </cell>
        </row>
        <row r="227">
          <cell r="D227">
            <v>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0</v>
          </cell>
        </row>
        <row r="232">
          <cell r="D232">
            <v>0</v>
          </cell>
        </row>
        <row r="233">
          <cell r="D233">
            <v>0</v>
          </cell>
        </row>
        <row r="234">
          <cell r="D234">
            <v>0</v>
          </cell>
        </row>
        <row r="235">
          <cell r="D235">
            <v>0</v>
          </cell>
        </row>
        <row r="236">
          <cell r="D236">
            <v>0</v>
          </cell>
        </row>
        <row r="237">
          <cell r="D237">
            <v>0</v>
          </cell>
        </row>
        <row r="238">
          <cell r="D238">
            <v>0</v>
          </cell>
        </row>
        <row r="239">
          <cell r="D239">
            <v>0</v>
          </cell>
        </row>
        <row r="240">
          <cell r="D240">
            <v>0</v>
          </cell>
        </row>
        <row r="241">
          <cell r="D241">
            <v>0</v>
          </cell>
        </row>
        <row r="242">
          <cell r="D242">
            <v>0</v>
          </cell>
        </row>
        <row r="243">
          <cell r="D243">
            <v>0</v>
          </cell>
        </row>
        <row r="244">
          <cell r="D244">
            <v>0</v>
          </cell>
        </row>
        <row r="245">
          <cell r="D245">
            <v>0</v>
          </cell>
        </row>
        <row r="246">
          <cell r="D246">
            <v>0</v>
          </cell>
        </row>
        <row r="247">
          <cell r="D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0</v>
          </cell>
        </row>
        <row r="252">
          <cell r="D252">
            <v>0</v>
          </cell>
        </row>
        <row r="253">
          <cell r="D253">
            <v>0</v>
          </cell>
        </row>
        <row r="254">
          <cell r="D254">
            <v>0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0</v>
          </cell>
        </row>
        <row r="278">
          <cell r="D278">
            <v>0</v>
          </cell>
        </row>
        <row r="279">
          <cell r="D279">
            <v>0</v>
          </cell>
        </row>
        <row r="280">
          <cell r="D280">
            <v>0</v>
          </cell>
        </row>
        <row r="281">
          <cell r="D281">
            <v>0</v>
          </cell>
        </row>
        <row r="282"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5">
          <cell r="D285">
            <v>0</v>
          </cell>
        </row>
        <row r="286">
          <cell r="D286">
            <v>0</v>
          </cell>
        </row>
        <row r="287">
          <cell r="D287">
            <v>0</v>
          </cell>
        </row>
        <row r="288">
          <cell r="D288">
            <v>0</v>
          </cell>
        </row>
        <row r="289">
          <cell r="D289">
            <v>0</v>
          </cell>
        </row>
        <row r="290">
          <cell r="D290">
            <v>0</v>
          </cell>
        </row>
        <row r="291">
          <cell r="D291">
            <v>0</v>
          </cell>
        </row>
        <row r="292">
          <cell r="D292">
            <v>0</v>
          </cell>
        </row>
        <row r="293"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6">
          <cell r="D296">
            <v>0</v>
          </cell>
        </row>
        <row r="297">
          <cell r="D297">
            <v>0</v>
          </cell>
        </row>
        <row r="298">
          <cell r="D298">
            <v>0</v>
          </cell>
        </row>
        <row r="299">
          <cell r="D299">
            <v>0</v>
          </cell>
        </row>
        <row r="300">
          <cell r="D300">
            <v>0</v>
          </cell>
        </row>
        <row r="301">
          <cell r="D301">
            <v>0</v>
          </cell>
        </row>
        <row r="302">
          <cell r="D302">
            <v>0</v>
          </cell>
        </row>
        <row r="303">
          <cell r="D303">
            <v>0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D311">
            <v>0</v>
          </cell>
        </row>
        <row r="312">
          <cell r="D312">
            <v>0</v>
          </cell>
        </row>
        <row r="313">
          <cell r="D313">
            <v>0</v>
          </cell>
        </row>
        <row r="314">
          <cell r="D314">
            <v>0</v>
          </cell>
        </row>
        <row r="315">
          <cell r="D315">
            <v>0</v>
          </cell>
        </row>
        <row r="316">
          <cell r="D316">
            <v>0</v>
          </cell>
        </row>
        <row r="317">
          <cell r="D317">
            <v>0</v>
          </cell>
        </row>
        <row r="318">
          <cell r="D318">
            <v>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2">
          <cell r="D322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D329">
            <v>0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D337">
            <v>0</v>
          </cell>
        </row>
        <row r="338">
          <cell r="D338">
            <v>0</v>
          </cell>
        </row>
        <row r="339">
          <cell r="D339">
            <v>0</v>
          </cell>
        </row>
        <row r="340">
          <cell r="D340">
            <v>0</v>
          </cell>
        </row>
        <row r="341">
          <cell r="D341">
            <v>0</v>
          </cell>
        </row>
        <row r="342">
          <cell r="D342">
            <v>0</v>
          </cell>
        </row>
        <row r="343">
          <cell r="D343">
            <v>0</v>
          </cell>
        </row>
        <row r="344">
          <cell r="D344">
            <v>0</v>
          </cell>
        </row>
        <row r="345">
          <cell r="D345">
            <v>0</v>
          </cell>
        </row>
        <row r="346">
          <cell r="D346">
            <v>0</v>
          </cell>
        </row>
        <row r="347">
          <cell r="D347">
            <v>0</v>
          </cell>
        </row>
        <row r="348">
          <cell r="D348">
            <v>0</v>
          </cell>
        </row>
        <row r="349">
          <cell r="D349">
            <v>0</v>
          </cell>
        </row>
        <row r="350">
          <cell r="D350">
            <v>0</v>
          </cell>
        </row>
        <row r="351">
          <cell r="D351">
            <v>0</v>
          </cell>
        </row>
        <row r="352">
          <cell r="D352">
            <v>0</v>
          </cell>
        </row>
        <row r="353">
          <cell r="D353">
            <v>0</v>
          </cell>
        </row>
        <row r="354">
          <cell r="D354">
            <v>0</v>
          </cell>
        </row>
        <row r="355">
          <cell r="D355">
            <v>0</v>
          </cell>
        </row>
        <row r="356">
          <cell r="D356">
            <v>0</v>
          </cell>
        </row>
        <row r="357">
          <cell r="D357">
            <v>0</v>
          </cell>
        </row>
        <row r="358">
          <cell r="D358">
            <v>0</v>
          </cell>
        </row>
        <row r="359">
          <cell r="D359">
            <v>0</v>
          </cell>
        </row>
        <row r="360">
          <cell r="D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5">
          <cell r="D385">
            <v>0</v>
          </cell>
        </row>
        <row r="386">
          <cell r="D386">
            <v>0</v>
          </cell>
        </row>
        <row r="387">
          <cell r="D387">
            <v>0</v>
          </cell>
        </row>
        <row r="388">
          <cell r="D388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 t="str">
            <v>PowerGrid Meeting</v>
          </cell>
        </row>
        <row r="396">
          <cell r="D396" t="str">
            <v>PowerGrid Meeting</v>
          </cell>
        </row>
        <row r="397">
          <cell r="D397" t="str">
            <v>PowerGrid Meeting</v>
          </cell>
        </row>
        <row r="398">
          <cell r="D398" t="str">
            <v>PowerGrid Meeting</v>
          </cell>
        </row>
        <row r="399">
          <cell r="D399">
            <v>0</v>
          </cell>
        </row>
        <row r="400">
          <cell r="D400">
            <v>0</v>
          </cell>
        </row>
        <row r="401">
          <cell r="D401">
            <v>0</v>
          </cell>
        </row>
        <row r="402">
          <cell r="D402">
            <v>0</v>
          </cell>
        </row>
        <row r="403">
          <cell r="D403">
            <v>0</v>
          </cell>
        </row>
        <row r="404">
          <cell r="D404">
            <v>0</v>
          </cell>
        </row>
        <row r="405">
          <cell r="D405">
            <v>0</v>
          </cell>
        </row>
        <row r="406">
          <cell r="D406">
            <v>0</v>
          </cell>
        </row>
        <row r="407">
          <cell r="D407">
            <v>0</v>
          </cell>
        </row>
        <row r="408">
          <cell r="D408">
            <v>0</v>
          </cell>
        </row>
        <row r="409">
          <cell r="D409">
            <v>0</v>
          </cell>
        </row>
        <row r="410">
          <cell r="D410">
            <v>0</v>
          </cell>
        </row>
        <row r="411">
          <cell r="D411">
            <v>0</v>
          </cell>
        </row>
        <row r="412">
          <cell r="D412">
            <v>0</v>
          </cell>
        </row>
        <row r="413">
          <cell r="D413">
            <v>0</v>
          </cell>
        </row>
        <row r="414">
          <cell r="D414">
            <v>0</v>
          </cell>
        </row>
        <row r="415">
          <cell r="D415">
            <v>0</v>
          </cell>
        </row>
        <row r="416">
          <cell r="D416">
            <v>0</v>
          </cell>
        </row>
        <row r="417">
          <cell r="D417">
            <v>0</v>
          </cell>
        </row>
        <row r="418">
          <cell r="D418">
            <v>0</v>
          </cell>
        </row>
        <row r="419">
          <cell r="D419">
            <v>0</v>
          </cell>
        </row>
        <row r="420">
          <cell r="D420">
            <v>0</v>
          </cell>
        </row>
        <row r="421">
          <cell r="D421">
            <v>0</v>
          </cell>
        </row>
        <row r="422">
          <cell r="D422">
            <v>0</v>
          </cell>
        </row>
        <row r="423">
          <cell r="D423">
            <v>0</v>
          </cell>
        </row>
        <row r="424">
          <cell r="D424">
            <v>0</v>
          </cell>
        </row>
        <row r="425">
          <cell r="D425">
            <v>0</v>
          </cell>
        </row>
        <row r="426">
          <cell r="D426">
            <v>0</v>
          </cell>
        </row>
        <row r="427">
          <cell r="D427">
            <v>0</v>
          </cell>
        </row>
        <row r="428">
          <cell r="D428">
            <v>0</v>
          </cell>
        </row>
        <row r="429">
          <cell r="D429">
            <v>0</v>
          </cell>
        </row>
        <row r="430">
          <cell r="D430">
            <v>0</v>
          </cell>
        </row>
        <row r="431">
          <cell r="D431">
            <v>0</v>
          </cell>
        </row>
        <row r="432">
          <cell r="D432">
            <v>0</v>
          </cell>
        </row>
        <row r="433">
          <cell r="D433">
            <v>0</v>
          </cell>
        </row>
        <row r="434">
          <cell r="D434">
            <v>0</v>
          </cell>
        </row>
        <row r="435">
          <cell r="D435">
            <v>0</v>
          </cell>
        </row>
        <row r="436">
          <cell r="D436">
            <v>0</v>
          </cell>
        </row>
        <row r="437">
          <cell r="D437">
            <v>0</v>
          </cell>
        </row>
        <row r="438">
          <cell r="D438">
            <v>0</v>
          </cell>
        </row>
        <row r="439">
          <cell r="D439">
            <v>0</v>
          </cell>
        </row>
        <row r="440">
          <cell r="D440">
            <v>0</v>
          </cell>
        </row>
        <row r="441">
          <cell r="D441">
            <v>0</v>
          </cell>
        </row>
        <row r="442">
          <cell r="D442">
            <v>0</v>
          </cell>
        </row>
        <row r="443">
          <cell r="D443">
            <v>0</v>
          </cell>
        </row>
        <row r="444">
          <cell r="D444">
            <v>0</v>
          </cell>
        </row>
        <row r="445">
          <cell r="D445">
            <v>0</v>
          </cell>
        </row>
        <row r="446">
          <cell r="D446">
            <v>0</v>
          </cell>
        </row>
        <row r="447">
          <cell r="D447">
            <v>0</v>
          </cell>
        </row>
        <row r="448">
          <cell r="D448">
            <v>0</v>
          </cell>
        </row>
        <row r="449">
          <cell r="D449">
            <v>0</v>
          </cell>
        </row>
        <row r="450">
          <cell r="D450">
            <v>0</v>
          </cell>
        </row>
        <row r="451">
          <cell r="D451">
            <v>0</v>
          </cell>
        </row>
        <row r="452">
          <cell r="D452">
            <v>0</v>
          </cell>
        </row>
        <row r="453">
          <cell r="D453">
            <v>0</v>
          </cell>
        </row>
        <row r="454">
          <cell r="D454">
            <v>0</v>
          </cell>
        </row>
        <row r="455">
          <cell r="D455">
            <v>0</v>
          </cell>
        </row>
        <row r="456">
          <cell r="D456">
            <v>0</v>
          </cell>
        </row>
        <row r="457">
          <cell r="D457">
            <v>0</v>
          </cell>
        </row>
        <row r="458">
          <cell r="D458">
            <v>0</v>
          </cell>
        </row>
        <row r="459">
          <cell r="D459">
            <v>0</v>
          </cell>
        </row>
        <row r="460">
          <cell r="D460">
            <v>0</v>
          </cell>
        </row>
        <row r="461">
          <cell r="D461">
            <v>0</v>
          </cell>
        </row>
        <row r="462">
          <cell r="D462">
            <v>0</v>
          </cell>
        </row>
        <row r="463">
          <cell r="D463">
            <v>0</v>
          </cell>
        </row>
        <row r="464">
          <cell r="D464">
            <v>0</v>
          </cell>
        </row>
        <row r="465">
          <cell r="D465">
            <v>0</v>
          </cell>
        </row>
        <row r="466">
          <cell r="D466">
            <v>0</v>
          </cell>
        </row>
        <row r="467">
          <cell r="D467">
            <v>0</v>
          </cell>
        </row>
        <row r="468">
          <cell r="D468">
            <v>0</v>
          </cell>
        </row>
        <row r="469">
          <cell r="D469">
            <v>0</v>
          </cell>
        </row>
        <row r="470">
          <cell r="D470">
            <v>0</v>
          </cell>
        </row>
        <row r="471">
          <cell r="D471">
            <v>0</v>
          </cell>
        </row>
        <row r="472">
          <cell r="D472">
            <v>0</v>
          </cell>
        </row>
        <row r="473">
          <cell r="D473">
            <v>0</v>
          </cell>
        </row>
        <row r="474">
          <cell r="D474">
            <v>0</v>
          </cell>
        </row>
        <row r="475">
          <cell r="D475">
            <v>0</v>
          </cell>
        </row>
        <row r="476">
          <cell r="D476">
            <v>0</v>
          </cell>
        </row>
        <row r="477">
          <cell r="D477">
            <v>0</v>
          </cell>
        </row>
        <row r="478">
          <cell r="D478">
            <v>0</v>
          </cell>
        </row>
        <row r="479">
          <cell r="D479">
            <v>0</v>
          </cell>
        </row>
        <row r="480">
          <cell r="D480">
            <v>0</v>
          </cell>
        </row>
        <row r="481">
          <cell r="D481">
            <v>0</v>
          </cell>
        </row>
        <row r="482">
          <cell r="D482">
            <v>0</v>
          </cell>
        </row>
        <row r="483">
          <cell r="D483">
            <v>0</v>
          </cell>
        </row>
        <row r="484">
          <cell r="D484">
            <v>0</v>
          </cell>
        </row>
        <row r="485">
          <cell r="D485">
            <v>0</v>
          </cell>
        </row>
        <row r="486">
          <cell r="D486">
            <v>0</v>
          </cell>
        </row>
        <row r="487">
          <cell r="D487">
            <v>0</v>
          </cell>
        </row>
        <row r="488">
          <cell r="D488">
            <v>0</v>
          </cell>
        </row>
        <row r="489">
          <cell r="D489">
            <v>0</v>
          </cell>
        </row>
        <row r="490">
          <cell r="D490">
            <v>0</v>
          </cell>
        </row>
        <row r="491">
          <cell r="D491">
            <v>0</v>
          </cell>
        </row>
        <row r="492">
          <cell r="D492">
            <v>0</v>
          </cell>
        </row>
        <row r="493">
          <cell r="D493">
            <v>0</v>
          </cell>
        </row>
        <row r="494">
          <cell r="D494">
            <v>0</v>
          </cell>
        </row>
        <row r="495">
          <cell r="D495">
            <v>0</v>
          </cell>
        </row>
        <row r="496">
          <cell r="D496">
            <v>0</v>
          </cell>
        </row>
        <row r="497">
          <cell r="D497">
            <v>0</v>
          </cell>
        </row>
        <row r="498">
          <cell r="D498">
            <v>0</v>
          </cell>
        </row>
        <row r="499">
          <cell r="D499">
            <v>0</v>
          </cell>
        </row>
        <row r="500">
          <cell r="D500">
            <v>0</v>
          </cell>
        </row>
        <row r="501">
          <cell r="D501">
            <v>0</v>
          </cell>
        </row>
        <row r="502">
          <cell r="D502">
            <v>0</v>
          </cell>
        </row>
        <row r="503">
          <cell r="D503">
            <v>0</v>
          </cell>
        </row>
        <row r="504">
          <cell r="D504">
            <v>0</v>
          </cell>
        </row>
        <row r="505">
          <cell r="D505">
            <v>0</v>
          </cell>
        </row>
        <row r="506">
          <cell r="D506">
            <v>0</v>
          </cell>
        </row>
        <row r="507">
          <cell r="D507">
            <v>0</v>
          </cell>
        </row>
        <row r="508">
          <cell r="D508">
            <v>0</v>
          </cell>
        </row>
        <row r="509">
          <cell r="D509">
            <v>0</v>
          </cell>
        </row>
        <row r="510">
          <cell r="D510">
            <v>0</v>
          </cell>
        </row>
        <row r="511">
          <cell r="D511">
            <v>0</v>
          </cell>
        </row>
        <row r="512">
          <cell r="D512">
            <v>0</v>
          </cell>
        </row>
        <row r="513">
          <cell r="D513">
            <v>0</v>
          </cell>
        </row>
        <row r="514">
          <cell r="D514">
            <v>0</v>
          </cell>
        </row>
        <row r="515">
          <cell r="D515">
            <v>0</v>
          </cell>
        </row>
        <row r="516">
          <cell r="D516">
            <v>0</v>
          </cell>
        </row>
        <row r="517">
          <cell r="D517">
            <v>0</v>
          </cell>
        </row>
        <row r="518">
          <cell r="D518">
            <v>0</v>
          </cell>
        </row>
        <row r="519">
          <cell r="D519">
            <v>0</v>
          </cell>
        </row>
        <row r="520">
          <cell r="D520">
            <v>0</v>
          </cell>
        </row>
        <row r="521">
          <cell r="D521">
            <v>0</v>
          </cell>
        </row>
        <row r="522">
          <cell r="D522">
            <v>0</v>
          </cell>
        </row>
        <row r="523">
          <cell r="D523">
            <v>0</v>
          </cell>
        </row>
        <row r="524">
          <cell r="D524">
            <v>0</v>
          </cell>
        </row>
        <row r="525">
          <cell r="D525">
            <v>0</v>
          </cell>
        </row>
        <row r="526">
          <cell r="D526">
            <v>0</v>
          </cell>
        </row>
        <row r="527">
          <cell r="D527">
            <v>0</v>
          </cell>
        </row>
        <row r="528">
          <cell r="D528">
            <v>0</v>
          </cell>
        </row>
        <row r="529">
          <cell r="D529">
            <v>0</v>
          </cell>
        </row>
        <row r="530">
          <cell r="D530">
            <v>0</v>
          </cell>
        </row>
        <row r="531">
          <cell r="D531">
            <v>0</v>
          </cell>
        </row>
        <row r="532">
          <cell r="D532">
            <v>0</v>
          </cell>
        </row>
        <row r="533">
          <cell r="D533">
            <v>0</v>
          </cell>
        </row>
        <row r="534">
          <cell r="D534">
            <v>0</v>
          </cell>
        </row>
        <row r="535">
          <cell r="D535">
            <v>0</v>
          </cell>
        </row>
        <row r="536">
          <cell r="D536">
            <v>0</v>
          </cell>
        </row>
        <row r="537">
          <cell r="D537">
            <v>0</v>
          </cell>
        </row>
        <row r="538">
          <cell r="D538">
            <v>0</v>
          </cell>
        </row>
        <row r="539">
          <cell r="D539">
            <v>0</v>
          </cell>
        </row>
        <row r="540">
          <cell r="D540">
            <v>0</v>
          </cell>
        </row>
        <row r="541">
          <cell r="D541">
            <v>0</v>
          </cell>
        </row>
        <row r="542">
          <cell r="D542">
            <v>0</v>
          </cell>
        </row>
        <row r="543">
          <cell r="D543">
            <v>0</v>
          </cell>
        </row>
        <row r="544">
          <cell r="D544">
            <v>0</v>
          </cell>
        </row>
        <row r="545">
          <cell r="D545">
            <v>0</v>
          </cell>
        </row>
        <row r="546">
          <cell r="D546">
            <v>0</v>
          </cell>
        </row>
        <row r="547">
          <cell r="D547">
            <v>0</v>
          </cell>
        </row>
        <row r="548">
          <cell r="D548">
            <v>0</v>
          </cell>
        </row>
        <row r="549">
          <cell r="D549">
            <v>0</v>
          </cell>
        </row>
        <row r="550">
          <cell r="D550">
            <v>0</v>
          </cell>
        </row>
        <row r="551">
          <cell r="D551">
            <v>0</v>
          </cell>
        </row>
        <row r="552">
          <cell r="D552">
            <v>0</v>
          </cell>
        </row>
        <row r="553">
          <cell r="D553">
            <v>0</v>
          </cell>
        </row>
        <row r="554">
          <cell r="D554">
            <v>0</v>
          </cell>
        </row>
        <row r="555">
          <cell r="D555">
            <v>0</v>
          </cell>
        </row>
        <row r="556">
          <cell r="D556">
            <v>0</v>
          </cell>
        </row>
        <row r="557">
          <cell r="D557">
            <v>0</v>
          </cell>
        </row>
        <row r="558">
          <cell r="D558">
            <v>0</v>
          </cell>
        </row>
        <row r="559">
          <cell r="D559">
            <v>0</v>
          </cell>
        </row>
        <row r="560">
          <cell r="D560">
            <v>0</v>
          </cell>
        </row>
        <row r="561">
          <cell r="D561">
            <v>0</v>
          </cell>
        </row>
        <row r="562">
          <cell r="D562">
            <v>0</v>
          </cell>
        </row>
        <row r="563">
          <cell r="D563">
            <v>0</v>
          </cell>
        </row>
        <row r="564">
          <cell r="D564">
            <v>0</v>
          </cell>
        </row>
        <row r="565">
          <cell r="D565">
            <v>0</v>
          </cell>
        </row>
        <row r="566">
          <cell r="D566">
            <v>0</v>
          </cell>
        </row>
        <row r="567">
          <cell r="D567">
            <v>0</v>
          </cell>
        </row>
        <row r="568">
          <cell r="D568">
            <v>0</v>
          </cell>
        </row>
        <row r="569">
          <cell r="D569">
            <v>0</v>
          </cell>
        </row>
        <row r="570">
          <cell r="D570">
            <v>0</v>
          </cell>
        </row>
        <row r="571">
          <cell r="D571">
            <v>0</v>
          </cell>
        </row>
        <row r="572">
          <cell r="D572">
            <v>0</v>
          </cell>
        </row>
        <row r="573">
          <cell r="D573">
            <v>0</v>
          </cell>
        </row>
        <row r="574">
          <cell r="D574">
            <v>0</v>
          </cell>
        </row>
        <row r="575">
          <cell r="D575">
            <v>0</v>
          </cell>
        </row>
        <row r="576">
          <cell r="D576">
            <v>0</v>
          </cell>
        </row>
        <row r="577">
          <cell r="D577">
            <v>0</v>
          </cell>
        </row>
        <row r="578">
          <cell r="D578">
            <v>0</v>
          </cell>
        </row>
        <row r="579">
          <cell r="D579">
            <v>0</v>
          </cell>
        </row>
        <row r="580">
          <cell r="D580">
            <v>0</v>
          </cell>
        </row>
        <row r="581">
          <cell r="D581">
            <v>0</v>
          </cell>
        </row>
        <row r="582">
          <cell r="D582">
            <v>0</v>
          </cell>
        </row>
        <row r="583">
          <cell r="D583">
            <v>0</v>
          </cell>
        </row>
        <row r="584">
          <cell r="D584">
            <v>0</v>
          </cell>
        </row>
        <row r="585">
          <cell r="D585">
            <v>0</v>
          </cell>
        </row>
        <row r="586">
          <cell r="D586">
            <v>0</v>
          </cell>
        </row>
        <row r="587">
          <cell r="D587">
            <v>0</v>
          </cell>
        </row>
        <row r="588">
          <cell r="D588">
            <v>0</v>
          </cell>
        </row>
        <row r="589">
          <cell r="D589">
            <v>0</v>
          </cell>
        </row>
        <row r="590">
          <cell r="D590">
            <v>0</v>
          </cell>
        </row>
        <row r="591">
          <cell r="D591">
            <v>0</v>
          </cell>
        </row>
        <row r="592">
          <cell r="D592">
            <v>0</v>
          </cell>
        </row>
        <row r="593">
          <cell r="D593">
            <v>0</v>
          </cell>
        </row>
        <row r="594">
          <cell r="D594">
            <v>0</v>
          </cell>
        </row>
        <row r="595">
          <cell r="D595">
            <v>0</v>
          </cell>
        </row>
        <row r="596">
          <cell r="D596">
            <v>0</v>
          </cell>
        </row>
        <row r="597">
          <cell r="D597">
            <v>0</v>
          </cell>
        </row>
        <row r="598">
          <cell r="D598">
            <v>0</v>
          </cell>
        </row>
        <row r="599">
          <cell r="D599">
            <v>0</v>
          </cell>
        </row>
        <row r="600">
          <cell r="D600">
            <v>0</v>
          </cell>
        </row>
        <row r="601">
          <cell r="D601">
            <v>0</v>
          </cell>
        </row>
        <row r="602">
          <cell r="D602">
            <v>0</v>
          </cell>
        </row>
        <row r="603">
          <cell r="D603">
            <v>0</v>
          </cell>
        </row>
        <row r="604">
          <cell r="D604">
            <v>0</v>
          </cell>
        </row>
        <row r="605">
          <cell r="D605">
            <v>0</v>
          </cell>
        </row>
        <row r="606">
          <cell r="D606">
            <v>0</v>
          </cell>
        </row>
        <row r="607">
          <cell r="D607">
            <v>0</v>
          </cell>
        </row>
        <row r="608">
          <cell r="D608">
            <v>0</v>
          </cell>
        </row>
        <row r="609">
          <cell r="D609">
            <v>0</v>
          </cell>
        </row>
        <row r="610">
          <cell r="D610">
            <v>0</v>
          </cell>
        </row>
        <row r="611">
          <cell r="D611">
            <v>0</v>
          </cell>
        </row>
        <row r="612">
          <cell r="D612">
            <v>0</v>
          </cell>
        </row>
        <row r="613">
          <cell r="D613">
            <v>0</v>
          </cell>
        </row>
        <row r="614">
          <cell r="D614">
            <v>0</v>
          </cell>
        </row>
        <row r="615">
          <cell r="D615">
            <v>0</v>
          </cell>
        </row>
        <row r="616">
          <cell r="D616">
            <v>0</v>
          </cell>
        </row>
        <row r="617">
          <cell r="D617">
            <v>0</v>
          </cell>
        </row>
        <row r="618">
          <cell r="D618">
            <v>0</v>
          </cell>
        </row>
        <row r="619">
          <cell r="D619">
            <v>0</v>
          </cell>
        </row>
        <row r="620">
          <cell r="D620">
            <v>0</v>
          </cell>
        </row>
        <row r="621">
          <cell r="D621">
            <v>0</v>
          </cell>
        </row>
        <row r="622">
          <cell r="D622">
            <v>0</v>
          </cell>
        </row>
        <row r="623">
          <cell r="D623">
            <v>0</v>
          </cell>
        </row>
        <row r="624">
          <cell r="D624">
            <v>0</v>
          </cell>
        </row>
        <row r="625">
          <cell r="D625">
            <v>0</v>
          </cell>
        </row>
        <row r="626">
          <cell r="D626">
            <v>0</v>
          </cell>
        </row>
        <row r="627">
          <cell r="D627">
            <v>0</v>
          </cell>
        </row>
        <row r="628">
          <cell r="D628">
            <v>0</v>
          </cell>
        </row>
        <row r="629">
          <cell r="D629">
            <v>0</v>
          </cell>
        </row>
        <row r="630">
          <cell r="D630">
            <v>0</v>
          </cell>
        </row>
        <row r="631">
          <cell r="D631">
            <v>0</v>
          </cell>
        </row>
        <row r="632">
          <cell r="D632">
            <v>0</v>
          </cell>
        </row>
        <row r="633">
          <cell r="D633">
            <v>0</v>
          </cell>
        </row>
        <row r="634">
          <cell r="D634">
            <v>0</v>
          </cell>
        </row>
        <row r="635">
          <cell r="D635">
            <v>0</v>
          </cell>
        </row>
        <row r="636">
          <cell r="D636">
            <v>0</v>
          </cell>
        </row>
        <row r="637">
          <cell r="D637">
            <v>0</v>
          </cell>
        </row>
        <row r="638">
          <cell r="D638">
            <v>0</v>
          </cell>
        </row>
        <row r="639">
          <cell r="D639">
            <v>0</v>
          </cell>
        </row>
        <row r="640">
          <cell r="D640">
            <v>0</v>
          </cell>
        </row>
        <row r="641">
          <cell r="D641">
            <v>0</v>
          </cell>
        </row>
        <row r="642">
          <cell r="D642">
            <v>0</v>
          </cell>
        </row>
        <row r="643">
          <cell r="D643">
            <v>0</v>
          </cell>
        </row>
        <row r="644">
          <cell r="D644">
            <v>0</v>
          </cell>
        </row>
        <row r="645">
          <cell r="D645">
            <v>0</v>
          </cell>
        </row>
        <row r="646">
          <cell r="D646">
            <v>0</v>
          </cell>
        </row>
        <row r="647">
          <cell r="D647">
            <v>0</v>
          </cell>
        </row>
        <row r="648">
          <cell r="D648">
            <v>0</v>
          </cell>
        </row>
        <row r="649">
          <cell r="D649">
            <v>0</v>
          </cell>
        </row>
        <row r="650">
          <cell r="D650">
            <v>0</v>
          </cell>
        </row>
        <row r="651">
          <cell r="D651">
            <v>0</v>
          </cell>
        </row>
        <row r="652">
          <cell r="D652">
            <v>0</v>
          </cell>
        </row>
        <row r="653">
          <cell r="D653">
            <v>0</v>
          </cell>
        </row>
        <row r="654">
          <cell r="D654">
            <v>0</v>
          </cell>
        </row>
        <row r="655">
          <cell r="D655">
            <v>0</v>
          </cell>
        </row>
        <row r="656">
          <cell r="D656">
            <v>0</v>
          </cell>
        </row>
        <row r="657">
          <cell r="D657">
            <v>0</v>
          </cell>
        </row>
        <row r="658">
          <cell r="D658">
            <v>0</v>
          </cell>
        </row>
        <row r="659">
          <cell r="D659">
            <v>0</v>
          </cell>
        </row>
        <row r="660">
          <cell r="D660">
            <v>0</v>
          </cell>
        </row>
        <row r="661">
          <cell r="D661">
            <v>0</v>
          </cell>
        </row>
        <row r="662">
          <cell r="D662">
            <v>0</v>
          </cell>
        </row>
        <row r="663">
          <cell r="D663">
            <v>0</v>
          </cell>
        </row>
        <row r="664">
          <cell r="D664">
            <v>0</v>
          </cell>
        </row>
        <row r="665">
          <cell r="D665">
            <v>0</v>
          </cell>
        </row>
        <row r="666">
          <cell r="D666">
            <v>0</v>
          </cell>
        </row>
        <row r="667">
          <cell r="D667">
            <v>0</v>
          </cell>
        </row>
        <row r="668">
          <cell r="D668">
            <v>0</v>
          </cell>
        </row>
        <row r="669">
          <cell r="D669">
            <v>0</v>
          </cell>
        </row>
        <row r="670">
          <cell r="D670">
            <v>0</v>
          </cell>
        </row>
        <row r="671">
          <cell r="D671">
            <v>0</v>
          </cell>
        </row>
        <row r="672">
          <cell r="D672">
            <v>0</v>
          </cell>
        </row>
        <row r="673">
          <cell r="D673">
            <v>0</v>
          </cell>
        </row>
        <row r="674">
          <cell r="D674">
            <v>0</v>
          </cell>
        </row>
        <row r="675">
          <cell r="D675">
            <v>0</v>
          </cell>
        </row>
        <row r="676">
          <cell r="D676">
            <v>0</v>
          </cell>
        </row>
        <row r="677">
          <cell r="D677">
            <v>0</v>
          </cell>
        </row>
        <row r="678">
          <cell r="D678">
            <v>0</v>
          </cell>
        </row>
        <row r="679">
          <cell r="D679">
            <v>0</v>
          </cell>
        </row>
        <row r="680">
          <cell r="D680">
            <v>0</v>
          </cell>
        </row>
        <row r="681">
          <cell r="D681">
            <v>0</v>
          </cell>
        </row>
        <row r="682">
          <cell r="D682">
            <v>0</v>
          </cell>
        </row>
        <row r="683">
          <cell r="D683">
            <v>0</v>
          </cell>
        </row>
        <row r="684">
          <cell r="D684">
            <v>0</v>
          </cell>
        </row>
        <row r="685">
          <cell r="D685">
            <v>0</v>
          </cell>
        </row>
        <row r="686">
          <cell r="D686">
            <v>0</v>
          </cell>
        </row>
        <row r="687">
          <cell r="D687">
            <v>0</v>
          </cell>
        </row>
        <row r="688">
          <cell r="D688">
            <v>0</v>
          </cell>
        </row>
        <row r="689">
          <cell r="D689">
            <v>0</v>
          </cell>
        </row>
        <row r="690">
          <cell r="D690">
            <v>0</v>
          </cell>
        </row>
        <row r="691">
          <cell r="D691">
            <v>0</v>
          </cell>
        </row>
        <row r="692">
          <cell r="D692">
            <v>0</v>
          </cell>
        </row>
        <row r="693">
          <cell r="D693">
            <v>0</v>
          </cell>
        </row>
        <row r="694">
          <cell r="D694">
            <v>0</v>
          </cell>
        </row>
        <row r="695">
          <cell r="D695">
            <v>0</v>
          </cell>
        </row>
        <row r="696">
          <cell r="D696">
            <v>0</v>
          </cell>
        </row>
        <row r="697">
          <cell r="D697">
            <v>0</v>
          </cell>
        </row>
        <row r="698">
          <cell r="D698">
            <v>0</v>
          </cell>
        </row>
        <row r="699">
          <cell r="D699">
            <v>0</v>
          </cell>
        </row>
        <row r="700">
          <cell r="D700">
            <v>0</v>
          </cell>
        </row>
        <row r="701">
          <cell r="D701">
            <v>0</v>
          </cell>
        </row>
        <row r="702">
          <cell r="D702">
            <v>0</v>
          </cell>
        </row>
        <row r="703">
          <cell r="D703">
            <v>0</v>
          </cell>
        </row>
        <row r="704">
          <cell r="D704">
            <v>0</v>
          </cell>
        </row>
        <row r="705">
          <cell r="D705">
            <v>0</v>
          </cell>
        </row>
        <row r="706">
          <cell r="D706">
            <v>0</v>
          </cell>
        </row>
        <row r="707">
          <cell r="D707">
            <v>0</v>
          </cell>
        </row>
        <row r="708">
          <cell r="D708">
            <v>0</v>
          </cell>
        </row>
        <row r="709">
          <cell r="D709">
            <v>0</v>
          </cell>
        </row>
        <row r="710">
          <cell r="D710">
            <v>0</v>
          </cell>
        </row>
        <row r="711">
          <cell r="D711">
            <v>0</v>
          </cell>
        </row>
        <row r="712">
          <cell r="D712">
            <v>0</v>
          </cell>
        </row>
        <row r="713">
          <cell r="D713">
            <v>0</v>
          </cell>
        </row>
        <row r="714">
          <cell r="D714">
            <v>0</v>
          </cell>
        </row>
        <row r="715">
          <cell r="D715">
            <v>0</v>
          </cell>
        </row>
        <row r="716">
          <cell r="D716">
            <v>0</v>
          </cell>
        </row>
        <row r="717">
          <cell r="D717">
            <v>0</v>
          </cell>
        </row>
        <row r="718">
          <cell r="D718">
            <v>0</v>
          </cell>
        </row>
        <row r="719">
          <cell r="D719">
            <v>0</v>
          </cell>
        </row>
        <row r="720">
          <cell r="D720">
            <v>0</v>
          </cell>
        </row>
        <row r="721">
          <cell r="D721">
            <v>0</v>
          </cell>
        </row>
        <row r="722">
          <cell r="D722">
            <v>0</v>
          </cell>
        </row>
        <row r="723">
          <cell r="D723">
            <v>0</v>
          </cell>
        </row>
        <row r="724">
          <cell r="D724">
            <v>0</v>
          </cell>
        </row>
        <row r="725">
          <cell r="D725">
            <v>0</v>
          </cell>
        </row>
        <row r="726">
          <cell r="D726">
            <v>0</v>
          </cell>
        </row>
        <row r="727">
          <cell r="D727">
            <v>0</v>
          </cell>
        </row>
        <row r="728">
          <cell r="D728">
            <v>0</v>
          </cell>
        </row>
        <row r="729">
          <cell r="D729">
            <v>0</v>
          </cell>
        </row>
        <row r="730">
          <cell r="D730">
            <v>0</v>
          </cell>
        </row>
        <row r="731">
          <cell r="D731">
            <v>0</v>
          </cell>
        </row>
        <row r="732">
          <cell r="D732">
            <v>0</v>
          </cell>
        </row>
        <row r="733">
          <cell r="D733">
            <v>0</v>
          </cell>
        </row>
        <row r="734">
          <cell r="D734">
            <v>0</v>
          </cell>
        </row>
        <row r="735">
          <cell r="D735">
            <v>0</v>
          </cell>
        </row>
        <row r="736">
          <cell r="D736">
            <v>0</v>
          </cell>
        </row>
        <row r="737">
          <cell r="D737">
            <v>0</v>
          </cell>
        </row>
        <row r="738">
          <cell r="D738">
            <v>0</v>
          </cell>
        </row>
        <row r="739">
          <cell r="D739">
            <v>0</v>
          </cell>
        </row>
        <row r="740">
          <cell r="D740">
            <v>0</v>
          </cell>
        </row>
        <row r="741">
          <cell r="D741">
            <v>0</v>
          </cell>
        </row>
        <row r="742">
          <cell r="D742">
            <v>0</v>
          </cell>
        </row>
        <row r="743">
          <cell r="D743">
            <v>0</v>
          </cell>
        </row>
        <row r="744">
          <cell r="D744">
            <v>0</v>
          </cell>
        </row>
        <row r="745">
          <cell r="D745">
            <v>0</v>
          </cell>
        </row>
        <row r="746">
          <cell r="D746">
            <v>0</v>
          </cell>
        </row>
        <row r="747">
          <cell r="D747">
            <v>0</v>
          </cell>
        </row>
        <row r="748">
          <cell r="D748">
            <v>0</v>
          </cell>
        </row>
        <row r="749">
          <cell r="D749">
            <v>0</v>
          </cell>
        </row>
        <row r="750">
          <cell r="D750">
            <v>0</v>
          </cell>
        </row>
        <row r="751">
          <cell r="D751">
            <v>0</v>
          </cell>
        </row>
        <row r="752">
          <cell r="D752">
            <v>0</v>
          </cell>
        </row>
        <row r="753">
          <cell r="D753">
            <v>0</v>
          </cell>
        </row>
        <row r="754">
          <cell r="D754">
            <v>0</v>
          </cell>
        </row>
        <row r="755">
          <cell r="D755">
            <v>0</v>
          </cell>
        </row>
        <row r="756">
          <cell r="D756">
            <v>0</v>
          </cell>
        </row>
        <row r="757">
          <cell r="D757">
            <v>0</v>
          </cell>
        </row>
        <row r="758">
          <cell r="D758">
            <v>0</v>
          </cell>
        </row>
        <row r="759">
          <cell r="D759">
            <v>0</v>
          </cell>
        </row>
        <row r="760">
          <cell r="D760">
            <v>0</v>
          </cell>
        </row>
        <row r="761">
          <cell r="D761">
            <v>0</v>
          </cell>
        </row>
        <row r="762">
          <cell r="D762">
            <v>0</v>
          </cell>
        </row>
        <row r="763">
          <cell r="D763">
            <v>0</v>
          </cell>
        </row>
        <row r="764">
          <cell r="D764">
            <v>0</v>
          </cell>
        </row>
        <row r="765">
          <cell r="D765">
            <v>0</v>
          </cell>
        </row>
        <row r="766">
          <cell r="D766">
            <v>0</v>
          </cell>
        </row>
        <row r="767">
          <cell r="D767">
            <v>0</v>
          </cell>
        </row>
        <row r="768">
          <cell r="D768">
            <v>0</v>
          </cell>
        </row>
        <row r="769">
          <cell r="D769">
            <v>0</v>
          </cell>
        </row>
        <row r="770">
          <cell r="D770">
            <v>0</v>
          </cell>
        </row>
        <row r="771">
          <cell r="D771">
            <v>0</v>
          </cell>
        </row>
        <row r="772">
          <cell r="D772">
            <v>0</v>
          </cell>
        </row>
        <row r="773">
          <cell r="D773">
            <v>0</v>
          </cell>
        </row>
        <row r="774">
          <cell r="D774">
            <v>0</v>
          </cell>
        </row>
        <row r="775">
          <cell r="D775">
            <v>0</v>
          </cell>
        </row>
        <row r="776">
          <cell r="D776">
            <v>0</v>
          </cell>
        </row>
        <row r="777">
          <cell r="D777">
            <v>0</v>
          </cell>
        </row>
        <row r="778">
          <cell r="D778">
            <v>0</v>
          </cell>
        </row>
        <row r="779">
          <cell r="D779">
            <v>0</v>
          </cell>
        </row>
        <row r="780">
          <cell r="D780">
            <v>0</v>
          </cell>
        </row>
        <row r="781">
          <cell r="D781">
            <v>0</v>
          </cell>
        </row>
        <row r="782">
          <cell r="D782">
            <v>0</v>
          </cell>
        </row>
        <row r="783">
          <cell r="D783">
            <v>0</v>
          </cell>
        </row>
        <row r="784">
          <cell r="D784">
            <v>0</v>
          </cell>
        </row>
        <row r="785">
          <cell r="D785">
            <v>0</v>
          </cell>
        </row>
        <row r="786">
          <cell r="D786">
            <v>0</v>
          </cell>
        </row>
        <row r="787">
          <cell r="D787">
            <v>0</v>
          </cell>
        </row>
        <row r="788">
          <cell r="D788">
            <v>0</v>
          </cell>
        </row>
        <row r="789">
          <cell r="D789">
            <v>0</v>
          </cell>
        </row>
        <row r="790">
          <cell r="D790">
            <v>0</v>
          </cell>
        </row>
        <row r="791">
          <cell r="D791">
            <v>0</v>
          </cell>
        </row>
        <row r="792">
          <cell r="D792">
            <v>0</v>
          </cell>
        </row>
        <row r="793">
          <cell r="D793">
            <v>0</v>
          </cell>
        </row>
        <row r="794">
          <cell r="D794">
            <v>0</v>
          </cell>
        </row>
        <row r="795">
          <cell r="D795">
            <v>0</v>
          </cell>
        </row>
        <row r="796">
          <cell r="D796">
            <v>0</v>
          </cell>
        </row>
        <row r="797">
          <cell r="D797">
            <v>0</v>
          </cell>
        </row>
        <row r="798">
          <cell r="D798">
            <v>0</v>
          </cell>
        </row>
        <row r="799">
          <cell r="D799">
            <v>0</v>
          </cell>
        </row>
        <row r="800">
          <cell r="D800">
            <v>0</v>
          </cell>
        </row>
        <row r="801">
          <cell r="D801">
            <v>0</v>
          </cell>
        </row>
        <row r="802">
          <cell r="D802">
            <v>0</v>
          </cell>
        </row>
        <row r="803">
          <cell r="D803">
            <v>0</v>
          </cell>
        </row>
        <row r="804">
          <cell r="D804">
            <v>0</v>
          </cell>
        </row>
        <row r="805">
          <cell r="D805">
            <v>0</v>
          </cell>
        </row>
        <row r="806">
          <cell r="D806">
            <v>0</v>
          </cell>
        </row>
        <row r="807">
          <cell r="D807">
            <v>0</v>
          </cell>
        </row>
        <row r="808">
          <cell r="D808">
            <v>0</v>
          </cell>
        </row>
        <row r="809">
          <cell r="D809">
            <v>0</v>
          </cell>
        </row>
        <row r="810">
          <cell r="D810">
            <v>0</v>
          </cell>
        </row>
        <row r="811">
          <cell r="D811">
            <v>0</v>
          </cell>
        </row>
        <row r="812">
          <cell r="D812">
            <v>0</v>
          </cell>
        </row>
        <row r="813">
          <cell r="D813">
            <v>0</v>
          </cell>
        </row>
        <row r="814">
          <cell r="D814">
            <v>0</v>
          </cell>
        </row>
        <row r="815">
          <cell r="D815">
            <v>0</v>
          </cell>
        </row>
        <row r="816">
          <cell r="D816">
            <v>0</v>
          </cell>
        </row>
        <row r="817">
          <cell r="D817">
            <v>0</v>
          </cell>
        </row>
        <row r="818">
          <cell r="D818">
            <v>0</v>
          </cell>
        </row>
        <row r="819">
          <cell r="D819">
            <v>0</v>
          </cell>
        </row>
        <row r="820">
          <cell r="D820">
            <v>0</v>
          </cell>
        </row>
        <row r="821">
          <cell r="D821">
            <v>0</v>
          </cell>
        </row>
        <row r="822">
          <cell r="D822">
            <v>0</v>
          </cell>
        </row>
        <row r="823">
          <cell r="D823">
            <v>0</v>
          </cell>
        </row>
        <row r="824">
          <cell r="D824">
            <v>0</v>
          </cell>
        </row>
        <row r="825">
          <cell r="D825">
            <v>0</v>
          </cell>
        </row>
        <row r="826">
          <cell r="D826">
            <v>0</v>
          </cell>
        </row>
        <row r="827">
          <cell r="D827">
            <v>0</v>
          </cell>
        </row>
        <row r="828">
          <cell r="D828">
            <v>0</v>
          </cell>
        </row>
        <row r="829">
          <cell r="D829">
            <v>0</v>
          </cell>
        </row>
        <row r="830">
          <cell r="D830">
            <v>0</v>
          </cell>
        </row>
        <row r="831">
          <cell r="D831">
            <v>0</v>
          </cell>
        </row>
        <row r="832">
          <cell r="D832">
            <v>0</v>
          </cell>
        </row>
        <row r="833">
          <cell r="D833">
            <v>0</v>
          </cell>
        </row>
        <row r="834">
          <cell r="D834">
            <v>0</v>
          </cell>
        </row>
        <row r="835">
          <cell r="D835">
            <v>0</v>
          </cell>
        </row>
        <row r="836">
          <cell r="D836">
            <v>0</v>
          </cell>
        </row>
        <row r="837">
          <cell r="D837">
            <v>0</v>
          </cell>
        </row>
        <row r="838">
          <cell r="D838">
            <v>0</v>
          </cell>
        </row>
        <row r="839">
          <cell r="D839">
            <v>0</v>
          </cell>
        </row>
        <row r="840">
          <cell r="D840">
            <v>0</v>
          </cell>
        </row>
        <row r="841">
          <cell r="D841">
            <v>0</v>
          </cell>
        </row>
        <row r="842">
          <cell r="D842">
            <v>0</v>
          </cell>
        </row>
        <row r="843">
          <cell r="D843">
            <v>0</v>
          </cell>
        </row>
        <row r="844">
          <cell r="D844">
            <v>0</v>
          </cell>
        </row>
        <row r="845">
          <cell r="D845">
            <v>0</v>
          </cell>
        </row>
        <row r="846">
          <cell r="D846">
            <v>0</v>
          </cell>
        </row>
        <row r="847">
          <cell r="D847">
            <v>0</v>
          </cell>
        </row>
        <row r="848">
          <cell r="D848">
            <v>0</v>
          </cell>
        </row>
        <row r="849">
          <cell r="D849">
            <v>0</v>
          </cell>
        </row>
        <row r="850">
          <cell r="D850">
            <v>0</v>
          </cell>
        </row>
        <row r="851">
          <cell r="D851">
            <v>0</v>
          </cell>
        </row>
        <row r="852">
          <cell r="D852">
            <v>0</v>
          </cell>
        </row>
        <row r="853">
          <cell r="D853">
            <v>0</v>
          </cell>
        </row>
        <row r="854">
          <cell r="D854">
            <v>0</v>
          </cell>
        </row>
        <row r="855">
          <cell r="D855">
            <v>0</v>
          </cell>
        </row>
        <row r="856">
          <cell r="D856">
            <v>0</v>
          </cell>
        </row>
        <row r="857">
          <cell r="D857">
            <v>0</v>
          </cell>
        </row>
        <row r="858">
          <cell r="D858">
            <v>0</v>
          </cell>
        </row>
        <row r="859">
          <cell r="D859">
            <v>0</v>
          </cell>
        </row>
        <row r="860">
          <cell r="D860">
            <v>0</v>
          </cell>
        </row>
        <row r="861">
          <cell r="D861">
            <v>0</v>
          </cell>
        </row>
        <row r="862">
          <cell r="D862">
            <v>0</v>
          </cell>
        </row>
        <row r="863">
          <cell r="D863">
            <v>0</v>
          </cell>
        </row>
        <row r="864">
          <cell r="D864">
            <v>0</v>
          </cell>
        </row>
        <row r="865">
          <cell r="D865">
            <v>0</v>
          </cell>
        </row>
        <row r="866">
          <cell r="D866">
            <v>0</v>
          </cell>
        </row>
        <row r="867">
          <cell r="D867">
            <v>0</v>
          </cell>
        </row>
        <row r="868">
          <cell r="D868">
            <v>0</v>
          </cell>
        </row>
        <row r="869">
          <cell r="D869">
            <v>0</v>
          </cell>
        </row>
        <row r="870">
          <cell r="D870">
            <v>0</v>
          </cell>
        </row>
        <row r="871">
          <cell r="D871">
            <v>0</v>
          </cell>
        </row>
        <row r="872">
          <cell r="D872">
            <v>0</v>
          </cell>
        </row>
        <row r="873">
          <cell r="D873">
            <v>0</v>
          </cell>
        </row>
        <row r="874">
          <cell r="D874">
            <v>0</v>
          </cell>
        </row>
        <row r="875">
          <cell r="D875">
            <v>0</v>
          </cell>
        </row>
        <row r="876">
          <cell r="D876">
            <v>0</v>
          </cell>
        </row>
        <row r="877">
          <cell r="D877">
            <v>0</v>
          </cell>
        </row>
        <row r="878">
          <cell r="D878">
            <v>0</v>
          </cell>
        </row>
        <row r="879">
          <cell r="D879">
            <v>0</v>
          </cell>
        </row>
        <row r="880">
          <cell r="D880">
            <v>0</v>
          </cell>
        </row>
        <row r="881">
          <cell r="D881">
            <v>0</v>
          </cell>
        </row>
        <row r="882">
          <cell r="D882">
            <v>0</v>
          </cell>
        </row>
        <row r="883">
          <cell r="D883">
            <v>0</v>
          </cell>
        </row>
        <row r="884">
          <cell r="D884">
            <v>0</v>
          </cell>
        </row>
        <row r="885">
          <cell r="D885">
            <v>0</v>
          </cell>
        </row>
        <row r="886">
          <cell r="D886">
            <v>0</v>
          </cell>
        </row>
        <row r="887">
          <cell r="D887">
            <v>0</v>
          </cell>
        </row>
        <row r="888">
          <cell r="D888">
            <v>0</v>
          </cell>
        </row>
        <row r="889">
          <cell r="D889">
            <v>0</v>
          </cell>
        </row>
        <row r="890">
          <cell r="D890">
            <v>0</v>
          </cell>
        </row>
        <row r="891">
          <cell r="D891">
            <v>0</v>
          </cell>
        </row>
        <row r="892">
          <cell r="D892">
            <v>0</v>
          </cell>
        </row>
        <row r="893">
          <cell r="D893">
            <v>0</v>
          </cell>
        </row>
        <row r="894">
          <cell r="D894">
            <v>0</v>
          </cell>
        </row>
        <row r="895">
          <cell r="D895">
            <v>0</v>
          </cell>
        </row>
        <row r="896">
          <cell r="D896">
            <v>0</v>
          </cell>
        </row>
        <row r="897">
          <cell r="D897">
            <v>0</v>
          </cell>
        </row>
        <row r="898">
          <cell r="D898">
            <v>0</v>
          </cell>
        </row>
        <row r="899">
          <cell r="D899">
            <v>0</v>
          </cell>
        </row>
        <row r="900">
          <cell r="D900">
            <v>0</v>
          </cell>
        </row>
        <row r="901">
          <cell r="D901">
            <v>0</v>
          </cell>
        </row>
        <row r="902">
          <cell r="D902">
            <v>0</v>
          </cell>
        </row>
        <row r="903">
          <cell r="D903">
            <v>0</v>
          </cell>
        </row>
        <row r="904">
          <cell r="D904">
            <v>0</v>
          </cell>
        </row>
        <row r="905">
          <cell r="D905">
            <v>0</v>
          </cell>
        </row>
        <row r="906">
          <cell r="D906">
            <v>0</v>
          </cell>
        </row>
        <row r="907">
          <cell r="D907">
            <v>0</v>
          </cell>
        </row>
        <row r="908">
          <cell r="D908">
            <v>0</v>
          </cell>
        </row>
        <row r="909">
          <cell r="D909">
            <v>0</v>
          </cell>
        </row>
        <row r="910">
          <cell r="D910">
            <v>0</v>
          </cell>
        </row>
        <row r="911">
          <cell r="D911">
            <v>0</v>
          </cell>
        </row>
        <row r="912">
          <cell r="D912">
            <v>0</v>
          </cell>
        </row>
        <row r="913">
          <cell r="D913">
            <v>0</v>
          </cell>
        </row>
        <row r="914">
          <cell r="D914">
            <v>0</v>
          </cell>
        </row>
        <row r="915">
          <cell r="D915">
            <v>0</v>
          </cell>
        </row>
        <row r="916">
          <cell r="D916">
            <v>0</v>
          </cell>
        </row>
        <row r="917">
          <cell r="D917">
            <v>0</v>
          </cell>
        </row>
        <row r="918">
          <cell r="D918">
            <v>0</v>
          </cell>
        </row>
        <row r="919">
          <cell r="D919">
            <v>0</v>
          </cell>
        </row>
        <row r="920">
          <cell r="D920">
            <v>0</v>
          </cell>
        </row>
        <row r="921">
          <cell r="D921">
            <v>0</v>
          </cell>
        </row>
        <row r="922">
          <cell r="D922">
            <v>0</v>
          </cell>
        </row>
        <row r="923">
          <cell r="D923">
            <v>0</v>
          </cell>
        </row>
        <row r="924">
          <cell r="D924">
            <v>0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D927">
            <v>0</v>
          </cell>
        </row>
        <row r="928">
          <cell r="D928">
            <v>0</v>
          </cell>
        </row>
        <row r="929">
          <cell r="D929">
            <v>0</v>
          </cell>
        </row>
        <row r="930">
          <cell r="D930">
            <v>0</v>
          </cell>
        </row>
        <row r="931">
          <cell r="D931">
            <v>0</v>
          </cell>
        </row>
        <row r="932">
          <cell r="D932">
            <v>0</v>
          </cell>
        </row>
        <row r="933">
          <cell r="D933">
            <v>0</v>
          </cell>
        </row>
        <row r="934">
          <cell r="D934">
            <v>0</v>
          </cell>
        </row>
        <row r="935">
          <cell r="D935">
            <v>0</v>
          </cell>
        </row>
        <row r="936">
          <cell r="D936">
            <v>0</v>
          </cell>
        </row>
        <row r="937">
          <cell r="D937">
            <v>0</v>
          </cell>
        </row>
        <row r="938">
          <cell r="D938">
            <v>0</v>
          </cell>
        </row>
        <row r="939">
          <cell r="D939">
            <v>0</v>
          </cell>
        </row>
        <row r="940">
          <cell r="D940">
            <v>0</v>
          </cell>
        </row>
        <row r="941">
          <cell r="D941">
            <v>0</v>
          </cell>
        </row>
        <row r="942">
          <cell r="D942">
            <v>0</v>
          </cell>
        </row>
        <row r="943">
          <cell r="D943">
            <v>0</v>
          </cell>
        </row>
        <row r="944">
          <cell r="D944">
            <v>0</v>
          </cell>
        </row>
        <row r="945">
          <cell r="D945">
            <v>0</v>
          </cell>
        </row>
        <row r="946">
          <cell r="D946">
            <v>0</v>
          </cell>
        </row>
        <row r="947">
          <cell r="D947">
            <v>0</v>
          </cell>
        </row>
        <row r="948">
          <cell r="D948">
            <v>0</v>
          </cell>
        </row>
        <row r="949">
          <cell r="D949">
            <v>0</v>
          </cell>
        </row>
        <row r="950">
          <cell r="D950">
            <v>0</v>
          </cell>
        </row>
        <row r="951">
          <cell r="D951">
            <v>0</v>
          </cell>
        </row>
        <row r="952">
          <cell r="D952">
            <v>0</v>
          </cell>
        </row>
        <row r="953">
          <cell r="D953">
            <v>0</v>
          </cell>
        </row>
        <row r="954">
          <cell r="D954">
            <v>0</v>
          </cell>
        </row>
        <row r="955">
          <cell r="D955">
            <v>0</v>
          </cell>
        </row>
        <row r="956">
          <cell r="D956">
            <v>0</v>
          </cell>
        </row>
        <row r="957">
          <cell r="D957">
            <v>0</v>
          </cell>
        </row>
        <row r="958">
          <cell r="D958">
            <v>0</v>
          </cell>
        </row>
        <row r="959">
          <cell r="D959">
            <v>0</v>
          </cell>
        </row>
        <row r="960">
          <cell r="D960">
            <v>0</v>
          </cell>
        </row>
        <row r="961">
          <cell r="D961">
            <v>0</v>
          </cell>
        </row>
        <row r="962">
          <cell r="D962">
            <v>0</v>
          </cell>
        </row>
        <row r="963">
          <cell r="D963">
            <v>0</v>
          </cell>
        </row>
        <row r="964">
          <cell r="D964">
            <v>0</v>
          </cell>
        </row>
        <row r="965">
          <cell r="D965">
            <v>0</v>
          </cell>
        </row>
        <row r="966">
          <cell r="D966">
            <v>0</v>
          </cell>
        </row>
        <row r="967">
          <cell r="D967">
            <v>0</v>
          </cell>
        </row>
        <row r="968">
          <cell r="D968">
            <v>0</v>
          </cell>
        </row>
        <row r="969">
          <cell r="D969">
            <v>0</v>
          </cell>
        </row>
        <row r="970">
          <cell r="D970">
            <v>0</v>
          </cell>
        </row>
        <row r="971">
          <cell r="D971">
            <v>0</v>
          </cell>
        </row>
        <row r="972">
          <cell r="D972">
            <v>0</v>
          </cell>
        </row>
        <row r="973">
          <cell r="D973">
            <v>0</v>
          </cell>
        </row>
        <row r="974">
          <cell r="D974">
            <v>0</v>
          </cell>
        </row>
        <row r="975">
          <cell r="D975">
            <v>0</v>
          </cell>
        </row>
        <row r="976">
          <cell r="D976">
            <v>0</v>
          </cell>
        </row>
        <row r="977">
          <cell r="D977">
            <v>0</v>
          </cell>
        </row>
        <row r="978">
          <cell r="D978">
            <v>0</v>
          </cell>
        </row>
        <row r="979">
          <cell r="D979">
            <v>0</v>
          </cell>
        </row>
        <row r="980">
          <cell r="D980">
            <v>0</v>
          </cell>
        </row>
        <row r="981">
          <cell r="D981">
            <v>0</v>
          </cell>
        </row>
        <row r="982">
          <cell r="D982">
            <v>0</v>
          </cell>
        </row>
        <row r="983">
          <cell r="D983">
            <v>0</v>
          </cell>
        </row>
        <row r="984">
          <cell r="D984">
            <v>0</v>
          </cell>
        </row>
        <row r="985">
          <cell r="D985">
            <v>0</v>
          </cell>
        </row>
        <row r="986">
          <cell r="D986">
            <v>0</v>
          </cell>
        </row>
        <row r="987">
          <cell r="D987">
            <v>0</v>
          </cell>
        </row>
        <row r="988">
          <cell r="D988">
            <v>0</v>
          </cell>
        </row>
        <row r="989">
          <cell r="D989">
            <v>0</v>
          </cell>
        </row>
        <row r="990">
          <cell r="D990">
            <v>0</v>
          </cell>
        </row>
        <row r="991">
          <cell r="D991">
            <v>0</v>
          </cell>
        </row>
        <row r="992">
          <cell r="D992">
            <v>0</v>
          </cell>
        </row>
        <row r="993">
          <cell r="D993">
            <v>0</v>
          </cell>
        </row>
        <row r="994">
          <cell r="D994">
            <v>0</v>
          </cell>
        </row>
        <row r="995">
          <cell r="D995">
            <v>0</v>
          </cell>
        </row>
        <row r="996">
          <cell r="D996">
            <v>0</v>
          </cell>
        </row>
        <row r="997">
          <cell r="D997">
            <v>0</v>
          </cell>
        </row>
        <row r="998">
          <cell r="D998">
            <v>0</v>
          </cell>
        </row>
        <row r="999">
          <cell r="D999">
            <v>0</v>
          </cell>
        </row>
        <row r="1000">
          <cell r="D1000">
            <v>0</v>
          </cell>
        </row>
        <row r="1001">
          <cell r="D1001">
            <v>0</v>
          </cell>
        </row>
        <row r="1002">
          <cell r="D1002">
            <v>0</v>
          </cell>
        </row>
        <row r="1003">
          <cell r="D1003">
            <v>0</v>
          </cell>
        </row>
        <row r="1004">
          <cell r="D1004">
            <v>0</v>
          </cell>
        </row>
        <row r="1005">
          <cell r="D1005">
            <v>0</v>
          </cell>
        </row>
        <row r="1006">
          <cell r="D1006">
            <v>0</v>
          </cell>
        </row>
        <row r="1007">
          <cell r="D1007">
            <v>0</v>
          </cell>
        </row>
        <row r="1008">
          <cell r="D1008">
            <v>0</v>
          </cell>
        </row>
        <row r="1009">
          <cell r="D1009">
            <v>0</v>
          </cell>
        </row>
        <row r="1010">
          <cell r="D1010">
            <v>0</v>
          </cell>
        </row>
        <row r="1011">
          <cell r="D1011">
            <v>0</v>
          </cell>
        </row>
        <row r="1012">
          <cell r="D1012">
            <v>0</v>
          </cell>
        </row>
        <row r="1013">
          <cell r="D1013">
            <v>0</v>
          </cell>
        </row>
        <row r="1014">
          <cell r="D1014">
            <v>0</v>
          </cell>
        </row>
        <row r="1015">
          <cell r="D1015">
            <v>0</v>
          </cell>
        </row>
        <row r="1016">
          <cell r="D1016">
            <v>0</v>
          </cell>
        </row>
        <row r="1017">
          <cell r="D1017">
            <v>0</v>
          </cell>
        </row>
        <row r="1018">
          <cell r="D1018">
            <v>0</v>
          </cell>
        </row>
        <row r="1019">
          <cell r="D1019">
            <v>0</v>
          </cell>
        </row>
        <row r="1020">
          <cell r="D1020">
            <v>0</v>
          </cell>
        </row>
        <row r="1021">
          <cell r="D1021">
            <v>0</v>
          </cell>
        </row>
        <row r="1022">
          <cell r="D1022">
            <v>0</v>
          </cell>
        </row>
        <row r="1023">
          <cell r="D1023">
            <v>0</v>
          </cell>
        </row>
        <row r="1024">
          <cell r="D1024">
            <v>0</v>
          </cell>
        </row>
        <row r="1025">
          <cell r="D1025">
            <v>0</v>
          </cell>
        </row>
        <row r="1026">
          <cell r="D1026">
            <v>0</v>
          </cell>
        </row>
        <row r="1027">
          <cell r="D1027">
            <v>0</v>
          </cell>
        </row>
        <row r="1028">
          <cell r="D1028">
            <v>0</v>
          </cell>
        </row>
        <row r="1029">
          <cell r="D1029">
            <v>0</v>
          </cell>
        </row>
        <row r="1030">
          <cell r="D1030">
            <v>0</v>
          </cell>
        </row>
        <row r="1031">
          <cell r="D1031">
            <v>0</v>
          </cell>
        </row>
        <row r="1032">
          <cell r="D1032">
            <v>0</v>
          </cell>
        </row>
        <row r="1033">
          <cell r="D1033">
            <v>0</v>
          </cell>
        </row>
        <row r="1034">
          <cell r="D1034">
            <v>0</v>
          </cell>
        </row>
        <row r="1035">
          <cell r="D1035">
            <v>0</v>
          </cell>
        </row>
        <row r="1036">
          <cell r="D1036">
            <v>0</v>
          </cell>
        </row>
        <row r="1037">
          <cell r="D1037">
            <v>0</v>
          </cell>
        </row>
        <row r="1038">
          <cell r="D1038">
            <v>0</v>
          </cell>
        </row>
        <row r="1039">
          <cell r="D1039">
            <v>0</v>
          </cell>
        </row>
        <row r="1040">
          <cell r="D1040">
            <v>0</v>
          </cell>
        </row>
        <row r="1041">
          <cell r="D1041">
            <v>0</v>
          </cell>
        </row>
        <row r="1042">
          <cell r="D1042">
            <v>0</v>
          </cell>
        </row>
        <row r="1043">
          <cell r="D1043">
            <v>0</v>
          </cell>
        </row>
        <row r="1044">
          <cell r="D1044">
            <v>0</v>
          </cell>
        </row>
        <row r="1045">
          <cell r="D1045">
            <v>0</v>
          </cell>
        </row>
        <row r="1046">
          <cell r="D1046">
            <v>0</v>
          </cell>
        </row>
        <row r="1047">
          <cell r="D1047">
            <v>0</v>
          </cell>
        </row>
        <row r="1048">
          <cell r="D1048">
            <v>0</v>
          </cell>
        </row>
        <row r="1049">
          <cell r="D1049">
            <v>0</v>
          </cell>
        </row>
        <row r="1050">
          <cell r="D1050">
            <v>0</v>
          </cell>
        </row>
        <row r="1051">
          <cell r="D1051">
            <v>0</v>
          </cell>
        </row>
        <row r="1052">
          <cell r="D1052">
            <v>0</v>
          </cell>
        </row>
        <row r="1053">
          <cell r="D1053">
            <v>0</v>
          </cell>
        </row>
        <row r="1054">
          <cell r="D1054">
            <v>0</v>
          </cell>
        </row>
        <row r="1055">
          <cell r="D1055">
            <v>0</v>
          </cell>
        </row>
        <row r="1056">
          <cell r="D1056">
            <v>0</v>
          </cell>
        </row>
        <row r="1057">
          <cell r="D1057">
            <v>0</v>
          </cell>
        </row>
        <row r="1058">
          <cell r="D1058">
            <v>0</v>
          </cell>
        </row>
        <row r="1059">
          <cell r="D1059">
            <v>0</v>
          </cell>
        </row>
        <row r="1060">
          <cell r="D1060">
            <v>0</v>
          </cell>
        </row>
        <row r="1061">
          <cell r="D1061">
            <v>0</v>
          </cell>
        </row>
        <row r="1062">
          <cell r="D1062">
            <v>0</v>
          </cell>
        </row>
        <row r="1063">
          <cell r="D1063">
            <v>0</v>
          </cell>
        </row>
        <row r="1064">
          <cell r="D1064">
            <v>0</v>
          </cell>
        </row>
        <row r="1065">
          <cell r="D1065">
            <v>0</v>
          </cell>
        </row>
        <row r="1066">
          <cell r="D1066">
            <v>0</v>
          </cell>
        </row>
        <row r="1067">
          <cell r="D1067">
            <v>0</v>
          </cell>
        </row>
        <row r="1068">
          <cell r="D1068">
            <v>0</v>
          </cell>
        </row>
        <row r="1069">
          <cell r="D1069">
            <v>0</v>
          </cell>
        </row>
        <row r="1070">
          <cell r="D1070">
            <v>0</v>
          </cell>
        </row>
        <row r="1071">
          <cell r="D1071">
            <v>0</v>
          </cell>
        </row>
        <row r="1072">
          <cell r="D1072">
            <v>0</v>
          </cell>
        </row>
        <row r="1073">
          <cell r="D1073">
            <v>0</v>
          </cell>
        </row>
        <row r="1074">
          <cell r="D1074">
            <v>0</v>
          </cell>
        </row>
        <row r="1075">
          <cell r="D1075">
            <v>0</v>
          </cell>
        </row>
        <row r="1076">
          <cell r="D1076">
            <v>0</v>
          </cell>
        </row>
        <row r="1077">
          <cell r="D1077">
            <v>0</v>
          </cell>
        </row>
        <row r="1078">
          <cell r="D1078">
            <v>0</v>
          </cell>
        </row>
        <row r="1079">
          <cell r="D1079">
            <v>0</v>
          </cell>
        </row>
        <row r="1080">
          <cell r="D1080">
            <v>0</v>
          </cell>
        </row>
        <row r="1081">
          <cell r="D1081">
            <v>0</v>
          </cell>
        </row>
        <row r="1082">
          <cell r="D1082">
            <v>0</v>
          </cell>
        </row>
        <row r="1083">
          <cell r="D1083">
            <v>0</v>
          </cell>
        </row>
        <row r="1084">
          <cell r="D1084">
            <v>0</v>
          </cell>
        </row>
        <row r="1085">
          <cell r="D1085">
            <v>0</v>
          </cell>
        </row>
        <row r="1086">
          <cell r="D1086">
            <v>0</v>
          </cell>
        </row>
        <row r="1087">
          <cell r="D1087">
            <v>0</v>
          </cell>
        </row>
        <row r="1088">
          <cell r="D1088">
            <v>0</v>
          </cell>
        </row>
        <row r="1089">
          <cell r="D1089">
            <v>0</v>
          </cell>
        </row>
        <row r="1090">
          <cell r="D1090">
            <v>0</v>
          </cell>
        </row>
        <row r="1091">
          <cell r="D1091">
            <v>0</v>
          </cell>
        </row>
        <row r="1092">
          <cell r="D1092">
            <v>0</v>
          </cell>
        </row>
        <row r="1093">
          <cell r="D1093">
            <v>0</v>
          </cell>
        </row>
        <row r="1094">
          <cell r="D1094">
            <v>0</v>
          </cell>
        </row>
        <row r="1095">
          <cell r="D1095">
            <v>0</v>
          </cell>
        </row>
        <row r="1096">
          <cell r="D1096">
            <v>0</v>
          </cell>
        </row>
        <row r="1097">
          <cell r="D1097">
            <v>0</v>
          </cell>
        </row>
        <row r="1098">
          <cell r="D1098">
            <v>0</v>
          </cell>
        </row>
        <row r="1099">
          <cell r="D1099">
            <v>0</v>
          </cell>
        </row>
        <row r="1100">
          <cell r="D1100">
            <v>0</v>
          </cell>
        </row>
        <row r="1101">
          <cell r="D1101" t="str">
            <v>June,2012 CIL Document</v>
          </cell>
        </row>
        <row r="1102">
          <cell r="D1102">
            <v>0</v>
          </cell>
        </row>
        <row r="1103">
          <cell r="D1103">
            <v>0</v>
          </cell>
        </row>
        <row r="1104">
          <cell r="D1104">
            <v>0</v>
          </cell>
        </row>
        <row r="1105">
          <cell r="D1105" t="str">
            <v>June,2012 CIL Document</v>
          </cell>
        </row>
        <row r="1106">
          <cell r="D1106">
            <v>0</v>
          </cell>
        </row>
        <row r="1107">
          <cell r="D1107">
            <v>0</v>
          </cell>
        </row>
        <row r="1108">
          <cell r="D1108">
            <v>0</v>
          </cell>
        </row>
        <row r="1109">
          <cell r="D1109">
            <v>0</v>
          </cell>
        </row>
        <row r="1110">
          <cell r="D1110">
            <v>0</v>
          </cell>
        </row>
        <row r="1111">
          <cell r="D1111">
            <v>0</v>
          </cell>
        </row>
        <row r="1112">
          <cell r="D1112">
            <v>0</v>
          </cell>
        </row>
        <row r="1113">
          <cell r="D1113">
            <v>0</v>
          </cell>
        </row>
        <row r="1114">
          <cell r="D1114" t="str">
            <v>June,2012 CIL Document</v>
          </cell>
        </row>
        <row r="1115">
          <cell r="D1115">
            <v>0</v>
          </cell>
        </row>
        <row r="1116">
          <cell r="D1116">
            <v>0</v>
          </cell>
        </row>
        <row r="1117">
          <cell r="D1117">
            <v>0</v>
          </cell>
        </row>
        <row r="1118">
          <cell r="D1118">
            <v>0</v>
          </cell>
        </row>
        <row r="1119">
          <cell r="D1119">
            <v>0</v>
          </cell>
        </row>
        <row r="1120">
          <cell r="D1120">
            <v>0</v>
          </cell>
        </row>
        <row r="1121">
          <cell r="D1121" t="str">
            <v>June,2012 CIL Document</v>
          </cell>
        </row>
        <row r="1122">
          <cell r="D1122">
            <v>0</v>
          </cell>
        </row>
        <row r="1123">
          <cell r="D1123">
            <v>0</v>
          </cell>
        </row>
        <row r="1124">
          <cell r="D1124">
            <v>0</v>
          </cell>
        </row>
        <row r="1125">
          <cell r="D1125">
            <v>0</v>
          </cell>
        </row>
        <row r="1126">
          <cell r="D1126">
            <v>0</v>
          </cell>
        </row>
        <row r="1127">
          <cell r="D1127">
            <v>0</v>
          </cell>
        </row>
        <row r="1128">
          <cell r="D1128">
            <v>0</v>
          </cell>
        </row>
        <row r="1129">
          <cell r="D1129">
            <v>0</v>
          </cell>
        </row>
        <row r="1130">
          <cell r="D1130">
            <v>0</v>
          </cell>
        </row>
        <row r="1131">
          <cell r="D1131">
            <v>0</v>
          </cell>
        </row>
        <row r="1132">
          <cell r="D1132">
            <v>0</v>
          </cell>
        </row>
        <row r="1133">
          <cell r="D1133">
            <v>0</v>
          </cell>
        </row>
        <row r="1134">
          <cell r="D1134">
            <v>0</v>
          </cell>
        </row>
        <row r="1135">
          <cell r="D1135">
            <v>0</v>
          </cell>
        </row>
        <row r="1136">
          <cell r="D1136">
            <v>0</v>
          </cell>
        </row>
        <row r="1137">
          <cell r="D1137">
            <v>0</v>
          </cell>
        </row>
        <row r="1138">
          <cell r="D1138">
            <v>0</v>
          </cell>
        </row>
        <row r="1139">
          <cell r="D1139">
            <v>0</v>
          </cell>
        </row>
        <row r="1140">
          <cell r="D1140" t="str">
            <v>June,2012 CIL Document</v>
          </cell>
        </row>
        <row r="1141">
          <cell r="D1141">
            <v>0</v>
          </cell>
        </row>
        <row r="1142">
          <cell r="D1142">
            <v>0</v>
          </cell>
        </row>
        <row r="1143">
          <cell r="D1143">
            <v>0</v>
          </cell>
        </row>
        <row r="1144">
          <cell r="D1144">
            <v>0</v>
          </cell>
        </row>
        <row r="1145">
          <cell r="D1145">
            <v>0</v>
          </cell>
        </row>
        <row r="1146">
          <cell r="D1146">
            <v>0</v>
          </cell>
        </row>
        <row r="1147">
          <cell r="D1147">
            <v>0</v>
          </cell>
        </row>
        <row r="1148">
          <cell r="D1148">
            <v>0</v>
          </cell>
        </row>
        <row r="1149">
          <cell r="D1149">
            <v>0</v>
          </cell>
        </row>
        <row r="1150">
          <cell r="D1150">
            <v>0</v>
          </cell>
        </row>
        <row r="1151">
          <cell r="D1151">
            <v>0</v>
          </cell>
        </row>
        <row r="1152">
          <cell r="D1152">
            <v>0</v>
          </cell>
        </row>
        <row r="1153">
          <cell r="D1153">
            <v>0</v>
          </cell>
        </row>
        <row r="1154">
          <cell r="D1154">
            <v>0</v>
          </cell>
        </row>
        <row r="1155">
          <cell r="D1155">
            <v>0</v>
          </cell>
        </row>
        <row r="1156">
          <cell r="D1156">
            <v>0</v>
          </cell>
        </row>
        <row r="1157">
          <cell r="D1157">
            <v>0</v>
          </cell>
        </row>
        <row r="1158">
          <cell r="D1158">
            <v>0</v>
          </cell>
        </row>
        <row r="1159">
          <cell r="D1159">
            <v>0</v>
          </cell>
        </row>
        <row r="1160">
          <cell r="D1160">
            <v>0</v>
          </cell>
        </row>
        <row r="1161">
          <cell r="D1161">
            <v>0</v>
          </cell>
        </row>
        <row r="1162">
          <cell r="D1162">
            <v>0</v>
          </cell>
        </row>
        <row r="1163">
          <cell r="D1163">
            <v>0</v>
          </cell>
        </row>
        <row r="1164">
          <cell r="D1164">
            <v>0</v>
          </cell>
        </row>
        <row r="1165">
          <cell r="D1165">
            <v>0</v>
          </cell>
        </row>
        <row r="1166">
          <cell r="D1166">
            <v>0</v>
          </cell>
        </row>
        <row r="1167">
          <cell r="D1167">
            <v>0</v>
          </cell>
        </row>
        <row r="1168">
          <cell r="D1168">
            <v>0</v>
          </cell>
        </row>
        <row r="1169">
          <cell r="D1169">
            <v>0</v>
          </cell>
        </row>
        <row r="1170">
          <cell r="D1170">
            <v>0</v>
          </cell>
        </row>
        <row r="1171">
          <cell r="D1171">
            <v>0</v>
          </cell>
        </row>
        <row r="1172">
          <cell r="D1172">
            <v>0</v>
          </cell>
        </row>
        <row r="1173">
          <cell r="D1173">
            <v>0</v>
          </cell>
        </row>
        <row r="1174">
          <cell r="D1174">
            <v>0</v>
          </cell>
        </row>
        <row r="1175">
          <cell r="D1175">
            <v>0</v>
          </cell>
        </row>
        <row r="1176">
          <cell r="D1176">
            <v>0</v>
          </cell>
        </row>
        <row r="1177">
          <cell r="D1177">
            <v>0</v>
          </cell>
        </row>
        <row r="1178">
          <cell r="D1178">
            <v>0</v>
          </cell>
        </row>
        <row r="1179">
          <cell r="D1179">
            <v>0</v>
          </cell>
        </row>
        <row r="1180">
          <cell r="D1180">
            <v>0</v>
          </cell>
        </row>
        <row r="1181">
          <cell r="D1181">
            <v>0</v>
          </cell>
        </row>
        <row r="1182">
          <cell r="D1182">
            <v>0</v>
          </cell>
        </row>
        <row r="1183">
          <cell r="D1183" t="str">
            <v>June,2012 CIL Document</v>
          </cell>
        </row>
        <row r="1184">
          <cell r="D1184">
            <v>0</v>
          </cell>
        </row>
        <row r="1185">
          <cell r="D1185">
            <v>0</v>
          </cell>
        </row>
        <row r="1186">
          <cell r="D1186">
            <v>0</v>
          </cell>
        </row>
        <row r="1187">
          <cell r="D1187">
            <v>0</v>
          </cell>
        </row>
        <row r="1188">
          <cell r="D1188">
            <v>0</v>
          </cell>
        </row>
        <row r="1189">
          <cell r="D1189">
            <v>0</v>
          </cell>
        </row>
        <row r="1190">
          <cell r="D1190">
            <v>0</v>
          </cell>
        </row>
        <row r="1191">
          <cell r="D1191">
            <v>0</v>
          </cell>
        </row>
        <row r="1192">
          <cell r="D1192">
            <v>0</v>
          </cell>
        </row>
        <row r="1193">
          <cell r="D1193">
            <v>0</v>
          </cell>
        </row>
        <row r="1194">
          <cell r="D1194" t="str">
            <v>Company's Website</v>
          </cell>
        </row>
        <row r="1195">
          <cell r="D1195" t="str">
            <v>CEA Thermal Document</v>
          </cell>
        </row>
        <row r="1196">
          <cell r="D1196">
            <v>0</v>
          </cell>
        </row>
        <row r="1197">
          <cell r="D1197" t="str">
            <v>June,2012 CIL Document</v>
          </cell>
        </row>
        <row r="1198">
          <cell r="D1198">
            <v>0</v>
          </cell>
        </row>
        <row r="1199">
          <cell r="D1199">
            <v>0</v>
          </cell>
        </row>
        <row r="1200">
          <cell r="D1200">
            <v>0</v>
          </cell>
        </row>
        <row r="1201">
          <cell r="D1201" t="str">
            <v>CEA Thermal Document</v>
          </cell>
        </row>
        <row r="1202">
          <cell r="D1202">
            <v>0</v>
          </cell>
        </row>
        <row r="1203">
          <cell r="D1203" t="str">
            <v>CEA Thermal Document</v>
          </cell>
        </row>
        <row r="1204">
          <cell r="D1204">
            <v>0</v>
          </cell>
        </row>
        <row r="1205">
          <cell r="D1205">
            <v>0</v>
          </cell>
        </row>
        <row r="1206">
          <cell r="D1206">
            <v>0</v>
          </cell>
        </row>
        <row r="1207">
          <cell r="D1207">
            <v>0</v>
          </cell>
        </row>
        <row r="1208">
          <cell r="D1208">
            <v>0</v>
          </cell>
        </row>
        <row r="1209">
          <cell r="D1209">
            <v>0</v>
          </cell>
        </row>
        <row r="1210">
          <cell r="D1210">
            <v>0</v>
          </cell>
        </row>
        <row r="1211">
          <cell r="D1211">
            <v>0</v>
          </cell>
        </row>
        <row r="1212">
          <cell r="D1212">
            <v>0</v>
          </cell>
        </row>
        <row r="1213">
          <cell r="D1213">
            <v>0</v>
          </cell>
        </row>
        <row r="1214">
          <cell r="D1214">
            <v>0</v>
          </cell>
        </row>
        <row r="1215">
          <cell r="D1215">
            <v>0</v>
          </cell>
        </row>
        <row r="1216">
          <cell r="D1216">
            <v>0</v>
          </cell>
        </row>
        <row r="1217">
          <cell r="D1217">
            <v>0</v>
          </cell>
        </row>
        <row r="1218">
          <cell r="D1218">
            <v>0</v>
          </cell>
        </row>
        <row r="1219">
          <cell r="D1219">
            <v>0</v>
          </cell>
        </row>
        <row r="1220">
          <cell r="D1220">
            <v>0</v>
          </cell>
        </row>
        <row r="1221">
          <cell r="D1221">
            <v>0</v>
          </cell>
        </row>
        <row r="1222">
          <cell r="D1222">
            <v>0</v>
          </cell>
        </row>
        <row r="1223">
          <cell r="D1223">
            <v>0</v>
          </cell>
        </row>
        <row r="1224">
          <cell r="D1224">
            <v>0</v>
          </cell>
        </row>
        <row r="1225">
          <cell r="D1225">
            <v>0</v>
          </cell>
        </row>
        <row r="1226">
          <cell r="D1226">
            <v>0</v>
          </cell>
        </row>
        <row r="1227">
          <cell r="D1227">
            <v>0</v>
          </cell>
        </row>
        <row r="1228">
          <cell r="D1228">
            <v>0</v>
          </cell>
        </row>
        <row r="1229">
          <cell r="D1229">
            <v>0</v>
          </cell>
        </row>
        <row r="1230">
          <cell r="D1230">
            <v>0</v>
          </cell>
        </row>
        <row r="1231">
          <cell r="D1231">
            <v>0</v>
          </cell>
        </row>
        <row r="1232">
          <cell r="D1232">
            <v>0</v>
          </cell>
        </row>
        <row r="1233">
          <cell r="D1233">
            <v>0</v>
          </cell>
        </row>
        <row r="1234">
          <cell r="D1234">
            <v>0</v>
          </cell>
        </row>
        <row r="1235">
          <cell r="D1235">
            <v>0</v>
          </cell>
        </row>
        <row r="1236">
          <cell r="D1236" t="str">
            <v>CEA Thermal Document</v>
          </cell>
        </row>
        <row r="1237">
          <cell r="D1237" t="str">
            <v>CEA Thermal Document</v>
          </cell>
        </row>
        <row r="1238">
          <cell r="D1238">
            <v>0</v>
          </cell>
        </row>
        <row r="1239">
          <cell r="D1239">
            <v>0</v>
          </cell>
        </row>
        <row r="1240">
          <cell r="D1240" t="str">
            <v>CEA Thermal Document</v>
          </cell>
        </row>
        <row r="1241">
          <cell r="D1241">
            <v>0</v>
          </cell>
        </row>
        <row r="1242">
          <cell r="D1242" t="str">
            <v>CEA Thermal Document</v>
          </cell>
        </row>
        <row r="1243">
          <cell r="D1243" t="str">
            <v>CEA Thermal Document</v>
          </cell>
        </row>
        <row r="1244">
          <cell r="D1244" t="str">
            <v>Metis Document</v>
          </cell>
        </row>
        <row r="1245">
          <cell r="D1245">
            <v>0</v>
          </cell>
        </row>
        <row r="1246">
          <cell r="D1246">
            <v>0</v>
          </cell>
        </row>
        <row r="1247">
          <cell r="D1247">
            <v>0</v>
          </cell>
        </row>
        <row r="1248">
          <cell r="D1248" t="str">
            <v>CEA Thermal Document</v>
          </cell>
        </row>
        <row r="1249">
          <cell r="D1249">
            <v>0</v>
          </cell>
        </row>
        <row r="1250">
          <cell r="D1250" t="str">
            <v>CEA Thermal Document</v>
          </cell>
        </row>
        <row r="1251">
          <cell r="D1251" t="str">
            <v>Company's Website</v>
          </cell>
        </row>
        <row r="1252">
          <cell r="D1252" t="str">
            <v>CEA Thermal Document</v>
          </cell>
        </row>
        <row r="1253">
          <cell r="D1253" t="str">
            <v>CEA Thermal Document</v>
          </cell>
        </row>
        <row r="1254">
          <cell r="D1254" t="str">
            <v>CEA Thermal Document</v>
          </cell>
        </row>
        <row r="1255">
          <cell r="D1255" t="str">
            <v>CEA Thermal Document</v>
          </cell>
        </row>
        <row r="1256">
          <cell r="D1256" t="str">
            <v>CEA Thermal Document</v>
          </cell>
        </row>
        <row r="1257">
          <cell r="D1257" t="str">
            <v>CEA Thermal Document</v>
          </cell>
        </row>
        <row r="1258">
          <cell r="D1258" t="str">
            <v>CEA Thermal Document</v>
          </cell>
        </row>
        <row r="1259">
          <cell r="D1259">
            <v>0</v>
          </cell>
        </row>
        <row r="1260">
          <cell r="D1260" t="str">
            <v>Company's Website</v>
          </cell>
        </row>
        <row r="1261">
          <cell r="D1261">
            <v>0</v>
          </cell>
        </row>
        <row r="1262">
          <cell r="D1262">
            <v>0</v>
          </cell>
        </row>
        <row r="1263">
          <cell r="D1263" t="str">
            <v>Metis Document</v>
          </cell>
        </row>
        <row r="1264">
          <cell r="D1264" t="str">
            <v>Metis Document</v>
          </cell>
        </row>
        <row r="1265">
          <cell r="D1265">
            <v>0</v>
          </cell>
        </row>
        <row r="1266">
          <cell r="D1266" t="str">
            <v>Company's Website</v>
          </cell>
        </row>
        <row r="1267">
          <cell r="D1267" t="str">
            <v>Company's Website</v>
          </cell>
        </row>
        <row r="1268">
          <cell r="D1268" t="str">
            <v>CEA Thermal Document</v>
          </cell>
        </row>
        <row r="1269">
          <cell r="D1269" t="str">
            <v>CEA Thermal Document</v>
          </cell>
        </row>
        <row r="1270">
          <cell r="D1270" t="str">
            <v>Company's Website</v>
          </cell>
        </row>
        <row r="1271">
          <cell r="D1271" t="str">
            <v>Metis Document</v>
          </cell>
        </row>
        <row r="1272">
          <cell r="D1272" t="str">
            <v>CEA Thermal Document</v>
          </cell>
        </row>
        <row r="1273">
          <cell r="D1273">
            <v>0</v>
          </cell>
        </row>
        <row r="1274">
          <cell r="D1274" t="str">
            <v>CEA Thermal Document</v>
          </cell>
        </row>
        <row r="1275">
          <cell r="D1275">
            <v>0</v>
          </cell>
        </row>
        <row r="1276">
          <cell r="D1276">
            <v>0</v>
          </cell>
        </row>
        <row r="1277">
          <cell r="D1277" t="str">
            <v>CEA Thermal Document</v>
          </cell>
        </row>
        <row r="1278">
          <cell r="D1278">
            <v>0</v>
          </cell>
        </row>
        <row r="1279">
          <cell r="D1279" t="str">
            <v>Metis Document</v>
          </cell>
        </row>
        <row r="1280">
          <cell r="D1280" t="str">
            <v>Metis Document</v>
          </cell>
        </row>
        <row r="1281">
          <cell r="D1281" t="str">
            <v>CEA Thermal Document</v>
          </cell>
        </row>
        <row r="1282">
          <cell r="D1282" t="str">
            <v>CEA Thermal Document</v>
          </cell>
        </row>
        <row r="1283">
          <cell r="D1283" t="str">
            <v>Metis Document</v>
          </cell>
        </row>
        <row r="1284">
          <cell r="D1284" t="str">
            <v>Metis Document</v>
          </cell>
        </row>
        <row r="1285">
          <cell r="D1285" t="str">
            <v>Metis Document</v>
          </cell>
        </row>
        <row r="1286">
          <cell r="D1286" t="str">
            <v>Metis Document</v>
          </cell>
        </row>
        <row r="1287">
          <cell r="D1287" t="str">
            <v>CEA Thermal Document</v>
          </cell>
        </row>
        <row r="1288">
          <cell r="D1288" t="str">
            <v>CEA Thermal Document</v>
          </cell>
        </row>
        <row r="1289">
          <cell r="D1289" t="str">
            <v>CEA Thermal Document</v>
          </cell>
        </row>
        <row r="1290">
          <cell r="D1290">
            <v>0</v>
          </cell>
        </row>
        <row r="1291">
          <cell r="D1291" t="str">
            <v>Company's Website</v>
          </cell>
        </row>
        <row r="1292">
          <cell r="D1292" t="str">
            <v>Company's Website</v>
          </cell>
        </row>
        <row r="1293">
          <cell r="D1293" t="str">
            <v>CEA Thermal Document</v>
          </cell>
        </row>
        <row r="1294">
          <cell r="D1294">
            <v>0</v>
          </cell>
        </row>
        <row r="1295">
          <cell r="D1295" t="str">
            <v>Company's Website</v>
          </cell>
        </row>
        <row r="1296">
          <cell r="D1296" t="str">
            <v>Metis Document</v>
          </cell>
        </row>
        <row r="1297">
          <cell r="D1297" t="str">
            <v>CEA Thermal Document</v>
          </cell>
        </row>
        <row r="1298">
          <cell r="D1298" t="str">
            <v>CEA Thermal Document</v>
          </cell>
        </row>
        <row r="1299">
          <cell r="D1299">
            <v>0</v>
          </cell>
        </row>
        <row r="1300">
          <cell r="D1300">
            <v>0</v>
          </cell>
        </row>
        <row r="1301">
          <cell r="D1301" t="str">
            <v>Company's Website</v>
          </cell>
        </row>
        <row r="1302">
          <cell r="D1302" t="str">
            <v>CEA Thermal Document</v>
          </cell>
        </row>
        <row r="1303">
          <cell r="D1303">
            <v>0</v>
          </cell>
        </row>
        <row r="1304">
          <cell r="D1304">
            <v>0</v>
          </cell>
        </row>
        <row r="1305">
          <cell r="D1305" t="str">
            <v>Company's Website</v>
          </cell>
        </row>
        <row r="1306">
          <cell r="D1306" t="str">
            <v>Company's Website</v>
          </cell>
        </row>
        <row r="1307">
          <cell r="D1307" t="str">
            <v>Company's Website</v>
          </cell>
        </row>
        <row r="1308">
          <cell r="D1308" t="str">
            <v>Metis Document</v>
          </cell>
        </row>
        <row r="1309">
          <cell r="D1309" t="str">
            <v>Company's Website</v>
          </cell>
        </row>
        <row r="1310">
          <cell r="D1310" t="str">
            <v>CEA Thermal Document</v>
          </cell>
        </row>
        <row r="1311">
          <cell r="D1311" t="str">
            <v>Metis Document</v>
          </cell>
        </row>
        <row r="1312">
          <cell r="D1312">
            <v>0</v>
          </cell>
        </row>
        <row r="1313">
          <cell r="D1313">
            <v>0</v>
          </cell>
        </row>
        <row r="1314">
          <cell r="D1314" t="str">
            <v>Company's Website</v>
          </cell>
        </row>
        <row r="1315">
          <cell r="D1315" t="str">
            <v>Company's Website</v>
          </cell>
        </row>
        <row r="1316">
          <cell r="D1316" t="str">
            <v>Company's Website</v>
          </cell>
        </row>
        <row r="1317">
          <cell r="D1317" t="str">
            <v>CEA Thermal Document</v>
          </cell>
        </row>
        <row r="1318">
          <cell r="D1318" t="str">
            <v>CEA Thermal Document</v>
          </cell>
        </row>
        <row r="1319">
          <cell r="D1319">
            <v>0</v>
          </cell>
        </row>
        <row r="1320">
          <cell r="D1320" t="str">
            <v>CEA Thermal Document</v>
          </cell>
        </row>
        <row r="1321">
          <cell r="D1321" t="str">
            <v>CEA Thermal Document</v>
          </cell>
        </row>
        <row r="1322">
          <cell r="D1322" t="str">
            <v>Company's Website</v>
          </cell>
        </row>
        <row r="1323">
          <cell r="D1323" t="str">
            <v>CEA Thermal Document</v>
          </cell>
        </row>
        <row r="1324">
          <cell r="D1324" t="str">
            <v>CEA Thermal Document</v>
          </cell>
        </row>
        <row r="1325">
          <cell r="D1325" t="str">
            <v>Company's Website</v>
          </cell>
        </row>
        <row r="1326">
          <cell r="D1326">
            <v>0</v>
          </cell>
        </row>
        <row r="1327">
          <cell r="D1327" t="str">
            <v>CEA Thermal Document</v>
          </cell>
        </row>
        <row r="1328">
          <cell r="D1328">
            <v>0</v>
          </cell>
        </row>
        <row r="1329">
          <cell r="D1329" t="str">
            <v>Metis Document</v>
          </cell>
        </row>
        <row r="1330">
          <cell r="D1330" t="str">
            <v>CEA Thermal Document</v>
          </cell>
        </row>
        <row r="1331">
          <cell r="D1331" t="str">
            <v>CEA Thermal Document</v>
          </cell>
        </row>
        <row r="1332">
          <cell r="D1332" t="str">
            <v>Company's Website</v>
          </cell>
        </row>
        <row r="1333">
          <cell r="D1333" t="str">
            <v>Metis Document</v>
          </cell>
        </row>
        <row r="1334">
          <cell r="D1334" t="str">
            <v>Company's Website</v>
          </cell>
        </row>
        <row r="1335">
          <cell r="D1335">
            <v>0</v>
          </cell>
        </row>
        <row r="1336">
          <cell r="D1336" t="str">
            <v>CEA Thermal Document</v>
          </cell>
        </row>
        <row r="1337">
          <cell r="D1337" t="str">
            <v>Company's Website</v>
          </cell>
        </row>
        <row r="1338">
          <cell r="D1338" t="str">
            <v>Company's Website</v>
          </cell>
        </row>
        <row r="1339">
          <cell r="D1339" t="str">
            <v>CEA Thermal Document</v>
          </cell>
        </row>
        <row r="1340">
          <cell r="D1340">
            <v>0</v>
          </cell>
        </row>
        <row r="1341">
          <cell r="D1341" t="str">
            <v>CEA Thermal Document</v>
          </cell>
        </row>
        <row r="1342">
          <cell r="D1342">
            <v>0</v>
          </cell>
        </row>
        <row r="1343">
          <cell r="D1343">
            <v>0</v>
          </cell>
        </row>
        <row r="1344">
          <cell r="D1344" t="str">
            <v>Metis Document</v>
          </cell>
        </row>
        <row r="1345">
          <cell r="D1345" t="str">
            <v>Company's Website</v>
          </cell>
        </row>
        <row r="1346">
          <cell r="D1346" t="str">
            <v>CEA Thermal Document</v>
          </cell>
        </row>
        <row r="1347">
          <cell r="D1347" t="str">
            <v>Company's Website</v>
          </cell>
        </row>
        <row r="1348">
          <cell r="D1348" t="str">
            <v>CEA Thermal Document</v>
          </cell>
        </row>
        <row r="1349">
          <cell r="D1349" t="str">
            <v>CEA Thermal Document</v>
          </cell>
        </row>
        <row r="1350">
          <cell r="D1350">
            <v>0</v>
          </cell>
        </row>
        <row r="1351">
          <cell r="D1351" t="str">
            <v>CEA Thermal Document</v>
          </cell>
        </row>
        <row r="1352">
          <cell r="D1352" t="str">
            <v>CEA Thermal Document &amp; Company's Website</v>
          </cell>
        </row>
        <row r="1353">
          <cell r="D1353" t="str">
            <v>CEA Thermal Document</v>
          </cell>
        </row>
        <row r="1354">
          <cell r="D1354" t="str">
            <v>CEA Thermal Document</v>
          </cell>
        </row>
        <row r="1355">
          <cell r="D1355" t="str">
            <v>Company's Website</v>
          </cell>
        </row>
        <row r="1356">
          <cell r="D1356">
            <v>0</v>
          </cell>
        </row>
        <row r="1357">
          <cell r="D1357" t="str">
            <v>CEA Thermal Document</v>
          </cell>
        </row>
        <row r="1358">
          <cell r="D1358" t="str">
            <v>CEA Thermal Document</v>
          </cell>
        </row>
        <row r="1359">
          <cell r="D1359" t="str">
            <v>Metis Document</v>
          </cell>
        </row>
        <row r="1360">
          <cell r="D1360">
            <v>0</v>
          </cell>
        </row>
        <row r="1361">
          <cell r="D1361" t="str">
            <v>Company's Website</v>
          </cell>
        </row>
        <row r="1362">
          <cell r="D1362" t="str">
            <v>Company's Website</v>
          </cell>
        </row>
        <row r="1363">
          <cell r="D1363" t="str">
            <v>CEA Thermal Document &amp; Company's Website</v>
          </cell>
        </row>
        <row r="1364">
          <cell r="D1364" t="str">
            <v>CEA Thermal Document</v>
          </cell>
        </row>
        <row r="1365">
          <cell r="D1365" t="str">
            <v>CEA Thermal Document</v>
          </cell>
        </row>
        <row r="1366">
          <cell r="D1366" t="str">
            <v>CEA Thermal Document</v>
          </cell>
        </row>
        <row r="1367">
          <cell r="D1367" t="str">
            <v>CEA Thermal Document</v>
          </cell>
        </row>
        <row r="1368">
          <cell r="D1368">
            <v>0</v>
          </cell>
        </row>
        <row r="1369">
          <cell r="D1369" t="str">
            <v>Company's Website</v>
          </cell>
        </row>
        <row r="1370">
          <cell r="D1370">
            <v>0</v>
          </cell>
        </row>
        <row r="1371">
          <cell r="D1371" t="str">
            <v>Company's Website</v>
          </cell>
        </row>
        <row r="1372">
          <cell r="D1372" t="str">
            <v>CEA Thermal Document</v>
          </cell>
        </row>
        <row r="1373">
          <cell r="D1373" t="str">
            <v>Company's Website</v>
          </cell>
        </row>
        <row r="1374">
          <cell r="D1374" t="str">
            <v>Metis Document</v>
          </cell>
        </row>
        <row r="1375">
          <cell r="D1375" t="str">
            <v>CEA Thermal Document</v>
          </cell>
        </row>
        <row r="1376">
          <cell r="D1376" t="str">
            <v>June,2012 CIL Document</v>
          </cell>
        </row>
        <row r="1377">
          <cell r="D1377" t="str">
            <v>Metis Document</v>
          </cell>
        </row>
        <row r="1378">
          <cell r="D1378" t="str">
            <v>CEA Thermal Document</v>
          </cell>
        </row>
        <row r="1379">
          <cell r="D1379" t="str">
            <v>CEA Thermal Document</v>
          </cell>
        </row>
        <row r="1380">
          <cell r="D1380">
            <v>0</v>
          </cell>
        </row>
        <row r="1381">
          <cell r="D1381">
            <v>0</v>
          </cell>
        </row>
        <row r="1382">
          <cell r="D1382">
            <v>0</v>
          </cell>
        </row>
        <row r="1383">
          <cell r="D1383" t="str">
            <v>Metis Document</v>
          </cell>
        </row>
        <row r="1384">
          <cell r="D1384" t="str">
            <v>Company's Website</v>
          </cell>
        </row>
        <row r="1385">
          <cell r="D1385" t="str">
            <v>Company's Website</v>
          </cell>
        </row>
        <row r="1386">
          <cell r="D1386" t="str">
            <v>Company's Website</v>
          </cell>
        </row>
        <row r="1387">
          <cell r="D1387" t="str">
            <v>Metis Document</v>
          </cell>
        </row>
        <row r="1388">
          <cell r="D1388" t="str">
            <v>CEA Thermal Document</v>
          </cell>
        </row>
        <row r="1389">
          <cell r="D1389" t="str">
            <v>Metis Document &amp; Company's Website</v>
          </cell>
        </row>
        <row r="1390">
          <cell r="D1390">
            <v>0</v>
          </cell>
        </row>
        <row r="1391">
          <cell r="D1391" t="str">
            <v>Metis Document</v>
          </cell>
        </row>
        <row r="1392">
          <cell r="D1392" t="str">
            <v>Metis Document</v>
          </cell>
        </row>
        <row r="1393">
          <cell r="D1393">
            <v>0</v>
          </cell>
        </row>
        <row r="1394">
          <cell r="D1394" t="str">
            <v>Metis Document</v>
          </cell>
        </row>
        <row r="1395">
          <cell r="D1395" t="str">
            <v>CEA Thermal Document</v>
          </cell>
        </row>
        <row r="1396">
          <cell r="D1396">
            <v>0</v>
          </cell>
        </row>
        <row r="1397">
          <cell r="D1397" t="str">
            <v>Company's Website</v>
          </cell>
        </row>
        <row r="1398">
          <cell r="D1398">
            <v>0</v>
          </cell>
        </row>
        <row r="1399">
          <cell r="D1399" t="str">
            <v>Metis Document</v>
          </cell>
        </row>
        <row r="1400">
          <cell r="D1400">
            <v>0</v>
          </cell>
        </row>
        <row r="1401">
          <cell r="D1401" t="str">
            <v>Company's Website</v>
          </cell>
        </row>
        <row r="1402">
          <cell r="D1402">
            <v>0</v>
          </cell>
        </row>
        <row r="1403">
          <cell r="D1403">
            <v>0</v>
          </cell>
        </row>
        <row r="1404">
          <cell r="D1404" t="str">
            <v>CEA Thermal Document</v>
          </cell>
        </row>
        <row r="1405">
          <cell r="D1405" t="str">
            <v>Company's Website</v>
          </cell>
        </row>
        <row r="1406">
          <cell r="D1406" t="str">
            <v>Company's Website</v>
          </cell>
        </row>
        <row r="1407">
          <cell r="D1407" t="str">
            <v>Metis Document &amp; Company's Website</v>
          </cell>
        </row>
        <row r="1408">
          <cell r="D1408" t="str">
            <v>Company's Website</v>
          </cell>
        </row>
        <row r="1409">
          <cell r="D1409">
            <v>0</v>
          </cell>
        </row>
        <row r="1410">
          <cell r="D1410" t="str">
            <v>Metis Document</v>
          </cell>
        </row>
        <row r="1411">
          <cell r="D1411" t="str">
            <v>Company's Website</v>
          </cell>
        </row>
        <row r="1412">
          <cell r="D1412" t="str">
            <v>CEA Thermal Document</v>
          </cell>
        </row>
        <row r="1413">
          <cell r="D1413">
            <v>0</v>
          </cell>
        </row>
        <row r="1414">
          <cell r="D1414">
            <v>0</v>
          </cell>
        </row>
        <row r="1415">
          <cell r="D1415" t="str">
            <v>Metis Document</v>
          </cell>
        </row>
        <row r="1416">
          <cell r="D1416" t="str">
            <v>Metis Document</v>
          </cell>
        </row>
        <row r="1417">
          <cell r="D1417" t="str">
            <v>Metis Document</v>
          </cell>
        </row>
        <row r="1418">
          <cell r="D1418" t="str">
            <v>Metis Document &amp; Company's Website</v>
          </cell>
        </row>
        <row r="1419">
          <cell r="D1419">
            <v>0</v>
          </cell>
        </row>
        <row r="1420">
          <cell r="D1420">
            <v>0</v>
          </cell>
        </row>
        <row r="1421">
          <cell r="D1421" t="str">
            <v>Metis Document</v>
          </cell>
        </row>
        <row r="1422">
          <cell r="D1422" t="str">
            <v>Company's Website</v>
          </cell>
        </row>
        <row r="1423">
          <cell r="D1423">
            <v>0</v>
          </cell>
        </row>
        <row r="1424">
          <cell r="D1424" t="str">
            <v>CEA Thermal Document</v>
          </cell>
        </row>
        <row r="1425">
          <cell r="D1425" t="str">
            <v>CEA Thermal Document</v>
          </cell>
        </row>
        <row r="1426">
          <cell r="D1426" t="str">
            <v>Company's Website</v>
          </cell>
        </row>
        <row r="1427">
          <cell r="D1427">
            <v>0</v>
          </cell>
        </row>
        <row r="1428">
          <cell r="D1428">
            <v>0</v>
          </cell>
        </row>
        <row r="1429">
          <cell r="D1429" t="str">
            <v>Company's Website</v>
          </cell>
        </row>
        <row r="1430">
          <cell r="D1430" t="str">
            <v>Company's Website</v>
          </cell>
        </row>
        <row r="1431">
          <cell r="D1431" t="str">
            <v>Metis Document &amp; Company's Website</v>
          </cell>
        </row>
        <row r="1432">
          <cell r="D1432" t="str">
            <v>Metis Document</v>
          </cell>
        </row>
        <row r="1433">
          <cell r="D1433" t="str">
            <v>Company's Website</v>
          </cell>
        </row>
        <row r="1434">
          <cell r="D1434">
            <v>0</v>
          </cell>
        </row>
        <row r="1435">
          <cell r="D1435" t="str">
            <v>Metis Document</v>
          </cell>
        </row>
        <row r="1436">
          <cell r="D1436" t="str">
            <v>Metis Document</v>
          </cell>
        </row>
        <row r="1437">
          <cell r="D1437" t="str">
            <v>Company's Website</v>
          </cell>
        </row>
        <row r="1438">
          <cell r="D1438">
            <v>0</v>
          </cell>
        </row>
        <row r="1439">
          <cell r="D1439" t="str">
            <v>Company's Website</v>
          </cell>
        </row>
        <row r="1440">
          <cell r="D1440" t="str">
            <v>Company's Website</v>
          </cell>
        </row>
        <row r="1441">
          <cell r="D1441" t="str">
            <v>Metis Document</v>
          </cell>
        </row>
        <row r="1442">
          <cell r="D1442" t="str">
            <v>Company's Website</v>
          </cell>
        </row>
        <row r="1443">
          <cell r="D1443" t="str">
            <v>Company's Website</v>
          </cell>
        </row>
        <row r="1444">
          <cell r="D1444" t="str">
            <v>Metis Document</v>
          </cell>
        </row>
        <row r="1445">
          <cell r="D1445" t="str">
            <v>Metis Document</v>
          </cell>
        </row>
        <row r="1446">
          <cell r="D1446" t="str">
            <v>Metis Document</v>
          </cell>
        </row>
        <row r="1447">
          <cell r="D1447" t="str">
            <v>Metis Document</v>
          </cell>
        </row>
        <row r="1448">
          <cell r="D1448" t="str">
            <v>Company's Website</v>
          </cell>
        </row>
        <row r="1449">
          <cell r="D1449" t="str">
            <v>CEA Thermal Document</v>
          </cell>
        </row>
        <row r="1450">
          <cell r="D1450" t="str">
            <v>Company's Website</v>
          </cell>
        </row>
        <row r="1451">
          <cell r="D1451" t="str">
            <v>Metis Document</v>
          </cell>
        </row>
        <row r="1452">
          <cell r="D1452" t="str">
            <v>Metis Document</v>
          </cell>
        </row>
        <row r="1453">
          <cell r="D1453" t="str">
            <v>CEA Thermal Document</v>
          </cell>
        </row>
        <row r="1454">
          <cell r="D1454">
            <v>0</v>
          </cell>
        </row>
        <row r="1455">
          <cell r="D1455" t="str">
            <v>Metis Document</v>
          </cell>
        </row>
        <row r="1456">
          <cell r="D1456" t="str">
            <v>Metis Document</v>
          </cell>
        </row>
        <row r="1457">
          <cell r="D1457" t="str">
            <v>Company's Website</v>
          </cell>
        </row>
        <row r="1458">
          <cell r="D1458" t="str">
            <v>CEA Thermal Document</v>
          </cell>
        </row>
        <row r="1459">
          <cell r="D1459" t="str">
            <v>Metis Document</v>
          </cell>
        </row>
        <row r="1460">
          <cell r="D1460" t="str">
            <v>Metis Document</v>
          </cell>
        </row>
        <row r="1461">
          <cell r="D1461">
            <v>0</v>
          </cell>
        </row>
        <row r="1462">
          <cell r="D1462" t="str">
            <v>Cea Thermal Document</v>
          </cell>
        </row>
        <row r="1463">
          <cell r="D1463" t="str">
            <v>Metis Document</v>
          </cell>
        </row>
        <row r="1464">
          <cell r="D1464" t="str">
            <v>Metis Document</v>
          </cell>
        </row>
        <row r="1465">
          <cell r="D1465" t="str">
            <v>CEA Thermal Document &amp; Company's Website</v>
          </cell>
        </row>
        <row r="1466">
          <cell r="D1466" t="str">
            <v>Company's Website</v>
          </cell>
        </row>
        <row r="1467">
          <cell r="D1467" t="str">
            <v>Metis Document &amp; Company's Website</v>
          </cell>
        </row>
        <row r="1468">
          <cell r="D1468" t="str">
            <v>Metis Document</v>
          </cell>
        </row>
        <row r="1469">
          <cell r="D1469" t="str">
            <v>Metis Document</v>
          </cell>
        </row>
        <row r="1470">
          <cell r="D1470" t="str">
            <v>Metis Document</v>
          </cell>
        </row>
        <row r="1471">
          <cell r="D1471" t="str">
            <v>CEA Thermal Document</v>
          </cell>
        </row>
        <row r="1472">
          <cell r="D1472">
            <v>0</v>
          </cell>
        </row>
        <row r="1473">
          <cell r="D1473" t="str">
            <v>Company's Website</v>
          </cell>
        </row>
        <row r="1474">
          <cell r="D1474">
            <v>0</v>
          </cell>
        </row>
        <row r="1475">
          <cell r="D1475">
            <v>0</v>
          </cell>
        </row>
        <row r="1476">
          <cell r="D1476" t="str">
            <v>CEA Thermal Document</v>
          </cell>
        </row>
        <row r="1477">
          <cell r="D1477" t="str">
            <v>Company's Website</v>
          </cell>
        </row>
        <row r="1478">
          <cell r="D1478" t="str">
            <v>Company's Website</v>
          </cell>
        </row>
        <row r="1479">
          <cell r="D1479">
            <v>0</v>
          </cell>
        </row>
        <row r="1480">
          <cell r="D1480" t="str">
            <v>CEA Thermal Document</v>
          </cell>
        </row>
        <row r="1481">
          <cell r="D1481" t="str">
            <v>Company's Website</v>
          </cell>
        </row>
        <row r="1482">
          <cell r="D1482" t="str">
            <v>Metis Document</v>
          </cell>
        </row>
        <row r="1483">
          <cell r="D1483" t="str">
            <v>Metis Document</v>
          </cell>
        </row>
        <row r="1484">
          <cell r="D1484" t="str">
            <v>Metis Document</v>
          </cell>
        </row>
        <row r="1485">
          <cell r="D1485">
            <v>0</v>
          </cell>
        </row>
        <row r="1486">
          <cell r="D1486" t="str">
            <v>Metis Document &amp; Company's Website</v>
          </cell>
        </row>
        <row r="1487">
          <cell r="D1487">
            <v>0</v>
          </cell>
        </row>
        <row r="1488">
          <cell r="D1488" t="str">
            <v>CEA Thermal Document &amp; Company's Website</v>
          </cell>
        </row>
        <row r="1489">
          <cell r="D1489" t="str">
            <v>CEA Thermal Document</v>
          </cell>
        </row>
        <row r="1490">
          <cell r="D1490" t="str">
            <v>CEA Thermal Document</v>
          </cell>
        </row>
        <row r="1491">
          <cell r="D1491">
            <v>0</v>
          </cell>
        </row>
        <row r="1492">
          <cell r="D1492" t="str">
            <v>Metis Document</v>
          </cell>
        </row>
        <row r="1493">
          <cell r="D1493">
            <v>0</v>
          </cell>
        </row>
        <row r="1494">
          <cell r="D1494" t="str">
            <v>Metis Document</v>
          </cell>
        </row>
        <row r="1495">
          <cell r="D1495" t="str">
            <v>Metis Document</v>
          </cell>
        </row>
        <row r="1496">
          <cell r="D1496" t="str">
            <v>CEA Thermal Document &amp; Company's Website</v>
          </cell>
        </row>
        <row r="1497">
          <cell r="D1497" t="str">
            <v>Metis Document</v>
          </cell>
        </row>
        <row r="1498">
          <cell r="D1498" t="str">
            <v>Company's Website</v>
          </cell>
        </row>
        <row r="1499">
          <cell r="D1499" t="str">
            <v>CEA Thermal Document</v>
          </cell>
        </row>
        <row r="1500">
          <cell r="D1500">
            <v>0</v>
          </cell>
        </row>
        <row r="1501">
          <cell r="D1501" t="str">
            <v>Cea Thermal Document</v>
          </cell>
        </row>
        <row r="1502">
          <cell r="D1502" t="str">
            <v>Metis Document</v>
          </cell>
        </row>
        <row r="1503">
          <cell r="D1503" t="str">
            <v>Metis Document</v>
          </cell>
        </row>
        <row r="1504">
          <cell r="D1504">
            <v>0</v>
          </cell>
        </row>
        <row r="1505">
          <cell r="D1505" t="str">
            <v>Company's Website</v>
          </cell>
        </row>
        <row r="1506">
          <cell r="D1506" t="str">
            <v>Company's Website</v>
          </cell>
        </row>
        <row r="1507">
          <cell r="D1507" t="str">
            <v>Metis Document</v>
          </cell>
        </row>
        <row r="1508">
          <cell r="D1508">
            <v>0</v>
          </cell>
        </row>
        <row r="1509">
          <cell r="D1509" t="str">
            <v>CEA Thermal Document</v>
          </cell>
        </row>
        <row r="1510">
          <cell r="D1510">
            <v>0</v>
          </cell>
        </row>
        <row r="1511">
          <cell r="D1511" t="str">
            <v>Metis Document</v>
          </cell>
        </row>
        <row r="1512">
          <cell r="D1512" t="str">
            <v>CEA Thermal Document &amp; Company's Website</v>
          </cell>
        </row>
        <row r="1513">
          <cell r="D1513">
            <v>0</v>
          </cell>
        </row>
        <row r="1514">
          <cell r="D1514" t="str">
            <v>Metis Document</v>
          </cell>
        </row>
        <row r="1515">
          <cell r="D1515">
            <v>0</v>
          </cell>
        </row>
        <row r="1516">
          <cell r="D1516" t="str">
            <v>Company's Website</v>
          </cell>
        </row>
        <row r="1517">
          <cell r="D1517" t="str">
            <v>Company's Website</v>
          </cell>
        </row>
        <row r="1518">
          <cell r="D1518">
            <v>0</v>
          </cell>
        </row>
        <row r="1519">
          <cell r="D1519" t="str">
            <v>CEA Thermal Document</v>
          </cell>
        </row>
        <row r="1520">
          <cell r="D1520" t="str">
            <v>CEA Thermal Document</v>
          </cell>
        </row>
        <row r="1521">
          <cell r="D1521">
            <v>0</v>
          </cell>
        </row>
        <row r="1522">
          <cell r="D1522">
            <v>0</v>
          </cell>
        </row>
        <row r="1523">
          <cell r="D1523">
            <v>0</v>
          </cell>
        </row>
        <row r="1524">
          <cell r="D1524" t="str">
            <v>Company's Website</v>
          </cell>
        </row>
        <row r="1525">
          <cell r="D1525">
            <v>0</v>
          </cell>
        </row>
        <row r="1526">
          <cell r="D1526" t="str">
            <v>Metis Document</v>
          </cell>
        </row>
        <row r="1527">
          <cell r="D1527" t="str">
            <v>CEA Thermal Document</v>
          </cell>
        </row>
        <row r="1528">
          <cell r="D1528" t="str">
            <v>Metis Document</v>
          </cell>
        </row>
        <row r="1529">
          <cell r="D1529">
            <v>0</v>
          </cell>
        </row>
        <row r="1530">
          <cell r="D1530" t="str">
            <v>CEA Thermal Document &amp; Company's Website</v>
          </cell>
        </row>
        <row r="1531">
          <cell r="D1531" t="str">
            <v>Metis Document</v>
          </cell>
        </row>
        <row r="1532">
          <cell r="D1532">
            <v>0</v>
          </cell>
        </row>
        <row r="1533">
          <cell r="D1533" t="str">
            <v>Company's Website</v>
          </cell>
        </row>
        <row r="1534">
          <cell r="D1534">
            <v>0</v>
          </cell>
        </row>
        <row r="1535">
          <cell r="D1535" t="str">
            <v>Metis Document</v>
          </cell>
        </row>
        <row r="1536">
          <cell r="D1536">
            <v>0</v>
          </cell>
        </row>
        <row r="1537">
          <cell r="D1537" t="str">
            <v>Company's Website</v>
          </cell>
        </row>
        <row r="1538">
          <cell r="D1538" t="str">
            <v>Company's Website</v>
          </cell>
        </row>
        <row r="1539">
          <cell r="D1539" t="str">
            <v>CEA Thermal Document</v>
          </cell>
        </row>
        <row r="1540">
          <cell r="D1540">
            <v>0</v>
          </cell>
        </row>
        <row r="1541">
          <cell r="D1541" t="str">
            <v>CEA Thermal Document</v>
          </cell>
        </row>
        <row r="1542">
          <cell r="D1542" t="str">
            <v>Company's Website</v>
          </cell>
        </row>
        <row r="1543">
          <cell r="D1543" t="str">
            <v>Metis Document</v>
          </cell>
        </row>
        <row r="1544">
          <cell r="D1544" t="str">
            <v>Company's Website</v>
          </cell>
        </row>
        <row r="1545">
          <cell r="D1545">
            <v>0</v>
          </cell>
        </row>
        <row r="1546">
          <cell r="D1546" t="str">
            <v>Metis Document</v>
          </cell>
        </row>
        <row r="1547">
          <cell r="D1547" t="str">
            <v>PowerGrid Meeting</v>
          </cell>
        </row>
        <row r="1548">
          <cell r="D1548" t="str">
            <v>Metis Document</v>
          </cell>
        </row>
        <row r="1549">
          <cell r="D1549" t="str">
            <v>Metis Document</v>
          </cell>
        </row>
        <row r="1550">
          <cell r="D1550">
            <v>0</v>
          </cell>
        </row>
        <row r="1551">
          <cell r="D1551" t="str">
            <v>Metis Document</v>
          </cell>
        </row>
        <row r="1552">
          <cell r="D1552" t="str">
            <v>Metis Document</v>
          </cell>
        </row>
        <row r="1553">
          <cell r="D1553">
            <v>0</v>
          </cell>
        </row>
        <row r="1554">
          <cell r="D1554">
            <v>0</v>
          </cell>
        </row>
        <row r="1555">
          <cell r="D1555" t="str">
            <v>Company's Website</v>
          </cell>
        </row>
        <row r="1556">
          <cell r="D1556" t="str">
            <v>Metis Document</v>
          </cell>
        </row>
        <row r="1557">
          <cell r="D1557" t="str">
            <v>CEA Thermal Document</v>
          </cell>
        </row>
        <row r="1558">
          <cell r="D1558" t="str">
            <v>Company's Website</v>
          </cell>
        </row>
        <row r="1559">
          <cell r="D1559">
            <v>0</v>
          </cell>
        </row>
        <row r="1560">
          <cell r="D1560" t="str">
            <v>PowerGrid Meeting</v>
          </cell>
        </row>
        <row r="1561">
          <cell r="D1561" t="str">
            <v>Company's Website</v>
          </cell>
        </row>
        <row r="1562">
          <cell r="D1562">
            <v>0</v>
          </cell>
        </row>
        <row r="1563">
          <cell r="D1563">
            <v>0</v>
          </cell>
        </row>
        <row r="1564">
          <cell r="D1564">
            <v>0</v>
          </cell>
        </row>
        <row r="1565">
          <cell r="D1565" t="str">
            <v>Company's Website</v>
          </cell>
        </row>
        <row r="1566">
          <cell r="D1566" t="str">
            <v>Company's Website</v>
          </cell>
        </row>
        <row r="1567">
          <cell r="D1567" t="str">
            <v>CEA Thermal Document</v>
          </cell>
        </row>
        <row r="1568">
          <cell r="D1568" t="str">
            <v>CEA Thermal Document</v>
          </cell>
        </row>
        <row r="1569">
          <cell r="D1569">
            <v>0</v>
          </cell>
        </row>
        <row r="1570">
          <cell r="D1570" t="str">
            <v>Metis Document</v>
          </cell>
        </row>
        <row r="1571">
          <cell r="D1571" t="str">
            <v>Metis Document</v>
          </cell>
        </row>
        <row r="1572">
          <cell r="D1572" t="str">
            <v>Company's Website</v>
          </cell>
        </row>
        <row r="1573">
          <cell r="D1573" t="str">
            <v>Metis Document</v>
          </cell>
        </row>
        <row r="1574">
          <cell r="D1574">
            <v>0</v>
          </cell>
        </row>
        <row r="1575">
          <cell r="D1575" t="str">
            <v>CEA Thermal Document</v>
          </cell>
        </row>
        <row r="1576">
          <cell r="D1576">
            <v>0</v>
          </cell>
        </row>
        <row r="1577">
          <cell r="D1577">
            <v>0</v>
          </cell>
        </row>
        <row r="1578">
          <cell r="D1578" t="str">
            <v>Company's Website</v>
          </cell>
        </row>
        <row r="1579">
          <cell r="D1579">
            <v>0</v>
          </cell>
        </row>
        <row r="1580">
          <cell r="D1580" t="str">
            <v>Company's Website</v>
          </cell>
        </row>
        <row r="1581">
          <cell r="D1581">
            <v>0</v>
          </cell>
        </row>
        <row r="1582">
          <cell r="D1582" t="str">
            <v>Company's Website</v>
          </cell>
        </row>
        <row r="1583">
          <cell r="D1583" t="str">
            <v>Company's Website</v>
          </cell>
        </row>
        <row r="1584">
          <cell r="D1584" t="str">
            <v>Company's Website</v>
          </cell>
        </row>
        <row r="1585">
          <cell r="D1585" t="str">
            <v>Company's Website</v>
          </cell>
        </row>
        <row r="1586">
          <cell r="D1586">
            <v>0</v>
          </cell>
        </row>
        <row r="1587">
          <cell r="D1587" t="str">
            <v>PowerGrid Meeting</v>
          </cell>
        </row>
        <row r="1588">
          <cell r="D1588">
            <v>0</v>
          </cell>
        </row>
        <row r="1589">
          <cell r="D1589" t="str">
            <v>Metis Document</v>
          </cell>
        </row>
        <row r="1590">
          <cell r="D1590" t="str">
            <v>Metis Document</v>
          </cell>
        </row>
        <row r="1591">
          <cell r="D1591" t="str">
            <v>CEA Thermal Document</v>
          </cell>
        </row>
        <row r="1592">
          <cell r="D1592">
            <v>0</v>
          </cell>
        </row>
        <row r="1593">
          <cell r="D1593" t="str">
            <v>PowerGrid Meeting</v>
          </cell>
        </row>
        <row r="1594">
          <cell r="D1594" t="str">
            <v>Metis Document</v>
          </cell>
        </row>
        <row r="1595">
          <cell r="D1595" t="str">
            <v>Company's Website</v>
          </cell>
        </row>
        <row r="1596">
          <cell r="D1596" t="str">
            <v>Metis Document</v>
          </cell>
        </row>
        <row r="1597">
          <cell r="D1597" t="str">
            <v>Metis Document</v>
          </cell>
        </row>
        <row r="1598">
          <cell r="D1598">
            <v>0</v>
          </cell>
        </row>
        <row r="1599">
          <cell r="D1599" t="str">
            <v>Company's Website</v>
          </cell>
        </row>
        <row r="1600">
          <cell r="D1600" t="str">
            <v>Company's Website</v>
          </cell>
        </row>
        <row r="1601">
          <cell r="D1601">
            <v>0</v>
          </cell>
        </row>
        <row r="1602">
          <cell r="D1602" t="str">
            <v>PowerGrid Meeting</v>
          </cell>
        </row>
        <row r="1603">
          <cell r="D1603">
            <v>0</v>
          </cell>
        </row>
        <row r="1604">
          <cell r="D1604">
            <v>0</v>
          </cell>
        </row>
        <row r="1605">
          <cell r="D1605" t="str">
            <v>Company's Website</v>
          </cell>
        </row>
        <row r="1606">
          <cell r="D1606" t="str">
            <v>Company's Website</v>
          </cell>
        </row>
        <row r="1607">
          <cell r="D1607">
            <v>0</v>
          </cell>
        </row>
        <row r="1608">
          <cell r="D1608">
            <v>0</v>
          </cell>
        </row>
        <row r="1609">
          <cell r="D1609" t="str">
            <v>Metis Document</v>
          </cell>
        </row>
        <row r="1610">
          <cell r="D1610" t="str">
            <v>Metis Document</v>
          </cell>
        </row>
        <row r="1611">
          <cell r="D1611" t="str">
            <v>Metis Document</v>
          </cell>
        </row>
        <row r="1612">
          <cell r="D1612" t="str">
            <v>Company's Website</v>
          </cell>
        </row>
        <row r="1613">
          <cell r="D1613" t="str">
            <v>Company's Website</v>
          </cell>
        </row>
        <row r="1614">
          <cell r="D1614">
            <v>0</v>
          </cell>
        </row>
        <row r="1615">
          <cell r="D1615">
            <v>0</v>
          </cell>
        </row>
        <row r="1616">
          <cell r="D1616" t="str">
            <v>Company's Website</v>
          </cell>
        </row>
        <row r="1617">
          <cell r="D1617">
            <v>0</v>
          </cell>
        </row>
        <row r="1618">
          <cell r="D1618">
            <v>0</v>
          </cell>
        </row>
        <row r="1619">
          <cell r="D1619">
            <v>0</v>
          </cell>
        </row>
        <row r="1620">
          <cell r="D1620">
            <v>0</v>
          </cell>
        </row>
        <row r="1621">
          <cell r="D1621">
            <v>0</v>
          </cell>
        </row>
        <row r="1622">
          <cell r="D1622" t="str">
            <v>Company's Website</v>
          </cell>
        </row>
        <row r="1623">
          <cell r="D1623">
            <v>0</v>
          </cell>
        </row>
        <row r="1624">
          <cell r="D1624">
            <v>0</v>
          </cell>
        </row>
        <row r="1625">
          <cell r="D1625" t="str">
            <v>Metis Document</v>
          </cell>
        </row>
        <row r="1626">
          <cell r="D1626" t="str">
            <v>Metis Document</v>
          </cell>
        </row>
        <row r="1627">
          <cell r="D1627" t="str">
            <v>CEA Thermal Document</v>
          </cell>
        </row>
        <row r="1628">
          <cell r="D1628" t="str">
            <v>PowerGrid Meeting</v>
          </cell>
        </row>
        <row r="1629">
          <cell r="D1629" t="str">
            <v>Company's Website</v>
          </cell>
        </row>
        <row r="1630">
          <cell r="D1630">
            <v>0</v>
          </cell>
        </row>
        <row r="1631">
          <cell r="D1631">
            <v>0</v>
          </cell>
        </row>
        <row r="1632">
          <cell r="D1632" t="str">
            <v>Company's Website</v>
          </cell>
        </row>
        <row r="1633">
          <cell r="D1633" t="str">
            <v>Company's Website</v>
          </cell>
        </row>
        <row r="1634">
          <cell r="D1634" t="str">
            <v>CEA Thermal Document</v>
          </cell>
        </row>
        <row r="1635">
          <cell r="D1635">
            <v>0</v>
          </cell>
        </row>
        <row r="1636">
          <cell r="D1636" t="str">
            <v>Company's Website</v>
          </cell>
        </row>
        <row r="1637">
          <cell r="D1637">
            <v>0</v>
          </cell>
        </row>
        <row r="1638">
          <cell r="D1638">
            <v>0</v>
          </cell>
        </row>
        <row r="1639">
          <cell r="D1639">
            <v>0</v>
          </cell>
        </row>
        <row r="1640">
          <cell r="D1640">
            <v>0</v>
          </cell>
        </row>
        <row r="1641">
          <cell r="D1641" t="str">
            <v>CEA Thermal Document</v>
          </cell>
        </row>
        <row r="1642">
          <cell r="D1642">
            <v>0</v>
          </cell>
        </row>
        <row r="1643">
          <cell r="D1643" t="str">
            <v>Company's Website</v>
          </cell>
        </row>
        <row r="1644">
          <cell r="D1644">
            <v>0</v>
          </cell>
        </row>
        <row r="1645">
          <cell r="D1645" t="str">
            <v>CEA Thermal Document</v>
          </cell>
        </row>
        <row r="1646">
          <cell r="D1646">
            <v>0</v>
          </cell>
        </row>
        <row r="1647">
          <cell r="D1647">
            <v>0</v>
          </cell>
        </row>
        <row r="1648">
          <cell r="D1648">
            <v>0</v>
          </cell>
        </row>
        <row r="1649">
          <cell r="D1649" t="str">
            <v>CEA Thermal Document</v>
          </cell>
        </row>
        <row r="1650">
          <cell r="D1650">
            <v>0</v>
          </cell>
        </row>
        <row r="1651">
          <cell r="D1651">
            <v>0</v>
          </cell>
        </row>
        <row r="1652">
          <cell r="D1652" t="str">
            <v>Company's Website</v>
          </cell>
        </row>
        <row r="1653">
          <cell r="D1653">
            <v>0</v>
          </cell>
        </row>
        <row r="1654">
          <cell r="D1654">
            <v>0</v>
          </cell>
        </row>
        <row r="1655">
          <cell r="D1655" t="str">
            <v>Company's Website</v>
          </cell>
        </row>
        <row r="1656">
          <cell r="D1656">
            <v>0</v>
          </cell>
        </row>
        <row r="1657">
          <cell r="D1657">
            <v>0</v>
          </cell>
        </row>
        <row r="1658">
          <cell r="D1658" t="str">
            <v>Company's Website</v>
          </cell>
        </row>
        <row r="1659">
          <cell r="D1659" t="str">
            <v>Company's Website</v>
          </cell>
        </row>
        <row r="1660">
          <cell r="D1660">
            <v>0</v>
          </cell>
        </row>
        <row r="1661">
          <cell r="D1661">
            <v>0</v>
          </cell>
        </row>
        <row r="1662">
          <cell r="D1662" t="str">
            <v>Company's Website</v>
          </cell>
        </row>
        <row r="1663">
          <cell r="D1663">
            <v>0</v>
          </cell>
        </row>
        <row r="1664">
          <cell r="D1664" t="str">
            <v>Metis Document</v>
          </cell>
        </row>
        <row r="1665">
          <cell r="D1665">
            <v>0</v>
          </cell>
        </row>
        <row r="1666">
          <cell r="D1666">
            <v>0</v>
          </cell>
        </row>
        <row r="1667">
          <cell r="D1667">
            <v>0</v>
          </cell>
        </row>
        <row r="1668">
          <cell r="D1668">
            <v>0</v>
          </cell>
        </row>
        <row r="1669">
          <cell r="D1669">
            <v>0</v>
          </cell>
        </row>
        <row r="1670">
          <cell r="D1670">
            <v>0</v>
          </cell>
        </row>
        <row r="1671">
          <cell r="D1671" t="str">
            <v>CEA Thermal Document</v>
          </cell>
        </row>
        <row r="1672">
          <cell r="D1672">
            <v>0</v>
          </cell>
        </row>
        <row r="1673">
          <cell r="D1673">
            <v>0</v>
          </cell>
        </row>
        <row r="1674">
          <cell r="D1674">
            <v>0</v>
          </cell>
        </row>
        <row r="1675">
          <cell r="D1675">
            <v>0</v>
          </cell>
        </row>
        <row r="1676">
          <cell r="D1676">
            <v>0</v>
          </cell>
        </row>
        <row r="1677">
          <cell r="D1677">
            <v>0</v>
          </cell>
        </row>
        <row r="1678">
          <cell r="D1678" t="str">
            <v>PowerGrid Meeting</v>
          </cell>
        </row>
        <row r="1679">
          <cell r="D1679" t="str">
            <v>CEA Thermal Document</v>
          </cell>
        </row>
        <row r="1680">
          <cell r="D1680">
            <v>0</v>
          </cell>
        </row>
        <row r="1681">
          <cell r="D1681">
            <v>0</v>
          </cell>
        </row>
        <row r="1682">
          <cell r="D1682">
            <v>0</v>
          </cell>
        </row>
        <row r="1683">
          <cell r="D1683">
            <v>0</v>
          </cell>
        </row>
        <row r="1684">
          <cell r="D1684" t="str">
            <v>Company's Website</v>
          </cell>
        </row>
        <row r="1685">
          <cell r="D1685">
            <v>0</v>
          </cell>
        </row>
        <row r="1686">
          <cell r="D1686">
            <v>0</v>
          </cell>
        </row>
        <row r="1687">
          <cell r="D1687">
            <v>0</v>
          </cell>
        </row>
        <row r="1688">
          <cell r="D1688" t="str">
            <v>Company's Website</v>
          </cell>
        </row>
        <row r="1689">
          <cell r="D1689">
            <v>0</v>
          </cell>
        </row>
        <row r="1690">
          <cell r="D1690">
            <v>0</v>
          </cell>
        </row>
        <row r="1691">
          <cell r="D1691" t="str">
            <v>Company's Website</v>
          </cell>
        </row>
        <row r="1692">
          <cell r="D1692">
            <v>0</v>
          </cell>
        </row>
        <row r="1693">
          <cell r="D1693">
            <v>0</v>
          </cell>
        </row>
        <row r="1694">
          <cell r="D1694">
            <v>0</v>
          </cell>
        </row>
        <row r="1695">
          <cell r="D1695" t="str">
            <v>Company's Website</v>
          </cell>
        </row>
        <row r="1696">
          <cell r="D1696">
            <v>0</v>
          </cell>
        </row>
        <row r="1697">
          <cell r="D1697">
            <v>0</v>
          </cell>
        </row>
        <row r="1698">
          <cell r="D1698" t="str">
            <v>Company's Website</v>
          </cell>
        </row>
        <row r="1699">
          <cell r="D1699" t="str">
            <v>PowerGrid Meeting</v>
          </cell>
        </row>
        <row r="1700">
          <cell r="D1700" t="str">
            <v>PowerGrid Meeting</v>
          </cell>
        </row>
        <row r="1701">
          <cell r="D1701" t="str">
            <v>PowerGrid Meeting</v>
          </cell>
        </row>
        <row r="1702">
          <cell r="D1702">
            <v>0</v>
          </cell>
        </row>
        <row r="1703">
          <cell r="D1703">
            <v>0</v>
          </cell>
        </row>
        <row r="1704">
          <cell r="D1704">
            <v>0</v>
          </cell>
        </row>
        <row r="1705">
          <cell r="D1705">
            <v>0</v>
          </cell>
        </row>
        <row r="1706">
          <cell r="D1706">
            <v>0</v>
          </cell>
        </row>
        <row r="1707">
          <cell r="D1707">
            <v>0</v>
          </cell>
        </row>
        <row r="1708">
          <cell r="D1708">
            <v>0</v>
          </cell>
        </row>
        <row r="1709">
          <cell r="D1709" t="str">
            <v>Company's Website</v>
          </cell>
        </row>
        <row r="1710">
          <cell r="D1710" t="str">
            <v>Company's Website</v>
          </cell>
        </row>
        <row r="1711">
          <cell r="D1711">
            <v>0</v>
          </cell>
        </row>
        <row r="1712">
          <cell r="D1712">
            <v>0</v>
          </cell>
        </row>
        <row r="1713">
          <cell r="D1713" t="str">
            <v>Company's Website</v>
          </cell>
        </row>
        <row r="1714">
          <cell r="D1714">
            <v>0</v>
          </cell>
        </row>
        <row r="1715">
          <cell r="D1715" t="str">
            <v>Company's Website</v>
          </cell>
        </row>
        <row r="1716">
          <cell r="D1716" t="str">
            <v>PowerGrid Meeting</v>
          </cell>
        </row>
        <row r="1717">
          <cell r="D1717" t="str">
            <v>PowerGrid Meeting</v>
          </cell>
        </row>
        <row r="1718">
          <cell r="D1718">
            <v>0</v>
          </cell>
        </row>
        <row r="1719">
          <cell r="D1719">
            <v>0</v>
          </cell>
        </row>
        <row r="1720">
          <cell r="D1720">
            <v>0</v>
          </cell>
        </row>
        <row r="1721">
          <cell r="D1721" t="str">
            <v>CEA Thermal Document</v>
          </cell>
        </row>
        <row r="1722">
          <cell r="D1722">
            <v>0</v>
          </cell>
        </row>
        <row r="1723">
          <cell r="D1723">
            <v>0</v>
          </cell>
        </row>
        <row r="1724">
          <cell r="D1724">
            <v>0</v>
          </cell>
        </row>
        <row r="1725">
          <cell r="D1725">
            <v>0</v>
          </cell>
        </row>
        <row r="1726">
          <cell r="D1726" t="str">
            <v>Company's Website</v>
          </cell>
        </row>
        <row r="1727">
          <cell r="D1727">
            <v>0</v>
          </cell>
        </row>
        <row r="1728">
          <cell r="D1728">
            <v>0</v>
          </cell>
        </row>
        <row r="1729">
          <cell r="D1729" t="str">
            <v>Company's Website</v>
          </cell>
        </row>
        <row r="1730">
          <cell r="D1730">
            <v>0</v>
          </cell>
        </row>
        <row r="1731">
          <cell r="D1731">
            <v>0</v>
          </cell>
        </row>
        <row r="1732">
          <cell r="D1732">
            <v>0</v>
          </cell>
        </row>
        <row r="1733">
          <cell r="D1733">
            <v>0</v>
          </cell>
        </row>
        <row r="1734">
          <cell r="D1734" t="str">
            <v>Company's Website</v>
          </cell>
        </row>
        <row r="1735">
          <cell r="D1735">
            <v>0</v>
          </cell>
        </row>
        <row r="1736">
          <cell r="D1736">
            <v>0</v>
          </cell>
        </row>
        <row r="1737">
          <cell r="D1737">
            <v>0</v>
          </cell>
        </row>
        <row r="1738">
          <cell r="D1738" t="str">
            <v>PowerGrid Meeting</v>
          </cell>
        </row>
        <row r="1739">
          <cell r="D1739">
            <v>0</v>
          </cell>
        </row>
        <row r="1740">
          <cell r="D1740">
            <v>0</v>
          </cell>
        </row>
        <row r="1741">
          <cell r="D1741" t="str">
            <v>PowerGrid Meeting</v>
          </cell>
        </row>
        <row r="1742">
          <cell r="D1742" t="str">
            <v>Company's Website</v>
          </cell>
        </row>
        <row r="1743">
          <cell r="D1743" t="str">
            <v>Company's Website</v>
          </cell>
        </row>
        <row r="1744">
          <cell r="D1744" t="str">
            <v>Company's Website</v>
          </cell>
        </row>
        <row r="1745">
          <cell r="D1745" t="str">
            <v>Company's Website</v>
          </cell>
        </row>
        <row r="1746">
          <cell r="D1746">
            <v>0</v>
          </cell>
        </row>
        <row r="1747">
          <cell r="D1747" t="str">
            <v>CEA Thermal Document</v>
          </cell>
        </row>
        <row r="1748">
          <cell r="D1748" t="str">
            <v>Company's Website</v>
          </cell>
        </row>
        <row r="1749">
          <cell r="D1749">
            <v>0</v>
          </cell>
        </row>
        <row r="1750">
          <cell r="D1750">
            <v>0</v>
          </cell>
        </row>
        <row r="1751">
          <cell r="D1751" t="str">
            <v>Company's Website</v>
          </cell>
        </row>
        <row r="1752">
          <cell r="D1752">
            <v>0</v>
          </cell>
        </row>
        <row r="1753">
          <cell r="D1753">
            <v>0</v>
          </cell>
        </row>
        <row r="1754">
          <cell r="D1754">
            <v>0</v>
          </cell>
        </row>
        <row r="1755">
          <cell r="D1755">
            <v>0</v>
          </cell>
        </row>
        <row r="1756">
          <cell r="D1756" t="str">
            <v>Company's Website</v>
          </cell>
        </row>
        <row r="1757">
          <cell r="D1757" t="str">
            <v>Company's Website</v>
          </cell>
        </row>
        <row r="1758">
          <cell r="D1758" t="str">
            <v>CEA Thermal Document</v>
          </cell>
        </row>
        <row r="1759">
          <cell r="D1759" t="str">
            <v>Company's Website</v>
          </cell>
        </row>
        <row r="1760">
          <cell r="D1760">
            <v>0</v>
          </cell>
        </row>
        <row r="1761">
          <cell r="D1761">
            <v>0</v>
          </cell>
        </row>
        <row r="1762">
          <cell r="D1762">
            <v>0</v>
          </cell>
        </row>
        <row r="1763">
          <cell r="D1763" t="str">
            <v>Company's Website</v>
          </cell>
        </row>
        <row r="1764">
          <cell r="D1764">
            <v>0</v>
          </cell>
        </row>
        <row r="1765">
          <cell r="D1765" t="str">
            <v>PowerGrid Meeting</v>
          </cell>
        </row>
        <row r="1766">
          <cell r="D1766" t="str">
            <v>Company's Website</v>
          </cell>
        </row>
        <row r="1767">
          <cell r="D1767" t="str">
            <v>Company's Website</v>
          </cell>
        </row>
        <row r="1768">
          <cell r="D1768" t="str">
            <v>Company's Website</v>
          </cell>
        </row>
        <row r="1769">
          <cell r="D1769" t="str">
            <v>Company's Website</v>
          </cell>
        </row>
        <row r="1770">
          <cell r="D1770">
            <v>0</v>
          </cell>
        </row>
        <row r="1771">
          <cell r="D1771">
            <v>0</v>
          </cell>
        </row>
        <row r="1772">
          <cell r="D1772">
            <v>0</v>
          </cell>
        </row>
        <row r="1773">
          <cell r="D1773" t="str">
            <v>PowerGrid Meeting</v>
          </cell>
        </row>
        <row r="1774">
          <cell r="D1774" t="str">
            <v>Metis Document</v>
          </cell>
        </row>
        <row r="1775">
          <cell r="D1775">
            <v>0</v>
          </cell>
        </row>
        <row r="1776">
          <cell r="D1776" t="str">
            <v>PowerGrid Meeting</v>
          </cell>
        </row>
        <row r="1777">
          <cell r="D1777" t="str">
            <v>Company's Website</v>
          </cell>
        </row>
        <row r="1778">
          <cell r="D1778" t="str">
            <v>Company's Website</v>
          </cell>
        </row>
        <row r="1779">
          <cell r="D1779" t="str">
            <v>Company's Website</v>
          </cell>
        </row>
        <row r="1780">
          <cell r="D1780" t="str">
            <v>Company's Website</v>
          </cell>
        </row>
        <row r="1781">
          <cell r="D1781" t="str">
            <v>PowerGrid Meeting</v>
          </cell>
        </row>
        <row r="1782">
          <cell r="D1782" t="str">
            <v>Company's Website</v>
          </cell>
        </row>
        <row r="1783">
          <cell r="D1783">
            <v>0</v>
          </cell>
        </row>
        <row r="1784">
          <cell r="D1784">
            <v>0</v>
          </cell>
        </row>
        <row r="1785">
          <cell r="D1785" t="str">
            <v>Company's Website</v>
          </cell>
        </row>
        <row r="1786">
          <cell r="D1786" t="str">
            <v>PowerGrid Meeting</v>
          </cell>
        </row>
        <row r="1787">
          <cell r="D1787">
            <v>0</v>
          </cell>
        </row>
        <row r="1788">
          <cell r="D1788" t="str">
            <v>PowerGrid Meeting</v>
          </cell>
        </row>
        <row r="1789">
          <cell r="D1789" t="str">
            <v>PowerGrid Meeting</v>
          </cell>
        </row>
        <row r="1790">
          <cell r="D1790" t="str">
            <v>PowerGrid Meeting</v>
          </cell>
        </row>
        <row r="1791">
          <cell r="D1791" t="str">
            <v>PowerGrid Meeting</v>
          </cell>
        </row>
        <row r="1792">
          <cell r="D1792" t="str">
            <v>PowerGrid Meeting</v>
          </cell>
        </row>
        <row r="1793">
          <cell r="D1793" t="str">
            <v>PowerGrid Meeting</v>
          </cell>
        </row>
        <row r="1794">
          <cell r="D1794" t="str">
            <v>PowerGrid Meeting</v>
          </cell>
        </row>
        <row r="1795">
          <cell r="D1795" t="str">
            <v>PowerGrid Meeting</v>
          </cell>
        </row>
        <row r="1796">
          <cell r="D1796" t="str">
            <v>PowerGrid Meeting</v>
          </cell>
        </row>
        <row r="1797">
          <cell r="D1797">
            <v>0</v>
          </cell>
        </row>
        <row r="1798">
          <cell r="D1798" t="str">
            <v>PowerGrid Meeting</v>
          </cell>
        </row>
        <row r="1799">
          <cell r="D1799" t="str">
            <v>PowerGrid Meeting</v>
          </cell>
        </row>
        <row r="1800">
          <cell r="D1800" t="str">
            <v>PowerGrid Meeting</v>
          </cell>
        </row>
        <row r="1801">
          <cell r="D1801" t="str">
            <v>PowerGrid Meeting</v>
          </cell>
        </row>
        <row r="1802">
          <cell r="D1802">
            <v>0</v>
          </cell>
        </row>
        <row r="1803">
          <cell r="D1803" t="str">
            <v>Company's Website</v>
          </cell>
        </row>
        <row r="1804">
          <cell r="D1804" t="str">
            <v>Company's Website</v>
          </cell>
        </row>
        <row r="1805">
          <cell r="D1805">
            <v>0</v>
          </cell>
        </row>
        <row r="1806">
          <cell r="D1806" t="str">
            <v>Company's Website</v>
          </cell>
        </row>
        <row r="1807">
          <cell r="D1807">
            <v>0</v>
          </cell>
        </row>
        <row r="1808">
          <cell r="D1808">
            <v>0</v>
          </cell>
        </row>
        <row r="1809">
          <cell r="D1809" t="str">
            <v>Company's Website</v>
          </cell>
        </row>
        <row r="1810">
          <cell r="D1810">
            <v>0</v>
          </cell>
        </row>
        <row r="1811">
          <cell r="D1811">
            <v>0</v>
          </cell>
        </row>
        <row r="1812">
          <cell r="D1812" t="str">
            <v>Company's Website</v>
          </cell>
        </row>
        <row r="1813">
          <cell r="D1813" t="str">
            <v>Company's Website</v>
          </cell>
        </row>
        <row r="1814">
          <cell r="D1814" t="str">
            <v>PowerGrid Meeting</v>
          </cell>
        </row>
        <row r="1815">
          <cell r="D1815" t="str">
            <v>PowerGrid Meeting</v>
          </cell>
        </row>
        <row r="1816">
          <cell r="D1816" t="str">
            <v>Company's Website</v>
          </cell>
        </row>
        <row r="1817">
          <cell r="D1817" t="str">
            <v>Company's Website</v>
          </cell>
        </row>
        <row r="1818">
          <cell r="D1818" t="str">
            <v>PowerGrid Meeting</v>
          </cell>
        </row>
        <row r="1819">
          <cell r="D1819" t="str">
            <v>Company's Website</v>
          </cell>
        </row>
        <row r="1820">
          <cell r="D1820" t="str">
            <v>MOP Gas Document</v>
          </cell>
        </row>
        <row r="1821">
          <cell r="D1821">
            <v>0</v>
          </cell>
        </row>
        <row r="1822">
          <cell r="D1822">
            <v>0</v>
          </cell>
        </row>
        <row r="1823">
          <cell r="D1823" t="str">
            <v>PowerGrid Meeting</v>
          </cell>
        </row>
        <row r="1824">
          <cell r="D1824" t="str">
            <v>Company's Website</v>
          </cell>
        </row>
        <row r="1825">
          <cell r="D1825" t="str">
            <v>PowerGrid Meeting</v>
          </cell>
        </row>
        <row r="1826">
          <cell r="D1826" t="str">
            <v>Company's Website</v>
          </cell>
        </row>
        <row r="1827">
          <cell r="D1827">
            <v>0</v>
          </cell>
        </row>
        <row r="1828">
          <cell r="D1828">
            <v>0</v>
          </cell>
        </row>
        <row r="1829">
          <cell r="D1829">
            <v>0</v>
          </cell>
        </row>
        <row r="1830">
          <cell r="D1830" t="str">
            <v>MOP Gas Document</v>
          </cell>
        </row>
        <row r="1831">
          <cell r="D1831">
            <v>0</v>
          </cell>
        </row>
        <row r="1832">
          <cell r="D1832">
            <v>0</v>
          </cell>
        </row>
        <row r="1833">
          <cell r="D1833" t="str">
            <v>Company's Website</v>
          </cell>
        </row>
        <row r="1834">
          <cell r="D1834">
            <v>0</v>
          </cell>
        </row>
        <row r="1835">
          <cell r="D1835">
            <v>0</v>
          </cell>
        </row>
        <row r="1836">
          <cell r="D1836">
            <v>0</v>
          </cell>
        </row>
        <row r="1837">
          <cell r="D1837">
            <v>0</v>
          </cell>
        </row>
        <row r="1838">
          <cell r="D1838" t="str">
            <v>Company's Website</v>
          </cell>
        </row>
        <row r="1839">
          <cell r="D1839" t="str">
            <v>Company's Website</v>
          </cell>
        </row>
        <row r="1840">
          <cell r="D1840" t="str">
            <v>Company's Website</v>
          </cell>
        </row>
        <row r="1841">
          <cell r="D1841">
            <v>0</v>
          </cell>
        </row>
        <row r="1842">
          <cell r="D1842">
            <v>0</v>
          </cell>
        </row>
        <row r="1843">
          <cell r="D1843">
            <v>0</v>
          </cell>
        </row>
        <row r="1844">
          <cell r="D1844" t="str">
            <v>Company's Website</v>
          </cell>
        </row>
        <row r="1845">
          <cell r="D1845">
            <v>0</v>
          </cell>
        </row>
        <row r="1846">
          <cell r="D1846" t="str">
            <v>MOP Gas Document</v>
          </cell>
        </row>
        <row r="1847">
          <cell r="D1847" t="str">
            <v>Company's Website</v>
          </cell>
        </row>
        <row r="1848">
          <cell r="D1848" t="str">
            <v>PowerGrid Meeting</v>
          </cell>
        </row>
        <row r="1849">
          <cell r="D1849" t="str">
            <v>MOP Gas Document</v>
          </cell>
        </row>
        <row r="1850">
          <cell r="D1850" t="str">
            <v>Company's Website</v>
          </cell>
        </row>
        <row r="1851">
          <cell r="D1851">
            <v>0</v>
          </cell>
        </row>
        <row r="1852">
          <cell r="D1852" t="str">
            <v>CEA Thermal Document</v>
          </cell>
        </row>
        <row r="1853">
          <cell r="D1853" t="str">
            <v>Company's Website</v>
          </cell>
        </row>
        <row r="1854">
          <cell r="D1854" t="str">
            <v>Company's Website</v>
          </cell>
        </row>
        <row r="1855">
          <cell r="D1855" t="str">
            <v>Company's Website</v>
          </cell>
        </row>
        <row r="1856">
          <cell r="D1856">
            <v>0</v>
          </cell>
        </row>
        <row r="1857">
          <cell r="D1857">
            <v>0</v>
          </cell>
        </row>
        <row r="1858">
          <cell r="D1858">
            <v>0</v>
          </cell>
        </row>
        <row r="1859">
          <cell r="D1859">
            <v>0</v>
          </cell>
        </row>
        <row r="1860">
          <cell r="D1860">
            <v>0</v>
          </cell>
        </row>
        <row r="1861">
          <cell r="D1861">
            <v>0</v>
          </cell>
        </row>
        <row r="1862">
          <cell r="D1862">
            <v>0</v>
          </cell>
        </row>
        <row r="1863">
          <cell r="D1863">
            <v>0</v>
          </cell>
        </row>
        <row r="1864">
          <cell r="D1864">
            <v>0</v>
          </cell>
        </row>
        <row r="1865">
          <cell r="D1865">
            <v>0</v>
          </cell>
        </row>
        <row r="1866">
          <cell r="D1866" t="str">
            <v>Company's Website</v>
          </cell>
        </row>
        <row r="1867">
          <cell r="D1867" t="str">
            <v>Company's Website</v>
          </cell>
        </row>
        <row r="1868">
          <cell r="D1868" t="str">
            <v>Company's Website</v>
          </cell>
        </row>
        <row r="1869">
          <cell r="D1869">
            <v>0</v>
          </cell>
        </row>
        <row r="1870">
          <cell r="D1870">
            <v>0</v>
          </cell>
        </row>
        <row r="1871">
          <cell r="D1871">
            <v>0</v>
          </cell>
        </row>
        <row r="1872">
          <cell r="D1872">
            <v>0</v>
          </cell>
        </row>
        <row r="1873">
          <cell r="D1873">
            <v>0</v>
          </cell>
        </row>
        <row r="1874">
          <cell r="D1874">
            <v>0</v>
          </cell>
        </row>
        <row r="1875">
          <cell r="D1875">
            <v>0</v>
          </cell>
        </row>
        <row r="1876">
          <cell r="D1876">
            <v>0</v>
          </cell>
        </row>
        <row r="1877">
          <cell r="D1877">
            <v>0</v>
          </cell>
        </row>
        <row r="1878">
          <cell r="D1878">
            <v>0</v>
          </cell>
        </row>
        <row r="1879">
          <cell r="D1879">
            <v>0</v>
          </cell>
        </row>
        <row r="1880">
          <cell r="D1880">
            <v>0</v>
          </cell>
        </row>
        <row r="1881">
          <cell r="D1881">
            <v>0</v>
          </cell>
        </row>
        <row r="1882">
          <cell r="D1882" t="str">
            <v>Company's Website</v>
          </cell>
        </row>
        <row r="1883">
          <cell r="D1883" t="str">
            <v>Company's Website</v>
          </cell>
        </row>
        <row r="1884">
          <cell r="D1884" t="str">
            <v>Company's Website</v>
          </cell>
        </row>
        <row r="1885">
          <cell r="D1885" t="str">
            <v>Company's Website</v>
          </cell>
        </row>
        <row r="1886">
          <cell r="D1886" t="str">
            <v>Company's Website</v>
          </cell>
        </row>
        <row r="1887">
          <cell r="D1887" t="str">
            <v>Company's Website</v>
          </cell>
        </row>
        <row r="1888">
          <cell r="D1888">
            <v>0</v>
          </cell>
        </row>
        <row r="1889">
          <cell r="D1889" t="str">
            <v>Company's Website</v>
          </cell>
        </row>
        <row r="1890">
          <cell r="D1890" t="str">
            <v>MOP Gas Document</v>
          </cell>
        </row>
        <row r="1891">
          <cell r="D1891">
            <v>0</v>
          </cell>
        </row>
        <row r="1892">
          <cell r="D1892">
            <v>0</v>
          </cell>
        </row>
        <row r="1893">
          <cell r="D1893">
            <v>0</v>
          </cell>
        </row>
        <row r="1894">
          <cell r="D1894">
            <v>0</v>
          </cell>
        </row>
        <row r="1895">
          <cell r="D1895">
            <v>0</v>
          </cell>
        </row>
        <row r="1896">
          <cell r="D1896">
            <v>0</v>
          </cell>
        </row>
        <row r="1897">
          <cell r="D1897">
            <v>0</v>
          </cell>
        </row>
        <row r="1898">
          <cell r="D1898">
            <v>0</v>
          </cell>
        </row>
        <row r="1899">
          <cell r="D1899">
            <v>0</v>
          </cell>
        </row>
        <row r="1900">
          <cell r="D1900">
            <v>0</v>
          </cell>
        </row>
        <row r="1901">
          <cell r="D1901">
            <v>0</v>
          </cell>
        </row>
        <row r="1902">
          <cell r="D1902">
            <v>0</v>
          </cell>
        </row>
        <row r="1903">
          <cell r="D1903">
            <v>0</v>
          </cell>
        </row>
        <row r="1904">
          <cell r="D1904">
            <v>0</v>
          </cell>
        </row>
        <row r="1905">
          <cell r="D1905">
            <v>0</v>
          </cell>
        </row>
        <row r="1906">
          <cell r="D1906">
            <v>0</v>
          </cell>
        </row>
        <row r="1907">
          <cell r="D1907">
            <v>0</v>
          </cell>
        </row>
        <row r="1908">
          <cell r="D1908">
            <v>0</v>
          </cell>
        </row>
        <row r="1909">
          <cell r="D1909">
            <v>0</v>
          </cell>
        </row>
        <row r="1910">
          <cell r="D1910">
            <v>0</v>
          </cell>
        </row>
        <row r="1911">
          <cell r="D1911">
            <v>0</v>
          </cell>
        </row>
        <row r="1912">
          <cell r="D1912">
            <v>0</v>
          </cell>
        </row>
        <row r="1913">
          <cell r="D1913">
            <v>0</v>
          </cell>
        </row>
        <row r="1914">
          <cell r="D1914">
            <v>0</v>
          </cell>
        </row>
        <row r="1915">
          <cell r="D1915" t="str">
            <v>Company's Website</v>
          </cell>
        </row>
        <row r="1916">
          <cell r="D1916">
            <v>0</v>
          </cell>
        </row>
        <row r="1917">
          <cell r="D1917">
            <v>0</v>
          </cell>
        </row>
        <row r="1918">
          <cell r="D1918">
            <v>0</v>
          </cell>
        </row>
        <row r="1919">
          <cell r="D1919">
            <v>0</v>
          </cell>
        </row>
        <row r="1920">
          <cell r="D1920">
            <v>0</v>
          </cell>
        </row>
        <row r="1921">
          <cell r="D1921">
            <v>0</v>
          </cell>
        </row>
        <row r="1922">
          <cell r="D1922">
            <v>0</v>
          </cell>
        </row>
        <row r="1923">
          <cell r="D1923" t="str">
            <v>Company's Website</v>
          </cell>
        </row>
        <row r="1924">
          <cell r="D1924" t="str">
            <v>Company's Website</v>
          </cell>
        </row>
        <row r="1925">
          <cell r="D1925" t="str">
            <v>Company's Website</v>
          </cell>
        </row>
        <row r="1926">
          <cell r="D1926">
            <v>0</v>
          </cell>
        </row>
        <row r="1927">
          <cell r="D1927">
            <v>0</v>
          </cell>
        </row>
        <row r="1928">
          <cell r="D1928">
            <v>0</v>
          </cell>
        </row>
        <row r="1929">
          <cell r="D1929">
            <v>0</v>
          </cell>
        </row>
        <row r="1930">
          <cell r="D1930">
            <v>0</v>
          </cell>
        </row>
        <row r="1931">
          <cell r="D1931" t="str">
            <v>PGCIL &amp; Company's Website</v>
          </cell>
        </row>
        <row r="1932">
          <cell r="D1932" t="str">
            <v>PGCIL &amp; Company's Website</v>
          </cell>
        </row>
        <row r="1933">
          <cell r="D1933" t="str">
            <v>PGCIL &amp; Company's Website</v>
          </cell>
        </row>
        <row r="1934">
          <cell r="D1934">
            <v>0</v>
          </cell>
        </row>
        <row r="1935">
          <cell r="D1935">
            <v>0</v>
          </cell>
        </row>
        <row r="1936">
          <cell r="D1936" t="str">
            <v>Company's Website</v>
          </cell>
        </row>
        <row r="1937">
          <cell r="D1937" t="str">
            <v>Company's Website</v>
          </cell>
        </row>
        <row r="1938">
          <cell r="D1938">
            <v>0</v>
          </cell>
        </row>
        <row r="1939">
          <cell r="D1939">
            <v>0</v>
          </cell>
        </row>
        <row r="1940">
          <cell r="D1940">
            <v>0</v>
          </cell>
        </row>
        <row r="1941">
          <cell r="D1941">
            <v>0</v>
          </cell>
        </row>
        <row r="1942">
          <cell r="D1942">
            <v>0</v>
          </cell>
        </row>
        <row r="1943">
          <cell r="D1943">
            <v>0</v>
          </cell>
        </row>
        <row r="1944">
          <cell r="D1944">
            <v>0</v>
          </cell>
        </row>
        <row r="1945">
          <cell r="D1945" t="str">
            <v>Company's Website / PG</v>
          </cell>
        </row>
        <row r="1946">
          <cell r="D1946" t="str">
            <v>Company's Website / PG</v>
          </cell>
        </row>
        <row r="1947">
          <cell r="D1947">
            <v>0</v>
          </cell>
        </row>
        <row r="1948">
          <cell r="D1948">
            <v>0</v>
          </cell>
        </row>
        <row r="1949">
          <cell r="D1949">
            <v>0</v>
          </cell>
        </row>
        <row r="1950">
          <cell r="D1950">
            <v>0</v>
          </cell>
        </row>
        <row r="1951">
          <cell r="D1951">
            <v>0</v>
          </cell>
        </row>
        <row r="1952">
          <cell r="D1952">
            <v>0</v>
          </cell>
        </row>
        <row r="1953">
          <cell r="D1953">
            <v>0</v>
          </cell>
        </row>
        <row r="1954">
          <cell r="D1954">
            <v>0</v>
          </cell>
        </row>
        <row r="1955">
          <cell r="D1955">
            <v>0</v>
          </cell>
        </row>
        <row r="1956">
          <cell r="D1956">
            <v>0</v>
          </cell>
        </row>
        <row r="1957">
          <cell r="D1957">
            <v>0</v>
          </cell>
        </row>
        <row r="1958">
          <cell r="D1958">
            <v>0</v>
          </cell>
        </row>
        <row r="1959">
          <cell r="D1959">
            <v>0</v>
          </cell>
        </row>
        <row r="1960">
          <cell r="D1960">
            <v>0</v>
          </cell>
        </row>
        <row r="1961">
          <cell r="D1961">
            <v>0</v>
          </cell>
        </row>
        <row r="1962">
          <cell r="D1962">
            <v>0</v>
          </cell>
        </row>
        <row r="1963">
          <cell r="D1963">
            <v>0</v>
          </cell>
        </row>
        <row r="1964">
          <cell r="D1964">
            <v>0</v>
          </cell>
        </row>
        <row r="1965">
          <cell r="D1965">
            <v>0</v>
          </cell>
        </row>
        <row r="1966">
          <cell r="D1966">
            <v>0</v>
          </cell>
        </row>
        <row r="1967">
          <cell r="D1967">
            <v>0</v>
          </cell>
        </row>
        <row r="1968">
          <cell r="D1968" t="str">
            <v>Company's Website</v>
          </cell>
        </row>
        <row r="1969">
          <cell r="D1969">
            <v>0</v>
          </cell>
        </row>
        <row r="1970">
          <cell r="D1970">
            <v>0</v>
          </cell>
        </row>
        <row r="1971">
          <cell r="D1971" t="str">
            <v>PowerGrid Meeting</v>
          </cell>
        </row>
        <row r="1972">
          <cell r="D1972" t="str">
            <v>PowerGrid Meeting</v>
          </cell>
        </row>
        <row r="1973">
          <cell r="D1973" t="str">
            <v>Company's Website</v>
          </cell>
        </row>
        <row r="1974">
          <cell r="D1974" t="str">
            <v>Company's Website</v>
          </cell>
        </row>
        <row r="1975">
          <cell r="D1975" t="str">
            <v>Company's Website</v>
          </cell>
        </row>
        <row r="1976">
          <cell r="D1976" t="str">
            <v>Company's Website</v>
          </cell>
        </row>
        <row r="1977">
          <cell r="D1977">
            <v>0</v>
          </cell>
        </row>
        <row r="1978">
          <cell r="D1978">
            <v>0</v>
          </cell>
        </row>
        <row r="1979">
          <cell r="D1979">
            <v>0</v>
          </cell>
        </row>
        <row r="1980">
          <cell r="D1980">
            <v>0</v>
          </cell>
        </row>
        <row r="1981">
          <cell r="D1981">
            <v>0</v>
          </cell>
        </row>
        <row r="1982">
          <cell r="D1982">
            <v>0</v>
          </cell>
        </row>
        <row r="1983">
          <cell r="D1983" t="str">
            <v>Company's Website</v>
          </cell>
        </row>
        <row r="1984">
          <cell r="D1984">
            <v>0</v>
          </cell>
        </row>
        <row r="1985">
          <cell r="D1985">
            <v>0</v>
          </cell>
        </row>
        <row r="1986">
          <cell r="D1986">
            <v>0</v>
          </cell>
        </row>
        <row r="1987">
          <cell r="D1987">
            <v>0</v>
          </cell>
        </row>
        <row r="1988">
          <cell r="D1988">
            <v>0</v>
          </cell>
        </row>
        <row r="1989">
          <cell r="D1989">
            <v>0</v>
          </cell>
        </row>
        <row r="1990">
          <cell r="D1990">
            <v>0</v>
          </cell>
        </row>
        <row r="1991">
          <cell r="D1991" t="str">
            <v>Company's Website</v>
          </cell>
        </row>
        <row r="1992">
          <cell r="D1992" t="str">
            <v>Company's Website</v>
          </cell>
        </row>
        <row r="1993">
          <cell r="D1993" t="str">
            <v>Company's Website</v>
          </cell>
        </row>
        <row r="1994">
          <cell r="D1994">
            <v>0</v>
          </cell>
        </row>
        <row r="1995">
          <cell r="D1995">
            <v>0</v>
          </cell>
        </row>
        <row r="1996">
          <cell r="D1996">
            <v>0</v>
          </cell>
        </row>
        <row r="1997">
          <cell r="D1997">
            <v>0</v>
          </cell>
        </row>
        <row r="1998">
          <cell r="D1998" t="str">
            <v>Company's Website</v>
          </cell>
        </row>
        <row r="1999">
          <cell r="D1999" t="str">
            <v>Company's Website</v>
          </cell>
        </row>
        <row r="2000">
          <cell r="D2000" t="str">
            <v>Company's Website</v>
          </cell>
        </row>
        <row r="2001">
          <cell r="D2001">
            <v>0</v>
          </cell>
        </row>
        <row r="2002">
          <cell r="D2002" t="str">
            <v>PowerGrid Meeting</v>
          </cell>
        </row>
        <row r="2003">
          <cell r="D2003" t="str">
            <v>PowerGrid Meeting</v>
          </cell>
        </row>
        <row r="2004">
          <cell r="D2004">
            <v>0</v>
          </cell>
        </row>
        <row r="2005">
          <cell r="D2005">
            <v>0</v>
          </cell>
        </row>
        <row r="2006">
          <cell r="D2006" t="str">
            <v>PowerGrid Meeting</v>
          </cell>
        </row>
        <row r="2007">
          <cell r="D2007" t="str">
            <v>PowerGrid Meeting</v>
          </cell>
        </row>
        <row r="2008">
          <cell r="D2008" t="str">
            <v>PowerGrid Meeting</v>
          </cell>
        </row>
        <row r="2009">
          <cell r="D2009">
            <v>0</v>
          </cell>
        </row>
        <row r="2010">
          <cell r="D2010">
            <v>0</v>
          </cell>
        </row>
        <row r="2011">
          <cell r="D2011">
            <v>0</v>
          </cell>
        </row>
        <row r="2012">
          <cell r="D2012">
            <v>0</v>
          </cell>
        </row>
        <row r="2013">
          <cell r="D2013">
            <v>0</v>
          </cell>
        </row>
        <row r="2014">
          <cell r="D2014">
            <v>0</v>
          </cell>
        </row>
        <row r="2015">
          <cell r="D2015">
            <v>0</v>
          </cell>
        </row>
        <row r="2016">
          <cell r="D2016">
            <v>0</v>
          </cell>
        </row>
        <row r="2017">
          <cell r="D2017">
            <v>0</v>
          </cell>
        </row>
        <row r="2018">
          <cell r="D2018" t="str">
            <v>Company's Website</v>
          </cell>
        </row>
        <row r="2019">
          <cell r="D2019" t="str">
            <v>Company's Website</v>
          </cell>
        </row>
        <row r="2020">
          <cell r="D2020" t="str">
            <v>Company's Website</v>
          </cell>
        </row>
        <row r="2021">
          <cell r="D2021" t="str">
            <v>Company's Website</v>
          </cell>
        </row>
        <row r="2022">
          <cell r="D2022" t="str">
            <v>Company's Website</v>
          </cell>
        </row>
        <row r="2023">
          <cell r="D2023" t="str">
            <v>Company's Website</v>
          </cell>
        </row>
        <row r="2024">
          <cell r="D2024" t="str">
            <v>Company's Website</v>
          </cell>
        </row>
        <row r="2025">
          <cell r="D2025">
            <v>0</v>
          </cell>
        </row>
        <row r="2026">
          <cell r="D2026">
            <v>0</v>
          </cell>
        </row>
        <row r="2027">
          <cell r="D2027">
            <v>0</v>
          </cell>
        </row>
        <row r="2028">
          <cell r="D2028" t="str">
            <v>Company's Website</v>
          </cell>
        </row>
        <row r="2029">
          <cell r="D2029" t="str">
            <v>Company's Website</v>
          </cell>
        </row>
        <row r="2030">
          <cell r="D2030" t="str">
            <v>Company's Website</v>
          </cell>
        </row>
        <row r="2031">
          <cell r="D2031">
            <v>0</v>
          </cell>
        </row>
        <row r="2032">
          <cell r="D2032">
            <v>0</v>
          </cell>
        </row>
        <row r="2033">
          <cell r="D2033" t="str">
            <v>Company's Website</v>
          </cell>
        </row>
        <row r="2034">
          <cell r="D2034" t="str">
            <v>Company's Website</v>
          </cell>
        </row>
        <row r="2035">
          <cell r="D2035" t="str">
            <v>PowerGrid Meeting</v>
          </cell>
        </row>
        <row r="2036">
          <cell r="D2036" t="str">
            <v>PowerGrid Meeting</v>
          </cell>
        </row>
        <row r="2037">
          <cell r="D2037">
            <v>0</v>
          </cell>
        </row>
        <row r="2038">
          <cell r="D2038" t="str">
            <v>Company's Website</v>
          </cell>
        </row>
        <row r="2039">
          <cell r="D2039">
            <v>0</v>
          </cell>
        </row>
        <row r="2040">
          <cell r="D2040">
            <v>0</v>
          </cell>
        </row>
        <row r="2041">
          <cell r="D2041">
            <v>0</v>
          </cell>
        </row>
        <row r="2042">
          <cell r="D2042">
            <v>0</v>
          </cell>
        </row>
        <row r="2043">
          <cell r="D2043">
            <v>0</v>
          </cell>
        </row>
        <row r="2044">
          <cell r="D2044">
            <v>0</v>
          </cell>
        </row>
        <row r="2045">
          <cell r="D2045">
            <v>0</v>
          </cell>
        </row>
        <row r="2046">
          <cell r="D2046">
            <v>0</v>
          </cell>
        </row>
        <row r="2047">
          <cell r="D2047">
            <v>0</v>
          </cell>
        </row>
        <row r="2048">
          <cell r="D2048">
            <v>0</v>
          </cell>
        </row>
        <row r="2049">
          <cell r="D2049">
            <v>0</v>
          </cell>
        </row>
        <row r="2050">
          <cell r="D2050">
            <v>0</v>
          </cell>
        </row>
        <row r="2051">
          <cell r="D2051">
            <v>0</v>
          </cell>
        </row>
        <row r="2052">
          <cell r="D2052">
            <v>0</v>
          </cell>
        </row>
        <row r="2053">
          <cell r="D2053">
            <v>0</v>
          </cell>
        </row>
        <row r="2054">
          <cell r="D2054">
            <v>0</v>
          </cell>
        </row>
        <row r="2055">
          <cell r="D2055">
            <v>0</v>
          </cell>
        </row>
        <row r="2056">
          <cell r="D2056" t="str">
            <v>Company's Website</v>
          </cell>
        </row>
        <row r="2057">
          <cell r="D2057">
            <v>0</v>
          </cell>
        </row>
        <row r="2058">
          <cell r="D2058">
            <v>0</v>
          </cell>
        </row>
        <row r="2059">
          <cell r="D2059">
            <v>0</v>
          </cell>
        </row>
        <row r="2060">
          <cell r="D2060">
            <v>0</v>
          </cell>
        </row>
        <row r="2061">
          <cell r="D2061">
            <v>0</v>
          </cell>
        </row>
        <row r="2062">
          <cell r="D2062">
            <v>0</v>
          </cell>
        </row>
        <row r="2063">
          <cell r="D2063">
            <v>0</v>
          </cell>
        </row>
        <row r="2064">
          <cell r="D2064">
            <v>0</v>
          </cell>
        </row>
        <row r="2065">
          <cell r="D2065" t="str">
            <v>Company's Website</v>
          </cell>
        </row>
        <row r="2066">
          <cell r="D2066" t="str">
            <v>PowerGrid Meeting</v>
          </cell>
        </row>
        <row r="2067">
          <cell r="D2067" t="str">
            <v>PowerGrid Meeting</v>
          </cell>
        </row>
        <row r="2068">
          <cell r="D2068" t="str">
            <v>Company's Website</v>
          </cell>
        </row>
        <row r="2069">
          <cell r="D2069">
            <v>0</v>
          </cell>
        </row>
        <row r="2070">
          <cell r="D2070">
            <v>0</v>
          </cell>
        </row>
        <row r="2071">
          <cell r="D2071">
            <v>0</v>
          </cell>
        </row>
        <row r="2072">
          <cell r="D2072">
            <v>0</v>
          </cell>
        </row>
        <row r="2073">
          <cell r="D2073">
            <v>0</v>
          </cell>
        </row>
        <row r="2074">
          <cell r="D2074">
            <v>0</v>
          </cell>
        </row>
        <row r="2075">
          <cell r="D2075">
            <v>0</v>
          </cell>
        </row>
        <row r="2076">
          <cell r="D2076">
            <v>0</v>
          </cell>
        </row>
        <row r="2077">
          <cell r="D2077">
            <v>0</v>
          </cell>
        </row>
        <row r="2078">
          <cell r="D2078">
            <v>0</v>
          </cell>
        </row>
        <row r="2079">
          <cell r="D2079">
            <v>0</v>
          </cell>
        </row>
        <row r="2080">
          <cell r="D2080" t="str">
            <v>Company's Website</v>
          </cell>
        </row>
        <row r="2081">
          <cell r="D2081" t="str">
            <v>Company's Website</v>
          </cell>
        </row>
        <row r="2082">
          <cell r="D2082" t="str">
            <v>Company's Website</v>
          </cell>
        </row>
        <row r="2083">
          <cell r="D2083" t="str">
            <v>Company's Website</v>
          </cell>
        </row>
        <row r="2084">
          <cell r="D2084" t="str">
            <v>Company's Website</v>
          </cell>
        </row>
        <row r="2085">
          <cell r="D2085" t="str">
            <v>Company's Website</v>
          </cell>
        </row>
        <row r="2086">
          <cell r="D2086" t="str">
            <v>Company's Website</v>
          </cell>
        </row>
        <row r="2087">
          <cell r="D2087" t="str">
            <v>Company's Website</v>
          </cell>
        </row>
        <row r="2088">
          <cell r="D2088" t="str">
            <v>Company's Website</v>
          </cell>
        </row>
        <row r="2089">
          <cell r="D2089" t="str">
            <v>Company's Website</v>
          </cell>
        </row>
        <row r="2090">
          <cell r="D2090">
            <v>0</v>
          </cell>
        </row>
        <row r="2091">
          <cell r="D2091" t="str">
            <v>Company's Website</v>
          </cell>
        </row>
        <row r="2092">
          <cell r="D2092" t="str">
            <v>Company's Website</v>
          </cell>
        </row>
        <row r="2093">
          <cell r="D2093" t="str">
            <v>Company's Website</v>
          </cell>
        </row>
        <row r="2094">
          <cell r="D2094">
            <v>0</v>
          </cell>
        </row>
        <row r="2095">
          <cell r="D2095">
            <v>0</v>
          </cell>
        </row>
        <row r="2096">
          <cell r="D2096">
            <v>0</v>
          </cell>
        </row>
        <row r="2097">
          <cell r="D2097">
            <v>0</v>
          </cell>
        </row>
        <row r="2098">
          <cell r="D2098">
            <v>0</v>
          </cell>
        </row>
        <row r="2099">
          <cell r="D2099">
            <v>0</v>
          </cell>
        </row>
        <row r="2100">
          <cell r="D2100">
            <v>0</v>
          </cell>
        </row>
        <row r="2101">
          <cell r="D2101" t="str">
            <v>Company's Website</v>
          </cell>
        </row>
        <row r="2102">
          <cell r="D2102">
            <v>0</v>
          </cell>
        </row>
        <row r="2103">
          <cell r="D2103">
            <v>0</v>
          </cell>
        </row>
        <row r="2104">
          <cell r="D2104">
            <v>0</v>
          </cell>
        </row>
        <row r="2105">
          <cell r="D2105" t="str">
            <v>Company's Website</v>
          </cell>
        </row>
        <row r="2106">
          <cell r="D2106">
            <v>0</v>
          </cell>
        </row>
        <row r="2107">
          <cell r="D2107">
            <v>0</v>
          </cell>
        </row>
        <row r="2108">
          <cell r="D2108">
            <v>0</v>
          </cell>
        </row>
        <row r="2109">
          <cell r="D2109">
            <v>0</v>
          </cell>
        </row>
        <row r="2110">
          <cell r="D2110" t="str">
            <v>Company's Website</v>
          </cell>
        </row>
        <row r="2111">
          <cell r="D2111" t="str">
            <v>Company's Website</v>
          </cell>
        </row>
        <row r="2112">
          <cell r="D2112" t="str">
            <v>Company's Website</v>
          </cell>
        </row>
        <row r="2113">
          <cell r="D2113">
            <v>0</v>
          </cell>
        </row>
        <row r="2114">
          <cell r="D2114">
            <v>0</v>
          </cell>
        </row>
        <row r="2115">
          <cell r="D2115">
            <v>0</v>
          </cell>
        </row>
        <row r="2116">
          <cell r="D2116" t="str">
            <v>CEA Thermal Document</v>
          </cell>
        </row>
        <row r="2117">
          <cell r="D2117">
            <v>0</v>
          </cell>
        </row>
        <row r="2118">
          <cell r="D2118" t="str">
            <v>CEA Thermal Document</v>
          </cell>
        </row>
        <row r="2119">
          <cell r="D2119">
            <v>0</v>
          </cell>
        </row>
        <row r="2120">
          <cell r="D2120">
            <v>0</v>
          </cell>
        </row>
        <row r="2121">
          <cell r="D2121" t="str">
            <v>Company's Website</v>
          </cell>
        </row>
        <row r="2122">
          <cell r="D2122" t="str">
            <v>Company's Website</v>
          </cell>
        </row>
        <row r="2123">
          <cell r="D2123" t="str">
            <v>Company's Website</v>
          </cell>
        </row>
        <row r="2124">
          <cell r="D2124" t="str">
            <v>Company's Website</v>
          </cell>
        </row>
        <row r="2125">
          <cell r="D2125" t="str">
            <v>Company's Website</v>
          </cell>
        </row>
        <row r="2126">
          <cell r="D2126">
            <v>0</v>
          </cell>
        </row>
        <row r="2127">
          <cell r="D2127">
            <v>0</v>
          </cell>
        </row>
        <row r="2128">
          <cell r="D2128">
            <v>0</v>
          </cell>
        </row>
        <row r="2129">
          <cell r="D2129" t="str">
            <v>Company's Website</v>
          </cell>
        </row>
        <row r="2130">
          <cell r="D2130" t="str">
            <v>Company's Website</v>
          </cell>
        </row>
        <row r="2131">
          <cell r="D2131" t="str">
            <v>CEA Thermal Document</v>
          </cell>
        </row>
        <row r="2132">
          <cell r="D2132" t="str">
            <v>Company's Website</v>
          </cell>
        </row>
        <row r="2133">
          <cell r="D2133" t="str">
            <v>Company's Website</v>
          </cell>
        </row>
        <row r="2134">
          <cell r="D2134">
            <v>0</v>
          </cell>
        </row>
        <row r="2135">
          <cell r="D2135" t="str">
            <v>Cea Thermal Document</v>
          </cell>
        </row>
        <row r="2136">
          <cell r="D2136">
            <v>0</v>
          </cell>
        </row>
        <row r="2137">
          <cell r="D2137" t="str">
            <v>Company's Website</v>
          </cell>
        </row>
        <row r="2138">
          <cell r="D2138" t="str">
            <v>Company's Website</v>
          </cell>
        </row>
        <row r="2139">
          <cell r="D2139" t="str">
            <v>Cea Thermal Document</v>
          </cell>
        </row>
        <row r="2140">
          <cell r="D2140">
            <v>0</v>
          </cell>
        </row>
        <row r="2141">
          <cell r="D2141" t="str">
            <v>Company's Website</v>
          </cell>
        </row>
        <row r="2142">
          <cell r="D2142">
            <v>0</v>
          </cell>
        </row>
        <row r="2143">
          <cell r="D2143">
            <v>0</v>
          </cell>
        </row>
        <row r="2144">
          <cell r="D2144">
            <v>0</v>
          </cell>
        </row>
        <row r="2145">
          <cell r="D2145">
            <v>0</v>
          </cell>
        </row>
        <row r="2146">
          <cell r="D2146">
            <v>0</v>
          </cell>
        </row>
        <row r="2147">
          <cell r="D2147">
            <v>0</v>
          </cell>
        </row>
        <row r="2148">
          <cell r="D2148">
            <v>0</v>
          </cell>
        </row>
        <row r="2149">
          <cell r="D2149">
            <v>0</v>
          </cell>
        </row>
        <row r="2150">
          <cell r="D2150">
            <v>0</v>
          </cell>
        </row>
        <row r="2151">
          <cell r="D2151">
            <v>0</v>
          </cell>
        </row>
        <row r="2152">
          <cell r="D2152">
            <v>0</v>
          </cell>
        </row>
        <row r="2153">
          <cell r="D2153">
            <v>0</v>
          </cell>
        </row>
        <row r="2154">
          <cell r="D2154">
            <v>0</v>
          </cell>
        </row>
        <row r="2155">
          <cell r="D2155">
            <v>0</v>
          </cell>
        </row>
        <row r="2156">
          <cell r="D2156">
            <v>0</v>
          </cell>
        </row>
        <row r="2157">
          <cell r="D2157">
            <v>0</v>
          </cell>
        </row>
        <row r="2158">
          <cell r="D2158">
            <v>0</v>
          </cell>
        </row>
        <row r="2159">
          <cell r="D2159">
            <v>0</v>
          </cell>
        </row>
        <row r="2160">
          <cell r="D2160">
            <v>0</v>
          </cell>
        </row>
        <row r="2161">
          <cell r="D2161">
            <v>0</v>
          </cell>
        </row>
        <row r="2162">
          <cell r="D2162">
            <v>0</v>
          </cell>
        </row>
        <row r="2163">
          <cell r="D2163" t="str">
            <v>Company's Website</v>
          </cell>
        </row>
        <row r="2164">
          <cell r="D2164">
            <v>0</v>
          </cell>
        </row>
        <row r="2165">
          <cell r="D2165">
            <v>0</v>
          </cell>
        </row>
        <row r="2166">
          <cell r="D2166">
            <v>0</v>
          </cell>
        </row>
        <row r="2167">
          <cell r="D2167">
            <v>0</v>
          </cell>
        </row>
        <row r="2168">
          <cell r="D2168">
            <v>0</v>
          </cell>
        </row>
        <row r="2169">
          <cell r="D2169">
            <v>0</v>
          </cell>
        </row>
        <row r="2170">
          <cell r="D2170">
            <v>0</v>
          </cell>
        </row>
        <row r="2171">
          <cell r="D2171">
            <v>0</v>
          </cell>
        </row>
        <row r="2172">
          <cell r="D2172">
            <v>0</v>
          </cell>
        </row>
        <row r="2173">
          <cell r="D2173">
            <v>0</v>
          </cell>
        </row>
        <row r="2174">
          <cell r="D2174">
            <v>0</v>
          </cell>
        </row>
        <row r="2175">
          <cell r="D2175">
            <v>0</v>
          </cell>
        </row>
        <row r="2176">
          <cell r="D2176">
            <v>0</v>
          </cell>
        </row>
        <row r="2177">
          <cell r="D2177">
            <v>0</v>
          </cell>
        </row>
        <row r="2178">
          <cell r="D2178" t="str">
            <v>Company's Website</v>
          </cell>
        </row>
        <row r="2179">
          <cell r="D2179" t="str">
            <v>Company's Website</v>
          </cell>
        </row>
        <row r="2180">
          <cell r="D2180" t="str">
            <v>Company's Website</v>
          </cell>
        </row>
        <row r="2181">
          <cell r="D2181">
            <v>0</v>
          </cell>
        </row>
        <row r="2182">
          <cell r="D2182">
            <v>0</v>
          </cell>
        </row>
        <row r="2183">
          <cell r="D2183">
            <v>0</v>
          </cell>
        </row>
        <row r="2184">
          <cell r="D2184" t="str">
            <v>Company's Website</v>
          </cell>
        </row>
        <row r="2185">
          <cell r="D2185" t="str">
            <v>Company's Website</v>
          </cell>
        </row>
        <row r="2186">
          <cell r="D2186">
            <v>0</v>
          </cell>
        </row>
        <row r="2187">
          <cell r="D2187">
            <v>0</v>
          </cell>
        </row>
        <row r="2188">
          <cell r="D2188">
            <v>0</v>
          </cell>
        </row>
        <row r="2189">
          <cell r="D2189">
            <v>0</v>
          </cell>
        </row>
        <row r="2190">
          <cell r="D2190">
            <v>0</v>
          </cell>
        </row>
        <row r="2191">
          <cell r="D2191">
            <v>0</v>
          </cell>
        </row>
        <row r="2192">
          <cell r="D2192">
            <v>0</v>
          </cell>
        </row>
        <row r="2193">
          <cell r="D2193">
            <v>0</v>
          </cell>
        </row>
        <row r="2194">
          <cell r="D2194">
            <v>0</v>
          </cell>
        </row>
        <row r="2195">
          <cell r="D2195">
            <v>0</v>
          </cell>
        </row>
        <row r="2196">
          <cell r="D2196">
            <v>0</v>
          </cell>
        </row>
        <row r="2197">
          <cell r="D2197">
            <v>0</v>
          </cell>
        </row>
        <row r="2198">
          <cell r="D2198" t="str">
            <v>Company's Website</v>
          </cell>
        </row>
        <row r="2199">
          <cell r="D2199" t="str">
            <v>Company's Website</v>
          </cell>
        </row>
        <row r="2200">
          <cell r="D2200" t="str">
            <v>Company's Website</v>
          </cell>
        </row>
        <row r="2201">
          <cell r="D2201">
            <v>0</v>
          </cell>
        </row>
        <row r="2202">
          <cell r="D2202">
            <v>0</v>
          </cell>
        </row>
        <row r="2203">
          <cell r="D2203">
            <v>0</v>
          </cell>
        </row>
        <row r="2204">
          <cell r="D2204" t="str">
            <v>Company's Website</v>
          </cell>
        </row>
        <row r="2205">
          <cell r="D2205" t="str">
            <v>Company's Website</v>
          </cell>
        </row>
        <row r="2206">
          <cell r="D2206">
            <v>0</v>
          </cell>
        </row>
        <row r="2207">
          <cell r="D2207">
            <v>0</v>
          </cell>
        </row>
        <row r="2208">
          <cell r="D2208">
            <v>0</v>
          </cell>
        </row>
        <row r="2209">
          <cell r="D2209">
            <v>0</v>
          </cell>
        </row>
        <row r="2210">
          <cell r="D2210">
            <v>0</v>
          </cell>
        </row>
        <row r="2211">
          <cell r="D2211">
            <v>0</v>
          </cell>
        </row>
        <row r="2212">
          <cell r="D2212">
            <v>0</v>
          </cell>
        </row>
        <row r="2213">
          <cell r="D2213">
            <v>0</v>
          </cell>
        </row>
        <row r="2214">
          <cell r="D2214">
            <v>0</v>
          </cell>
        </row>
        <row r="2215">
          <cell r="D2215">
            <v>0</v>
          </cell>
        </row>
        <row r="2216">
          <cell r="D2216">
            <v>0</v>
          </cell>
        </row>
        <row r="2217">
          <cell r="D2217">
            <v>0</v>
          </cell>
        </row>
        <row r="2218">
          <cell r="D2218" t="str">
            <v>Company's Website</v>
          </cell>
        </row>
        <row r="2219">
          <cell r="D2219" t="str">
            <v>Company's Website</v>
          </cell>
        </row>
        <row r="2220">
          <cell r="D2220" t="str">
            <v>Company's Website</v>
          </cell>
        </row>
        <row r="2221">
          <cell r="D2221" t="str">
            <v>Company's Website</v>
          </cell>
        </row>
        <row r="2222">
          <cell r="D2222" t="str">
            <v>Company's Website</v>
          </cell>
        </row>
        <row r="2223">
          <cell r="D2223">
            <v>0</v>
          </cell>
        </row>
        <row r="2224">
          <cell r="D2224">
            <v>0</v>
          </cell>
        </row>
        <row r="2225">
          <cell r="D2225">
            <v>0</v>
          </cell>
        </row>
        <row r="2226">
          <cell r="D2226">
            <v>0</v>
          </cell>
        </row>
        <row r="2227">
          <cell r="D2227">
            <v>0</v>
          </cell>
        </row>
        <row r="2228">
          <cell r="D2228">
            <v>0</v>
          </cell>
        </row>
        <row r="2229">
          <cell r="D2229">
            <v>0</v>
          </cell>
        </row>
        <row r="2230">
          <cell r="D2230">
            <v>0</v>
          </cell>
        </row>
        <row r="2231">
          <cell r="D2231" t="str">
            <v>Company's Website</v>
          </cell>
        </row>
        <row r="2232">
          <cell r="D2232">
            <v>0</v>
          </cell>
        </row>
        <row r="2233">
          <cell r="D2233">
            <v>0</v>
          </cell>
        </row>
        <row r="2234">
          <cell r="D2234">
            <v>0</v>
          </cell>
        </row>
        <row r="2235">
          <cell r="D2235">
            <v>0</v>
          </cell>
        </row>
        <row r="2236">
          <cell r="D2236">
            <v>0</v>
          </cell>
        </row>
        <row r="2237">
          <cell r="D2237" t="str">
            <v>Company's Website</v>
          </cell>
        </row>
        <row r="2238">
          <cell r="D2238" t="str">
            <v>Company's Website</v>
          </cell>
        </row>
        <row r="2239">
          <cell r="D2239" t="str">
            <v>Metis Document</v>
          </cell>
        </row>
        <row r="2240">
          <cell r="D2240" t="str">
            <v>Metis Document</v>
          </cell>
        </row>
        <row r="2241">
          <cell r="D2241" t="str">
            <v>Metis Document</v>
          </cell>
        </row>
        <row r="2242">
          <cell r="D2242" t="str">
            <v>Metis Document</v>
          </cell>
        </row>
        <row r="2243">
          <cell r="D2243">
            <v>0</v>
          </cell>
        </row>
        <row r="2244">
          <cell r="D2244">
            <v>0</v>
          </cell>
        </row>
        <row r="2245">
          <cell r="D2245">
            <v>0</v>
          </cell>
        </row>
        <row r="2246">
          <cell r="D2246">
            <v>0</v>
          </cell>
        </row>
        <row r="2247">
          <cell r="D2247">
            <v>0</v>
          </cell>
        </row>
        <row r="2248">
          <cell r="D2248">
            <v>0</v>
          </cell>
        </row>
        <row r="2249">
          <cell r="D2249">
            <v>0</v>
          </cell>
        </row>
        <row r="2250">
          <cell r="D2250">
            <v>0</v>
          </cell>
        </row>
        <row r="2251">
          <cell r="D2251">
            <v>0</v>
          </cell>
        </row>
        <row r="2252">
          <cell r="D2252">
            <v>0</v>
          </cell>
        </row>
        <row r="2253">
          <cell r="D2253">
            <v>0</v>
          </cell>
        </row>
        <row r="2254">
          <cell r="D2254">
            <v>0</v>
          </cell>
        </row>
        <row r="2255">
          <cell r="D2255">
            <v>0</v>
          </cell>
        </row>
        <row r="2256">
          <cell r="D2256">
            <v>0</v>
          </cell>
        </row>
        <row r="2257">
          <cell r="D2257">
            <v>0</v>
          </cell>
        </row>
        <row r="2258">
          <cell r="D2258">
            <v>0</v>
          </cell>
        </row>
        <row r="2259">
          <cell r="D2259">
            <v>0</v>
          </cell>
        </row>
        <row r="2260">
          <cell r="D2260">
            <v>0</v>
          </cell>
        </row>
        <row r="2261">
          <cell r="D2261" t="str">
            <v>PowerGrid Meeting</v>
          </cell>
        </row>
        <row r="2262">
          <cell r="D2262" t="str">
            <v>Company's Website</v>
          </cell>
        </row>
        <row r="2263">
          <cell r="D2263">
            <v>0</v>
          </cell>
        </row>
        <row r="2264">
          <cell r="D2264" t="str">
            <v>Company's Website</v>
          </cell>
        </row>
        <row r="2265">
          <cell r="D2265">
            <v>0</v>
          </cell>
        </row>
        <row r="2266">
          <cell r="D2266">
            <v>0</v>
          </cell>
        </row>
        <row r="2267">
          <cell r="D2267" t="str">
            <v>Company's Website</v>
          </cell>
        </row>
        <row r="2268">
          <cell r="D2268">
            <v>0</v>
          </cell>
        </row>
        <row r="2269">
          <cell r="D2269">
            <v>0</v>
          </cell>
        </row>
        <row r="2270">
          <cell r="D2270">
            <v>0</v>
          </cell>
        </row>
        <row r="2271">
          <cell r="D2271" t="str">
            <v>Company's Website</v>
          </cell>
        </row>
        <row r="2272">
          <cell r="D2272" t="str">
            <v>Company's Website</v>
          </cell>
        </row>
        <row r="2273">
          <cell r="D2273">
            <v>0</v>
          </cell>
        </row>
        <row r="2274">
          <cell r="D2274">
            <v>0</v>
          </cell>
        </row>
        <row r="2275">
          <cell r="D2275">
            <v>0</v>
          </cell>
        </row>
        <row r="2276">
          <cell r="D2276" t="str">
            <v>Company's Website</v>
          </cell>
        </row>
        <row r="2277">
          <cell r="D2277">
            <v>0</v>
          </cell>
        </row>
        <row r="2278">
          <cell r="D2278">
            <v>0</v>
          </cell>
        </row>
        <row r="2279">
          <cell r="D2279">
            <v>0</v>
          </cell>
        </row>
        <row r="2280">
          <cell r="D2280">
            <v>0</v>
          </cell>
        </row>
        <row r="2281">
          <cell r="D2281" t="str">
            <v>CEA Thermal Document</v>
          </cell>
        </row>
        <row r="2282">
          <cell r="D2282" t="str">
            <v>Company's Website</v>
          </cell>
        </row>
        <row r="2283">
          <cell r="D2283" t="str">
            <v>Company's Website</v>
          </cell>
        </row>
        <row r="2284">
          <cell r="D2284" t="str">
            <v>Company's Website</v>
          </cell>
        </row>
        <row r="2285">
          <cell r="D2285">
            <v>0</v>
          </cell>
        </row>
        <row r="2286">
          <cell r="D2286">
            <v>0</v>
          </cell>
        </row>
        <row r="2287">
          <cell r="D2287">
            <v>0</v>
          </cell>
        </row>
        <row r="2288">
          <cell r="D2288" t="str">
            <v>Company's Website</v>
          </cell>
        </row>
        <row r="2289">
          <cell r="D2289">
            <v>0</v>
          </cell>
        </row>
        <row r="2290">
          <cell r="D2290" t="str">
            <v>Company's Website</v>
          </cell>
        </row>
        <row r="2291">
          <cell r="D2291" t="str">
            <v>Company's Website</v>
          </cell>
        </row>
        <row r="2292">
          <cell r="D2292">
            <v>0</v>
          </cell>
        </row>
        <row r="2293">
          <cell r="D2293">
            <v>0</v>
          </cell>
        </row>
        <row r="2294">
          <cell r="D2294">
            <v>0</v>
          </cell>
        </row>
        <row r="2295">
          <cell r="D2295" t="str">
            <v>PowerGrid Meeting</v>
          </cell>
        </row>
        <row r="2296">
          <cell r="D2296">
            <v>0</v>
          </cell>
        </row>
        <row r="2297">
          <cell r="D2297" t="str">
            <v>Company's Website</v>
          </cell>
        </row>
        <row r="2298">
          <cell r="D2298">
            <v>0</v>
          </cell>
        </row>
        <row r="2299">
          <cell r="D2299" t="str">
            <v>Company's Website</v>
          </cell>
        </row>
        <row r="2300">
          <cell r="D2300" t="str">
            <v>Company's Website</v>
          </cell>
        </row>
        <row r="2301">
          <cell r="D2301" t="str">
            <v>Company's Website</v>
          </cell>
        </row>
        <row r="2302">
          <cell r="D2302" t="str">
            <v>Company's Website</v>
          </cell>
        </row>
        <row r="2303">
          <cell r="D2303">
            <v>0</v>
          </cell>
        </row>
        <row r="2304">
          <cell r="D2304">
            <v>0</v>
          </cell>
        </row>
        <row r="2305">
          <cell r="D2305">
            <v>0</v>
          </cell>
        </row>
        <row r="2306">
          <cell r="D2306" t="str">
            <v>Company's Website</v>
          </cell>
        </row>
        <row r="2307">
          <cell r="D2307">
            <v>0</v>
          </cell>
        </row>
        <row r="2308">
          <cell r="D2308" t="str">
            <v>Company's Website</v>
          </cell>
        </row>
        <row r="2309">
          <cell r="D2309">
            <v>0</v>
          </cell>
        </row>
        <row r="2310">
          <cell r="D2310">
            <v>0</v>
          </cell>
        </row>
        <row r="2311">
          <cell r="D2311" t="str">
            <v>PowerGrid Meeting</v>
          </cell>
        </row>
        <row r="2312">
          <cell r="D2312" t="str">
            <v>Company's Website</v>
          </cell>
        </row>
        <row r="2313">
          <cell r="D2313" t="str">
            <v>Company's Website</v>
          </cell>
        </row>
        <row r="2314">
          <cell r="D2314" t="str">
            <v>Company's Website</v>
          </cell>
        </row>
        <row r="2315">
          <cell r="D2315">
            <v>0</v>
          </cell>
        </row>
        <row r="2316">
          <cell r="D2316">
            <v>0</v>
          </cell>
        </row>
        <row r="2317">
          <cell r="D2317">
            <v>0</v>
          </cell>
        </row>
        <row r="2318">
          <cell r="D2318" t="str">
            <v>Company's Website</v>
          </cell>
        </row>
        <row r="2319">
          <cell r="D2319" t="str">
            <v>Company's Website</v>
          </cell>
        </row>
        <row r="2320">
          <cell r="D2320" t="str">
            <v>Company's Website</v>
          </cell>
        </row>
        <row r="2321">
          <cell r="D2321" t="str">
            <v>Company's Website</v>
          </cell>
        </row>
        <row r="2322">
          <cell r="D2322">
            <v>0</v>
          </cell>
        </row>
        <row r="2323">
          <cell r="D2323" t="str">
            <v>Company's Website</v>
          </cell>
        </row>
        <row r="2324">
          <cell r="D2324" t="str">
            <v>Company's Website</v>
          </cell>
        </row>
        <row r="2325">
          <cell r="D2325">
            <v>0</v>
          </cell>
        </row>
        <row r="2326">
          <cell r="D2326">
            <v>0</v>
          </cell>
        </row>
        <row r="2327">
          <cell r="D2327">
            <v>0</v>
          </cell>
        </row>
        <row r="2328">
          <cell r="D2328">
            <v>0</v>
          </cell>
        </row>
        <row r="2329">
          <cell r="D2329">
            <v>0</v>
          </cell>
        </row>
        <row r="2330">
          <cell r="D2330">
            <v>0</v>
          </cell>
        </row>
        <row r="2331">
          <cell r="D2331" t="str">
            <v>Company's Website</v>
          </cell>
        </row>
        <row r="2332">
          <cell r="D2332" t="str">
            <v>Company's Website</v>
          </cell>
        </row>
        <row r="2333">
          <cell r="D2333" t="str">
            <v>Company's Website</v>
          </cell>
        </row>
        <row r="2334">
          <cell r="D2334">
            <v>0</v>
          </cell>
        </row>
        <row r="2335">
          <cell r="D2335">
            <v>0</v>
          </cell>
        </row>
        <row r="2336">
          <cell r="D2336" t="str">
            <v>Company's Website</v>
          </cell>
        </row>
        <row r="2337">
          <cell r="D2337" t="str">
            <v>Company's Website</v>
          </cell>
        </row>
        <row r="2338">
          <cell r="D2338">
            <v>0</v>
          </cell>
        </row>
        <row r="2339">
          <cell r="D2339">
            <v>0</v>
          </cell>
        </row>
        <row r="2340">
          <cell r="D2340">
            <v>0</v>
          </cell>
        </row>
        <row r="2341">
          <cell r="D2341" t="str">
            <v>Company's Website</v>
          </cell>
        </row>
        <row r="2342">
          <cell r="D2342">
            <v>0</v>
          </cell>
        </row>
        <row r="2343">
          <cell r="D2343">
            <v>0</v>
          </cell>
        </row>
        <row r="2344">
          <cell r="D2344">
            <v>0</v>
          </cell>
        </row>
        <row r="2345">
          <cell r="D2345" t="str">
            <v>Company's Website</v>
          </cell>
        </row>
        <row r="2346">
          <cell r="D2346" t="str">
            <v>Company's Website</v>
          </cell>
        </row>
        <row r="2347">
          <cell r="D2347" t="str">
            <v>Company's Website</v>
          </cell>
        </row>
        <row r="2348">
          <cell r="D2348">
            <v>0</v>
          </cell>
        </row>
        <row r="2349">
          <cell r="D2349">
            <v>0</v>
          </cell>
        </row>
        <row r="2350">
          <cell r="D2350">
            <v>0</v>
          </cell>
        </row>
        <row r="2351">
          <cell r="D2351" t="str">
            <v>Company's Website</v>
          </cell>
        </row>
        <row r="2352">
          <cell r="D2352">
            <v>0</v>
          </cell>
        </row>
        <row r="2353">
          <cell r="D2353">
            <v>0</v>
          </cell>
        </row>
        <row r="2354">
          <cell r="D2354" t="str">
            <v>Company's Website</v>
          </cell>
        </row>
        <row r="2355">
          <cell r="D2355">
            <v>0</v>
          </cell>
        </row>
        <row r="2356">
          <cell r="D2356" t="str">
            <v>Company's Website</v>
          </cell>
        </row>
        <row r="2357">
          <cell r="D2357" t="str">
            <v>PowerGrid Meeting</v>
          </cell>
        </row>
        <row r="2358">
          <cell r="D2358">
            <v>0</v>
          </cell>
        </row>
        <row r="2359">
          <cell r="D2359" t="str">
            <v>PowerGrid Meeting</v>
          </cell>
        </row>
        <row r="2360">
          <cell r="D2360" t="str">
            <v>Company's Website</v>
          </cell>
        </row>
        <row r="2361">
          <cell r="D2361" t="str">
            <v>PowerGrid Meeting</v>
          </cell>
        </row>
        <row r="2362">
          <cell r="D2362">
            <v>0</v>
          </cell>
        </row>
        <row r="2363">
          <cell r="D2363" t="str">
            <v>Company's Website</v>
          </cell>
        </row>
        <row r="2364">
          <cell r="D2364" t="str">
            <v>Company's Website</v>
          </cell>
        </row>
        <row r="2365">
          <cell r="D2365">
            <v>0</v>
          </cell>
        </row>
        <row r="2366">
          <cell r="D2366">
            <v>0</v>
          </cell>
        </row>
        <row r="2367">
          <cell r="D2367" t="str">
            <v>Company's Website</v>
          </cell>
        </row>
        <row r="2368">
          <cell r="D2368">
            <v>0</v>
          </cell>
        </row>
        <row r="2369">
          <cell r="D2369" t="str">
            <v>Company's Website</v>
          </cell>
        </row>
        <row r="2370">
          <cell r="D2370" t="str">
            <v>CEA Thermal Document</v>
          </cell>
        </row>
        <row r="2371">
          <cell r="D2371" t="str">
            <v>Company's Website</v>
          </cell>
        </row>
        <row r="2372">
          <cell r="D2372">
            <v>0</v>
          </cell>
        </row>
        <row r="2373">
          <cell r="D2373">
            <v>0</v>
          </cell>
        </row>
        <row r="2374">
          <cell r="D2374" t="str">
            <v>PGCIL &amp; Company's Website</v>
          </cell>
        </row>
        <row r="2375">
          <cell r="D2375" t="str">
            <v>PGCIL &amp; Company's Website</v>
          </cell>
        </row>
        <row r="2376">
          <cell r="D2376" t="str">
            <v>PGCIL &amp; Company's Website</v>
          </cell>
        </row>
        <row r="2377">
          <cell r="D2377" t="str">
            <v>Company's Website</v>
          </cell>
        </row>
        <row r="2378">
          <cell r="D2378">
            <v>0</v>
          </cell>
        </row>
        <row r="2379">
          <cell r="D2379" t="str">
            <v>Company's Website</v>
          </cell>
        </row>
        <row r="2380">
          <cell r="D2380">
            <v>0</v>
          </cell>
        </row>
        <row r="2381">
          <cell r="D2381" t="str">
            <v>Company's Website</v>
          </cell>
        </row>
        <row r="2382">
          <cell r="D2382">
            <v>0</v>
          </cell>
        </row>
        <row r="2383">
          <cell r="D2383">
            <v>0</v>
          </cell>
        </row>
        <row r="2384">
          <cell r="D2384">
            <v>0</v>
          </cell>
        </row>
        <row r="2385">
          <cell r="D2385">
            <v>0</v>
          </cell>
        </row>
        <row r="2386">
          <cell r="D2386" t="str">
            <v>Company's Website</v>
          </cell>
        </row>
        <row r="2387">
          <cell r="D2387">
            <v>0</v>
          </cell>
        </row>
        <row r="2388">
          <cell r="D2388">
            <v>0</v>
          </cell>
        </row>
        <row r="2389">
          <cell r="D2389" t="str">
            <v>Company's Website</v>
          </cell>
        </row>
        <row r="2390">
          <cell r="D2390" t="str">
            <v>Company's Website</v>
          </cell>
        </row>
        <row r="2391">
          <cell r="D2391" t="str">
            <v>Company's Website</v>
          </cell>
        </row>
        <row r="2392">
          <cell r="D2392" t="str">
            <v>Company's Website</v>
          </cell>
        </row>
        <row r="2393">
          <cell r="D2393">
            <v>0</v>
          </cell>
        </row>
        <row r="2394">
          <cell r="D2394" t="str">
            <v>Company's Website</v>
          </cell>
        </row>
        <row r="2395">
          <cell r="D2395">
            <v>0</v>
          </cell>
        </row>
        <row r="2396">
          <cell r="D2396">
            <v>0</v>
          </cell>
        </row>
        <row r="2397">
          <cell r="D2397">
            <v>0</v>
          </cell>
        </row>
        <row r="2398">
          <cell r="D2398">
            <v>0</v>
          </cell>
        </row>
        <row r="2399">
          <cell r="D2399">
            <v>0</v>
          </cell>
        </row>
        <row r="2400">
          <cell r="D2400" t="str">
            <v>Company's Website</v>
          </cell>
        </row>
        <row r="2401">
          <cell r="D2401" t="str">
            <v>Company's Website</v>
          </cell>
        </row>
        <row r="2402">
          <cell r="D2402" t="str">
            <v>Company's Website</v>
          </cell>
        </row>
        <row r="2403">
          <cell r="D2403">
            <v>0</v>
          </cell>
        </row>
        <row r="2404">
          <cell r="D2404" t="str">
            <v>Company's Website</v>
          </cell>
        </row>
        <row r="2405">
          <cell r="D2405">
            <v>0</v>
          </cell>
        </row>
        <row r="2406">
          <cell r="D2406" t="str">
            <v>Company's Website</v>
          </cell>
        </row>
        <row r="2407">
          <cell r="D2407" t="str">
            <v>Company's Website</v>
          </cell>
        </row>
        <row r="2408">
          <cell r="D2408">
            <v>0</v>
          </cell>
        </row>
        <row r="2409">
          <cell r="D2409">
            <v>0</v>
          </cell>
        </row>
        <row r="2410">
          <cell r="D2410" t="str">
            <v>Company's Website</v>
          </cell>
        </row>
        <row r="2411">
          <cell r="D2411" t="str">
            <v>Company's Website</v>
          </cell>
        </row>
        <row r="2412">
          <cell r="D2412">
            <v>0</v>
          </cell>
        </row>
        <row r="2413">
          <cell r="D2413" t="str">
            <v>Company's Website</v>
          </cell>
        </row>
        <row r="2414">
          <cell r="D2414" t="str">
            <v>Company's Website</v>
          </cell>
        </row>
        <row r="2415">
          <cell r="D2415" t="str">
            <v>Company's Website</v>
          </cell>
        </row>
        <row r="2416">
          <cell r="D2416">
            <v>0</v>
          </cell>
        </row>
        <row r="2417">
          <cell r="D2417">
            <v>0</v>
          </cell>
        </row>
        <row r="2418">
          <cell r="D2418">
            <v>0</v>
          </cell>
        </row>
        <row r="2419">
          <cell r="D2419" t="str">
            <v>Company's Website</v>
          </cell>
        </row>
        <row r="2420">
          <cell r="D2420">
            <v>0</v>
          </cell>
        </row>
        <row r="2421">
          <cell r="D2421">
            <v>0</v>
          </cell>
        </row>
        <row r="2422">
          <cell r="D2422">
            <v>0</v>
          </cell>
        </row>
        <row r="2423">
          <cell r="D2423">
            <v>0</v>
          </cell>
        </row>
        <row r="2424">
          <cell r="D2424">
            <v>0</v>
          </cell>
        </row>
        <row r="2425">
          <cell r="D2425">
            <v>0</v>
          </cell>
        </row>
        <row r="2426">
          <cell r="D2426">
            <v>0</v>
          </cell>
        </row>
        <row r="2427">
          <cell r="D2427" t="str">
            <v>Company's Website</v>
          </cell>
        </row>
        <row r="2428">
          <cell r="D2428">
            <v>0</v>
          </cell>
        </row>
        <row r="2429">
          <cell r="D2429">
            <v>0</v>
          </cell>
        </row>
        <row r="2430">
          <cell r="D2430">
            <v>0</v>
          </cell>
        </row>
        <row r="2431">
          <cell r="D2431">
            <v>0</v>
          </cell>
        </row>
        <row r="2432">
          <cell r="D2432">
            <v>0</v>
          </cell>
        </row>
        <row r="2433">
          <cell r="D2433">
            <v>0</v>
          </cell>
        </row>
        <row r="2434">
          <cell r="D2434">
            <v>0</v>
          </cell>
        </row>
        <row r="2435">
          <cell r="D2435">
            <v>0</v>
          </cell>
        </row>
        <row r="2436">
          <cell r="D2436" t="str">
            <v>Metis Document</v>
          </cell>
        </row>
        <row r="2437">
          <cell r="D2437" t="str">
            <v>Metis Document</v>
          </cell>
        </row>
        <row r="2438">
          <cell r="D2438" t="str">
            <v>Metis Document</v>
          </cell>
        </row>
        <row r="2439">
          <cell r="D2439" t="str">
            <v>Metis Document</v>
          </cell>
        </row>
        <row r="2440">
          <cell r="D2440" t="str">
            <v>Metis Document</v>
          </cell>
        </row>
        <row r="2441">
          <cell r="D2441" t="str">
            <v>Metis Document</v>
          </cell>
        </row>
        <row r="2442">
          <cell r="D2442" t="str">
            <v>Metis Document</v>
          </cell>
        </row>
        <row r="2443">
          <cell r="D2443" t="str">
            <v>Metis Document</v>
          </cell>
        </row>
        <row r="2444">
          <cell r="D2444" t="str">
            <v>Metis Document</v>
          </cell>
        </row>
        <row r="2445">
          <cell r="D2445" t="str">
            <v>Metis Document</v>
          </cell>
        </row>
        <row r="2446">
          <cell r="D2446" t="str">
            <v>Company's Website</v>
          </cell>
        </row>
        <row r="2447">
          <cell r="D2447" t="str">
            <v>Company's Website</v>
          </cell>
        </row>
        <row r="2448">
          <cell r="D2448" t="str">
            <v>Company's Website</v>
          </cell>
        </row>
        <row r="2449">
          <cell r="D2449" t="str">
            <v>Company's Website</v>
          </cell>
        </row>
        <row r="2450">
          <cell r="D2450" t="str">
            <v>Company's Website</v>
          </cell>
        </row>
        <row r="2451">
          <cell r="D2451">
            <v>0</v>
          </cell>
        </row>
        <row r="2452">
          <cell r="D2452">
            <v>0</v>
          </cell>
        </row>
        <row r="2453">
          <cell r="D2453">
            <v>0</v>
          </cell>
        </row>
        <row r="2454">
          <cell r="D2454">
            <v>0</v>
          </cell>
        </row>
        <row r="2455">
          <cell r="D2455" t="str">
            <v>Company's Website</v>
          </cell>
        </row>
        <row r="2456">
          <cell r="D2456" t="str">
            <v>Company's Website</v>
          </cell>
        </row>
        <row r="2457">
          <cell r="D2457">
            <v>0</v>
          </cell>
        </row>
        <row r="2458">
          <cell r="D2458">
            <v>0</v>
          </cell>
        </row>
        <row r="2459">
          <cell r="D2459" t="str">
            <v>PowerGrid Meeting</v>
          </cell>
        </row>
        <row r="2460">
          <cell r="D2460">
            <v>0</v>
          </cell>
        </row>
        <row r="2461">
          <cell r="D2461" t="str">
            <v>Company's Website</v>
          </cell>
        </row>
        <row r="2462">
          <cell r="D2462">
            <v>0</v>
          </cell>
        </row>
        <row r="2463">
          <cell r="D2463" t="str">
            <v>Company's Website</v>
          </cell>
        </row>
        <row r="2464">
          <cell r="D2464" t="str">
            <v>Company's Website</v>
          </cell>
        </row>
        <row r="2465">
          <cell r="D2465" t="str">
            <v>Company's Website</v>
          </cell>
        </row>
        <row r="2466">
          <cell r="D2466" t="str">
            <v>PowerGrid Meeting</v>
          </cell>
        </row>
        <row r="2467">
          <cell r="D2467">
            <v>0</v>
          </cell>
        </row>
        <row r="2468">
          <cell r="D2468" t="str">
            <v>Company's Website</v>
          </cell>
        </row>
        <row r="2469">
          <cell r="D2469">
            <v>0</v>
          </cell>
        </row>
        <row r="2470">
          <cell r="D2470" t="str">
            <v>Company's Website</v>
          </cell>
        </row>
        <row r="2471">
          <cell r="D2471" t="str">
            <v>Company's Website</v>
          </cell>
        </row>
        <row r="2472">
          <cell r="D2472" t="str">
            <v>Company's Website</v>
          </cell>
        </row>
        <row r="2473">
          <cell r="D2473" t="str">
            <v>Company's Website</v>
          </cell>
        </row>
        <row r="2474">
          <cell r="D2474" t="str">
            <v>Company's Website</v>
          </cell>
        </row>
        <row r="2475">
          <cell r="D2475" t="str">
            <v>Company's Website</v>
          </cell>
        </row>
        <row r="2476">
          <cell r="D2476" t="str">
            <v>Company's Website</v>
          </cell>
        </row>
        <row r="2477">
          <cell r="D2477" t="str">
            <v>PowerGrid Meeting</v>
          </cell>
        </row>
        <row r="2478">
          <cell r="D2478" t="str">
            <v>PowerGrid Meeting</v>
          </cell>
        </row>
        <row r="2479">
          <cell r="D2479" t="str">
            <v>Company's Website</v>
          </cell>
        </row>
        <row r="2480">
          <cell r="D2480" t="str">
            <v>Company's Website</v>
          </cell>
        </row>
        <row r="2481">
          <cell r="D2481">
            <v>0</v>
          </cell>
        </row>
        <row r="2482">
          <cell r="D2482" t="str">
            <v>Company's Website</v>
          </cell>
        </row>
        <row r="2483">
          <cell r="D2483" t="str">
            <v>Company's Website</v>
          </cell>
        </row>
        <row r="2494">
          <cell r="D2494">
            <v>0</v>
          </cell>
        </row>
        <row r="2495">
          <cell r="D2495" t="str">
            <v>Company's Website</v>
          </cell>
        </row>
        <row r="2496">
          <cell r="D2496" t="str">
            <v>Company's Website</v>
          </cell>
        </row>
        <row r="2497">
          <cell r="D2497" t="str">
            <v>Company's Website</v>
          </cell>
        </row>
        <row r="2499">
          <cell r="D2499" t="str">
            <v>Company's Website</v>
          </cell>
        </row>
        <row r="2500">
          <cell r="D2500" t="str">
            <v>Company's Website</v>
          </cell>
        </row>
        <row r="2501">
          <cell r="D2501" t="str">
            <v>Company's Website</v>
          </cell>
        </row>
        <row r="2502">
          <cell r="D2502">
            <v>0</v>
          </cell>
        </row>
        <row r="2503">
          <cell r="D2503">
            <v>0</v>
          </cell>
        </row>
        <row r="2504">
          <cell r="D2504">
            <v>0</v>
          </cell>
        </row>
        <row r="2505">
          <cell r="D2505">
            <v>0</v>
          </cell>
        </row>
        <row r="2506">
          <cell r="D2506">
            <v>0</v>
          </cell>
        </row>
        <row r="2507">
          <cell r="D2507">
            <v>0</v>
          </cell>
        </row>
        <row r="2508">
          <cell r="D2508">
            <v>0</v>
          </cell>
        </row>
        <row r="2509">
          <cell r="D2509">
            <v>0</v>
          </cell>
        </row>
        <row r="2510">
          <cell r="D2510">
            <v>0</v>
          </cell>
        </row>
        <row r="2511">
          <cell r="D2511">
            <v>0</v>
          </cell>
        </row>
        <row r="2512">
          <cell r="D2512">
            <v>0</v>
          </cell>
        </row>
        <row r="2513">
          <cell r="D2513">
            <v>0</v>
          </cell>
        </row>
        <row r="2514">
          <cell r="D2514">
            <v>0</v>
          </cell>
        </row>
        <row r="2515">
          <cell r="D2515">
            <v>0</v>
          </cell>
        </row>
        <row r="2516">
          <cell r="D2516">
            <v>0</v>
          </cell>
        </row>
        <row r="2517">
          <cell r="D2517">
            <v>0</v>
          </cell>
        </row>
        <row r="2518">
          <cell r="D2518">
            <v>0</v>
          </cell>
        </row>
        <row r="2519">
          <cell r="D2519">
            <v>0</v>
          </cell>
        </row>
        <row r="2520">
          <cell r="D2520">
            <v>0</v>
          </cell>
        </row>
        <row r="2521">
          <cell r="D2521">
            <v>0</v>
          </cell>
        </row>
        <row r="2522">
          <cell r="D2522">
            <v>0</v>
          </cell>
        </row>
        <row r="2523">
          <cell r="D2523">
            <v>0</v>
          </cell>
        </row>
        <row r="2524">
          <cell r="D2524">
            <v>0</v>
          </cell>
        </row>
        <row r="2525">
          <cell r="D2525">
            <v>0</v>
          </cell>
        </row>
        <row r="2526">
          <cell r="D2526">
            <v>0</v>
          </cell>
        </row>
        <row r="2527">
          <cell r="D2527">
            <v>0</v>
          </cell>
        </row>
        <row r="2528">
          <cell r="D2528">
            <v>0</v>
          </cell>
        </row>
        <row r="2529">
          <cell r="D2529">
            <v>0</v>
          </cell>
        </row>
        <row r="2530">
          <cell r="D2530">
            <v>0</v>
          </cell>
        </row>
        <row r="2531">
          <cell r="D2531">
            <v>0</v>
          </cell>
        </row>
        <row r="2532">
          <cell r="D2532">
            <v>0</v>
          </cell>
        </row>
        <row r="2533">
          <cell r="D2533">
            <v>0</v>
          </cell>
        </row>
        <row r="2534">
          <cell r="D2534">
            <v>0</v>
          </cell>
        </row>
        <row r="2535">
          <cell r="D2535">
            <v>0</v>
          </cell>
        </row>
        <row r="2536">
          <cell r="D2536">
            <v>0</v>
          </cell>
        </row>
        <row r="2537">
          <cell r="D2537">
            <v>0</v>
          </cell>
        </row>
        <row r="2538">
          <cell r="D2538">
            <v>0</v>
          </cell>
        </row>
        <row r="2539">
          <cell r="D2539">
            <v>0</v>
          </cell>
        </row>
        <row r="2540">
          <cell r="D2540">
            <v>0</v>
          </cell>
        </row>
        <row r="2541">
          <cell r="D2541">
            <v>0</v>
          </cell>
        </row>
        <row r="2542">
          <cell r="D2542">
            <v>0</v>
          </cell>
        </row>
        <row r="2543">
          <cell r="D2543">
            <v>0</v>
          </cell>
        </row>
        <row r="2544">
          <cell r="D2544">
            <v>0</v>
          </cell>
        </row>
        <row r="2545">
          <cell r="D2545">
            <v>0</v>
          </cell>
        </row>
        <row r="2546">
          <cell r="D2546">
            <v>0</v>
          </cell>
        </row>
        <row r="2547">
          <cell r="D2547">
            <v>0</v>
          </cell>
        </row>
        <row r="2548">
          <cell r="D2548">
            <v>0</v>
          </cell>
        </row>
        <row r="2549">
          <cell r="D2549">
            <v>0</v>
          </cell>
        </row>
        <row r="2550">
          <cell r="D2550">
            <v>0</v>
          </cell>
        </row>
        <row r="2551">
          <cell r="D2551">
            <v>0</v>
          </cell>
        </row>
        <row r="2552">
          <cell r="D2552">
            <v>0</v>
          </cell>
        </row>
        <row r="2553">
          <cell r="D2553">
            <v>0</v>
          </cell>
        </row>
        <row r="2554">
          <cell r="D2554">
            <v>0</v>
          </cell>
        </row>
        <row r="2555">
          <cell r="D2555">
            <v>0</v>
          </cell>
        </row>
        <row r="2556">
          <cell r="D2556">
            <v>0</v>
          </cell>
        </row>
        <row r="2557">
          <cell r="D2557">
            <v>0</v>
          </cell>
        </row>
        <row r="2558">
          <cell r="D2558">
            <v>0</v>
          </cell>
        </row>
        <row r="2559">
          <cell r="D2559">
            <v>0</v>
          </cell>
        </row>
        <row r="2560">
          <cell r="D2560">
            <v>0</v>
          </cell>
        </row>
        <row r="2561">
          <cell r="D2561">
            <v>0</v>
          </cell>
        </row>
        <row r="2562">
          <cell r="D2562">
            <v>0</v>
          </cell>
        </row>
        <row r="2563">
          <cell r="D2563">
            <v>0</v>
          </cell>
        </row>
        <row r="2564">
          <cell r="D2564">
            <v>0</v>
          </cell>
        </row>
        <row r="2565">
          <cell r="D2565">
            <v>0</v>
          </cell>
        </row>
        <row r="2566">
          <cell r="D2566">
            <v>0</v>
          </cell>
        </row>
        <row r="2567">
          <cell r="D2567">
            <v>0</v>
          </cell>
        </row>
        <row r="2568">
          <cell r="D2568">
            <v>0</v>
          </cell>
        </row>
        <row r="2569">
          <cell r="D2569">
            <v>0</v>
          </cell>
        </row>
        <row r="2570">
          <cell r="D2570">
            <v>0</v>
          </cell>
        </row>
        <row r="2571">
          <cell r="D2571">
            <v>0</v>
          </cell>
        </row>
        <row r="2572">
          <cell r="D2572">
            <v>0</v>
          </cell>
        </row>
        <row r="2573">
          <cell r="D2573">
            <v>0</v>
          </cell>
        </row>
        <row r="2574">
          <cell r="D2574">
            <v>0</v>
          </cell>
        </row>
        <row r="2575">
          <cell r="D2575">
            <v>0</v>
          </cell>
        </row>
        <row r="2576">
          <cell r="D2576">
            <v>0</v>
          </cell>
        </row>
        <row r="2577">
          <cell r="D2577">
            <v>0</v>
          </cell>
        </row>
        <row r="2578">
          <cell r="D2578">
            <v>0</v>
          </cell>
        </row>
        <row r="2579">
          <cell r="D2579">
            <v>0</v>
          </cell>
        </row>
        <row r="2580">
          <cell r="D2580">
            <v>0</v>
          </cell>
        </row>
        <row r="2581">
          <cell r="D2581">
            <v>0</v>
          </cell>
        </row>
        <row r="2582">
          <cell r="D2582">
            <v>0</v>
          </cell>
        </row>
        <row r="2583">
          <cell r="D2583">
            <v>0</v>
          </cell>
        </row>
        <row r="2584">
          <cell r="D2584">
            <v>0</v>
          </cell>
        </row>
        <row r="2585">
          <cell r="D2585">
            <v>0</v>
          </cell>
        </row>
        <row r="2586">
          <cell r="D2586">
            <v>0</v>
          </cell>
        </row>
        <row r="2587">
          <cell r="D2587">
            <v>0</v>
          </cell>
        </row>
        <row r="2588">
          <cell r="D2588">
            <v>0</v>
          </cell>
        </row>
        <row r="2589">
          <cell r="D2589">
            <v>0</v>
          </cell>
        </row>
        <row r="2590">
          <cell r="D2590">
            <v>0</v>
          </cell>
        </row>
        <row r="2591">
          <cell r="D2591">
            <v>0</v>
          </cell>
        </row>
        <row r="2592">
          <cell r="D2592">
            <v>0</v>
          </cell>
        </row>
        <row r="2593">
          <cell r="D2593">
            <v>0</v>
          </cell>
        </row>
        <row r="2594">
          <cell r="D2594">
            <v>0</v>
          </cell>
        </row>
        <row r="2595">
          <cell r="D2595">
            <v>0</v>
          </cell>
        </row>
        <row r="2596">
          <cell r="D2596">
            <v>0</v>
          </cell>
        </row>
        <row r="2597">
          <cell r="D2597">
            <v>0</v>
          </cell>
        </row>
        <row r="2598">
          <cell r="D2598">
            <v>0</v>
          </cell>
        </row>
        <row r="2599">
          <cell r="D2599">
            <v>0</v>
          </cell>
        </row>
        <row r="2600">
          <cell r="D2600">
            <v>0</v>
          </cell>
        </row>
        <row r="2601">
          <cell r="D2601">
            <v>0</v>
          </cell>
        </row>
        <row r="2602">
          <cell r="D2602">
            <v>0</v>
          </cell>
        </row>
        <row r="2603">
          <cell r="D2603">
            <v>0</v>
          </cell>
        </row>
        <row r="2604">
          <cell r="D2604">
            <v>0</v>
          </cell>
        </row>
        <row r="2605">
          <cell r="D2605">
            <v>0</v>
          </cell>
        </row>
        <row r="2606">
          <cell r="D2606">
            <v>0</v>
          </cell>
        </row>
        <row r="2607">
          <cell r="D2607">
            <v>0</v>
          </cell>
        </row>
        <row r="2608">
          <cell r="D2608">
            <v>0</v>
          </cell>
        </row>
        <row r="2609">
          <cell r="D2609">
            <v>0</v>
          </cell>
        </row>
        <row r="2610">
          <cell r="D2610">
            <v>0</v>
          </cell>
        </row>
        <row r="2611">
          <cell r="D2611">
            <v>0</v>
          </cell>
        </row>
        <row r="2612">
          <cell r="D2612">
            <v>0</v>
          </cell>
        </row>
        <row r="2613">
          <cell r="D2613">
            <v>0</v>
          </cell>
        </row>
        <row r="2614">
          <cell r="D2614">
            <v>0</v>
          </cell>
        </row>
        <row r="2615">
          <cell r="D2615">
            <v>0</v>
          </cell>
        </row>
        <row r="2616">
          <cell r="D2616">
            <v>0</v>
          </cell>
        </row>
        <row r="2617">
          <cell r="D2617">
            <v>0</v>
          </cell>
        </row>
        <row r="2618">
          <cell r="D2618">
            <v>0</v>
          </cell>
        </row>
        <row r="2619">
          <cell r="D2619">
            <v>0</v>
          </cell>
        </row>
        <row r="2620">
          <cell r="D2620">
            <v>0</v>
          </cell>
        </row>
        <row r="2621">
          <cell r="D2621">
            <v>0</v>
          </cell>
        </row>
        <row r="2622">
          <cell r="D2622">
            <v>0</v>
          </cell>
        </row>
        <row r="2623">
          <cell r="D2623">
            <v>0</v>
          </cell>
        </row>
        <row r="2624">
          <cell r="D2624">
            <v>0</v>
          </cell>
        </row>
        <row r="2625">
          <cell r="D2625">
            <v>0</v>
          </cell>
        </row>
        <row r="2626">
          <cell r="D2626">
            <v>0</v>
          </cell>
        </row>
        <row r="2627">
          <cell r="D2627">
            <v>0</v>
          </cell>
        </row>
        <row r="2628">
          <cell r="D2628">
            <v>0</v>
          </cell>
        </row>
        <row r="2629">
          <cell r="D2629">
            <v>0</v>
          </cell>
        </row>
        <row r="2630">
          <cell r="D2630">
            <v>0</v>
          </cell>
        </row>
        <row r="2631">
          <cell r="D2631">
            <v>0</v>
          </cell>
        </row>
        <row r="2632">
          <cell r="D2632">
            <v>0</v>
          </cell>
        </row>
        <row r="2633">
          <cell r="D2633">
            <v>0</v>
          </cell>
        </row>
        <row r="2634">
          <cell r="D2634">
            <v>0</v>
          </cell>
        </row>
        <row r="2635">
          <cell r="D2635">
            <v>0</v>
          </cell>
        </row>
        <row r="2636">
          <cell r="D2636">
            <v>0</v>
          </cell>
        </row>
        <row r="2637">
          <cell r="D2637">
            <v>0</v>
          </cell>
        </row>
        <row r="2638">
          <cell r="D2638">
            <v>0</v>
          </cell>
        </row>
        <row r="2639">
          <cell r="D2639">
            <v>0</v>
          </cell>
        </row>
        <row r="2640">
          <cell r="D2640">
            <v>0</v>
          </cell>
        </row>
        <row r="2641">
          <cell r="D2641">
            <v>0</v>
          </cell>
        </row>
        <row r="2642">
          <cell r="D2642">
            <v>0</v>
          </cell>
        </row>
        <row r="2643">
          <cell r="D2643">
            <v>0</v>
          </cell>
        </row>
        <row r="2644">
          <cell r="D2644">
            <v>0</v>
          </cell>
        </row>
        <row r="2645">
          <cell r="D2645">
            <v>0</v>
          </cell>
        </row>
        <row r="2646">
          <cell r="D2646">
            <v>0</v>
          </cell>
        </row>
        <row r="2647">
          <cell r="D2647">
            <v>0</v>
          </cell>
        </row>
        <row r="2648">
          <cell r="D2648">
            <v>0</v>
          </cell>
        </row>
        <row r="2649">
          <cell r="D2649">
            <v>0</v>
          </cell>
        </row>
        <row r="2650">
          <cell r="D2650">
            <v>0</v>
          </cell>
        </row>
        <row r="2651">
          <cell r="D2651">
            <v>0</v>
          </cell>
        </row>
        <row r="2652">
          <cell r="D2652">
            <v>0</v>
          </cell>
        </row>
        <row r="2653">
          <cell r="D2653">
            <v>0</v>
          </cell>
        </row>
        <row r="2654">
          <cell r="D2654">
            <v>0</v>
          </cell>
        </row>
        <row r="2655">
          <cell r="D2655">
            <v>0</v>
          </cell>
        </row>
        <row r="2656">
          <cell r="D2656">
            <v>0</v>
          </cell>
        </row>
        <row r="2657">
          <cell r="D2657">
            <v>0</v>
          </cell>
        </row>
        <row r="2658">
          <cell r="D2658">
            <v>0</v>
          </cell>
        </row>
        <row r="2659">
          <cell r="D2659">
            <v>0</v>
          </cell>
        </row>
        <row r="2660">
          <cell r="D2660">
            <v>0</v>
          </cell>
        </row>
        <row r="2661">
          <cell r="D2661">
            <v>0</v>
          </cell>
        </row>
        <row r="2662">
          <cell r="D2662">
            <v>0</v>
          </cell>
        </row>
        <row r="2663">
          <cell r="D2663">
            <v>0</v>
          </cell>
        </row>
        <row r="2664">
          <cell r="D2664">
            <v>0</v>
          </cell>
        </row>
        <row r="2665">
          <cell r="D2665">
            <v>0</v>
          </cell>
        </row>
        <row r="2666">
          <cell r="D2666">
            <v>0</v>
          </cell>
        </row>
        <row r="2667">
          <cell r="D2667">
            <v>0</v>
          </cell>
        </row>
        <row r="2668">
          <cell r="D2668">
            <v>0</v>
          </cell>
        </row>
        <row r="2669">
          <cell r="D2669">
            <v>0</v>
          </cell>
        </row>
        <row r="2670">
          <cell r="D2670">
            <v>0</v>
          </cell>
        </row>
        <row r="2671">
          <cell r="D2671">
            <v>0</v>
          </cell>
        </row>
        <row r="2672">
          <cell r="D2672">
            <v>0</v>
          </cell>
        </row>
        <row r="2673">
          <cell r="D2673">
            <v>0</v>
          </cell>
        </row>
        <row r="2674">
          <cell r="D2674">
            <v>0</v>
          </cell>
        </row>
        <row r="2675">
          <cell r="D2675">
            <v>0</v>
          </cell>
        </row>
        <row r="2676">
          <cell r="D2676">
            <v>0</v>
          </cell>
        </row>
        <row r="2677">
          <cell r="D2677">
            <v>0</v>
          </cell>
        </row>
        <row r="2678">
          <cell r="D2678">
            <v>0</v>
          </cell>
        </row>
        <row r="2679">
          <cell r="D2679">
            <v>0</v>
          </cell>
        </row>
        <row r="2680">
          <cell r="D2680">
            <v>0</v>
          </cell>
        </row>
        <row r="2681">
          <cell r="D2681">
            <v>0</v>
          </cell>
        </row>
        <row r="2682">
          <cell r="D2682">
            <v>0</v>
          </cell>
        </row>
        <row r="2683">
          <cell r="D2683">
            <v>0</v>
          </cell>
        </row>
        <row r="2684">
          <cell r="D2684">
            <v>0</v>
          </cell>
        </row>
        <row r="2685">
          <cell r="D2685">
            <v>0</v>
          </cell>
        </row>
        <row r="2686">
          <cell r="D2686">
            <v>0</v>
          </cell>
        </row>
        <row r="2687">
          <cell r="D2687">
            <v>0</v>
          </cell>
        </row>
        <row r="2688">
          <cell r="D2688">
            <v>0</v>
          </cell>
        </row>
        <row r="2689">
          <cell r="D2689">
            <v>0</v>
          </cell>
        </row>
        <row r="2690">
          <cell r="D2690">
            <v>0</v>
          </cell>
        </row>
        <row r="2691">
          <cell r="D2691">
            <v>0</v>
          </cell>
        </row>
        <row r="2692">
          <cell r="D2692">
            <v>0</v>
          </cell>
        </row>
        <row r="2693">
          <cell r="D2693">
            <v>0</v>
          </cell>
        </row>
        <row r="2694">
          <cell r="D2694">
            <v>0</v>
          </cell>
        </row>
        <row r="2695">
          <cell r="D2695">
            <v>0</v>
          </cell>
        </row>
        <row r="2696">
          <cell r="D2696">
            <v>0</v>
          </cell>
        </row>
        <row r="2697">
          <cell r="D2697">
            <v>0</v>
          </cell>
        </row>
        <row r="2698">
          <cell r="D2698">
            <v>0</v>
          </cell>
        </row>
        <row r="2699">
          <cell r="D2699">
            <v>0</v>
          </cell>
        </row>
        <row r="2700">
          <cell r="D2700">
            <v>0</v>
          </cell>
        </row>
        <row r="2701">
          <cell r="D2701">
            <v>0</v>
          </cell>
        </row>
        <row r="2702">
          <cell r="D2702">
            <v>0</v>
          </cell>
        </row>
        <row r="2703">
          <cell r="D2703">
            <v>0</v>
          </cell>
        </row>
        <row r="2704">
          <cell r="D2704">
            <v>0</v>
          </cell>
        </row>
        <row r="2705">
          <cell r="D2705">
            <v>0</v>
          </cell>
        </row>
        <row r="2706">
          <cell r="D2706">
            <v>0</v>
          </cell>
        </row>
        <row r="2707">
          <cell r="D2707">
            <v>0</v>
          </cell>
        </row>
        <row r="2708">
          <cell r="D2708">
            <v>0</v>
          </cell>
        </row>
        <row r="2709">
          <cell r="D2709">
            <v>0</v>
          </cell>
        </row>
        <row r="2710">
          <cell r="D2710">
            <v>0</v>
          </cell>
        </row>
        <row r="2711">
          <cell r="D2711">
            <v>0</v>
          </cell>
        </row>
        <row r="2712">
          <cell r="D2712">
            <v>0</v>
          </cell>
        </row>
        <row r="2713">
          <cell r="D2713">
            <v>0</v>
          </cell>
        </row>
        <row r="2714">
          <cell r="D2714">
            <v>0</v>
          </cell>
        </row>
        <row r="2715">
          <cell r="D2715">
            <v>0</v>
          </cell>
        </row>
        <row r="2716">
          <cell r="D2716">
            <v>0</v>
          </cell>
        </row>
        <row r="2717">
          <cell r="D2717">
            <v>0</v>
          </cell>
        </row>
        <row r="2718">
          <cell r="D2718">
            <v>0</v>
          </cell>
        </row>
        <row r="2719">
          <cell r="D2719">
            <v>0</v>
          </cell>
        </row>
        <row r="2720">
          <cell r="D2720">
            <v>0</v>
          </cell>
        </row>
        <row r="2721">
          <cell r="D2721">
            <v>0</v>
          </cell>
        </row>
        <row r="2722">
          <cell r="D2722">
            <v>0</v>
          </cell>
        </row>
        <row r="2723">
          <cell r="D2723">
            <v>0</v>
          </cell>
        </row>
        <row r="2724">
          <cell r="D2724">
            <v>0</v>
          </cell>
        </row>
        <row r="2725">
          <cell r="D2725">
            <v>0</v>
          </cell>
        </row>
        <row r="2726">
          <cell r="D2726">
            <v>0</v>
          </cell>
        </row>
        <row r="2727">
          <cell r="D2727">
            <v>0</v>
          </cell>
        </row>
        <row r="2728">
          <cell r="D2728">
            <v>0</v>
          </cell>
        </row>
        <row r="2729">
          <cell r="D2729">
            <v>0</v>
          </cell>
        </row>
        <row r="2730">
          <cell r="D2730">
            <v>0</v>
          </cell>
        </row>
        <row r="2731">
          <cell r="D2731">
            <v>0</v>
          </cell>
        </row>
        <row r="2732">
          <cell r="D2732">
            <v>0</v>
          </cell>
        </row>
        <row r="2733">
          <cell r="D2733">
            <v>0</v>
          </cell>
        </row>
        <row r="2734">
          <cell r="D2734">
            <v>0</v>
          </cell>
        </row>
        <row r="2735">
          <cell r="D2735">
            <v>0</v>
          </cell>
        </row>
        <row r="2736">
          <cell r="D2736">
            <v>0</v>
          </cell>
        </row>
        <row r="2737">
          <cell r="D2737">
            <v>0</v>
          </cell>
        </row>
        <row r="2738">
          <cell r="D2738">
            <v>0</v>
          </cell>
        </row>
        <row r="2739">
          <cell r="D2739">
            <v>0</v>
          </cell>
        </row>
        <row r="2740">
          <cell r="D2740">
            <v>0</v>
          </cell>
        </row>
        <row r="2741">
          <cell r="D2741">
            <v>0</v>
          </cell>
        </row>
        <row r="2742">
          <cell r="D2742">
            <v>0</v>
          </cell>
        </row>
        <row r="2743">
          <cell r="D2743">
            <v>0</v>
          </cell>
        </row>
        <row r="2744">
          <cell r="D2744">
            <v>0</v>
          </cell>
        </row>
        <row r="2745">
          <cell r="D2745">
            <v>0</v>
          </cell>
        </row>
        <row r="2746">
          <cell r="D2746">
            <v>0</v>
          </cell>
        </row>
        <row r="2747">
          <cell r="D2747">
            <v>0</v>
          </cell>
        </row>
        <row r="2748">
          <cell r="D2748">
            <v>0</v>
          </cell>
        </row>
        <row r="2749">
          <cell r="D2749">
            <v>0</v>
          </cell>
        </row>
        <row r="2750">
          <cell r="D2750">
            <v>0</v>
          </cell>
        </row>
        <row r="2751">
          <cell r="D2751">
            <v>0</v>
          </cell>
        </row>
        <row r="2752">
          <cell r="D2752">
            <v>0</v>
          </cell>
        </row>
        <row r="2753">
          <cell r="D2753">
            <v>0</v>
          </cell>
        </row>
        <row r="2754">
          <cell r="D2754">
            <v>0</v>
          </cell>
        </row>
        <row r="2755">
          <cell r="D2755">
            <v>0</v>
          </cell>
        </row>
        <row r="2756">
          <cell r="D2756">
            <v>0</v>
          </cell>
        </row>
        <row r="2757">
          <cell r="D2757">
            <v>0</v>
          </cell>
        </row>
        <row r="2758">
          <cell r="D2758">
            <v>0</v>
          </cell>
        </row>
        <row r="2759">
          <cell r="D2759">
            <v>0</v>
          </cell>
        </row>
        <row r="2760">
          <cell r="D2760">
            <v>0</v>
          </cell>
        </row>
        <row r="2761">
          <cell r="D2761">
            <v>0</v>
          </cell>
        </row>
        <row r="2762">
          <cell r="D2762">
            <v>0</v>
          </cell>
        </row>
        <row r="2763">
          <cell r="D2763">
            <v>0</v>
          </cell>
        </row>
        <row r="2764">
          <cell r="D2764">
            <v>0</v>
          </cell>
        </row>
        <row r="2765">
          <cell r="D2765">
            <v>0</v>
          </cell>
        </row>
        <row r="2766">
          <cell r="D2766">
            <v>0</v>
          </cell>
        </row>
        <row r="2767">
          <cell r="D2767">
            <v>0</v>
          </cell>
        </row>
        <row r="2768">
          <cell r="D2768">
            <v>0</v>
          </cell>
        </row>
        <row r="2769">
          <cell r="D2769">
            <v>0</v>
          </cell>
        </row>
        <row r="2770">
          <cell r="D2770">
            <v>0</v>
          </cell>
        </row>
        <row r="2771">
          <cell r="D2771">
            <v>0</v>
          </cell>
        </row>
        <row r="2772">
          <cell r="D2772">
            <v>0</v>
          </cell>
        </row>
        <row r="2773">
          <cell r="D2773">
            <v>0</v>
          </cell>
        </row>
        <row r="2774">
          <cell r="D2774">
            <v>0</v>
          </cell>
        </row>
        <row r="2775">
          <cell r="D2775">
            <v>0</v>
          </cell>
        </row>
        <row r="2776">
          <cell r="D2776">
            <v>0</v>
          </cell>
        </row>
        <row r="2777">
          <cell r="D2777">
            <v>0</v>
          </cell>
        </row>
        <row r="2778">
          <cell r="D2778">
            <v>0</v>
          </cell>
        </row>
        <row r="2779">
          <cell r="D2779">
            <v>0</v>
          </cell>
        </row>
        <row r="2780">
          <cell r="D2780">
            <v>0</v>
          </cell>
        </row>
        <row r="2781">
          <cell r="D2781">
            <v>0</v>
          </cell>
        </row>
        <row r="2782">
          <cell r="D2782">
            <v>0</v>
          </cell>
        </row>
        <row r="2783">
          <cell r="D2783">
            <v>0</v>
          </cell>
        </row>
        <row r="2784">
          <cell r="D2784">
            <v>0</v>
          </cell>
        </row>
        <row r="2785">
          <cell r="D2785">
            <v>0</v>
          </cell>
        </row>
        <row r="2786">
          <cell r="D2786">
            <v>0</v>
          </cell>
        </row>
        <row r="2787">
          <cell r="D2787">
            <v>0</v>
          </cell>
        </row>
        <row r="2788">
          <cell r="D2788">
            <v>0</v>
          </cell>
        </row>
        <row r="2789">
          <cell r="D2789">
            <v>0</v>
          </cell>
        </row>
        <row r="2790">
          <cell r="D2790">
            <v>0</v>
          </cell>
        </row>
        <row r="2791">
          <cell r="D2791">
            <v>0</v>
          </cell>
        </row>
        <row r="2792">
          <cell r="D2792">
            <v>0</v>
          </cell>
        </row>
        <row r="2793">
          <cell r="D2793">
            <v>0</v>
          </cell>
        </row>
        <row r="2794">
          <cell r="D2794">
            <v>0</v>
          </cell>
        </row>
        <row r="2795">
          <cell r="D2795">
            <v>0</v>
          </cell>
        </row>
        <row r="2796">
          <cell r="D2796">
            <v>0</v>
          </cell>
        </row>
        <row r="2797">
          <cell r="D2797">
            <v>0</v>
          </cell>
        </row>
        <row r="2798">
          <cell r="D2798">
            <v>0</v>
          </cell>
        </row>
        <row r="2799">
          <cell r="D2799">
            <v>0</v>
          </cell>
        </row>
        <row r="2800">
          <cell r="D2800">
            <v>0</v>
          </cell>
        </row>
        <row r="2801">
          <cell r="D2801">
            <v>0</v>
          </cell>
        </row>
        <row r="2802">
          <cell r="D2802">
            <v>0</v>
          </cell>
        </row>
        <row r="2803">
          <cell r="D2803">
            <v>0</v>
          </cell>
        </row>
        <row r="2804">
          <cell r="D2804">
            <v>0</v>
          </cell>
        </row>
        <row r="2805">
          <cell r="D2805">
            <v>0</v>
          </cell>
        </row>
        <row r="2806">
          <cell r="D2806">
            <v>0</v>
          </cell>
        </row>
        <row r="2807">
          <cell r="D2807">
            <v>0</v>
          </cell>
        </row>
        <row r="2808">
          <cell r="D2808">
            <v>0</v>
          </cell>
        </row>
        <row r="2809">
          <cell r="D2809">
            <v>0</v>
          </cell>
        </row>
        <row r="2810">
          <cell r="D2810">
            <v>0</v>
          </cell>
        </row>
        <row r="2811">
          <cell r="D2811">
            <v>0</v>
          </cell>
        </row>
        <row r="2812">
          <cell r="D2812">
            <v>0</v>
          </cell>
        </row>
        <row r="2813">
          <cell r="D2813">
            <v>0</v>
          </cell>
        </row>
        <row r="2814">
          <cell r="D2814">
            <v>0</v>
          </cell>
        </row>
        <row r="2815">
          <cell r="D2815">
            <v>0</v>
          </cell>
        </row>
        <row r="2816">
          <cell r="D2816">
            <v>0</v>
          </cell>
        </row>
        <row r="2817">
          <cell r="D2817">
            <v>0</v>
          </cell>
        </row>
        <row r="2818">
          <cell r="D2818">
            <v>0</v>
          </cell>
        </row>
        <row r="2819">
          <cell r="D2819">
            <v>0</v>
          </cell>
        </row>
        <row r="2820">
          <cell r="D2820">
            <v>0</v>
          </cell>
        </row>
        <row r="2821">
          <cell r="D2821">
            <v>0</v>
          </cell>
        </row>
        <row r="2822">
          <cell r="D2822">
            <v>0</v>
          </cell>
        </row>
        <row r="2823">
          <cell r="D2823">
            <v>0</v>
          </cell>
        </row>
        <row r="2824">
          <cell r="D2824">
            <v>0</v>
          </cell>
        </row>
        <row r="2825">
          <cell r="D2825">
            <v>0</v>
          </cell>
        </row>
        <row r="2826">
          <cell r="D2826">
            <v>0</v>
          </cell>
        </row>
        <row r="2827">
          <cell r="D2827">
            <v>0</v>
          </cell>
        </row>
        <row r="2828">
          <cell r="D2828">
            <v>0</v>
          </cell>
        </row>
        <row r="2829">
          <cell r="D2829">
            <v>0</v>
          </cell>
        </row>
        <row r="2830">
          <cell r="D2830">
            <v>0</v>
          </cell>
        </row>
        <row r="2831">
          <cell r="D2831">
            <v>0</v>
          </cell>
        </row>
        <row r="2832">
          <cell r="D2832">
            <v>0</v>
          </cell>
        </row>
        <row r="2833">
          <cell r="D2833">
            <v>0</v>
          </cell>
        </row>
        <row r="2834">
          <cell r="D2834">
            <v>0</v>
          </cell>
        </row>
        <row r="2835">
          <cell r="D2835">
            <v>0</v>
          </cell>
        </row>
        <row r="2836">
          <cell r="D2836">
            <v>0</v>
          </cell>
        </row>
        <row r="2837">
          <cell r="D2837">
            <v>0</v>
          </cell>
        </row>
        <row r="2838">
          <cell r="D2838">
            <v>0</v>
          </cell>
        </row>
        <row r="2839">
          <cell r="D2839">
            <v>0</v>
          </cell>
        </row>
        <row r="2840">
          <cell r="D2840">
            <v>0</v>
          </cell>
        </row>
        <row r="2841">
          <cell r="D2841">
            <v>0</v>
          </cell>
        </row>
        <row r="2842">
          <cell r="D2842">
            <v>0</v>
          </cell>
        </row>
        <row r="2843">
          <cell r="D2843">
            <v>0</v>
          </cell>
        </row>
        <row r="2844">
          <cell r="D2844">
            <v>0</v>
          </cell>
        </row>
        <row r="2845">
          <cell r="D2845">
            <v>0</v>
          </cell>
        </row>
        <row r="2846">
          <cell r="D2846">
            <v>0</v>
          </cell>
        </row>
        <row r="2847">
          <cell r="D2847">
            <v>0</v>
          </cell>
        </row>
        <row r="2848">
          <cell r="D2848">
            <v>0</v>
          </cell>
        </row>
        <row r="2849">
          <cell r="D2849">
            <v>0</v>
          </cell>
        </row>
        <row r="2850">
          <cell r="D2850">
            <v>0</v>
          </cell>
        </row>
        <row r="2851">
          <cell r="D2851">
            <v>0</v>
          </cell>
        </row>
        <row r="2852">
          <cell r="D2852">
            <v>0</v>
          </cell>
        </row>
        <row r="2853">
          <cell r="D2853">
            <v>0</v>
          </cell>
        </row>
        <row r="2854">
          <cell r="D2854">
            <v>0</v>
          </cell>
        </row>
        <row r="2855">
          <cell r="D2855">
            <v>0</v>
          </cell>
        </row>
        <row r="2856">
          <cell r="D2856">
            <v>0</v>
          </cell>
        </row>
        <row r="2857">
          <cell r="D2857">
            <v>0</v>
          </cell>
        </row>
        <row r="2858">
          <cell r="D2858">
            <v>0</v>
          </cell>
        </row>
        <row r="2859">
          <cell r="D2859">
            <v>0</v>
          </cell>
        </row>
        <row r="2860">
          <cell r="D2860">
            <v>0</v>
          </cell>
        </row>
        <row r="2861">
          <cell r="D2861">
            <v>0</v>
          </cell>
        </row>
        <row r="2862">
          <cell r="D2862">
            <v>0</v>
          </cell>
        </row>
        <row r="2863">
          <cell r="D2863">
            <v>0</v>
          </cell>
        </row>
        <row r="2864">
          <cell r="D2864">
            <v>0</v>
          </cell>
        </row>
        <row r="2865">
          <cell r="D2865">
            <v>0</v>
          </cell>
        </row>
        <row r="2866">
          <cell r="D2866">
            <v>0</v>
          </cell>
        </row>
        <row r="2867">
          <cell r="D2867">
            <v>0</v>
          </cell>
        </row>
        <row r="2868">
          <cell r="D2868">
            <v>0</v>
          </cell>
        </row>
        <row r="2869">
          <cell r="D2869">
            <v>0</v>
          </cell>
        </row>
        <row r="2870">
          <cell r="D2870">
            <v>0</v>
          </cell>
        </row>
        <row r="2871">
          <cell r="D2871">
            <v>0</v>
          </cell>
        </row>
        <row r="2872">
          <cell r="D2872">
            <v>0</v>
          </cell>
        </row>
        <row r="2873">
          <cell r="D2873">
            <v>0</v>
          </cell>
        </row>
        <row r="2874">
          <cell r="D2874">
            <v>0</v>
          </cell>
        </row>
        <row r="2875">
          <cell r="D2875">
            <v>0</v>
          </cell>
        </row>
        <row r="2876">
          <cell r="D2876">
            <v>0</v>
          </cell>
        </row>
        <row r="2877">
          <cell r="D2877">
            <v>0</v>
          </cell>
        </row>
        <row r="2878">
          <cell r="D2878">
            <v>0</v>
          </cell>
        </row>
        <row r="2879">
          <cell r="D2879">
            <v>0</v>
          </cell>
        </row>
        <row r="2880">
          <cell r="D2880">
            <v>0</v>
          </cell>
        </row>
        <row r="2881">
          <cell r="D2881">
            <v>0</v>
          </cell>
        </row>
        <row r="2882">
          <cell r="D2882">
            <v>0</v>
          </cell>
        </row>
        <row r="2883">
          <cell r="D2883">
            <v>0</v>
          </cell>
        </row>
        <row r="2884">
          <cell r="D2884">
            <v>0</v>
          </cell>
        </row>
        <row r="2885">
          <cell r="D2885">
            <v>0</v>
          </cell>
        </row>
        <row r="2886">
          <cell r="D2886">
            <v>0</v>
          </cell>
        </row>
        <row r="2887">
          <cell r="D2887">
            <v>0</v>
          </cell>
        </row>
        <row r="2888">
          <cell r="D2888">
            <v>0</v>
          </cell>
        </row>
        <row r="2889">
          <cell r="D2889">
            <v>0</v>
          </cell>
        </row>
        <row r="2890">
          <cell r="D2890">
            <v>0</v>
          </cell>
        </row>
        <row r="2891">
          <cell r="D2891">
            <v>0</v>
          </cell>
        </row>
        <row r="2892">
          <cell r="D2892">
            <v>0</v>
          </cell>
        </row>
        <row r="2893">
          <cell r="D2893">
            <v>0</v>
          </cell>
        </row>
        <row r="2894">
          <cell r="D2894">
            <v>0</v>
          </cell>
        </row>
        <row r="2895">
          <cell r="D2895">
            <v>0</v>
          </cell>
        </row>
        <row r="2896">
          <cell r="D2896">
            <v>0</v>
          </cell>
        </row>
        <row r="2897">
          <cell r="D2897">
            <v>0</v>
          </cell>
        </row>
        <row r="2898">
          <cell r="D2898">
            <v>0</v>
          </cell>
        </row>
        <row r="2899">
          <cell r="D2899">
            <v>0</v>
          </cell>
        </row>
        <row r="2900">
          <cell r="D2900">
            <v>0</v>
          </cell>
        </row>
        <row r="2901">
          <cell r="D2901">
            <v>0</v>
          </cell>
        </row>
        <row r="2902">
          <cell r="D2902">
            <v>0</v>
          </cell>
        </row>
        <row r="2903">
          <cell r="D2903">
            <v>0</v>
          </cell>
        </row>
        <row r="2904">
          <cell r="D2904">
            <v>0</v>
          </cell>
        </row>
        <row r="2905">
          <cell r="D2905">
            <v>0</v>
          </cell>
        </row>
        <row r="2906">
          <cell r="D2906">
            <v>0</v>
          </cell>
        </row>
        <row r="2907">
          <cell r="D2907">
            <v>0</v>
          </cell>
        </row>
        <row r="2908">
          <cell r="D2908">
            <v>0</v>
          </cell>
        </row>
        <row r="2909">
          <cell r="D2909">
            <v>0</v>
          </cell>
        </row>
        <row r="2910">
          <cell r="D2910">
            <v>0</v>
          </cell>
        </row>
        <row r="2911">
          <cell r="D2911">
            <v>0</v>
          </cell>
        </row>
        <row r="2912">
          <cell r="D2912">
            <v>0</v>
          </cell>
        </row>
        <row r="2913">
          <cell r="D2913">
            <v>0</v>
          </cell>
        </row>
        <row r="2914">
          <cell r="D2914">
            <v>0</v>
          </cell>
        </row>
        <row r="2915">
          <cell r="D2915">
            <v>0</v>
          </cell>
        </row>
        <row r="2916">
          <cell r="D2916">
            <v>0</v>
          </cell>
        </row>
        <row r="2917">
          <cell r="D2917">
            <v>0</v>
          </cell>
        </row>
        <row r="2918">
          <cell r="D2918">
            <v>0</v>
          </cell>
        </row>
        <row r="2919">
          <cell r="D2919">
            <v>0</v>
          </cell>
        </row>
        <row r="2920">
          <cell r="D2920">
            <v>0</v>
          </cell>
        </row>
        <row r="2921">
          <cell r="D2921">
            <v>0</v>
          </cell>
        </row>
        <row r="2922">
          <cell r="D2922">
            <v>0</v>
          </cell>
        </row>
        <row r="2923">
          <cell r="D2923">
            <v>0</v>
          </cell>
        </row>
        <row r="2924">
          <cell r="D2924">
            <v>0</v>
          </cell>
        </row>
        <row r="2925">
          <cell r="D2925">
            <v>0</v>
          </cell>
        </row>
        <row r="2926">
          <cell r="D2926">
            <v>0</v>
          </cell>
        </row>
        <row r="2927">
          <cell r="D2927">
            <v>0</v>
          </cell>
        </row>
        <row r="2928">
          <cell r="D2928">
            <v>0</v>
          </cell>
        </row>
        <row r="2929">
          <cell r="D2929">
            <v>0</v>
          </cell>
        </row>
        <row r="2930">
          <cell r="D2930">
            <v>0</v>
          </cell>
        </row>
        <row r="2931">
          <cell r="D2931">
            <v>0</v>
          </cell>
        </row>
        <row r="2932">
          <cell r="D2932">
            <v>0</v>
          </cell>
        </row>
        <row r="2933">
          <cell r="D2933">
            <v>0</v>
          </cell>
        </row>
        <row r="2934">
          <cell r="D2934">
            <v>0</v>
          </cell>
        </row>
        <row r="2935">
          <cell r="D2935">
            <v>0</v>
          </cell>
        </row>
        <row r="2936">
          <cell r="D2936">
            <v>0</v>
          </cell>
        </row>
        <row r="2937">
          <cell r="D2937">
            <v>0</v>
          </cell>
        </row>
        <row r="2938">
          <cell r="D2938">
            <v>0</v>
          </cell>
        </row>
        <row r="2939">
          <cell r="D2939">
            <v>0</v>
          </cell>
        </row>
        <row r="2940">
          <cell r="D2940">
            <v>0</v>
          </cell>
        </row>
        <row r="2941">
          <cell r="D2941">
            <v>0</v>
          </cell>
        </row>
        <row r="2942">
          <cell r="D2942">
            <v>0</v>
          </cell>
        </row>
        <row r="2943">
          <cell r="D2943">
            <v>0</v>
          </cell>
        </row>
        <row r="2944">
          <cell r="D2944">
            <v>0</v>
          </cell>
        </row>
        <row r="2945">
          <cell r="D2945">
            <v>0</v>
          </cell>
        </row>
        <row r="2946">
          <cell r="D2946">
            <v>0</v>
          </cell>
        </row>
        <row r="2947">
          <cell r="D2947">
            <v>0</v>
          </cell>
        </row>
        <row r="2948">
          <cell r="D2948">
            <v>0</v>
          </cell>
        </row>
        <row r="2949">
          <cell r="D2949">
            <v>0</v>
          </cell>
        </row>
        <row r="2950">
          <cell r="D2950">
            <v>0</v>
          </cell>
        </row>
        <row r="2951">
          <cell r="D2951">
            <v>0</v>
          </cell>
        </row>
        <row r="2952">
          <cell r="D2952">
            <v>0</v>
          </cell>
        </row>
        <row r="2953">
          <cell r="D2953">
            <v>0</v>
          </cell>
        </row>
        <row r="2954">
          <cell r="D2954">
            <v>0</v>
          </cell>
        </row>
        <row r="2955">
          <cell r="D2955">
            <v>0</v>
          </cell>
        </row>
        <row r="2956">
          <cell r="D2956">
            <v>0</v>
          </cell>
        </row>
        <row r="2957">
          <cell r="D2957">
            <v>0</v>
          </cell>
        </row>
        <row r="2958">
          <cell r="D2958">
            <v>0</v>
          </cell>
        </row>
        <row r="2959">
          <cell r="D2959">
            <v>0</v>
          </cell>
        </row>
        <row r="2960">
          <cell r="D2960">
            <v>0</v>
          </cell>
        </row>
        <row r="2961">
          <cell r="D2961">
            <v>0</v>
          </cell>
        </row>
        <row r="2962">
          <cell r="D2962">
            <v>0</v>
          </cell>
        </row>
        <row r="2963">
          <cell r="D2963">
            <v>0</v>
          </cell>
        </row>
        <row r="2964">
          <cell r="D2964">
            <v>0</v>
          </cell>
        </row>
        <row r="2965">
          <cell r="D2965">
            <v>0</v>
          </cell>
        </row>
        <row r="2966">
          <cell r="D2966">
            <v>0</v>
          </cell>
        </row>
        <row r="2967">
          <cell r="D2967">
            <v>0</v>
          </cell>
        </row>
        <row r="2968">
          <cell r="D2968">
            <v>0</v>
          </cell>
        </row>
        <row r="2969">
          <cell r="D2969">
            <v>0</v>
          </cell>
        </row>
        <row r="2970">
          <cell r="D2970">
            <v>0</v>
          </cell>
        </row>
        <row r="2971">
          <cell r="D2971">
            <v>0</v>
          </cell>
        </row>
        <row r="2972">
          <cell r="D2972">
            <v>0</v>
          </cell>
        </row>
        <row r="2973">
          <cell r="D2973">
            <v>0</v>
          </cell>
        </row>
        <row r="2974">
          <cell r="D2974">
            <v>0</v>
          </cell>
        </row>
        <row r="2975">
          <cell r="D2975">
            <v>0</v>
          </cell>
        </row>
        <row r="2976">
          <cell r="D2976">
            <v>0</v>
          </cell>
        </row>
        <row r="2977">
          <cell r="D2977">
            <v>0</v>
          </cell>
        </row>
        <row r="2978">
          <cell r="D2978">
            <v>0</v>
          </cell>
        </row>
        <row r="2979">
          <cell r="D2979">
            <v>0</v>
          </cell>
        </row>
        <row r="2980">
          <cell r="D2980">
            <v>0</v>
          </cell>
        </row>
        <row r="2981">
          <cell r="D2981">
            <v>0</v>
          </cell>
        </row>
        <row r="2982">
          <cell r="D2982">
            <v>0</v>
          </cell>
        </row>
        <row r="2983">
          <cell r="D2983">
            <v>0</v>
          </cell>
        </row>
        <row r="2984">
          <cell r="D2984">
            <v>0</v>
          </cell>
        </row>
        <row r="2985">
          <cell r="D2985">
            <v>0</v>
          </cell>
        </row>
        <row r="2986">
          <cell r="D2986">
            <v>0</v>
          </cell>
        </row>
        <row r="2987">
          <cell r="D2987">
            <v>0</v>
          </cell>
        </row>
        <row r="2988">
          <cell r="D2988">
            <v>0</v>
          </cell>
        </row>
        <row r="2989">
          <cell r="D2989">
            <v>0</v>
          </cell>
        </row>
        <row r="2990">
          <cell r="D2990">
            <v>0</v>
          </cell>
        </row>
        <row r="2991">
          <cell r="D2991">
            <v>0</v>
          </cell>
        </row>
        <row r="2992">
          <cell r="D2992">
            <v>0</v>
          </cell>
        </row>
        <row r="2993">
          <cell r="D2993">
            <v>0</v>
          </cell>
        </row>
        <row r="2994">
          <cell r="D2994">
            <v>0</v>
          </cell>
        </row>
        <row r="2995">
          <cell r="D2995">
            <v>0</v>
          </cell>
        </row>
        <row r="2996">
          <cell r="D2996">
            <v>0</v>
          </cell>
        </row>
        <row r="2997">
          <cell r="D2997">
            <v>0</v>
          </cell>
        </row>
        <row r="2998">
          <cell r="D2998">
            <v>0</v>
          </cell>
        </row>
        <row r="2999">
          <cell r="D2999">
            <v>0</v>
          </cell>
        </row>
        <row r="3000">
          <cell r="D3000">
            <v>0</v>
          </cell>
        </row>
        <row r="3001">
          <cell r="D3001">
            <v>0</v>
          </cell>
        </row>
        <row r="3002">
          <cell r="D3002">
            <v>0</v>
          </cell>
        </row>
        <row r="3003">
          <cell r="D3003">
            <v>0</v>
          </cell>
        </row>
        <row r="3004">
          <cell r="D3004">
            <v>0</v>
          </cell>
        </row>
        <row r="3005">
          <cell r="D3005">
            <v>0</v>
          </cell>
        </row>
        <row r="3006">
          <cell r="D3006">
            <v>0</v>
          </cell>
        </row>
        <row r="3007">
          <cell r="D3007">
            <v>0</v>
          </cell>
        </row>
        <row r="3008">
          <cell r="D3008">
            <v>0</v>
          </cell>
        </row>
        <row r="3009">
          <cell r="D3009">
            <v>0</v>
          </cell>
        </row>
        <row r="3010">
          <cell r="D3010">
            <v>0</v>
          </cell>
        </row>
        <row r="3011">
          <cell r="D3011">
            <v>0</v>
          </cell>
        </row>
        <row r="3012">
          <cell r="D3012">
            <v>0</v>
          </cell>
        </row>
        <row r="3013">
          <cell r="D3013">
            <v>0</v>
          </cell>
        </row>
        <row r="3014">
          <cell r="D3014">
            <v>0</v>
          </cell>
        </row>
        <row r="3015">
          <cell r="D3015">
            <v>0</v>
          </cell>
        </row>
        <row r="3016">
          <cell r="D3016">
            <v>0</v>
          </cell>
        </row>
        <row r="3017">
          <cell r="D3017">
            <v>0</v>
          </cell>
        </row>
        <row r="3018">
          <cell r="D3018">
            <v>0</v>
          </cell>
        </row>
        <row r="3019">
          <cell r="D3019">
            <v>0</v>
          </cell>
        </row>
        <row r="3020">
          <cell r="D3020">
            <v>0</v>
          </cell>
        </row>
        <row r="3021">
          <cell r="D3021">
            <v>0</v>
          </cell>
        </row>
        <row r="3022">
          <cell r="D3022">
            <v>0</v>
          </cell>
        </row>
        <row r="3023">
          <cell r="D3023">
            <v>0</v>
          </cell>
        </row>
        <row r="3024">
          <cell r="D3024">
            <v>0</v>
          </cell>
        </row>
        <row r="3025">
          <cell r="D3025">
            <v>0</v>
          </cell>
        </row>
        <row r="3026">
          <cell r="D3026">
            <v>0</v>
          </cell>
        </row>
        <row r="3027">
          <cell r="D3027">
            <v>0</v>
          </cell>
        </row>
        <row r="3028">
          <cell r="D3028">
            <v>0</v>
          </cell>
        </row>
        <row r="3029">
          <cell r="D3029">
            <v>0</v>
          </cell>
        </row>
        <row r="3030">
          <cell r="D3030">
            <v>0</v>
          </cell>
        </row>
        <row r="3031">
          <cell r="D3031">
            <v>0</v>
          </cell>
        </row>
        <row r="3032">
          <cell r="D3032">
            <v>0</v>
          </cell>
        </row>
        <row r="3033">
          <cell r="D3033">
            <v>0</v>
          </cell>
        </row>
        <row r="3034">
          <cell r="D3034">
            <v>0</v>
          </cell>
        </row>
        <row r="3035">
          <cell r="D3035">
            <v>0</v>
          </cell>
        </row>
        <row r="3036">
          <cell r="D3036">
            <v>0</v>
          </cell>
        </row>
        <row r="3037">
          <cell r="D3037">
            <v>0</v>
          </cell>
        </row>
        <row r="3038">
          <cell r="D3038">
            <v>0</v>
          </cell>
        </row>
        <row r="3039">
          <cell r="D3039">
            <v>0</v>
          </cell>
        </row>
        <row r="3040">
          <cell r="D3040">
            <v>0</v>
          </cell>
        </row>
        <row r="3041">
          <cell r="D3041">
            <v>0</v>
          </cell>
        </row>
        <row r="3042">
          <cell r="D3042">
            <v>0</v>
          </cell>
        </row>
        <row r="3043">
          <cell r="D3043">
            <v>0</v>
          </cell>
        </row>
        <row r="3044">
          <cell r="D3044">
            <v>0</v>
          </cell>
        </row>
        <row r="3045">
          <cell r="D3045">
            <v>0</v>
          </cell>
        </row>
        <row r="3046">
          <cell r="D3046">
            <v>0</v>
          </cell>
        </row>
        <row r="3047">
          <cell r="D3047">
            <v>0</v>
          </cell>
        </row>
        <row r="3048">
          <cell r="D3048">
            <v>0</v>
          </cell>
        </row>
        <row r="3049">
          <cell r="D3049">
            <v>0</v>
          </cell>
        </row>
        <row r="3050">
          <cell r="D3050">
            <v>0</v>
          </cell>
        </row>
        <row r="3051">
          <cell r="D3051">
            <v>0</v>
          </cell>
        </row>
        <row r="3052">
          <cell r="D3052">
            <v>0</v>
          </cell>
        </row>
        <row r="3053">
          <cell r="D3053">
            <v>0</v>
          </cell>
        </row>
        <row r="3054">
          <cell r="D3054">
            <v>0</v>
          </cell>
        </row>
        <row r="3055">
          <cell r="D3055">
            <v>0</v>
          </cell>
        </row>
        <row r="3056">
          <cell r="D3056">
            <v>0</v>
          </cell>
        </row>
        <row r="3057">
          <cell r="D3057">
            <v>0</v>
          </cell>
        </row>
        <row r="3058">
          <cell r="D3058">
            <v>0</v>
          </cell>
        </row>
        <row r="3059">
          <cell r="D3059">
            <v>0</v>
          </cell>
        </row>
        <row r="3060">
          <cell r="D3060">
            <v>0</v>
          </cell>
        </row>
        <row r="3061">
          <cell r="D3061">
            <v>0</v>
          </cell>
        </row>
        <row r="3062">
          <cell r="D3062">
            <v>0</v>
          </cell>
        </row>
        <row r="3063">
          <cell r="D3063">
            <v>0</v>
          </cell>
        </row>
        <row r="3064">
          <cell r="D3064">
            <v>0</v>
          </cell>
        </row>
        <row r="3065">
          <cell r="D3065">
            <v>0</v>
          </cell>
        </row>
        <row r="3066">
          <cell r="D3066">
            <v>0</v>
          </cell>
        </row>
        <row r="3067">
          <cell r="D3067">
            <v>0</v>
          </cell>
        </row>
        <row r="3068">
          <cell r="D3068">
            <v>0</v>
          </cell>
        </row>
        <row r="3069">
          <cell r="D3069">
            <v>0</v>
          </cell>
        </row>
        <row r="3070">
          <cell r="D3070">
            <v>0</v>
          </cell>
        </row>
        <row r="3071">
          <cell r="D3071">
            <v>0</v>
          </cell>
        </row>
        <row r="3072">
          <cell r="D3072">
            <v>0</v>
          </cell>
        </row>
        <row r="3073">
          <cell r="D3073">
            <v>0</v>
          </cell>
        </row>
        <row r="3074">
          <cell r="D3074">
            <v>0</v>
          </cell>
        </row>
        <row r="3075">
          <cell r="D3075">
            <v>0</v>
          </cell>
        </row>
        <row r="3076">
          <cell r="D3076">
            <v>0</v>
          </cell>
        </row>
        <row r="3077">
          <cell r="D3077">
            <v>0</v>
          </cell>
        </row>
        <row r="3078">
          <cell r="D3078">
            <v>0</v>
          </cell>
        </row>
        <row r="3079">
          <cell r="D3079">
            <v>0</v>
          </cell>
        </row>
        <row r="3080">
          <cell r="D3080">
            <v>0</v>
          </cell>
        </row>
        <row r="3081">
          <cell r="D3081">
            <v>0</v>
          </cell>
        </row>
        <row r="3082">
          <cell r="D3082">
            <v>0</v>
          </cell>
        </row>
        <row r="3083">
          <cell r="D3083">
            <v>0</v>
          </cell>
        </row>
        <row r="3084">
          <cell r="D3084">
            <v>0</v>
          </cell>
        </row>
        <row r="3085">
          <cell r="D3085">
            <v>0</v>
          </cell>
        </row>
        <row r="3086">
          <cell r="D3086">
            <v>0</v>
          </cell>
        </row>
        <row r="3087">
          <cell r="D3087">
            <v>0</v>
          </cell>
        </row>
        <row r="3088">
          <cell r="D3088">
            <v>0</v>
          </cell>
        </row>
        <row r="3089">
          <cell r="D3089">
            <v>0</v>
          </cell>
        </row>
        <row r="3090">
          <cell r="D3090">
            <v>0</v>
          </cell>
        </row>
        <row r="3091">
          <cell r="D3091">
            <v>0</v>
          </cell>
        </row>
        <row r="3092">
          <cell r="D3092">
            <v>0</v>
          </cell>
        </row>
        <row r="3093">
          <cell r="D3093">
            <v>0</v>
          </cell>
        </row>
        <row r="3094">
          <cell r="D3094">
            <v>0</v>
          </cell>
        </row>
        <row r="3095">
          <cell r="D3095">
            <v>0</v>
          </cell>
        </row>
        <row r="3096">
          <cell r="D3096">
            <v>0</v>
          </cell>
        </row>
        <row r="3097">
          <cell r="D3097">
            <v>0</v>
          </cell>
        </row>
        <row r="3098">
          <cell r="D3098">
            <v>0</v>
          </cell>
        </row>
        <row r="3099">
          <cell r="D3099">
            <v>0</v>
          </cell>
        </row>
        <row r="3100">
          <cell r="D3100">
            <v>0</v>
          </cell>
        </row>
        <row r="3101">
          <cell r="D3101">
            <v>0</v>
          </cell>
        </row>
        <row r="3102">
          <cell r="D3102">
            <v>0</v>
          </cell>
        </row>
        <row r="3103">
          <cell r="D3103">
            <v>0</v>
          </cell>
        </row>
        <row r="3104">
          <cell r="D3104">
            <v>0</v>
          </cell>
        </row>
        <row r="3105">
          <cell r="D3105">
            <v>0</v>
          </cell>
        </row>
        <row r="3106">
          <cell r="D3106">
            <v>0</v>
          </cell>
        </row>
        <row r="3107">
          <cell r="D3107">
            <v>0</v>
          </cell>
        </row>
        <row r="3108">
          <cell r="D3108">
            <v>0</v>
          </cell>
        </row>
        <row r="3109">
          <cell r="D3109">
            <v>0</v>
          </cell>
        </row>
        <row r="3110">
          <cell r="D3110">
            <v>0</v>
          </cell>
        </row>
        <row r="3111">
          <cell r="D3111">
            <v>0</v>
          </cell>
        </row>
        <row r="3112">
          <cell r="D3112">
            <v>0</v>
          </cell>
        </row>
        <row r="3113">
          <cell r="D3113">
            <v>0</v>
          </cell>
        </row>
        <row r="3114">
          <cell r="D3114">
            <v>0</v>
          </cell>
        </row>
        <row r="3115">
          <cell r="D3115">
            <v>0</v>
          </cell>
        </row>
        <row r="3116">
          <cell r="D3116">
            <v>0</v>
          </cell>
        </row>
        <row r="3117">
          <cell r="D3117">
            <v>0</v>
          </cell>
        </row>
        <row r="3118">
          <cell r="D3118">
            <v>0</v>
          </cell>
        </row>
        <row r="3119">
          <cell r="D3119">
            <v>0</v>
          </cell>
        </row>
        <row r="3120">
          <cell r="D3120">
            <v>0</v>
          </cell>
        </row>
        <row r="3121">
          <cell r="D3121">
            <v>0</v>
          </cell>
        </row>
        <row r="3122">
          <cell r="D3122">
            <v>0</v>
          </cell>
        </row>
        <row r="3123">
          <cell r="D3123">
            <v>0</v>
          </cell>
        </row>
        <row r="3124">
          <cell r="D3124">
            <v>0</v>
          </cell>
        </row>
        <row r="3125">
          <cell r="D3125">
            <v>0</v>
          </cell>
        </row>
        <row r="3126">
          <cell r="D3126">
            <v>0</v>
          </cell>
        </row>
        <row r="3127">
          <cell r="D3127">
            <v>0</v>
          </cell>
        </row>
        <row r="3128">
          <cell r="D3128">
            <v>0</v>
          </cell>
        </row>
        <row r="3129">
          <cell r="D3129">
            <v>0</v>
          </cell>
        </row>
        <row r="3130">
          <cell r="D3130">
            <v>0</v>
          </cell>
        </row>
        <row r="3131">
          <cell r="D3131">
            <v>0</v>
          </cell>
        </row>
        <row r="3132">
          <cell r="D3132">
            <v>0</v>
          </cell>
        </row>
        <row r="3133">
          <cell r="D3133">
            <v>0</v>
          </cell>
        </row>
        <row r="3134">
          <cell r="D3134">
            <v>0</v>
          </cell>
        </row>
        <row r="3135">
          <cell r="D3135">
            <v>0</v>
          </cell>
        </row>
        <row r="3136">
          <cell r="D3136">
            <v>0</v>
          </cell>
        </row>
        <row r="3137">
          <cell r="D3137">
            <v>0</v>
          </cell>
        </row>
        <row r="3138">
          <cell r="D3138">
            <v>0</v>
          </cell>
        </row>
        <row r="3139">
          <cell r="D3139">
            <v>0</v>
          </cell>
        </row>
        <row r="3140">
          <cell r="D3140">
            <v>0</v>
          </cell>
        </row>
        <row r="3141">
          <cell r="D3141">
            <v>0</v>
          </cell>
        </row>
        <row r="3142">
          <cell r="D3142">
            <v>0</v>
          </cell>
        </row>
        <row r="3143">
          <cell r="D3143">
            <v>0</v>
          </cell>
        </row>
        <row r="3144">
          <cell r="D3144">
            <v>0</v>
          </cell>
        </row>
        <row r="3145">
          <cell r="D3145">
            <v>0</v>
          </cell>
        </row>
        <row r="3146">
          <cell r="D3146">
            <v>0</v>
          </cell>
        </row>
        <row r="3147">
          <cell r="D3147">
            <v>0</v>
          </cell>
        </row>
        <row r="3148">
          <cell r="D3148">
            <v>0</v>
          </cell>
        </row>
        <row r="3149">
          <cell r="D3149">
            <v>0</v>
          </cell>
        </row>
        <row r="3150">
          <cell r="D3150">
            <v>0</v>
          </cell>
        </row>
        <row r="3151">
          <cell r="D3151">
            <v>0</v>
          </cell>
        </row>
        <row r="3152">
          <cell r="D3152">
            <v>0</v>
          </cell>
        </row>
        <row r="3153">
          <cell r="D3153">
            <v>0</v>
          </cell>
        </row>
        <row r="3154">
          <cell r="D3154">
            <v>0</v>
          </cell>
        </row>
        <row r="3155">
          <cell r="D3155">
            <v>0</v>
          </cell>
        </row>
        <row r="3156">
          <cell r="D3156">
            <v>0</v>
          </cell>
        </row>
        <row r="3157">
          <cell r="D3157">
            <v>0</v>
          </cell>
        </row>
        <row r="3158">
          <cell r="D3158">
            <v>0</v>
          </cell>
        </row>
        <row r="3159">
          <cell r="D3159">
            <v>0</v>
          </cell>
        </row>
        <row r="3160">
          <cell r="D3160">
            <v>0</v>
          </cell>
        </row>
        <row r="3161">
          <cell r="D3161">
            <v>0</v>
          </cell>
        </row>
        <row r="3162">
          <cell r="D3162">
            <v>0</v>
          </cell>
        </row>
        <row r="3163">
          <cell r="D3163">
            <v>0</v>
          </cell>
        </row>
        <row r="3164">
          <cell r="D3164">
            <v>0</v>
          </cell>
        </row>
        <row r="3165">
          <cell r="D3165">
            <v>0</v>
          </cell>
        </row>
        <row r="3166">
          <cell r="D3166">
            <v>0</v>
          </cell>
        </row>
        <row r="3167">
          <cell r="D3167">
            <v>0</v>
          </cell>
        </row>
        <row r="3168">
          <cell r="D3168">
            <v>0</v>
          </cell>
        </row>
        <row r="3169">
          <cell r="D3169">
            <v>0</v>
          </cell>
        </row>
        <row r="3170">
          <cell r="D3170">
            <v>0</v>
          </cell>
        </row>
        <row r="3171">
          <cell r="D3171">
            <v>0</v>
          </cell>
        </row>
        <row r="3172">
          <cell r="D3172">
            <v>0</v>
          </cell>
        </row>
        <row r="3173">
          <cell r="D3173">
            <v>0</v>
          </cell>
        </row>
        <row r="3174">
          <cell r="D3174">
            <v>0</v>
          </cell>
        </row>
        <row r="3175">
          <cell r="D3175">
            <v>0</v>
          </cell>
        </row>
        <row r="3176">
          <cell r="D3176">
            <v>0</v>
          </cell>
        </row>
        <row r="3177">
          <cell r="D3177">
            <v>0</v>
          </cell>
        </row>
        <row r="3178">
          <cell r="D3178">
            <v>0</v>
          </cell>
        </row>
        <row r="3179">
          <cell r="D3179">
            <v>0</v>
          </cell>
        </row>
        <row r="3180">
          <cell r="D3180">
            <v>0</v>
          </cell>
        </row>
        <row r="3181">
          <cell r="D3181">
            <v>0</v>
          </cell>
        </row>
        <row r="3182">
          <cell r="D3182">
            <v>0</v>
          </cell>
        </row>
        <row r="3183">
          <cell r="D3183">
            <v>0</v>
          </cell>
        </row>
        <row r="3184">
          <cell r="D3184">
            <v>0</v>
          </cell>
        </row>
        <row r="3185">
          <cell r="D3185">
            <v>0</v>
          </cell>
        </row>
        <row r="3186">
          <cell r="D3186">
            <v>0</v>
          </cell>
        </row>
        <row r="3187">
          <cell r="D3187">
            <v>0</v>
          </cell>
        </row>
        <row r="3188">
          <cell r="D3188">
            <v>0</v>
          </cell>
        </row>
        <row r="3189">
          <cell r="D3189">
            <v>0</v>
          </cell>
        </row>
        <row r="3190">
          <cell r="D3190">
            <v>0</v>
          </cell>
        </row>
        <row r="3191">
          <cell r="D3191">
            <v>0</v>
          </cell>
        </row>
        <row r="3192">
          <cell r="D3192">
            <v>0</v>
          </cell>
        </row>
        <row r="3193">
          <cell r="D3193">
            <v>0</v>
          </cell>
        </row>
        <row r="3194">
          <cell r="D3194">
            <v>0</v>
          </cell>
        </row>
        <row r="3195">
          <cell r="D3195">
            <v>0</v>
          </cell>
        </row>
        <row r="3196">
          <cell r="D3196">
            <v>0</v>
          </cell>
        </row>
        <row r="3197">
          <cell r="D3197">
            <v>0</v>
          </cell>
        </row>
        <row r="3198">
          <cell r="D3198">
            <v>0</v>
          </cell>
        </row>
        <row r="3199">
          <cell r="D3199">
            <v>0</v>
          </cell>
        </row>
        <row r="3200">
          <cell r="D3200">
            <v>0</v>
          </cell>
        </row>
        <row r="3201">
          <cell r="D3201">
            <v>0</v>
          </cell>
        </row>
        <row r="3202">
          <cell r="D3202">
            <v>0</v>
          </cell>
        </row>
        <row r="3203">
          <cell r="D3203">
            <v>0</v>
          </cell>
        </row>
        <row r="3204">
          <cell r="D3204">
            <v>0</v>
          </cell>
        </row>
        <row r="3205">
          <cell r="D3205">
            <v>0</v>
          </cell>
        </row>
        <row r="3206">
          <cell r="D3206">
            <v>0</v>
          </cell>
        </row>
        <row r="3207">
          <cell r="D3207">
            <v>0</v>
          </cell>
        </row>
        <row r="3208">
          <cell r="D3208">
            <v>0</v>
          </cell>
        </row>
        <row r="3209">
          <cell r="D3209">
            <v>0</v>
          </cell>
        </row>
        <row r="3210">
          <cell r="D3210">
            <v>0</v>
          </cell>
        </row>
        <row r="3211">
          <cell r="D3211">
            <v>0</v>
          </cell>
        </row>
        <row r="3212">
          <cell r="D3212">
            <v>0</v>
          </cell>
        </row>
        <row r="3213">
          <cell r="D3213">
            <v>0</v>
          </cell>
        </row>
        <row r="3214">
          <cell r="D3214">
            <v>0</v>
          </cell>
        </row>
        <row r="3215">
          <cell r="D3215">
            <v>0</v>
          </cell>
        </row>
        <row r="3216">
          <cell r="D3216">
            <v>0</v>
          </cell>
        </row>
        <row r="3217">
          <cell r="D3217">
            <v>0</v>
          </cell>
        </row>
        <row r="3218">
          <cell r="D3218">
            <v>0</v>
          </cell>
        </row>
        <row r="3219">
          <cell r="D3219">
            <v>0</v>
          </cell>
        </row>
        <row r="3220">
          <cell r="D3220">
            <v>0</v>
          </cell>
        </row>
        <row r="3221">
          <cell r="D3221">
            <v>0</v>
          </cell>
        </row>
        <row r="3222">
          <cell r="D3222">
            <v>0</v>
          </cell>
        </row>
        <row r="3223">
          <cell r="D3223">
            <v>0</v>
          </cell>
        </row>
        <row r="3224">
          <cell r="D3224">
            <v>0</v>
          </cell>
        </row>
        <row r="3225">
          <cell r="D3225">
            <v>0</v>
          </cell>
        </row>
        <row r="3226">
          <cell r="D3226">
            <v>0</v>
          </cell>
        </row>
        <row r="3227">
          <cell r="D3227">
            <v>0</v>
          </cell>
        </row>
        <row r="3228">
          <cell r="D3228">
            <v>0</v>
          </cell>
        </row>
        <row r="3229">
          <cell r="D3229">
            <v>0</v>
          </cell>
        </row>
        <row r="3230">
          <cell r="D3230">
            <v>0</v>
          </cell>
        </row>
        <row r="3231">
          <cell r="D3231">
            <v>0</v>
          </cell>
        </row>
        <row r="3232">
          <cell r="D3232">
            <v>0</v>
          </cell>
        </row>
        <row r="3233">
          <cell r="D3233">
            <v>0</v>
          </cell>
        </row>
        <row r="3234">
          <cell r="D3234">
            <v>0</v>
          </cell>
        </row>
        <row r="3235">
          <cell r="D3235">
            <v>0</v>
          </cell>
        </row>
        <row r="3236">
          <cell r="D3236">
            <v>0</v>
          </cell>
        </row>
        <row r="3237">
          <cell r="D3237">
            <v>0</v>
          </cell>
        </row>
        <row r="3238">
          <cell r="D3238">
            <v>0</v>
          </cell>
        </row>
        <row r="3239">
          <cell r="D3239">
            <v>0</v>
          </cell>
        </row>
        <row r="3240">
          <cell r="D3240">
            <v>0</v>
          </cell>
        </row>
        <row r="3241">
          <cell r="D3241">
            <v>0</v>
          </cell>
        </row>
        <row r="3242">
          <cell r="D3242">
            <v>0</v>
          </cell>
        </row>
        <row r="3243">
          <cell r="D3243">
            <v>0</v>
          </cell>
        </row>
        <row r="3244">
          <cell r="D3244">
            <v>0</v>
          </cell>
        </row>
        <row r="3245">
          <cell r="D3245">
            <v>0</v>
          </cell>
        </row>
        <row r="3246">
          <cell r="D3246">
            <v>0</v>
          </cell>
        </row>
        <row r="3247">
          <cell r="D3247">
            <v>0</v>
          </cell>
        </row>
        <row r="3248">
          <cell r="D3248">
            <v>0</v>
          </cell>
        </row>
        <row r="3249">
          <cell r="D3249">
            <v>0</v>
          </cell>
        </row>
        <row r="3250">
          <cell r="D3250">
            <v>0</v>
          </cell>
        </row>
        <row r="3251">
          <cell r="D3251">
            <v>0</v>
          </cell>
        </row>
        <row r="3252">
          <cell r="D3252">
            <v>0</v>
          </cell>
        </row>
        <row r="3253">
          <cell r="D3253">
            <v>0</v>
          </cell>
        </row>
        <row r="3254">
          <cell r="D3254">
            <v>0</v>
          </cell>
        </row>
        <row r="3255">
          <cell r="D3255">
            <v>0</v>
          </cell>
        </row>
        <row r="3256">
          <cell r="D3256">
            <v>0</v>
          </cell>
        </row>
        <row r="3257">
          <cell r="D3257">
            <v>0</v>
          </cell>
        </row>
        <row r="3258">
          <cell r="D3258">
            <v>0</v>
          </cell>
        </row>
        <row r="3259">
          <cell r="D3259">
            <v>0</v>
          </cell>
        </row>
        <row r="3260">
          <cell r="D3260">
            <v>0</v>
          </cell>
        </row>
        <row r="3261">
          <cell r="D3261">
            <v>0</v>
          </cell>
        </row>
        <row r="3262">
          <cell r="D3262">
            <v>0</v>
          </cell>
        </row>
        <row r="3263">
          <cell r="D3263">
            <v>0</v>
          </cell>
        </row>
        <row r="3264">
          <cell r="D3264">
            <v>0</v>
          </cell>
        </row>
        <row r="3265">
          <cell r="D3265">
            <v>0</v>
          </cell>
        </row>
        <row r="3266">
          <cell r="D3266">
            <v>0</v>
          </cell>
        </row>
        <row r="3267">
          <cell r="D3267">
            <v>0</v>
          </cell>
        </row>
        <row r="3268">
          <cell r="D3268">
            <v>0</v>
          </cell>
        </row>
        <row r="3269">
          <cell r="D3269">
            <v>0</v>
          </cell>
        </row>
        <row r="3270">
          <cell r="D3270">
            <v>0</v>
          </cell>
        </row>
        <row r="3271">
          <cell r="D3271">
            <v>0</v>
          </cell>
        </row>
        <row r="3272">
          <cell r="D3272">
            <v>0</v>
          </cell>
        </row>
        <row r="3273">
          <cell r="D3273">
            <v>0</v>
          </cell>
        </row>
        <row r="3274">
          <cell r="D3274">
            <v>0</v>
          </cell>
        </row>
        <row r="3275">
          <cell r="D3275">
            <v>0</v>
          </cell>
        </row>
        <row r="3276">
          <cell r="D3276">
            <v>0</v>
          </cell>
        </row>
        <row r="3277">
          <cell r="D3277">
            <v>0</v>
          </cell>
        </row>
        <row r="3278">
          <cell r="D3278">
            <v>0</v>
          </cell>
        </row>
        <row r="3279">
          <cell r="D3279">
            <v>0</v>
          </cell>
        </row>
        <row r="3280">
          <cell r="D3280">
            <v>0</v>
          </cell>
        </row>
        <row r="3281">
          <cell r="D3281">
            <v>0</v>
          </cell>
        </row>
        <row r="3282">
          <cell r="D3282">
            <v>0</v>
          </cell>
        </row>
        <row r="3283">
          <cell r="D3283">
            <v>0</v>
          </cell>
        </row>
        <row r="3284">
          <cell r="D3284">
            <v>0</v>
          </cell>
        </row>
        <row r="3285">
          <cell r="D3285">
            <v>0</v>
          </cell>
        </row>
        <row r="3286">
          <cell r="D3286">
            <v>0</v>
          </cell>
        </row>
        <row r="3287">
          <cell r="D3287">
            <v>0</v>
          </cell>
        </row>
        <row r="3288">
          <cell r="D3288">
            <v>0</v>
          </cell>
        </row>
        <row r="3289">
          <cell r="D3289">
            <v>0</v>
          </cell>
        </row>
        <row r="3290">
          <cell r="D3290">
            <v>0</v>
          </cell>
        </row>
        <row r="3291">
          <cell r="D3291">
            <v>0</v>
          </cell>
        </row>
        <row r="3292">
          <cell r="D3292">
            <v>0</v>
          </cell>
        </row>
        <row r="3293">
          <cell r="D3293">
            <v>0</v>
          </cell>
        </row>
        <row r="3294">
          <cell r="D3294">
            <v>0</v>
          </cell>
        </row>
        <row r="3295">
          <cell r="D3295">
            <v>0</v>
          </cell>
        </row>
        <row r="3296">
          <cell r="D3296">
            <v>0</v>
          </cell>
        </row>
        <row r="3297">
          <cell r="D3297">
            <v>0</v>
          </cell>
        </row>
        <row r="3298">
          <cell r="D3298">
            <v>0</v>
          </cell>
        </row>
        <row r="3299">
          <cell r="D3299">
            <v>0</v>
          </cell>
        </row>
        <row r="3300">
          <cell r="D3300">
            <v>0</v>
          </cell>
        </row>
        <row r="3301">
          <cell r="D3301">
            <v>0</v>
          </cell>
        </row>
        <row r="3302">
          <cell r="D3302">
            <v>0</v>
          </cell>
        </row>
        <row r="3303">
          <cell r="D3303">
            <v>0</v>
          </cell>
        </row>
        <row r="3304">
          <cell r="D3304">
            <v>0</v>
          </cell>
        </row>
        <row r="3305">
          <cell r="D3305">
            <v>0</v>
          </cell>
        </row>
        <row r="3306">
          <cell r="D3306">
            <v>0</v>
          </cell>
        </row>
        <row r="3307">
          <cell r="D3307">
            <v>0</v>
          </cell>
        </row>
        <row r="3308">
          <cell r="D3308">
            <v>0</v>
          </cell>
        </row>
        <row r="3309">
          <cell r="D3309">
            <v>0</v>
          </cell>
        </row>
        <row r="3310">
          <cell r="D3310">
            <v>0</v>
          </cell>
        </row>
        <row r="3311">
          <cell r="D3311">
            <v>0</v>
          </cell>
        </row>
        <row r="3312">
          <cell r="D3312">
            <v>0</v>
          </cell>
        </row>
        <row r="3313">
          <cell r="D3313">
            <v>0</v>
          </cell>
        </row>
        <row r="3314">
          <cell r="D3314">
            <v>0</v>
          </cell>
        </row>
        <row r="3315">
          <cell r="D3315">
            <v>0</v>
          </cell>
        </row>
        <row r="3316">
          <cell r="D3316">
            <v>0</v>
          </cell>
        </row>
        <row r="3317">
          <cell r="D3317">
            <v>0</v>
          </cell>
        </row>
        <row r="3318">
          <cell r="D3318">
            <v>0</v>
          </cell>
        </row>
        <row r="3319">
          <cell r="D3319">
            <v>0</v>
          </cell>
        </row>
        <row r="3320">
          <cell r="D3320">
            <v>0</v>
          </cell>
        </row>
        <row r="3321">
          <cell r="D3321">
            <v>0</v>
          </cell>
        </row>
        <row r="3322">
          <cell r="D3322">
            <v>0</v>
          </cell>
        </row>
        <row r="3323">
          <cell r="D3323">
            <v>0</v>
          </cell>
        </row>
        <row r="3324">
          <cell r="D3324">
            <v>0</v>
          </cell>
        </row>
        <row r="3325">
          <cell r="D3325">
            <v>0</v>
          </cell>
        </row>
        <row r="3326">
          <cell r="D3326">
            <v>0</v>
          </cell>
        </row>
        <row r="3327">
          <cell r="D3327">
            <v>0</v>
          </cell>
        </row>
        <row r="3328">
          <cell r="D3328">
            <v>0</v>
          </cell>
        </row>
        <row r="3329">
          <cell r="D3329">
            <v>0</v>
          </cell>
        </row>
        <row r="3330">
          <cell r="D3330">
            <v>0</v>
          </cell>
        </row>
        <row r="3331">
          <cell r="D3331">
            <v>0</v>
          </cell>
        </row>
        <row r="3332">
          <cell r="D3332">
            <v>0</v>
          </cell>
        </row>
        <row r="3333">
          <cell r="D3333">
            <v>0</v>
          </cell>
        </row>
        <row r="3334">
          <cell r="D3334">
            <v>0</v>
          </cell>
        </row>
        <row r="3335">
          <cell r="D3335">
            <v>0</v>
          </cell>
        </row>
        <row r="3336">
          <cell r="D3336">
            <v>0</v>
          </cell>
        </row>
        <row r="3337">
          <cell r="D3337">
            <v>0</v>
          </cell>
        </row>
        <row r="3338">
          <cell r="D3338">
            <v>0</v>
          </cell>
        </row>
        <row r="3339">
          <cell r="D3339">
            <v>0</v>
          </cell>
        </row>
        <row r="3340">
          <cell r="D3340">
            <v>0</v>
          </cell>
        </row>
        <row r="3341">
          <cell r="D3341">
            <v>0</v>
          </cell>
        </row>
        <row r="3342">
          <cell r="D3342">
            <v>0</v>
          </cell>
        </row>
        <row r="3343">
          <cell r="D3343">
            <v>0</v>
          </cell>
        </row>
        <row r="3344">
          <cell r="D3344">
            <v>0</v>
          </cell>
        </row>
        <row r="3345">
          <cell r="D3345">
            <v>0</v>
          </cell>
        </row>
        <row r="3346">
          <cell r="D3346">
            <v>0</v>
          </cell>
        </row>
        <row r="3347">
          <cell r="D3347">
            <v>0</v>
          </cell>
        </row>
        <row r="3348">
          <cell r="D3348">
            <v>0</v>
          </cell>
        </row>
        <row r="3349">
          <cell r="D3349">
            <v>0</v>
          </cell>
        </row>
        <row r="3350">
          <cell r="D3350">
            <v>0</v>
          </cell>
        </row>
        <row r="3351">
          <cell r="D3351">
            <v>0</v>
          </cell>
        </row>
        <row r="3352">
          <cell r="D3352">
            <v>0</v>
          </cell>
        </row>
        <row r="3353">
          <cell r="D3353">
            <v>0</v>
          </cell>
        </row>
        <row r="3354">
          <cell r="D3354">
            <v>0</v>
          </cell>
        </row>
        <row r="3355">
          <cell r="D3355">
            <v>0</v>
          </cell>
        </row>
        <row r="3356">
          <cell r="D3356">
            <v>0</v>
          </cell>
        </row>
        <row r="3357">
          <cell r="D3357">
            <v>0</v>
          </cell>
        </row>
        <row r="3358">
          <cell r="D3358">
            <v>0</v>
          </cell>
        </row>
        <row r="3359">
          <cell r="D3359">
            <v>0</v>
          </cell>
        </row>
        <row r="3360">
          <cell r="D3360">
            <v>0</v>
          </cell>
        </row>
        <row r="3361">
          <cell r="D3361">
            <v>0</v>
          </cell>
        </row>
        <row r="3362">
          <cell r="D3362">
            <v>0</v>
          </cell>
        </row>
        <row r="3363">
          <cell r="D3363">
            <v>0</v>
          </cell>
        </row>
        <row r="3364">
          <cell r="D3364">
            <v>0</v>
          </cell>
        </row>
        <row r="3365">
          <cell r="D3365">
            <v>0</v>
          </cell>
        </row>
        <row r="3366">
          <cell r="D3366">
            <v>0</v>
          </cell>
        </row>
        <row r="3367">
          <cell r="D3367">
            <v>0</v>
          </cell>
        </row>
        <row r="3368">
          <cell r="D3368">
            <v>0</v>
          </cell>
        </row>
        <row r="3369">
          <cell r="D3369">
            <v>0</v>
          </cell>
        </row>
        <row r="3370">
          <cell r="D3370">
            <v>0</v>
          </cell>
        </row>
        <row r="3371">
          <cell r="D3371">
            <v>0</v>
          </cell>
        </row>
        <row r="3372">
          <cell r="D3372">
            <v>0</v>
          </cell>
        </row>
        <row r="3373">
          <cell r="D3373">
            <v>0</v>
          </cell>
        </row>
        <row r="3374">
          <cell r="D3374">
            <v>0</v>
          </cell>
        </row>
        <row r="3375">
          <cell r="D3375">
            <v>0</v>
          </cell>
        </row>
        <row r="3376">
          <cell r="D3376">
            <v>0</v>
          </cell>
        </row>
        <row r="3377">
          <cell r="D3377">
            <v>0</v>
          </cell>
        </row>
        <row r="3378">
          <cell r="D3378">
            <v>0</v>
          </cell>
        </row>
        <row r="3379">
          <cell r="D3379">
            <v>0</v>
          </cell>
        </row>
        <row r="3380">
          <cell r="D3380">
            <v>0</v>
          </cell>
        </row>
        <row r="3381">
          <cell r="D3381">
            <v>0</v>
          </cell>
        </row>
        <row r="3382">
          <cell r="D3382">
            <v>0</v>
          </cell>
        </row>
        <row r="3383">
          <cell r="D3383">
            <v>0</v>
          </cell>
        </row>
        <row r="3384">
          <cell r="D3384">
            <v>0</v>
          </cell>
        </row>
        <row r="3385">
          <cell r="D3385">
            <v>0</v>
          </cell>
        </row>
        <row r="3386">
          <cell r="D3386">
            <v>0</v>
          </cell>
        </row>
        <row r="3387">
          <cell r="D3387">
            <v>0</v>
          </cell>
        </row>
        <row r="3388">
          <cell r="D3388">
            <v>0</v>
          </cell>
        </row>
        <row r="3389">
          <cell r="D3389">
            <v>0</v>
          </cell>
        </row>
        <row r="3390">
          <cell r="D3390">
            <v>0</v>
          </cell>
        </row>
        <row r="3391">
          <cell r="D3391">
            <v>0</v>
          </cell>
        </row>
        <row r="3392">
          <cell r="D3392">
            <v>0</v>
          </cell>
        </row>
        <row r="3393">
          <cell r="D3393">
            <v>0</v>
          </cell>
        </row>
        <row r="3394">
          <cell r="D3394">
            <v>0</v>
          </cell>
        </row>
        <row r="3395">
          <cell r="D3395">
            <v>0</v>
          </cell>
        </row>
        <row r="3396">
          <cell r="D3396">
            <v>0</v>
          </cell>
        </row>
        <row r="3397">
          <cell r="D3397">
            <v>0</v>
          </cell>
        </row>
        <row r="3398">
          <cell r="D3398">
            <v>0</v>
          </cell>
        </row>
        <row r="3399">
          <cell r="D3399">
            <v>0</v>
          </cell>
        </row>
        <row r="3400">
          <cell r="D3400">
            <v>0</v>
          </cell>
        </row>
        <row r="3401">
          <cell r="D3401">
            <v>0</v>
          </cell>
        </row>
        <row r="3402">
          <cell r="D3402">
            <v>0</v>
          </cell>
        </row>
        <row r="3403">
          <cell r="D3403">
            <v>0</v>
          </cell>
        </row>
        <row r="3404">
          <cell r="D3404">
            <v>0</v>
          </cell>
        </row>
        <row r="3405">
          <cell r="D3405">
            <v>0</v>
          </cell>
        </row>
        <row r="3406">
          <cell r="D3406">
            <v>0</v>
          </cell>
        </row>
        <row r="3407">
          <cell r="D3407">
            <v>0</v>
          </cell>
        </row>
        <row r="3408">
          <cell r="D3408">
            <v>0</v>
          </cell>
        </row>
        <row r="3409">
          <cell r="D3409">
            <v>0</v>
          </cell>
        </row>
        <row r="3410">
          <cell r="D3410">
            <v>0</v>
          </cell>
        </row>
        <row r="3411">
          <cell r="D3411">
            <v>0</v>
          </cell>
        </row>
        <row r="3412">
          <cell r="D3412">
            <v>0</v>
          </cell>
        </row>
        <row r="3413">
          <cell r="D3413">
            <v>0</v>
          </cell>
        </row>
        <row r="3414">
          <cell r="D3414">
            <v>0</v>
          </cell>
        </row>
        <row r="3415">
          <cell r="D3415">
            <v>0</v>
          </cell>
        </row>
        <row r="3416">
          <cell r="D3416">
            <v>0</v>
          </cell>
        </row>
        <row r="3417">
          <cell r="D3417">
            <v>0</v>
          </cell>
        </row>
        <row r="3418">
          <cell r="D3418">
            <v>0</v>
          </cell>
        </row>
        <row r="3419">
          <cell r="D3419">
            <v>0</v>
          </cell>
        </row>
        <row r="3420">
          <cell r="D3420">
            <v>0</v>
          </cell>
        </row>
        <row r="3421">
          <cell r="D3421">
            <v>0</v>
          </cell>
        </row>
        <row r="3422">
          <cell r="D3422">
            <v>0</v>
          </cell>
        </row>
        <row r="3423">
          <cell r="D3423">
            <v>0</v>
          </cell>
        </row>
        <row r="3424">
          <cell r="D3424">
            <v>0</v>
          </cell>
        </row>
        <row r="3425">
          <cell r="D3425">
            <v>0</v>
          </cell>
        </row>
        <row r="3426">
          <cell r="D3426">
            <v>0</v>
          </cell>
        </row>
        <row r="3427">
          <cell r="D3427">
            <v>0</v>
          </cell>
        </row>
        <row r="3428">
          <cell r="D3428">
            <v>0</v>
          </cell>
        </row>
        <row r="3429">
          <cell r="D3429">
            <v>0</v>
          </cell>
        </row>
        <row r="3430">
          <cell r="D3430">
            <v>0</v>
          </cell>
        </row>
        <row r="3431">
          <cell r="D3431">
            <v>0</v>
          </cell>
        </row>
        <row r="3432">
          <cell r="D3432">
            <v>0</v>
          </cell>
        </row>
        <row r="3433">
          <cell r="D3433">
            <v>0</v>
          </cell>
        </row>
        <row r="3434">
          <cell r="D3434">
            <v>0</v>
          </cell>
        </row>
        <row r="3435">
          <cell r="D3435">
            <v>0</v>
          </cell>
        </row>
        <row r="3436">
          <cell r="D3436">
            <v>0</v>
          </cell>
        </row>
        <row r="3437">
          <cell r="D3437">
            <v>0</v>
          </cell>
        </row>
        <row r="3438">
          <cell r="D3438">
            <v>0</v>
          </cell>
        </row>
        <row r="3439">
          <cell r="D3439">
            <v>0</v>
          </cell>
        </row>
        <row r="3440">
          <cell r="D3440">
            <v>0</v>
          </cell>
        </row>
        <row r="3441">
          <cell r="D3441">
            <v>0</v>
          </cell>
        </row>
        <row r="3442">
          <cell r="D3442">
            <v>0</v>
          </cell>
        </row>
        <row r="3443">
          <cell r="D3443">
            <v>0</v>
          </cell>
        </row>
        <row r="3444">
          <cell r="D3444">
            <v>0</v>
          </cell>
        </row>
        <row r="3445">
          <cell r="D3445">
            <v>0</v>
          </cell>
        </row>
        <row r="3446">
          <cell r="D3446">
            <v>0</v>
          </cell>
        </row>
        <row r="3447">
          <cell r="D3447">
            <v>0</v>
          </cell>
        </row>
        <row r="3448">
          <cell r="D3448">
            <v>0</v>
          </cell>
        </row>
        <row r="3449">
          <cell r="D3449">
            <v>0</v>
          </cell>
        </row>
        <row r="3450">
          <cell r="D3450">
            <v>0</v>
          </cell>
        </row>
        <row r="3451">
          <cell r="D3451">
            <v>0</v>
          </cell>
        </row>
        <row r="3452">
          <cell r="D3452">
            <v>0</v>
          </cell>
        </row>
        <row r="3453">
          <cell r="D3453">
            <v>0</v>
          </cell>
        </row>
        <row r="3454">
          <cell r="D3454">
            <v>0</v>
          </cell>
        </row>
        <row r="3455">
          <cell r="D3455">
            <v>0</v>
          </cell>
        </row>
        <row r="3456">
          <cell r="D3456">
            <v>0</v>
          </cell>
        </row>
        <row r="3457">
          <cell r="D3457">
            <v>0</v>
          </cell>
        </row>
        <row r="3458">
          <cell r="D3458">
            <v>0</v>
          </cell>
        </row>
        <row r="3459">
          <cell r="D3459">
            <v>0</v>
          </cell>
        </row>
        <row r="3460">
          <cell r="D3460">
            <v>0</v>
          </cell>
        </row>
        <row r="3461">
          <cell r="D3461">
            <v>0</v>
          </cell>
        </row>
        <row r="3462">
          <cell r="D3462">
            <v>0</v>
          </cell>
        </row>
        <row r="3463">
          <cell r="D3463">
            <v>0</v>
          </cell>
        </row>
        <row r="3464">
          <cell r="D3464">
            <v>0</v>
          </cell>
        </row>
        <row r="3465">
          <cell r="D3465">
            <v>0</v>
          </cell>
        </row>
        <row r="3466">
          <cell r="D3466">
            <v>0</v>
          </cell>
        </row>
        <row r="3467">
          <cell r="D3467">
            <v>0</v>
          </cell>
        </row>
        <row r="3468">
          <cell r="D3468">
            <v>0</v>
          </cell>
        </row>
        <row r="3469">
          <cell r="D3469">
            <v>0</v>
          </cell>
        </row>
        <row r="3470">
          <cell r="D3470">
            <v>0</v>
          </cell>
        </row>
        <row r="3471">
          <cell r="D3471">
            <v>0</v>
          </cell>
        </row>
        <row r="3472">
          <cell r="D3472">
            <v>0</v>
          </cell>
        </row>
        <row r="3473">
          <cell r="D3473">
            <v>0</v>
          </cell>
        </row>
        <row r="3474">
          <cell r="D3474">
            <v>0</v>
          </cell>
        </row>
        <row r="3475">
          <cell r="D3475">
            <v>0</v>
          </cell>
        </row>
        <row r="3476">
          <cell r="D3476">
            <v>0</v>
          </cell>
        </row>
        <row r="3477">
          <cell r="D3477">
            <v>0</v>
          </cell>
        </row>
        <row r="3478">
          <cell r="D3478">
            <v>0</v>
          </cell>
        </row>
        <row r="3479">
          <cell r="D3479">
            <v>0</v>
          </cell>
        </row>
        <row r="3480">
          <cell r="D3480">
            <v>0</v>
          </cell>
        </row>
        <row r="3481">
          <cell r="D3481">
            <v>0</v>
          </cell>
        </row>
        <row r="3482">
          <cell r="D3482">
            <v>0</v>
          </cell>
        </row>
        <row r="3483">
          <cell r="D3483">
            <v>0</v>
          </cell>
        </row>
        <row r="3484">
          <cell r="D3484">
            <v>0</v>
          </cell>
        </row>
        <row r="3485">
          <cell r="D3485">
            <v>0</v>
          </cell>
        </row>
        <row r="3486">
          <cell r="D3486">
            <v>0</v>
          </cell>
        </row>
        <row r="3487">
          <cell r="D3487">
            <v>0</v>
          </cell>
        </row>
        <row r="3488">
          <cell r="D3488">
            <v>0</v>
          </cell>
        </row>
        <row r="3489">
          <cell r="D3489">
            <v>0</v>
          </cell>
        </row>
        <row r="3490">
          <cell r="D3490">
            <v>0</v>
          </cell>
        </row>
        <row r="3491">
          <cell r="D3491">
            <v>0</v>
          </cell>
        </row>
        <row r="3492">
          <cell r="D3492">
            <v>0</v>
          </cell>
        </row>
        <row r="3493">
          <cell r="D3493">
            <v>0</v>
          </cell>
        </row>
        <row r="3494">
          <cell r="D3494">
            <v>0</v>
          </cell>
        </row>
        <row r="3495">
          <cell r="D3495">
            <v>0</v>
          </cell>
        </row>
        <row r="3496">
          <cell r="D3496">
            <v>0</v>
          </cell>
        </row>
        <row r="3497">
          <cell r="D3497">
            <v>0</v>
          </cell>
        </row>
        <row r="3498">
          <cell r="D3498">
            <v>0</v>
          </cell>
        </row>
        <row r="3499">
          <cell r="D3499">
            <v>0</v>
          </cell>
        </row>
        <row r="3500">
          <cell r="D3500">
            <v>0</v>
          </cell>
        </row>
        <row r="3501">
          <cell r="D3501">
            <v>0</v>
          </cell>
        </row>
        <row r="3502">
          <cell r="D3502">
            <v>0</v>
          </cell>
        </row>
        <row r="3503">
          <cell r="D3503">
            <v>0</v>
          </cell>
        </row>
        <row r="3504">
          <cell r="D3504">
            <v>0</v>
          </cell>
        </row>
        <row r="3505">
          <cell r="D3505">
            <v>0</v>
          </cell>
        </row>
        <row r="3506">
          <cell r="D3506">
            <v>0</v>
          </cell>
        </row>
        <row r="3507">
          <cell r="D3507">
            <v>0</v>
          </cell>
        </row>
        <row r="3508">
          <cell r="D3508">
            <v>0</v>
          </cell>
        </row>
        <row r="3509">
          <cell r="D3509">
            <v>0</v>
          </cell>
        </row>
        <row r="3510">
          <cell r="D3510">
            <v>0</v>
          </cell>
        </row>
        <row r="3511">
          <cell r="D3511">
            <v>0</v>
          </cell>
        </row>
        <row r="3512">
          <cell r="D3512">
            <v>0</v>
          </cell>
        </row>
        <row r="3513">
          <cell r="D3513">
            <v>0</v>
          </cell>
        </row>
        <row r="3514">
          <cell r="D3514">
            <v>0</v>
          </cell>
        </row>
        <row r="3515">
          <cell r="D3515">
            <v>0</v>
          </cell>
        </row>
        <row r="3516">
          <cell r="D3516">
            <v>0</v>
          </cell>
        </row>
        <row r="3517">
          <cell r="D3517">
            <v>0</v>
          </cell>
        </row>
        <row r="3518">
          <cell r="D3518">
            <v>0</v>
          </cell>
        </row>
        <row r="3519">
          <cell r="D3519">
            <v>0</v>
          </cell>
        </row>
        <row r="3520">
          <cell r="D3520">
            <v>0</v>
          </cell>
        </row>
        <row r="3521">
          <cell r="D3521">
            <v>0</v>
          </cell>
        </row>
        <row r="3522">
          <cell r="D3522">
            <v>0</v>
          </cell>
        </row>
        <row r="3523">
          <cell r="D3523">
            <v>0</v>
          </cell>
        </row>
        <row r="3524">
          <cell r="D3524">
            <v>0</v>
          </cell>
        </row>
        <row r="3525">
          <cell r="D3525">
            <v>0</v>
          </cell>
        </row>
        <row r="3526">
          <cell r="D3526">
            <v>0</v>
          </cell>
        </row>
        <row r="3527">
          <cell r="D3527">
            <v>0</v>
          </cell>
        </row>
        <row r="3528">
          <cell r="D3528">
            <v>0</v>
          </cell>
        </row>
        <row r="3529">
          <cell r="D3529">
            <v>0</v>
          </cell>
        </row>
        <row r="3530">
          <cell r="D3530">
            <v>0</v>
          </cell>
        </row>
        <row r="3531">
          <cell r="D3531">
            <v>0</v>
          </cell>
        </row>
        <row r="3532">
          <cell r="D3532">
            <v>0</v>
          </cell>
        </row>
        <row r="3533">
          <cell r="D3533">
            <v>0</v>
          </cell>
        </row>
        <row r="3534">
          <cell r="D3534">
            <v>0</v>
          </cell>
        </row>
        <row r="3535">
          <cell r="D3535">
            <v>0</v>
          </cell>
        </row>
        <row r="3536">
          <cell r="D3536">
            <v>0</v>
          </cell>
        </row>
        <row r="3537">
          <cell r="D3537">
            <v>0</v>
          </cell>
        </row>
        <row r="3538">
          <cell r="D3538">
            <v>0</v>
          </cell>
        </row>
        <row r="3539">
          <cell r="D3539">
            <v>0</v>
          </cell>
        </row>
        <row r="3540">
          <cell r="D3540">
            <v>0</v>
          </cell>
        </row>
        <row r="3541">
          <cell r="D3541">
            <v>0</v>
          </cell>
        </row>
        <row r="3542">
          <cell r="D3542">
            <v>0</v>
          </cell>
        </row>
        <row r="3543">
          <cell r="D3543">
            <v>0</v>
          </cell>
        </row>
        <row r="3544">
          <cell r="D3544">
            <v>0</v>
          </cell>
        </row>
        <row r="3545">
          <cell r="D3545">
            <v>0</v>
          </cell>
        </row>
        <row r="3546">
          <cell r="D3546">
            <v>0</v>
          </cell>
        </row>
        <row r="3547">
          <cell r="D3547">
            <v>0</v>
          </cell>
        </row>
        <row r="3548">
          <cell r="D3548">
            <v>0</v>
          </cell>
        </row>
        <row r="3549">
          <cell r="D3549">
            <v>0</v>
          </cell>
        </row>
        <row r="3550">
          <cell r="D3550">
            <v>0</v>
          </cell>
        </row>
        <row r="3551">
          <cell r="D3551">
            <v>0</v>
          </cell>
        </row>
        <row r="3552">
          <cell r="D3552">
            <v>0</v>
          </cell>
        </row>
        <row r="3553">
          <cell r="D3553">
            <v>0</v>
          </cell>
        </row>
        <row r="3554">
          <cell r="D3554">
            <v>0</v>
          </cell>
        </row>
        <row r="3555">
          <cell r="D3555">
            <v>0</v>
          </cell>
        </row>
        <row r="3556">
          <cell r="D3556">
            <v>0</v>
          </cell>
        </row>
        <row r="3557">
          <cell r="D3557">
            <v>0</v>
          </cell>
        </row>
        <row r="3558">
          <cell r="D3558">
            <v>0</v>
          </cell>
        </row>
        <row r="3559">
          <cell r="D3559">
            <v>0</v>
          </cell>
        </row>
        <row r="3560">
          <cell r="D3560">
            <v>0</v>
          </cell>
        </row>
        <row r="3561">
          <cell r="D3561">
            <v>0</v>
          </cell>
        </row>
        <row r="3562">
          <cell r="D3562">
            <v>0</v>
          </cell>
        </row>
        <row r="3563">
          <cell r="D3563">
            <v>0</v>
          </cell>
        </row>
        <row r="3564">
          <cell r="D3564">
            <v>0</v>
          </cell>
        </row>
        <row r="3565">
          <cell r="D3565">
            <v>0</v>
          </cell>
        </row>
        <row r="3566">
          <cell r="D3566">
            <v>0</v>
          </cell>
        </row>
        <row r="3567">
          <cell r="D3567">
            <v>0</v>
          </cell>
        </row>
        <row r="3568">
          <cell r="D3568">
            <v>0</v>
          </cell>
        </row>
        <row r="3569">
          <cell r="D3569">
            <v>0</v>
          </cell>
        </row>
        <row r="3570">
          <cell r="D3570">
            <v>0</v>
          </cell>
        </row>
        <row r="3571">
          <cell r="D3571">
            <v>0</v>
          </cell>
        </row>
        <row r="3572">
          <cell r="D3572">
            <v>0</v>
          </cell>
        </row>
        <row r="3573">
          <cell r="D3573">
            <v>0</v>
          </cell>
        </row>
        <row r="3574">
          <cell r="D3574">
            <v>0</v>
          </cell>
        </row>
        <row r="3575">
          <cell r="D3575">
            <v>0</v>
          </cell>
        </row>
        <row r="3576">
          <cell r="D3576">
            <v>0</v>
          </cell>
        </row>
        <row r="3577">
          <cell r="D3577">
            <v>0</v>
          </cell>
        </row>
        <row r="3578">
          <cell r="D3578">
            <v>0</v>
          </cell>
        </row>
        <row r="3579">
          <cell r="D3579">
            <v>0</v>
          </cell>
        </row>
        <row r="3580">
          <cell r="D3580">
            <v>0</v>
          </cell>
        </row>
        <row r="3581">
          <cell r="D3581">
            <v>0</v>
          </cell>
        </row>
        <row r="3582">
          <cell r="D3582">
            <v>0</v>
          </cell>
        </row>
        <row r="3583">
          <cell r="D3583">
            <v>0</v>
          </cell>
        </row>
        <row r="3584">
          <cell r="D3584">
            <v>0</v>
          </cell>
        </row>
        <row r="3585">
          <cell r="D3585">
            <v>0</v>
          </cell>
        </row>
        <row r="3586">
          <cell r="D3586">
            <v>0</v>
          </cell>
        </row>
        <row r="3587">
          <cell r="D3587">
            <v>0</v>
          </cell>
        </row>
        <row r="3588">
          <cell r="D3588">
            <v>0</v>
          </cell>
        </row>
        <row r="3589">
          <cell r="D3589">
            <v>0</v>
          </cell>
        </row>
        <row r="3590">
          <cell r="D3590">
            <v>0</v>
          </cell>
        </row>
        <row r="3591">
          <cell r="D3591">
            <v>0</v>
          </cell>
        </row>
        <row r="3592">
          <cell r="D3592">
            <v>0</v>
          </cell>
        </row>
        <row r="3593">
          <cell r="D3593">
            <v>0</v>
          </cell>
        </row>
        <row r="3594">
          <cell r="D3594">
            <v>0</v>
          </cell>
        </row>
        <row r="3595">
          <cell r="D3595">
            <v>0</v>
          </cell>
        </row>
        <row r="3596">
          <cell r="D3596">
            <v>0</v>
          </cell>
        </row>
        <row r="3597">
          <cell r="D3597">
            <v>0</v>
          </cell>
        </row>
        <row r="3598">
          <cell r="D3598">
            <v>0</v>
          </cell>
        </row>
        <row r="3599">
          <cell r="D3599">
            <v>0</v>
          </cell>
        </row>
        <row r="3600">
          <cell r="D3600">
            <v>0</v>
          </cell>
        </row>
        <row r="3601">
          <cell r="D3601">
            <v>0</v>
          </cell>
        </row>
        <row r="3602">
          <cell r="D3602">
            <v>0</v>
          </cell>
        </row>
        <row r="3603">
          <cell r="D3603">
            <v>0</v>
          </cell>
        </row>
        <row r="3604">
          <cell r="D3604">
            <v>0</v>
          </cell>
        </row>
        <row r="3605">
          <cell r="D3605">
            <v>0</v>
          </cell>
        </row>
        <row r="3606">
          <cell r="D3606">
            <v>0</v>
          </cell>
        </row>
        <row r="3607">
          <cell r="D3607">
            <v>0</v>
          </cell>
        </row>
        <row r="3608">
          <cell r="D3608">
            <v>0</v>
          </cell>
        </row>
        <row r="3609">
          <cell r="D3609">
            <v>0</v>
          </cell>
        </row>
        <row r="3610">
          <cell r="D3610">
            <v>0</v>
          </cell>
        </row>
        <row r="3611">
          <cell r="D3611">
            <v>0</v>
          </cell>
        </row>
        <row r="3612">
          <cell r="D3612">
            <v>0</v>
          </cell>
        </row>
        <row r="3613">
          <cell r="D3613">
            <v>0</v>
          </cell>
        </row>
        <row r="3614">
          <cell r="D3614">
            <v>0</v>
          </cell>
        </row>
        <row r="3615">
          <cell r="D3615">
            <v>0</v>
          </cell>
        </row>
        <row r="3616">
          <cell r="D3616">
            <v>0</v>
          </cell>
        </row>
        <row r="3617">
          <cell r="D3617">
            <v>0</v>
          </cell>
        </row>
        <row r="3618">
          <cell r="D3618">
            <v>0</v>
          </cell>
        </row>
        <row r="3619">
          <cell r="D3619">
            <v>0</v>
          </cell>
        </row>
        <row r="3620">
          <cell r="D3620">
            <v>0</v>
          </cell>
        </row>
        <row r="3621">
          <cell r="D3621">
            <v>0</v>
          </cell>
        </row>
        <row r="3622">
          <cell r="D3622">
            <v>0</v>
          </cell>
        </row>
        <row r="3623">
          <cell r="D3623">
            <v>0</v>
          </cell>
        </row>
        <row r="3624">
          <cell r="D3624">
            <v>0</v>
          </cell>
        </row>
        <row r="3625">
          <cell r="D3625">
            <v>0</v>
          </cell>
        </row>
        <row r="3626">
          <cell r="D3626">
            <v>0</v>
          </cell>
        </row>
        <row r="3627">
          <cell r="D3627">
            <v>0</v>
          </cell>
        </row>
        <row r="3628">
          <cell r="D3628">
            <v>0</v>
          </cell>
        </row>
        <row r="3629">
          <cell r="D3629">
            <v>0</v>
          </cell>
        </row>
        <row r="3630">
          <cell r="D3630">
            <v>0</v>
          </cell>
        </row>
        <row r="3631">
          <cell r="D3631">
            <v>0</v>
          </cell>
        </row>
        <row r="3632">
          <cell r="D3632">
            <v>0</v>
          </cell>
        </row>
        <row r="3633">
          <cell r="D3633">
            <v>0</v>
          </cell>
        </row>
        <row r="3634">
          <cell r="D3634">
            <v>0</v>
          </cell>
        </row>
        <row r="3635">
          <cell r="D3635">
            <v>0</v>
          </cell>
        </row>
        <row r="3636">
          <cell r="D3636">
            <v>0</v>
          </cell>
        </row>
        <row r="3637">
          <cell r="D3637">
            <v>0</v>
          </cell>
        </row>
        <row r="3638">
          <cell r="D3638">
            <v>0</v>
          </cell>
        </row>
        <row r="3639">
          <cell r="D3639">
            <v>0</v>
          </cell>
        </row>
        <row r="3640">
          <cell r="D3640">
            <v>0</v>
          </cell>
        </row>
        <row r="3641">
          <cell r="D3641">
            <v>0</v>
          </cell>
        </row>
        <row r="3642">
          <cell r="D3642">
            <v>0</v>
          </cell>
        </row>
        <row r="3643">
          <cell r="D3643">
            <v>0</v>
          </cell>
        </row>
        <row r="3644">
          <cell r="D3644">
            <v>0</v>
          </cell>
        </row>
        <row r="3645">
          <cell r="D3645">
            <v>0</v>
          </cell>
        </row>
        <row r="3646">
          <cell r="D3646">
            <v>0</v>
          </cell>
        </row>
        <row r="3647">
          <cell r="D3647">
            <v>0</v>
          </cell>
        </row>
        <row r="3648">
          <cell r="D3648">
            <v>0</v>
          </cell>
        </row>
        <row r="3649">
          <cell r="D3649">
            <v>0</v>
          </cell>
        </row>
        <row r="3650">
          <cell r="D3650">
            <v>0</v>
          </cell>
        </row>
        <row r="3651">
          <cell r="D3651">
            <v>0</v>
          </cell>
        </row>
        <row r="3652">
          <cell r="D3652">
            <v>0</v>
          </cell>
        </row>
        <row r="3653">
          <cell r="D3653">
            <v>0</v>
          </cell>
        </row>
        <row r="3654">
          <cell r="D3654">
            <v>0</v>
          </cell>
        </row>
        <row r="3655">
          <cell r="D3655">
            <v>0</v>
          </cell>
        </row>
        <row r="3656">
          <cell r="D3656">
            <v>0</v>
          </cell>
        </row>
        <row r="3657">
          <cell r="D3657">
            <v>0</v>
          </cell>
        </row>
        <row r="3658">
          <cell r="D3658">
            <v>0</v>
          </cell>
        </row>
        <row r="3659">
          <cell r="D3659">
            <v>0</v>
          </cell>
        </row>
        <row r="3660">
          <cell r="D3660">
            <v>0</v>
          </cell>
        </row>
        <row r="3661">
          <cell r="D3661">
            <v>0</v>
          </cell>
        </row>
        <row r="3662">
          <cell r="D3662">
            <v>0</v>
          </cell>
        </row>
        <row r="3663">
          <cell r="D3663">
            <v>0</v>
          </cell>
        </row>
        <row r="3664">
          <cell r="D3664">
            <v>0</v>
          </cell>
        </row>
        <row r="3665">
          <cell r="D3665">
            <v>0</v>
          </cell>
        </row>
        <row r="3666">
          <cell r="D3666">
            <v>0</v>
          </cell>
        </row>
        <row r="3667">
          <cell r="D3667">
            <v>0</v>
          </cell>
        </row>
        <row r="3668">
          <cell r="D3668">
            <v>0</v>
          </cell>
        </row>
        <row r="3669">
          <cell r="D3669">
            <v>0</v>
          </cell>
        </row>
        <row r="3670">
          <cell r="D3670">
            <v>0</v>
          </cell>
        </row>
        <row r="3671">
          <cell r="D3671">
            <v>0</v>
          </cell>
        </row>
        <row r="3672">
          <cell r="D3672">
            <v>0</v>
          </cell>
        </row>
        <row r="3673">
          <cell r="D3673">
            <v>0</v>
          </cell>
        </row>
        <row r="3674">
          <cell r="D3674">
            <v>0</v>
          </cell>
        </row>
        <row r="3675">
          <cell r="D3675">
            <v>0</v>
          </cell>
        </row>
        <row r="3676">
          <cell r="D3676">
            <v>0</v>
          </cell>
        </row>
        <row r="3677">
          <cell r="D3677">
            <v>0</v>
          </cell>
        </row>
        <row r="3678">
          <cell r="D3678">
            <v>0</v>
          </cell>
        </row>
        <row r="3679">
          <cell r="D3679">
            <v>0</v>
          </cell>
        </row>
        <row r="3680">
          <cell r="D3680">
            <v>0</v>
          </cell>
        </row>
        <row r="3681">
          <cell r="D3681">
            <v>0</v>
          </cell>
        </row>
        <row r="3682">
          <cell r="D3682">
            <v>0</v>
          </cell>
        </row>
        <row r="3683">
          <cell r="D3683">
            <v>0</v>
          </cell>
        </row>
        <row r="3684">
          <cell r="D3684">
            <v>0</v>
          </cell>
        </row>
        <row r="3685">
          <cell r="D3685">
            <v>0</v>
          </cell>
        </row>
        <row r="3686">
          <cell r="D3686">
            <v>0</v>
          </cell>
        </row>
        <row r="3687">
          <cell r="D3687">
            <v>0</v>
          </cell>
        </row>
        <row r="3688">
          <cell r="D3688">
            <v>0</v>
          </cell>
        </row>
        <row r="3689">
          <cell r="D3689">
            <v>0</v>
          </cell>
        </row>
        <row r="3690">
          <cell r="D3690">
            <v>0</v>
          </cell>
        </row>
        <row r="3691">
          <cell r="D3691">
            <v>0</v>
          </cell>
        </row>
        <row r="3692">
          <cell r="D3692">
            <v>0</v>
          </cell>
        </row>
        <row r="3693">
          <cell r="D3693">
            <v>0</v>
          </cell>
        </row>
        <row r="3694">
          <cell r="D3694">
            <v>0</v>
          </cell>
        </row>
        <row r="3695">
          <cell r="D3695">
            <v>0</v>
          </cell>
        </row>
        <row r="3696">
          <cell r="D3696">
            <v>0</v>
          </cell>
        </row>
        <row r="3697">
          <cell r="D3697">
            <v>0</v>
          </cell>
        </row>
        <row r="3698">
          <cell r="D3698">
            <v>0</v>
          </cell>
        </row>
        <row r="3699">
          <cell r="D3699">
            <v>0</v>
          </cell>
        </row>
        <row r="3700">
          <cell r="D3700">
            <v>0</v>
          </cell>
        </row>
        <row r="3701">
          <cell r="D3701">
            <v>0</v>
          </cell>
        </row>
        <row r="3702">
          <cell r="D3702">
            <v>0</v>
          </cell>
        </row>
        <row r="3703">
          <cell r="D3703">
            <v>0</v>
          </cell>
        </row>
        <row r="3704">
          <cell r="D3704">
            <v>0</v>
          </cell>
        </row>
        <row r="3705">
          <cell r="D3705">
            <v>0</v>
          </cell>
        </row>
        <row r="3706">
          <cell r="D3706">
            <v>0</v>
          </cell>
        </row>
        <row r="3707">
          <cell r="D3707">
            <v>0</v>
          </cell>
        </row>
        <row r="3708">
          <cell r="D3708">
            <v>0</v>
          </cell>
        </row>
        <row r="3709">
          <cell r="D3709">
            <v>0</v>
          </cell>
        </row>
        <row r="3710">
          <cell r="D3710">
            <v>0</v>
          </cell>
        </row>
        <row r="3711">
          <cell r="D3711">
            <v>0</v>
          </cell>
        </row>
        <row r="3712">
          <cell r="D3712">
            <v>0</v>
          </cell>
        </row>
        <row r="3713">
          <cell r="D3713">
            <v>0</v>
          </cell>
        </row>
        <row r="3714">
          <cell r="D3714">
            <v>0</v>
          </cell>
        </row>
        <row r="3715">
          <cell r="D3715">
            <v>0</v>
          </cell>
        </row>
        <row r="3716">
          <cell r="D3716">
            <v>0</v>
          </cell>
        </row>
        <row r="3717">
          <cell r="D3717">
            <v>0</v>
          </cell>
        </row>
        <row r="3718">
          <cell r="D3718">
            <v>0</v>
          </cell>
        </row>
        <row r="3719">
          <cell r="D3719">
            <v>0</v>
          </cell>
        </row>
        <row r="3720">
          <cell r="D3720">
            <v>0</v>
          </cell>
        </row>
        <row r="3721">
          <cell r="D3721">
            <v>0</v>
          </cell>
        </row>
        <row r="3722">
          <cell r="D3722">
            <v>0</v>
          </cell>
        </row>
        <row r="3723">
          <cell r="D3723">
            <v>0</v>
          </cell>
        </row>
        <row r="3724">
          <cell r="D3724">
            <v>0</v>
          </cell>
        </row>
        <row r="3725">
          <cell r="D3725">
            <v>0</v>
          </cell>
        </row>
        <row r="3726">
          <cell r="D3726">
            <v>0</v>
          </cell>
        </row>
        <row r="3727">
          <cell r="D3727">
            <v>0</v>
          </cell>
        </row>
        <row r="3728">
          <cell r="D3728">
            <v>0</v>
          </cell>
        </row>
        <row r="3729">
          <cell r="D3729">
            <v>0</v>
          </cell>
        </row>
        <row r="3730">
          <cell r="D3730">
            <v>0</v>
          </cell>
        </row>
        <row r="3731">
          <cell r="D3731">
            <v>0</v>
          </cell>
        </row>
        <row r="3732">
          <cell r="D3732">
            <v>0</v>
          </cell>
        </row>
        <row r="3733">
          <cell r="D3733">
            <v>0</v>
          </cell>
        </row>
        <row r="3734">
          <cell r="D3734">
            <v>0</v>
          </cell>
        </row>
        <row r="3735">
          <cell r="D3735">
            <v>0</v>
          </cell>
        </row>
        <row r="3736">
          <cell r="D3736">
            <v>0</v>
          </cell>
        </row>
        <row r="3737">
          <cell r="D3737">
            <v>0</v>
          </cell>
        </row>
        <row r="3738">
          <cell r="D3738">
            <v>0</v>
          </cell>
        </row>
        <row r="3739">
          <cell r="D3739">
            <v>0</v>
          </cell>
        </row>
        <row r="3740">
          <cell r="D3740">
            <v>0</v>
          </cell>
        </row>
        <row r="3741">
          <cell r="D3741">
            <v>0</v>
          </cell>
        </row>
        <row r="3742">
          <cell r="D3742">
            <v>0</v>
          </cell>
        </row>
        <row r="3743">
          <cell r="D3743">
            <v>0</v>
          </cell>
        </row>
        <row r="3744">
          <cell r="D3744">
            <v>0</v>
          </cell>
        </row>
        <row r="3745">
          <cell r="D3745">
            <v>0</v>
          </cell>
        </row>
        <row r="3746">
          <cell r="D3746">
            <v>0</v>
          </cell>
        </row>
        <row r="3747">
          <cell r="D3747">
            <v>0</v>
          </cell>
        </row>
        <row r="3748">
          <cell r="D3748">
            <v>0</v>
          </cell>
        </row>
        <row r="3749">
          <cell r="D3749">
            <v>0</v>
          </cell>
        </row>
        <row r="3750">
          <cell r="D3750">
            <v>0</v>
          </cell>
        </row>
        <row r="3751">
          <cell r="D3751">
            <v>0</v>
          </cell>
        </row>
        <row r="3752">
          <cell r="D3752">
            <v>0</v>
          </cell>
        </row>
        <row r="3753">
          <cell r="D3753">
            <v>0</v>
          </cell>
        </row>
        <row r="3754">
          <cell r="D3754">
            <v>0</v>
          </cell>
        </row>
        <row r="3755">
          <cell r="D3755">
            <v>0</v>
          </cell>
        </row>
        <row r="3756">
          <cell r="D3756">
            <v>0</v>
          </cell>
        </row>
        <row r="3757">
          <cell r="D3757">
            <v>0</v>
          </cell>
        </row>
        <row r="3758">
          <cell r="D3758">
            <v>0</v>
          </cell>
        </row>
        <row r="3759">
          <cell r="D3759">
            <v>0</v>
          </cell>
        </row>
        <row r="3760">
          <cell r="D3760">
            <v>0</v>
          </cell>
        </row>
        <row r="3761">
          <cell r="D3761">
            <v>0</v>
          </cell>
        </row>
        <row r="3762">
          <cell r="D3762">
            <v>0</v>
          </cell>
        </row>
        <row r="3763">
          <cell r="D3763">
            <v>0</v>
          </cell>
        </row>
        <row r="3764">
          <cell r="D3764">
            <v>0</v>
          </cell>
        </row>
        <row r="3765">
          <cell r="D3765">
            <v>0</v>
          </cell>
        </row>
        <row r="3766">
          <cell r="D3766">
            <v>0</v>
          </cell>
        </row>
        <row r="3767">
          <cell r="D3767">
            <v>0</v>
          </cell>
        </row>
        <row r="3768">
          <cell r="D3768">
            <v>0</v>
          </cell>
        </row>
        <row r="3769">
          <cell r="D3769">
            <v>0</v>
          </cell>
        </row>
        <row r="3770">
          <cell r="D3770">
            <v>0</v>
          </cell>
        </row>
        <row r="3771">
          <cell r="D3771">
            <v>0</v>
          </cell>
        </row>
        <row r="3772">
          <cell r="D3772">
            <v>0</v>
          </cell>
        </row>
        <row r="3773">
          <cell r="D3773">
            <v>0</v>
          </cell>
        </row>
        <row r="3774">
          <cell r="D3774">
            <v>0</v>
          </cell>
        </row>
        <row r="3775">
          <cell r="D3775">
            <v>0</v>
          </cell>
        </row>
        <row r="3776">
          <cell r="D3776">
            <v>0</v>
          </cell>
        </row>
        <row r="3777">
          <cell r="D3777">
            <v>0</v>
          </cell>
        </row>
        <row r="3778">
          <cell r="D3778">
            <v>0</v>
          </cell>
        </row>
        <row r="3779">
          <cell r="D3779">
            <v>0</v>
          </cell>
        </row>
        <row r="3780">
          <cell r="D3780">
            <v>0</v>
          </cell>
        </row>
        <row r="3781">
          <cell r="D3781">
            <v>0</v>
          </cell>
        </row>
        <row r="3782">
          <cell r="D3782">
            <v>0</v>
          </cell>
        </row>
        <row r="3783">
          <cell r="D3783">
            <v>0</v>
          </cell>
        </row>
        <row r="3784">
          <cell r="D3784">
            <v>0</v>
          </cell>
        </row>
        <row r="3785">
          <cell r="D3785">
            <v>0</v>
          </cell>
        </row>
        <row r="3786">
          <cell r="D3786">
            <v>0</v>
          </cell>
        </row>
        <row r="3787">
          <cell r="D3787">
            <v>0</v>
          </cell>
        </row>
        <row r="3788">
          <cell r="D3788">
            <v>0</v>
          </cell>
        </row>
        <row r="3789">
          <cell r="D3789">
            <v>0</v>
          </cell>
        </row>
        <row r="3790">
          <cell r="D3790">
            <v>0</v>
          </cell>
        </row>
        <row r="3791">
          <cell r="D3791">
            <v>0</v>
          </cell>
        </row>
        <row r="3792">
          <cell r="D3792">
            <v>0</v>
          </cell>
        </row>
        <row r="3793">
          <cell r="D3793">
            <v>0</v>
          </cell>
        </row>
        <row r="3794">
          <cell r="D3794">
            <v>0</v>
          </cell>
        </row>
        <row r="3795">
          <cell r="D3795">
            <v>0</v>
          </cell>
        </row>
        <row r="3796">
          <cell r="D3796">
            <v>0</v>
          </cell>
        </row>
        <row r="3797">
          <cell r="D3797">
            <v>0</v>
          </cell>
        </row>
        <row r="3798">
          <cell r="D3798">
            <v>0</v>
          </cell>
        </row>
        <row r="3799">
          <cell r="D3799">
            <v>0</v>
          </cell>
        </row>
        <row r="3800">
          <cell r="D3800">
            <v>0</v>
          </cell>
        </row>
        <row r="3801">
          <cell r="D3801">
            <v>0</v>
          </cell>
        </row>
        <row r="3802">
          <cell r="D3802">
            <v>0</v>
          </cell>
        </row>
        <row r="3803">
          <cell r="D3803">
            <v>0</v>
          </cell>
        </row>
        <row r="3804">
          <cell r="D3804">
            <v>0</v>
          </cell>
        </row>
        <row r="3805">
          <cell r="D3805">
            <v>0</v>
          </cell>
        </row>
        <row r="3806">
          <cell r="D3806">
            <v>0</v>
          </cell>
        </row>
        <row r="3807">
          <cell r="D3807">
            <v>0</v>
          </cell>
        </row>
        <row r="3808">
          <cell r="D3808">
            <v>0</v>
          </cell>
        </row>
        <row r="3809">
          <cell r="D3809">
            <v>0</v>
          </cell>
        </row>
        <row r="3810">
          <cell r="D3810">
            <v>0</v>
          </cell>
        </row>
        <row r="3811">
          <cell r="D3811">
            <v>0</v>
          </cell>
        </row>
        <row r="3812">
          <cell r="D3812">
            <v>0</v>
          </cell>
        </row>
        <row r="3813">
          <cell r="D3813">
            <v>0</v>
          </cell>
        </row>
        <row r="3814">
          <cell r="D3814">
            <v>0</v>
          </cell>
        </row>
        <row r="3815">
          <cell r="D3815">
            <v>0</v>
          </cell>
        </row>
        <row r="3816">
          <cell r="D3816">
            <v>0</v>
          </cell>
        </row>
        <row r="3817">
          <cell r="D3817">
            <v>0</v>
          </cell>
        </row>
        <row r="3818">
          <cell r="D3818">
            <v>0</v>
          </cell>
        </row>
        <row r="3819">
          <cell r="D3819">
            <v>0</v>
          </cell>
        </row>
        <row r="3820">
          <cell r="D3820">
            <v>0</v>
          </cell>
        </row>
        <row r="3821">
          <cell r="D3821">
            <v>0</v>
          </cell>
        </row>
        <row r="3822">
          <cell r="D3822">
            <v>0</v>
          </cell>
        </row>
        <row r="3823">
          <cell r="D3823">
            <v>0</v>
          </cell>
        </row>
        <row r="3824">
          <cell r="D3824">
            <v>0</v>
          </cell>
        </row>
        <row r="3825">
          <cell r="D3825">
            <v>0</v>
          </cell>
        </row>
        <row r="3826">
          <cell r="D3826">
            <v>0</v>
          </cell>
        </row>
        <row r="3827">
          <cell r="D3827">
            <v>0</v>
          </cell>
        </row>
        <row r="3828">
          <cell r="D3828">
            <v>0</v>
          </cell>
        </row>
        <row r="3829">
          <cell r="D3829">
            <v>0</v>
          </cell>
        </row>
        <row r="3830">
          <cell r="D3830">
            <v>0</v>
          </cell>
        </row>
        <row r="3831">
          <cell r="D3831">
            <v>0</v>
          </cell>
        </row>
        <row r="3832">
          <cell r="D3832">
            <v>0</v>
          </cell>
        </row>
        <row r="3833">
          <cell r="D3833">
            <v>0</v>
          </cell>
        </row>
        <row r="3834">
          <cell r="D3834">
            <v>0</v>
          </cell>
        </row>
        <row r="3835">
          <cell r="D3835">
            <v>0</v>
          </cell>
        </row>
        <row r="3836">
          <cell r="D3836">
            <v>0</v>
          </cell>
        </row>
        <row r="3837">
          <cell r="D3837">
            <v>0</v>
          </cell>
        </row>
        <row r="3838">
          <cell r="D3838">
            <v>0</v>
          </cell>
        </row>
        <row r="3839">
          <cell r="D3839">
            <v>0</v>
          </cell>
        </row>
        <row r="3840">
          <cell r="D3840">
            <v>0</v>
          </cell>
        </row>
        <row r="3841">
          <cell r="D3841">
            <v>0</v>
          </cell>
        </row>
        <row r="3842">
          <cell r="D3842">
            <v>0</v>
          </cell>
        </row>
        <row r="3843">
          <cell r="D3843">
            <v>0</v>
          </cell>
        </row>
        <row r="3844">
          <cell r="D3844">
            <v>0</v>
          </cell>
        </row>
        <row r="3845">
          <cell r="D3845">
            <v>0</v>
          </cell>
        </row>
        <row r="3846">
          <cell r="D3846">
            <v>0</v>
          </cell>
        </row>
        <row r="3847">
          <cell r="D3847">
            <v>0</v>
          </cell>
        </row>
        <row r="3848">
          <cell r="D3848">
            <v>0</v>
          </cell>
        </row>
        <row r="3849">
          <cell r="D3849">
            <v>0</v>
          </cell>
        </row>
        <row r="3850">
          <cell r="D3850">
            <v>0</v>
          </cell>
        </row>
        <row r="3851">
          <cell r="D3851">
            <v>0</v>
          </cell>
        </row>
        <row r="3852">
          <cell r="D3852">
            <v>0</v>
          </cell>
        </row>
        <row r="3853">
          <cell r="D3853">
            <v>0</v>
          </cell>
        </row>
        <row r="3854">
          <cell r="D3854">
            <v>0</v>
          </cell>
        </row>
        <row r="3855">
          <cell r="D3855">
            <v>0</v>
          </cell>
        </row>
        <row r="3856">
          <cell r="D3856">
            <v>0</v>
          </cell>
        </row>
        <row r="3857">
          <cell r="D3857">
            <v>0</v>
          </cell>
        </row>
        <row r="3858">
          <cell r="D3858">
            <v>0</v>
          </cell>
        </row>
        <row r="3859">
          <cell r="D3859">
            <v>0</v>
          </cell>
        </row>
        <row r="3860">
          <cell r="D3860">
            <v>0</v>
          </cell>
        </row>
        <row r="3861">
          <cell r="D3861">
            <v>0</v>
          </cell>
        </row>
        <row r="3862">
          <cell r="D3862">
            <v>0</v>
          </cell>
        </row>
        <row r="3863">
          <cell r="D3863">
            <v>0</v>
          </cell>
        </row>
        <row r="3864">
          <cell r="D3864">
            <v>0</v>
          </cell>
        </row>
        <row r="3865">
          <cell r="D3865">
            <v>0</v>
          </cell>
        </row>
        <row r="3866">
          <cell r="D3866">
            <v>0</v>
          </cell>
        </row>
        <row r="3867">
          <cell r="D3867">
            <v>0</v>
          </cell>
        </row>
        <row r="3868">
          <cell r="D3868">
            <v>0</v>
          </cell>
        </row>
        <row r="3869">
          <cell r="D3869">
            <v>0</v>
          </cell>
        </row>
        <row r="3870">
          <cell r="D3870">
            <v>0</v>
          </cell>
        </row>
        <row r="3871">
          <cell r="D3871">
            <v>0</v>
          </cell>
        </row>
        <row r="3872">
          <cell r="D3872">
            <v>0</v>
          </cell>
        </row>
        <row r="3873">
          <cell r="D3873">
            <v>0</v>
          </cell>
        </row>
        <row r="3874">
          <cell r="D3874">
            <v>0</v>
          </cell>
        </row>
        <row r="3875">
          <cell r="D3875">
            <v>0</v>
          </cell>
        </row>
        <row r="3876">
          <cell r="D3876">
            <v>0</v>
          </cell>
        </row>
        <row r="3877">
          <cell r="D3877">
            <v>0</v>
          </cell>
        </row>
        <row r="3878">
          <cell r="D3878">
            <v>0</v>
          </cell>
        </row>
        <row r="3879">
          <cell r="D3879">
            <v>0</v>
          </cell>
        </row>
        <row r="3880">
          <cell r="D3880">
            <v>0</v>
          </cell>
        </row>
        <row r="3881">
          <cell r="D3881">
            <v>0</v>
          </cell>
        </row>
        <row r="3882">
          <cell r="D3882">
            <v>0</v>
          </cell>
        </row>
        <row r="3883">
          <cell r="D3883">
            <v>0</v>
          </cell>
        </row>
        <row r="3884">
          <cell r="D3884">
            <v>0</v>
          </cell>
        </row>
        <row r="3885">
          <cell r="D3885">
            <v>0</v>
          </cell>
        </row>
        <row r="3886">
          <cell r="D3886">
            <v>0</v>
          </cell>
        </row>
        <row r="3887">
          <cell r="D3887">
            <v>0</v>
          </cell>
        </row>
        <row r="3888">
          <cell r="D3888">
            <v>0</v>
          </cell>
        </row>
        <row r="3889">
          <cell r="D3889">
            <v>0</v>
          </cell>
        </row>
        <row r="3890">
          <cell r="D3890">
            <v>0</v>
          </cell>
        </row>
        <row r="3891">
          <cell r="D3891">
            <v>0</v>
          </cell>
        </row>
        <row r="3892">
          <cell r="D3892">
            <v>0</v>
          </cell>
        </row>
        <row r="3893">
          <cell r="D3893">
            <v>0</v>
          </cell>
        </row>
        <row r="3894">
          <cell r="D3894">
            <v>0</v>
          </cell>
        </row>
        <row r="3895">
          <cell r="D3895">
            <v>0</v>
          </cell>
        </row>
        <row r="3896">
          <cell r="D3896">
            <v>0</v>
          </cell>
        </row>
        <row r="3897">
          <cell r="D3897">
            <v>0</v>
          </cell>
        </row>
        <row r="3898">
          <cell r="D3898">
            <v>0</v>
          </cell>
        </row>
        <row r="3899">
          <cell r="D3899">
            <v>0</v>
          </cell>
        </row>
        <row r="3900">
          <cell r="D3900">
            <v>0</v>
          </cell>
        </row>
        <row r="3901">
          <cell r="D3901">
            <v>0</v>
          </cell>
        </row>
        <row r="3902">
          <cell r="D3902">
            <v>0</v>
          </cell>
        </row>
        <row r="3903">
          <cell r="D3903">
            <v>0</v>
          </cell>
        </row>
        <row r="3904">
          <cell r="D3904">
            <v>0</v>
          </cell>
        </row>
        <row r="3905">
          <cell r="D3905">
            <v>0</v>
          </cell>
        </row>
        <row r="3906">
          <cell r="D3906">
            <v>0</v>
          </cell>
        </row>
        <row r="3907">
          <cell r="D3907">
            <v>0</v>
          </cell>
        </row>
        <row r="3908">
          <cell r="D3908">
            <v>0</v>
          </cell>
        </row>
        <row r="3909">
          <cell r="D3909">
            <v>0</v>
          </cell>
        </row>
        <row r="3910">
          <cell r="D3910">
            <v>0</v>
          </cell>
        </row>
        <row r="3911">
          <cell r="D3911">
            <v>0</v>
          </cell>
        </row>
        <row r="3912">
          <cell r="D3912">
            <v>0</v>
          </cell>
        </row>
        <row r="3913">
          <cell r="D3913">
            <v>0</v>
          </cell>
        </row>
        <row r="3914">
          <cell r="D3914">
            <v>0</v>
          </cell>
        </row>
        <row r="3915">
          <cell r="D3915">
            <v>0</v>
          </cell>
        </row>
        <row r="3916">
          <cell r="D3916">
            <v>0</v>
          </cell>
        </row>
        <row r="3917">
          <cell r="D3917">
            <v>0</v>
          </cell>
        </row>
        <row r="3918">
          <cell r="D3918">
            <v>0</v>
          </cell>
        </row>
        <row r="3919">
          <cell r="D3919">
            <v>0</v>
          </cell>
        </row>
        <row r="3920">
          <cell r="D3920">
            <v>0</v>
          </cell>
        </row>
        <row r="3921">
          <cell r="D3921">
            <v>0</v>
          </cell>
        </row>
        <row r="3922">
          <cell r="D3922">
            <v>0</v>
          </cell>
        </row>
        <row r="3923">
          <cell r="D3923">
            <v>0</v>
          </cell>
        </row>
        <row r="3924">
          <cell r="D3924">
            <v>0</v>
          </cell>
        </row>
        <row r="3925">
          <cell r="D3925">
            <v>0</v>
          </cell>
        </row>
        <row r="3926">
          <cell r="D3926">
            <v>0</v>
          </cell>
        </row>
        <row r="3927">
          <cell r="D3927">
            <v>0</v>
          </cell>
        </row>
        <row r="3928">
          <cell r="D3928">
            <v>0</v>
          </cell>
        </row>
        <row r="3929">
          <cell r="D3929">
            <v>0</v>
          </cell>
        </row>
        <row r="3930">
          <cell r="D3930">
            <v>0</v>
          </cell>
        </row>
        <row r="3931">
          <cell r="D3931">
            <v>0</v>
          </cell>
        </row>
        <row r="3932">
          <cell r="D3932">
            <v>0</v>
          </cell>
        </row>
        <row r="3933">
          <cell r="D3933">
            <v>0</v>
          </cell>
        </row>
        <row r="3934">
          <cell r="D3934">
            <v>0</v>
          </cell>
        </row>
        <row r="3935">
          <cell r="D3935">
            <v>0</v>
          </cell>
        </row>
        <row r="3936">
          <cell r="D3936">
            <v>0</v>
          </cell>
        </row>
        <row r="3937">
          <cell r="D3937">
            <v>0</v>
          </cell>
        </row>
        <row r="3938">
          <cell r="D3938">
            <v>0</v>
          </cell>
        </row>
        <row r="3939">
          <cell r="D3939">
            <v>0</v>
          </cell>
        </row>
        <row r="3940">
          <cell r="D3940">
            <v>0</v>
          </cell>
        </row>
        <row r="3941">
          <cell r="D3941">
            <v>0</v>
          </cell>
        </row>
        <row r="3942">
          <cell r="D3942">
            <v>0</v>
          </cell>
        </row>
        <row r="3943">
          <cell r="D3943">
            <v>0</v>
          </cell>
        </row>
        <row r="3944">
          <cell r="D3944">
            <v>0</v>
          </cell>
        </row>
        <row r="3945">
          <cell r="D3945">
            <v>0</v>
          </cell>
        </row>
        <row r="3946">
          <cell r="D3946">
            <v>0</v>
          </cell>
        </row>
        <row r="3947">
          <cell r="D3947">
            <v>0</v>
          </cell>
        </row>
        <row r="3948">
          <cell r="D3948">
            <v>0</v>
          </cell>
        </row>
        <row r="3949">
          <cell r="D3949">
            <v>0</v>
          </cell>
        </row>
        <row r="3950">
          <cell r="D3950">
            <v>0</v>
          </cell>
        </row>
        <row r="3951">
          <cell r="D3951">
            <v>0</v>
          </cell>
        </row>
        <row r="3952">
          <cell r="D3952">
            <v>0</v>
          </cell>
        </row>
        <row r="3953">
          <cell r="D3953">
            <v>0</v>
          </cell>
        </row>
        <row r="3954">
          <cell r="D3954">
            <v>0</v>
          </cell>
        </row>
        <row r="3955">
          <cell r="D3955">
            <v>0</v>
          </cell>
        </row>
        <row r="3956">
          <cell r="D3956">
            <v>0</v>
          </cell>
        </row>
        <row r="3957">
          <cell r="D3957">
            <v>0</v>
          </cell>
        </row>
        <row r="3958">
          <cell r="D3958">
            <v>0</v>
          </cell>
        </row>
        <row r="3959">
          <cell r="D3959">
            <v>0</v>
          </cell>
        </row>
        <row r="3960">
          <cell r="D3960">
            <v>0</v>
          </cell>
        </row>
        <row r="3961">
          <cell r="D3961">
            <v>0</v>
          </cell>
        </row>
        <row r="3962">
          <cell r="D3962">
            <v>0</v>
          </cell>
        </row>
        <row r="3963">
          <cell r="D3963">
            <v>0</v>
          </cell>
        </row>
        <row r="3964">
          <cell r="D3964">
            <v>0</v>
          </cell>
        </row>
        <row r="3965">
          <cell r="D3965">
            <v>0</v>
          </cell>
        </row>
        <row r="3966">
          <cell r="D3966">
            <v>0</v>
          </cell>
        </row>
        <row r="3967">
          <cell r="D3967">
            <v>0</v>
          </cell>
        </row>
        <row r="3968">
          <cell r="D3968">
            <v>0</v>
          </cell>
        </row>
        <row r="3969">
          <cell r="D3969">
            <v>0</v>
          </cell>
        </row>
        <row r="3970">
          <cell r="D3970">
            <v>0</v>
          </cell>
        </row>
        <row r="3971">
          <cell r="D3971">
            <v>0</v>
          </cell>
        </row>
        <row r="3972">
          <cell r="D3972">
            <v>0</v>
          </cell>
        </row>
        <row r="3973">
          <cell r="D3973">
            <v>0</v>
          </cell>
        </row>
        <row r="3974">
          <cell r="D3974">
            <v>0</v>
          </cell>
        </row>
        <row r="3975">
          <cell r="D3975">
            <v>0</v>
          </cell>
        </row>
        <row r="3976">
          <cell r="D3976">
            <v>0</v>
          </cell>
        </row>
        <row r="3977">
          <cell r="D3977">
            <v>0</v>
          </cell>
        </row>
        <row r="3978">
          <cell r="D3978">
            <v>0</v>
          </cell>
        </row>
        <row r="3979">
          <cell r="D3979">
            <v>0</v>
          </cell>
        </row>
        <row r="3980">
          <cell r="D3980">
            <v>0</v>
          </cell>
        </row>
        <row r="3981">
          <cell r="D3981">
            <v>0</v>
          </cell>
        </row>
        <row r="3982">
          <cell r="D3982">
            <v>0</v>
          </cell>
        </row>
        <row r="3983">
          <cell r="D3983">
            <v>0</v>
          </cell>
        </row>
        <row r="3984">
          <cell r="D3984">
            <v>0</v>
          </cell>
        </row>
        <row r="3985">
          <cell r="D3985">
            <v>0</v>
          </cell>
        </row>
        <row r="3986">
          <cell r="D3986">
            <v>0</v>
          </cell>
        </row>
        <row r="3987">
          <cell r="D3987">
            <v>0</v>
          </cell>
        </row>
        <row r="3988">
          <cell r="D3988">
            <v>0</v>
          </cell>
        </row>
        <row r="3989">
          <cell r="D3989">
            <v>0</v>
          </cell>
        </row>
        <row r="3990">
          <cell r="D3990">
            <v>0</v>
          </cell>
        </row>
        <row r="3991">
          <cell r="D3991">
            <v>0</v>
          </cell>
        </row>
        <row r="3992">
          <cell r="D3992">
            <v>0</v>
          </cell>
        </row>
        <row r="3993">
          <cell r="D3993">
            <v>0</v>
          </cell>
        </row>
        <row r="3994">
          <cell r="D3994">
            <v>0</v>
          </cell>
        </row>
        <row r="3995">
          <cell r="D3995">
            <v>0</v>
          </cell>
        </row>
        <row r="3996">
          <cell r="D3996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s"/>
      <sheetName val="BS"/>
      <sheetName val="PL"/>
      <sheetName val="CF Revised"/>
      <sheetName val="CF"/>
      <sheetName val="ERF"/>
      <sheetName val="CF-W"/>
      <sheetName val="Consol"/>
      <sheetName val="FN-LLC"/>
      <sheetName val="GP-LLC"/>
      <sheetName val="TB-LLC"/>
      <sheetName val="FN-IND-C"/>
      <sheetName val="FN-IND"/>
      <sheetName val="GP-IND"/>
      <sheetName val="TB-IND"/>
      <sheetName val="FN-MEC"/>
      <sheetName val="GP-MEC"/>
      <sheetName val="TB-MEC"/>
      <sheetName val="FN-GER"/>
      <sheetName val="TB-GER"/>
      <sheetName val="FN-ITL"/>
      <sheetName val="TB-ITL"/>
      <sheetName val="FN-UKL-C"/>
      <sheetName val="FN-UKL"/>
      <sheetName val="GP-UKL"/>
      <sheetName val="TB-UKL"/>
      <sheetName val="FN-ITB"/>
      <sheetName val="GP-ITB"/>
      <sheetName val="TB-ITB"/>
      <sheetName val="FN-CHN"/>
      <sheetName val="TB-CHN"/>
      <sheetName val="TB-INC"/>
      <sheetName val="NOTES"/>
    </sheetNames>
    <sheetDataSet>
      <sheetData sheetId="0">
        <row r="4">
          <cell r="D4">
            <v>1.2644277515471045</v>
          </cell>
        </row>
        <row r="5">
          <cell r="D5">
            <v>0.1210060273972605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 Estimate - SFSO"/>
      <sheetName val="Revenue model"/>
      <sheetName val="Capex plan"/>
      <sheetName val="Costs"/>
      <sheetName val="Mktg"/>
      <sheetName val="Assump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PLANTS"/>
      <sheetName val="TALSTOCKVAL"/>
      <sheetName val="BKCSTOCKVAL"/>
      <sheetName val="MAHSTOCKVAL"/>
    </sheetNames>
    <sheetDataSet>
      <sheetData sheetId="0"/>
      <sheetData sheetId="1"/>
      <sheetData sheetId="2"/>
      <sheetData sheetId="3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mbai"/>
      <sheetName val="MUTIL&amp;BUILD-SECURE"/>
      <sheetName val="MUTIL&amp;BUILD-ELEC"/>
      <sheetName val="MUTIL&amp;BUILDCIV-BUILD"/>
      <sheetName val="MUTIL&amp;BUILD-HVAC"/>
      <sheetName val="MELECTRONICS"/>
      <sheetName val="MRACKS"/>
      <sheetName val="MKNOWHOW"/>
      <sheetName val="MMFA"/>
      <sheetName val="Bangalore"/>
      <sheetName val="Cover"/>
      <sheetName val="Index"/>
      <sheetName val="Ex summary"/>
      <sheetName val="Level 0"/>
      <sheetName val="Level2-PoP"/>
      <sheetName val="Level2-B'lore,Mum(2)"/>
      <sheetName val="Level3-Mumbai 11111111111111111"/>
      <sheetName val="Level 3 PoP22222222222222222222"/>
      <sheetName val="backup3333333333333333333333333"/>
      <sheetName val="Level 3-B'lore44444444444444444"/>
      <sheetName val="Assmpns555555555555555555555555"/>
      <sheetName val="IDC computation6666666666666666"/>
      <sheetName val="Employee costs77777777777777777"/>
      <sheetName val="Prelim and preops8888888888888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anagerial rem"/>
      <sheetName val="Details"/>
      <sheetName val="Schedules"/>
      <sheetName val="Balance Sheet"/>
      <sheetName val="Profit &amp; Loss"/>
      <sheetName val="Fixed 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ureA"/>
      <sheetName val="AnnexureB"/>
      <sheetName val="AnnexureC"/>
      <sheetName val="Annexure C"/>
      <sheetName val="Supporting to AnnexureC "/>
      <sheetName val="Supporting to AnnexureD(Ach.)"/>
      <sheetName val="AnnexureD"/>
      <sheetName val="AnnexureE"/>
      <sheetName val="AnnexureG"/>
      <sheetName val="AnnexureH"/>
      <sheetName val="AnnexureI"/>
      <sheetName val="AnnexureF"/>
      <sheetName val="Annexure G"/>
      <sheetName val="Annexure H"/>
      <sheetName val="Annexure I "/>
      <sheetName val="AnnexureJ"/>
      <sheetName val="Annexure K"/>
      <sheetName val="Annxure L"/>
      <sheetName val="Annexure M"/>
      <sheetName val="AnnexureO"/>
      <sheetName val="AnnexureQ"/>
      <sheetName val="consumables"/>
      <sheetName val="Mod.cl Stk Revised Confi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for Memo1"/>
      <sheetName val="Summary for Memo2"/>
      <sheetName val="Summary for Memo 2"/>
      <sheetName val="Summary for Memo3"/>
      <sheetName val="Summary for Memo 4"/>
      <sheetName val="Promote Alt1"/>
      <sheetName val="Promote Alt2"/>
      <sheetName val="Case Selection"/>
      <sheetName val="Closing Costs"/>
      <sheetName val="Asset Mgmt Fees"/>
      <sheetName val="Asset Basis Allocation"/>
      <sheetName val="Summary for CALSTRS"/>
      <sheetName val="Allocation"/>
      <sheetName val="Summary"/>
      <sheetName val="Summary (2)"/>
      <sheetName val="Rollup Summary"/>
      <sheetName val="Rollup CFs"/>
      <sheetName val="Hurdles"/>
      <sheetName val="PrintManagerCode"/>
      <sheetName val="1440 Broadway Summary"/>
      <sheetName val="1440 Broadway CFs"/>
      <sheetName val="350 Madison Summary"/>
      <sheetName val="350 Madison CFs"/>
      <sheetName val="1 N Dearborn Summary"/>
      <sheetName val="1 N Dearborn CFs"/>
      <sheetName val="1 N LaSalle Summary"/>
      <sheetName val="1 N LaSalle CFs"/>
      <sheetName val="360 N Michigan Summary"/>
      <sheetName val="360 N Michigan CFs"/>
      <sheetName val="W Jefferson Summary"/>
      <sheetName val="W Jefferson CFs"/>
      <sheetName val="First National Summary"/>
      <sheetName val="First National CFs"/>
      <sheetName val="Penobscot Summary"/>
      <sheetName val="Penobscot CFs"/>
      <sheetName val="B of A Tower Summary"/>
      <sheetName val="B of A Tower CFs"/>
      <sheetName val="Northlake Summary"/>
      <sheetName val="Northlake CFs"/>
      <sheetName val="Argus Cases-----&gt;"/>
      <sheetName val="1440 Broadway Argus - Base"/>
      <sheetName val="1440 Broadway Argus - Max "/>
      <sheetName val="1440 Broadway Argus - MS"/>
      <sheetName val="350 Madison Argus - Base"/>
      <sheetName val="350 Madison Argus - MAx"/>
      <sheetName val="350 Madison Argus - MS"/>
      <sheetName val="1 N Dearborn Argus - Base"/>
      <sheetName val="One North Dearborn Argus - Max"/>
      <sheetName val="1 N Dearborn Argus - MS"/>
      <sheetName val="1 N LaSalle Argus - Base"/>
      <sheetName val="One North LaSalle Argus - Max"/>
      <sheetName val="1 N LaSalle Argus - MS"/>
      <sheetName val="360 N Michigan Argus - Base"/>
      <sheetName val="360 Michigan Argus - Max"/>
      <sheetName val="360 N Michigan Argus - MS"/>
      <sheetName val="W Jefferson Argus - Base"/>
      <sheetName val="150 W Jefferson Argus - Max"/>
      <sheetName val="W Jefferson Argus - MS"/>
      <sheetName val="First National Argus -Base"/>
      <sheetName val="1st National Argus - Max"/>
      <sheetName val="First National Argus -MS"/>
      <sheetName val="Penobscot Argus - Base"/>
      <sheetName val="Penobscot Argus - Max"/>
      <sheetName val="Penobscot Argus - MS"/>
      <sheetName val="B of A Tower Argus - Base"/>
      <sheetName val="B of A Tower Argus - Max"/>
      <sheetName val="B of A Tower Argus - MS"/>
      <sheetName val="Northlake Argus - Base"/>
      <sheetName val="Northlake Argus - Max"/>
      <sheetName val="Northlake Argus - MS"/>
      <sheetName val="Level 0"/>
      <sheetName val="Rock Model 06-12-02"/>
      <sheetName val="Summary_for_Memo1"/>
      <sheetName val="Summary_for_Memo2"/>
      <sheetName val="Summary_for_Memo_2"/>
      <sheetName val="Summary_for_Memo3"/>
      <sheetName val="Summary_for_Memo_4"/>
      <sheetName val="Promote_Alt1"/>
      <sheetName val="Promote_Alt2"/>
      <sheetName val="Case_Selection"/>
      <sheetName val="Closing_Costs"/>
      <sheetName val="Asset_Mgmt_Fees"/>
      <sheetName val="Asset_Basis_Allocation"/>
      <sheetName val="Summary_for_CALSTRS"/>
      <sheetName val="Summary_(2)"/>
      <sheetName val="Rollup_Summary"/>
      <sheetName val="Rollup_CFs"/>
      <sheetName val="1440_Broadway_Summary"/>
      <sheetName val="1440_Broadway_CFs"/>
      <sheetName val="350_Madison_Summary"/>
      <sheetName val="350_Madison_CFs"/>
      <sheetName val="1_N_Dearborn_Summary"/>
      <sheetName val="1_N_Dearborn_CFs"/>
      <sheetName val="1_N_LaSalle_Summary"/>
      <sheetName val="1_N_LaSalle_CFs"/>
      <sheetName val="360_N_Michigan_Summary"/>
      <sheetName val="360_N_Michigan_CFs"/>
      <sheetName val="W_Jefferson_Summary"/>
      <sheetName val="W_Jefferson_CFs"/>
      <sheetName val="First_National_Summary"/>
      <sheetName val="First_National_CFs"/>
      <sheetName val="Penobscot_Summary"/>
      <sheetName val="Penobscot_CFs"/>
      <sheetName val="B_of_A_Tower_Summary"/>
      <sheetName val="B_of_A_Tower_CFs"/>
      <sheetName val="Northlake_Summary"/>
      <sheetName val="Northlake_CFs"/>
      <sheetName val="Argus_Cases-----&gt;"/>
      <sheetName val="1440_Broadway_Argus_-_Base"/>
      <sheetName val="1440_Broadway_Argus_-_Max_"/>
      <sheetName val="1440_Broadway_Argus_-_MS"/>
      <sheetName val="350_Madison_Argus_-_Base"/>
      <sheetName val="350_Madison_Argus_-_MAx"/>
      <sheetName val="350_Madison_Argus_-_MS"/>
      <sheetName val="1_N_Dearborn_Argus_-_Base"/>
      <sheetName val="One_North_Dearborn_Argus_-_Max"/>
      <sheetName val="1_N_Dearborn_Argus_-_MS"/>
      <sheetName val="1_N_LaSalle_Argus_-_Base"/>
      <sheetName val="One_North_LaSalle_Argus_-_Max"/>
      <sheetName val="1_N_LaSalle_Argus_-_MS"/>
      <sheetName val="360_N_Michigan_Argus_-_Base"/>
      <sheetName val="360_Michigan_Argus_-_Max"/>
      <sheetName val="360_N_Michigan_Argus_-_MS"/>
      <sheetName val="W_Jefferson_Argus_-_Base"/>
      <sheetName val="150_W_Jefferson_Argus_-_Max"/>
      <sheetName val="W_Jefferson_Argus_-_MS"/>
      <sheetName val="First_National_Argus_-Base"/>
      <sheetName val="1st_National_Argus_-_Max"/>
      <sheetName val="First_National_Argus_-MS"/>
      <sheetName val="Penobscot_Argus_-_Base"/>
      <sheetName val="Penobscot_Argus_-_Max"/>
      <sheetName val="Penobscot_Argus_-_MS"/>
      <sheetName val="B_of_A_Tower_Argus_-_Base"/>
      <sheetName val="B_of_A_Tower_Argus_-_Max"/>
      <sheetName val="B_of_A_Tower_Argus_-_MS"/>
      <sheetName val="Northlake_Argus_-_Base"/>
      <sheetName val="Northlake_Argus_-_Max"/>
      <sheetName val="Northlake_Argus_-_MS"/>
      <sheetName val="Assumptions"/>
      <sheetName val="Sheet3 (2)"/>
      <sheetName val="目录"/>
    </sheetNames>
    <sheetDataSet>
      <sheetData sheetId="0">
        <row r="26">
          <cell r="H26">
            <v>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26">
          <cell r="H26">
            <v>800000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Summary"/>
      <sheetName val="Industry Snapshot"/>
      <sheetName val="Sheet1"/>
      <sheetName val="Data Sheet"/>
      <sheetName val="Growth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JV"/>
      <sheetName val="Opening Balance"/>
      <sheetName val="Depre on OP"/>
      <sheetName val="Additions 1998-99"/>
      <sheetName val="JV"/>
      <sheetName val="Depre Schedule"/>
      <sheetName val="Depre Schedule Land"/>
      <sheetName val="Depre Schedule Policy"/>
      <sheetName val="Land &amp; Cap WIP"/>
      <sheetName val="Land Sale"/>
      <sheetName val="Road Construction"/>
      <sheetName val="Sheet1"/>
      <sheetName val="Furniture"/>
      <sheetName val="Annex 1 &amp;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afety"/>
      <sheetName val="CommCrv"/>
      <sheetName val="Sulphur"/>
      <sheetName val="451S"/>
      <sheetName val="452S"/>
      <sheetName val="453S"/>
      <sheetName val="Wkly-Analysis"/>
      <sheetName val="Manpower"/>
      <sheetName val="Front Analysis"/>
      <sheetName val="R-EQPT"/>
      <sheetName val="UG"/>
      <sheetName val="P&amp;M"/>
      <sheetName val="old file for cuml.plan"/>
      <sheetName val="hydrotesting"/>
      <sheetName val="Sysloops-451"/>
      <sheetName val="Sysloops-452"/>
      <sheetName val="forecast plan"/>
      <sheetName val="Concrete"/>
      <sheetName val="CONCRETE1"/>
      <sheetName val="CONCRETE2"/>
      <sheetName val="S-Curve"/>
      <sheetName val="Piping_fab"/>
      <sheetName val="UG piping"/>
      <sheetName val="Piping_instln"/>
      <sheetName val="Str_steel fab"/>
      <sheetName val="Str_steel"/>
      <sheetName val="Equipment"/>
      <sheetName val="F_heaters, Boilers"/>
      <sheetName val="Electrical"/>
      <sheetName val="Refractory"/>
      <sheetName val="Insulation"/>
      <sheetName val="Instruments"/>
      <sheetName val="Painting"/>
      <sheetName val="critical issues"/>
      <sheetName val="Wkly_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 t="str">
            <v>Weekly Report - Sulphur Complex ( 451,452,453 )</v>
          </cell>
        </row>
        <row r="3">
          <cell r="B3" t="str">
            <v>Progress Analysis for the week ending</v>
          </cell>
          <cell r="H3">
            <v>36301</v>
          </cell>
        </row>
        <row r="4">
          <cell r="B4" t="str">
            <v>Jamnagar Refinery Complex</v>
          </cell>
        </row>
        <row r="5">
          <cell r="B5" t="str">
            <v xml:space="preserve">Sl. </v>
          </cell>
          <cell r="C5" t="str">
            <v>Discipline / Commodity</v>
          </cell>
          <cell r="D5" t="str">
            <v>Resp.</v>
          </cell>
          <cell r="E5" t="str">
            <v>Uom</v>
          </cell>
          <cell r="F5" t="str">
            <v xml:space="preserve">Total </v>
          </cell>
          <cell r="G5" t="str">
            <v>Cumm.</v>
          </cell>
          <cell r="H5" t="str">
            <v xml:space="preserve">Balance </v>
          </cell>
          <cell r="I5" t="str">
            <v>Plan</v>
          </cell>
          <cell r="J5" t="str">
            <v>Actual</v>
          </cell>
          <cell r="K5" t="str">
            <v>Plan %</v>
          </cell>
          <cell r="L5" t="str">
            <v>Act. %</v>
          </cell>
          <cell r="M5" t="str">
            <v>Variance</v>
          </cell>
          <cell r="N5" t="str">
            <v>Reason for Variance.</v>
          </cell>
          <cell r="O5" t="str">
            <v>Gross</v>
          </cell>
          <cell r="P5" t="str">
            <v>Net</v>
          </cell>
          <cell r="Q5" t="str">
            <v>Plan</v>
          </cell>
        </row>
        <row r="6">
          <cell r="B6" t="str">
            <v>no.</v>
          </cell>
          <cell r="F6" t="str">
            <v>Scope</v>
          </cell>
          <cell r="G6" t="str">
            <v>Comp.</v>
          </cell>
          <cell r="H6" t="str">
            <v>Qty.</v>
          </cell>
          <cell r="K6" t="str">
            <v>Contri.</v>
          </cell>
          <cell r="L6" t="str">
            <v>Contri.</v>
          </cell>
          <cell r="O6" t="str">
            <v>Front</v>
          </cell>
          <cell r="P6" t="str">
            <v>Front</v>
          </cell>
          <cell r="Q6" t="str">
            <v>next wk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General"/>
      <sheetName val="Sen"/>
      <sheetName val="Returns (Q)"/>
      <sheetName val="Debt (Q)"/>
      <sheetName val="Dividends"/>
      <sheetName val="Sum 1"/>
      <sheetName val="Sum 2"/>
      <sheetName val="Sum 3"/>
      <sheetName val="Sum 4"/>
      <sheetName val="Comps 1"/>
      <sheetName val="Comps 2"/>
      <sheetName val="Comps 3"/>
      <sheetName val="Returns (A)"/>
      <sheetName val="Tax"/>
      <sheetName val="A-EF&amp;B"/>
      <sheetName val="EF&amp;B (Q)"/>
      <sheetName val="EF&amp;B (A)"/>
      <sheetName val="EF&amp;B (Dep)"/>
      <sheetName val="A-Multiplex"/>
      <sheetName val="Multiplex (Q)"/>
      <sheetName val="Multiplex (A)"/>
      <sheetName val="Multiplex (Dep)"/>
      <sheetName val="A-Office"/>
      <sheetName val="Office (Q)"/>
      <sheetName val="Office (A)"/>
      <sheetName val="Office (Dep)"/>
      <sheetName val="A-Retail"/>
      <sheetName val="Retail (Q)"/>
      <sheetName val="Retail (A)"/>
      <sheetName val="Retail (Dep)"/>
      <sheetName val="A-Club"/>
      <sheetName val="Club (Q)"/>
      <sheetName val="Club (A)"/>
      <sheetName val="Club (Dep)"/>
      <sheetName val="A-Hotel"/>
      <sheetName val="Hotel (Q)"/>
      <sheetName val="Hotel (A)"/>
      <sheetName val="Hotel Backup"/>
      <sheetName val="Hotel (Dep)"/>
      <sheetName val="A-Svc Apt"/>
      <sheetName val="Svc Apt (Q)"/>
      <sheetName val="O- Svc Apt (A)"/>
      <sheetName val="Svc Apt Backup"/>
      <sheetName val="Svc Apt (Dep)"/>
      <sheetName val="A-Condo"/>
      <sheetName val="Condo (Q)"/>
      <sheetName val="Condo (A)"/>
      <sheetName val="Calc-Schedule"/>
      <sheetName val="Cost Breakdown"/>
      <sheetName val="Wkly-Analysis"/>
      <sheetName val="Rollup Summary"/>
      <sheetName val="A_General"/>
      <sheetName val="Project Magic Model_29-July-05"/>
      <sheetName val="Returns_(Q)"/>
      <sheetName val="Debt_(Q)"/>
      <sheetName val="Sum_1"/>
      <sheetName val="Sum_2"/>
      <sheetName val="Sum_3"/>
      <sheetName val="Sum_4"/>
      <sheetName val="Comps_1"/>
      <sheetName val="Comps_2"/>
      <sheetName val="Comps_3"/>
      <sheetName val="Returns_(A)"/>
      <sheetName val="EF&amp;B_(Q)"/>
      <sheetName val="EF&amp;B_(A)"/>
      <sheetName val="EF&amp;B_(Dep)"/>
      <sheetName val="Multiplex_(Q)"/>
      <sheetName val="Multiplex_(A)"/>
      <sheetName val="Multiplex_(Dep)"/>
      <sheetName val="Office_(Q)"/>
      <sheetName val="Office_(A)"/>
      <sheetName val="Office_(Dep)"/>
      <sheetName val="Retail_(Q)"/>
      <sheetName val="Retail_(A)"/>
      <sheetName val="Retail_(Dep)"/>
      <sheetName val="Club_(Q)"/>
      <sheetName val="Club_(A)"/>
      <sheetName val="Club_(Dep)"/>
      <sheetName val="Hotel_(Q)"/>
      <sheetName val="Hotel_(A)"/>
      <sheetName val="Hotel_Backup"/>
      <sheetName val="Hotel_(Dep)"/>
      <sheetName val="A-Svc_Apt"/>
      <sheetName val="Svc_Apt_(Q)"/>
      <sheetName val="O-_Svc_Apt_(A)"/>
      <sheetName val="Svc_Apt_Backup"/>
      <sheetName val="Svc_Apt_(Dep)"/>
      <sheetName val="Condo_(Q)"/>
      <sheetName val="Condo_(A)"/>
      <sheetName val="Cost_Breakdown"/>
      <sheetName val="Project_Magic_Model_29-July-05"/>
    </sheetNames>
    <sheetDataSet>
      <sheetData sheetId="0" refreshError="1">
        <row r="9">
          <cell r="J9" t="str">
            <v>Project Magic</v>
          </cell>
        </row>
      </sheetData>
      <sheetData sheetId="1">
        <row r="9">
          <cell r="J9" t="str">
            <v>Project Magic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10"/>
      <sheetName val="SCH 11A"/>
      <sheetName val="SCH 11B"/>
      <sheetName val="SCH 11C"/>
      <sheetName val="SCH 11D"/>
      <sheetName val="SCH 11E"/>
      <sheetName val="SCH 11F"/>
      <sheetName val="SCH 11G"/>
      <sheetName val="SCH 11H"/>
      <sheetName val="SCH 11 I"/>
      <sheetName val="SCH 11J"/>
      <sheetName val="SCH 12"/>
      <sheetName val="SCH 12A"/>
      <sheetName val="SCH 12B"/>
      <sheetName val="SCHD 12C"/>
      <sheetName val="SCH 12D"/>
      <sheetName val="SCH 12E"/>
      <sheetName val="SCH 13"/>
      <sheetName val="Tit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10"/>
      <sheetName val="SCH 11A"/>
      <sheetName val="SCH 11B"/>
      <sheetName val="SCH 11C"/>
      <sheetName val="SCH 11D"/>
      <sheetName val="SCH 11E"/>
      <sheetName val="SCH 11F"/>
      <sheetName val="SCH 11G"/>
      <sheetName val="SCH 11H"/>
      <sheetName val="SCH 11 I"/>
      <sheetName val="SCH 11J"/>
      <sheetName val="SCH 12"/>
      <sheetName val="SCH 12A"/>
      <sheetName val="SCH 12B"/>
      <sheetName val="SCHD 12C"/>
      <sheetName val="SCH 12D"/>
      <sheetName val="SCH 12E"/>
      <sheetName val="SCH 13"/>
      <sheetName val="Tit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 Analysis "/>
      <sheetName val="Revenue Summary"/>
      <sheetName val="Revenue Template"/>
      <sheetName val="SVBTC"/>
      <sheetName val="Consultant"/>
      <sheetName val="VHRP O&amp;M"/>
      <sheetName val="APEL working"/>
      <sheetName val="East Hyberabad"/>
      <sheetName val="WGEL Status"/>
      <sheetName val="WGEL O&amp;M"/>
      <sheetName val="Wgel extra work"/>
      <sheetName val="TRDCL schedule"/>
      <sheetName val="TRDCL extra work"/>
      <sheetName val="NKEL O&amp;M"/>
      <sheetName val="AMRP Oper and maint"/>
      <sheetName val="AMRP Toll"/>
      <sheetName val="Tickmarks"/>
      <sheetName val="SCH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epn Sch"/>
      <sheetName val="Rates"/>
      <sheetName val="Asset Card"/>
      <sheetName val="Sheet3"/>
      <sheetName val="Sheet1"/>
      <sheetName val="slab01"/>
      <sheetName val="Invoices for February 2003"/>
      <sheetName val="Depn day basis - SoCrates - Co"/>
      <sheetName val="#REF"/>
      <sheetName val="Consolidation _Rs"/>
      <sheetName val="CRITERIA1"/>
      <sheetName val="Parameters&amp;Notes"/>
      <sheetName val="WNS NA 31.03.04"/>
      <sheetName val="WNS UK 31.03.04"/>
      <sheetName val="Discounted Cash Flow"/>
      <sheetName val="Interim NWA converted Dec02~Bal"/>
      <sheetName val="entitlements"/>
      <sheetName val="fa"/>
      <sheetName val="SCH4"/>
      <sheetName val="Ann I"/>
      <sheetName val="Other"/>
      <sheetName val="Summary"/>
      <sheetName val="30.09.00"/>
      <sheetName val="INV"/>
      <sheetName val="R.1.5_GL Dump"/>
      <sheetName val="3A - Segment Calculation"/>
      <sheetName val="Schedules"/>
      <sheetName val="BS Rec Control Sheet"/>
      <sheetName val="PayReg_Master"/>
      <sheetName val="inputs"/>
      <sheetName val="Biz_case"/>
      <sheetName val="Insert"/>
      <sheetName val="Annual"/>
      <sheetName val="nglrpt042964858"/>
      <sheetName val="INPUT"/>
      <sheetName val="10W"/>
      <sheetName val="months"/>
      <sheetName val="Consolidated Budget Worksheet"/>
      <sheetName val="OCT"/>
      <sheetName val="NOV"/>
      <sheetName val="APRIL"/>
      <sheetName val="MAI"/>
      <sheetName val="JUNE"/>
      <sheetName val="JUL"/>
      <sheetName val="SEPT"/>
      <sheetName val="master"/>
      <sheetName val="Parameter_sheet"/>
      <sheetName val="Balance Sheet "/>
      <sheetName val="wdr bldg"/>
      <sheetName val="Index Calculation"/>
      <sheetName val="OneSource Data (2)"/>
      <sheetName val="Balance sheet"/>
      <sheetName val="P&amp;L"/>
      <sheetName val="SCH-A,B,C"/>
      <sheetName val="gen ledger data"/>
      <sheetName val="LE-FTE-Nos"/>
      <sheetName val="CRA Calculator"/>
      <sheetName val="Assumptions"/>
      <sheetName val="FINAL"/>
      <sheetName val="BS-203"/>
      <sheetName val="tb31-03-03"/>
      <sheetName val="Break up Sheet"/>
      <sheetName val="Grpng Dtls"/>
      <sheetName val="G"/>
      <sheetName val="Schedule"/>
      <sheetName val="India Mapping"/>
      <sheetName val="NOTES"/>
      <sheetName val="Index"/>
      <sheetName val="BSPL"/>
      <sheetName val="BS and P&amp;L"/>
      <sheetName val="wip FG"/>
      <sheetName val="97-98"/>
      <sheetName val="inst"/>
      <sheetName val="Hub Inputs"/>
      <sheetName val="Depn_Sch"/>
      <sheetName val="Asset_Card"/>
      <sheetName val="Invoices_for_February_2003"/>
      <sheetName val="Depn_day_basis_-_SoCrates_-_Co"/>
      <sheetName val="Consolidation__Rs"/>
      <sheetName val="WNS_NA_31_03_04"/>
      <sheetName val="WNS_UK_31_03_04"/>
      <sheetName val="Discounted_Cash_Flow"/>
      <sheetName val="Interim_NWA_converted_Dec02~Bal"/>
      <sheetName val="BS_Rec_Control_Sheet"/>
      <sheetName val="Consolidated_Budget_Worksheet"/>
      <sheetName val="30_09_00"/>
      <sheetName val="R_1_5_GL_Dump"/>
      <sheetName val="3A_-_Segment_Calculation"/>
      <sheetName val="wdr_bldg"/>
      <sheetName val="Index_Calculation"/>
      <sheetName val="OneSource_Data_(2)"/>
      <sheetName val="gen_ledger_data"/>
      <sheetName val="Ann_I"/>
      <sheetName val="Balance_sheet"/>
      <sheetName val="Balance_Sheet_"/>
      <sheetName val="Break_up_Sheet"/>
      <sheetName val="CRA_Calculator"/>
      <sheetName val="BS_and_P&amp;L"/>
      <sheetName val="Grpng_Dtls"/>
      <sheetName val="wip_FG"/>
      <sheetName val="Depn_Sch1"/>
      <sheetName val="Asset_Card1"/>
      <sheetName val="Invoices_for_February_20031"/>
      <sheetName val="Depn_day_basis_-_SoCrates_-_Co1"/>
      <sheetName val="Consolidation__Rs1"/>
      <sheetName val="WNS_NA_31_03_041"/>
      <sheetName val="WNS_UK_31_03_041"/>
      <sheetName val="Discounted_Cash_Flow1"/>
      <sheetName val="Interim_NWA_converted_Dec02~Ba1"/>
      <sheetName val="BS_Rec_Control_Sheet1"/>
      <sheetName val="Consolidated_Budget_Worksheet1"/>
      <sheetName val="30_09_001"/>
      <sheetName val="R_1_5_GL_Dump1"/>
      <sheetName val="3A_-_Segment_Calculation1"/>
      <sheetName val="wdr_bldg1"/>
      <sheetName val="Index_Calculation1"/>
      <sheetName val="OneSource_Data_(2)1"/>
      <sheetName val="gen_ledger_data1"/>
      <sheetName val="Ann_I1"/>
      <sheetName val="Balance_sheet1"/>
      <sheetName val="Balance_Sheet_1"/>
      <sheetName val="Break_up_Sheet1"/>
      <sheetName val="CRA_Calculator1"/>
      <sheetName val="BS_and_P&amp;L1"/>
      <sheetName val="Grpng_Dtls1"/>
      <sheetName val="wip_FG1"/>
      <sheetName val="Part A General"/>
      <sheetName val="trial (2)"/>
      <sheetName val="Comp"/>
      <sheetName val="STD2001"/>
      <sheetName val="mar04bs"/>
      <sheetName val="spl-sch"/>
      <sheetName val="Sep 2013"/>
      <sheetName val="CF"/>
      <sheetName val="Contribution"/>
      <sheetName val="Rx"/>
      <sheetName val="Summary Sales"/>
      <sheetName val="Lists"/>
      <sheetName val="Pg.1 Marketing Info"/>
      <sheetName val="Arrear Salary Sheet"/>
      <sheetName val="Control"/>
      <sheetName val="accounts"/>
      <sheetName val="INCOME CAP APPROACH SUM"/>
      <sheetName val="LANGUAGE"/>
      <sheetName val="FORM-16"/>
      <sheetName val="Sch 1-11"/>
      <sheetName val="Challan"/>
      <sheetName val="Lists &amp; Tables"/>
      <sheetName val="PCRPT01"/>
      <sheetName val="VLOOK"/>
      <sheetName val="Key Indicators no allocations"/>
      <sheetName val="2008 P&amp;L without allocations"/>
      <sheetName val="Ledger Reco_311008"/>
      <sheetName val="UK"/>
      <sheetName val="May 09"/>
      <sheetName val="for challans"/>
      <sheetName val="Data Input for MTD SAles"/>
      <sheetName val="P&amp;L February"/>
      <sheetName val="P&amp;L Feb 2001 cumulative"/>
      <sheetName val="Depn_Sch2"/>
      <sheetName val="Asset_Card2"/>
      <sheetName val="Invoices_for_February_20032"/>
      <sheetName val="WNS_NA_31_03_042"/>
      <sheetName val="WNS_UK_31_03_042"/>
      <sheetName val="Discounted_Cash_Flow2"/>
      <sheetName val="Interim_NWA_converted_Dec02~Ba2"/>
      <sheetName val="Consolidation__Rs2"/>
      <sheetName val="BS_Rec_Control_Sheet2"/>
      <sheetName val="Depn_day_basis_-_SoCrates_-_Co2"/>
      <sheetName val="wdr_bldg2"/>
      <sheetName val="Index_Calculation2"/>
      <sheetName val="OneSource_Data_(2)2"/>
      <sheetName val="Balance_sheet2"/>
      <sheetName val="Consolidated_Budget_Worksheet2"/>
      <sheetName val="30_09_002"/>
      <sheetName val="R_1_5_GL_Dump2"/>
      <sheetName val="3A_-_Segment_Calculation2"/>
      <sheetName val="gen_ledger_data2"/>
      <sheetName val="Balance_Sheet_2"/>
      <sheetName val="Ann_I2"/>
      <sheetName val="Break_up_Sheet2"/>
      <sheetName val="CRA_Calculator2"/>
      <sheetName val="BS_and_P&amp;L2"/>
      <sheetName val="Grpng_Dtls2"/>
      <sheetName val="wip_FG2"/>
      <sheetName val="Part_A_General"/>
      <sheetName val="Hub_Inputs"/>
      <sheetName val="trial_(2)"/>
      <sheetName val="India_Mapping"/>
      <sheetName val="Sep_2013"/>
      <sheetName val="Pg_1_Marketing_Info"/>
      <sheetName val="Arrear_Salary_Sheet"/>
      <sheetName val="Summary_Sales"/>
      <sheetName val="Depn_Sch3"/>
      <sheetName val="Asset_Card3"/>
      <sheetName val="Invoices_for_February_20033"/>
      <sheetName val="WNS_NA_31_03_043"/>
      <sheetName val="WNS_UK_31_03_043"/>
      <sheetName val="Discounted_Cash_Flow3"/>
      <sheetName val="Interim_NWA_converted_Dec02~Ba3"/>
      <sheetName val="Consolidation__Rs3"/>
      <sheetName val="BS_Rec_Control_Sheet3"/>
      <sheetName val="Depn_day_basis_-_SoCrates_-_Co3"/>
      <sheetName val="wdr_bldg3"/>
      <sheetName val="Index_Calculation3"/>
      <sheetName val="OneSource_Data_(2)3"/>
      <sheetName val="Balance_sheet3"/>
      <sheetName val="Consolidated_Budget_Worksheet3"/>
      <sheetName val="30_09_003"/>
      <sheetName val="R_1_5_GL_Dump3"/>
      <sheetName val="3A_-_Segment_Calculation3"/>
      <sheetName val="gen_ledger_data3"/>
      <sheetName val="Balance_Sheet_3"/>
      <sheetName val="Ann_I3"/>
      <sheetName val="Break_up_Sheet3"/>
      <sheetName val="CRA_Calculator3"/>
      <sheetName val="BS_and_P&amp;L3"/>
      <sheetName val="Grpng_Dtls3"/>
      <sheetName val="wip_FG3"/>
      <sheetName val="Part_A_General1"/>
      <sheetName val="Hub_Inputs1"/>
      <sheetName val="trial_(2)1"/>
      <sheetName val="India_Mapping1"/>
      <sheetName val="Sep_20131"/>
      <sheetName val="Pg_1_Marketing_Info1"/>
      <sheetName val="Arrear_Salary_Sheet1"/>
      <sheetName val="Summary_Sales1"/>
      <sheetName val="Data_Input_for_MTD_SAles"/>
      <sheetName val="INCOME_CAP_APPROACH_SUM"/>
      <sheetName val="Sch_1-11"/>
      <sheetName val="Lists_&amp;_Tables"/>
      <sheetName val="Ledger_Reco_311008"/>
      <sheetName val="May_09"/>
      <sheetName val="for_challans"/>
      <sheetName val="P&amp;L_February"/>
      <sheetName val="P&amp;L_Feb_2001_cumulative"/>
      <sheetName val="Depn_Sch4"/>
      <sheetName val="Asset_Card4"/>
      <sheetName val="Invoices_for_February_20034"/>
      <sheetName val="WNS_NA_31_03_044"/>
      <sheetName val="WNS_UK_31_03_044"/>
      <sheetName val="Discounted_Cash_Flow4"/>
      <sheetName val="Interim_NWA_converted_Dec02~Ba4"/>
      <sheetName val="Consolidation__Rs4"/>
      <sheetName val="BS_Rec_Control_Sheet4"/>
      <sheetName val="Depn_day_basis_-_SoCrates_-_Co4"/>
      <sheetName val="wdr_bldg4"/>
      <sheetName val="Index_Calculation4"/>
      <sheetName val="OneSource_Data_(2)4"/>
      <sheetName val="Balance_sheet4"/>
      <sheetName val="Consolidated_Budget_Worksheet4"/>
      <sheetName val="30_09_004"/>
      <sheetName val="R_1_5_GL_Dump4"/>
      <sheetName val="3A_-_Segment_Calculation4"/>
      <sheetName val="gen_ledger_data4"/>
      <sheetName val="Balance_Sheet_4"/>
      <sheetName val="Ann_I4"/>
      <sheetName val="Break_up_Sheet4"/>
      <sheetName val="CRA_Calculator4"/>
      <sheetName val="BS_and_P&amp;L4"/>
      <sheetName val="Grpng_Dtls4"/>
      <sheetName val="wip_FG4"/>
      <sheetName val="Hub_Inputs2"/>
      <sheetName val="Part_A_General2"/>
      <sheetName val="trial_(2)2"/>
      <sheetName val="India_Mapping2"/>
      <sheetName val="Sep_20132"/>
      <sheetName val="Pg_1_Marketing_Info2"/>
      <sheetName val="Arrear_Salary_Sheet2"/>
      <sheetName val="Summary_Sales2"/>
      <sheetName val="Data_Input_for_MTD_SAles1"/>
      <sheetName val="INCOME_CAP_APPROACH_SUM1"/>
      <sheetName val="Sch_1-111"/>
      <sheetName val="Lists_&amp;_Tables1"/>
      <sheetName val="Ledger_Reco_3110081"/>
      <sheetName val="May_091"/>
      <sheetName val="for_challans1"/>
      <sheetName val="P&amp;L_February1"/>
      <sheetName val="P&amp;L_Feb_2001_cumulative1"/>
      <sheetName val="Key_Indicators_no_allocations"/>
      <sheetName val="2008_P&amp;L_without_allocations"/>
      <sheetName val="Q-Mtr"/>
      <sheetName val="Asset Consolidated"/>
      <sheetName val="Depn_Sch5"/>
      <sheetName val="Asset_Card5"/>
      <sheetName val="Invoices_for_February_20035"/>
      <sheetName val="WNS_NA_31_03_045"/>
      <sheetName val="WNS_UK_31_03_045"/>
      <sheetName val="Discounted_Cash_Flow5"/>
      <sheetName val="Interim_NWA_converted_Dec02~Ba5"/>
      <sheetName val="Consolidation__Rs5"/>
      <sheetName val="BS_Rec_Control_Sheet5"/>
      <sheetName val="Depn_day_basis_-_SoCrates_-_Co5"/>
      <sheetName val="wdr_bldg5"/>
      <sheetName val="Index_Calculation5"/>
      <sheetName val="OneSource_Data_(2)5"/>
      <sheetName val="Balance_sheet5"/>
      <sheetName val="Consolidated_Budget_Worksheet5"/>
      <sheetName val="30_09_005"/>
      <sheetName val="R_1_5_GL_Dump5"/>
      <sheetName val="3A_-_Segment_Calculation5"/>
      <sheetName val="gen_ledger_data5"/>
      <sheetName val="Balance_Sheet_5"/>
      <sheetName val="Ann_I5"/>
      <sheetName val="Break_up_Sheet5"/>
      <sheetName val="CRA_Calculator5"/>
      <sheetName val="BS_and_P&amp;L5"/>
      <sheetName val="Grpng_Dtls5"/>
      <sheetName val="wip_FG5"/>
      <sheetName val="Part_A_General3"/>
      <sheetName val="Hub_Inputs3"/>
      <sheetName val="trial_(2)3"/>
      <sheetName val="India_Mapping3"/>
      <sheetName val="Sep_20133"/>
      <sheetName val="Pg_1_Marketing_Info3"/>
      <sheetName val="Arrear_Salary_Sheet3"/>
      <sheetName val="Summary_Sales3"/>
      <sheetName val="Data_Input_for_MTD_SAles2"/>
      <sheetName val="INCOME_CAP_APPROACH_SUM2"/>
      <sheetName val="Sch_1-112"/>
      <sheetName val="Lists_&amp;_Tables2"/>
      <sheetName val="Ledger_Reco_3110082"/>
      <sheetName val="May_092"/>
      <sheetName val="for_challans2"/>
      <sheetName val="P&amp;L_February2"/>
      <sheetName val="P&amp;L_Feb_2001_cumulative2"/>
      <sheetName val="Key_Indicators_no_allocations1"/>
      <sheetName val="2008_P&amp;L_without_allocations1"/>
      <sheetName val="SCH- 2"/>
      <sheetName val="OG-EP"/>
      <sheetName val="SCH-A"/>
      <sheetName val="ic"/>
      <sheetName val="Initialisation"/>
      <sheetName val="Companywise Net Inv + Valn"/>
      <sheetName val="sEP2003"/>
      <sheetName val="Inc. Stat from Tral balance"/>
      <sheetName val="March Analysts"/>
      <sheetName val="AN - H"/>
      <sheetName val="PRODUCT LINE"/>
      <sheetName val="tb"/>
      <sheetName val="Results PL"/>
      <sheetName val="NAGAR"/>
      <sheetName val="ANNEX-XXIII"/>
      <sheetName val="BillofMaterials"/>
      <sheetName val="CAs"/>
      <sheetName val="B&amp;S31-03-08"/>
      <sheetName val="Depn_Sch6"/>
      <sheetName val="Asset_Card6"/>
      <sheetName val="Invoices_for_February_20036"/>
      <sheetName val="WNS_NA_31_03_046"/>
      <sheetName val="WNS_UK_31_03_046"/>
      <sheetName val="Discounted_Cash_Flow6"/>
      <sheetName val="Interim_NWA_converted_Dec02~Ba6"/>
      <sheetName val="Consolidation__Rs6"/>
      <sheetName val="BS_Rec_Control_Sheet6"/>
      <sheetName val="Depn_day_basis_-_SoCrates_-_Co6"/>
      <sheetName val="Balance_Sheet_6"/>
      <sheetName val="Ann_I6"/>
      <sheetName val="30_09_006"/>
      <sheetName val="R_1_5_GL_Dump6"/>
      <sheetName val="3A_-_Segment_Calculation6"/>
      <sheetName val="Consolidated_Budget_Worksheet6"/>
      <sheetName val="Index_Calculation6"/>
      <sheetName val="OneSource_Data_(2)6"/>
      <sheetName val="wdr_bldg6"/>
      <sheetName val="gen_ledger_data6"/>
      <sheetName val="Break_up_Sheet6"/>
      <sheetName val="CRA_Calculator6"/>
      <sheetName val="Balance_sheet6"/>
      <sheetName val="BS_and_P&amp;L6"/>
      <sheetName val="Grpng_Dtls6"/>
      <sheetName val="wip_FG6"/>
      <sheetName val="Hub_Inputs4"/>
      <sheetName val="Part_A_General4"/>
      <sheetName val="trial_(2)4"/>
      <sheetName val="India_Mapping4"/>
      <sheetName val="Pg_1_Marketing_Info4"/>
      <sheetName val="Arrear_Salary_Sheet4"/>
      <sheetName val="Sep_20134"/>
      <sheetName val="INCOME_CAP_APPROACH_SUM3"/>
      <sheetName val="Sch_1-113"/>
      <sheetName val="Lists_&amp;_Tables3"/>
      <sheetName val="Ledger_Reco_3110083"/>
      <sheetName val="May_093"/>
      <sheetName val="for_challans3"/>
      <sheetName val="Summary_Sales4"/>
      <sheetName val="Data_Input_for_MTD_SAles3"/>
      <sheetName val="P&amp;L_February3"/>
      <sheetName val="P&amp;L_Feb_2001_cumulative3"/>
      <sheetName val="Key_Indicators_no_allocations2"/>
      <sheetName val="2008_P&amp;L_without_allocations2"/>
      <sheetName val="Depn_Sch7"/>
      <sheetName val="Asset_Card7"/>
      <sheetName val="Invoices_for_February_20037"/>
      <sheetName val="WNS_NA_31_03_047"/>
      <sheetName val="WNS_UK_31_03_047"/>
      <sheetName val="Discounted_Cash_Flow7"/>
      <sheetName val="Interim_NWA_converted_Dec02~Ba7"/>
      <sheetName val="Consolidation__Rs7"/>
      <sheetName val="BS_Rec_Control_Sheet7"/>
      <sheetName val="Depn_day_basis_-_SoCrates_-_Co7"/>
      <sheetName val="Balance_Sheet_7"/>
      <sheetName val="Ann_I7"/>
      <sheetName val="30_09_007"/>
      <sheetName val="R_1_5_GL_Dump7"/>
      <sheetName val="3A_-_Segment_Calculation7"/>
      <sheetName val="Consolidated_Budget_Worksheet7"/>
      <sheetName val="Index_Calculation7"/>
      <sheetName val="OneSource_Data_(2)7"/>
      <sheetName val="wdr_bldg7"/>
      <sheetName val="gen_ledger_data7"/>
      <sheetName val="Break_up_Sheet7"/>
      <sheetName val="CRA_Calculator7"/>
      <sheetName val="Balance_sheet7"/>
      <sheetName val="BS_and_P&amp;L7"/>
      <sheetName val="Grpng_Dtls7"/>
      <sheetName val="wip_FG7"/>
      <sheetName val="Hub_Inputs5"/>
      <sheetName val="Part_A_General5"/>
      <sheetName val="trial_(2)5"/>
      <sheetName val="India_Mapping5"/>
      <sheetName val="Pg_1_Marketing_Info5"/>
      <sheetName val="Arrear_Salary_Sheet5"/>
      <sheetName val="Sep_20135"/>
      <sheetName val="INCOME_CAP_APPROACH_SUM4"/>
      <sheetName val="Sch_1-114"/>
      <sheetName val="Lists_&amp;_Tables4"/>
      <sheetName val="Ledger_Reco_3110084"/>
      <sheetName val="May_094"/>
      <sheetName val="for_challans4"/>
      <sheetName val="Summary_Sales5"/>
      <sheetName val="Data_Input_for_MTD_SAles4"/>
      <sheetName val="P&amp;L_February4"/>
      <sheetName val="P&amp;L_Feb_2001_cumulative4"/>
      <sheetName val="Key_Indicators_no_allocations3"/>
      <sheetName val="2008_P&amp;L_without_allocations3"/>
      <sheetName val="Clause16(b)_PF"/>
      <sheetName val="Table"/>
      <sheetName val="SCPC Profile"/>
      <sheetName val="IS Mo"/>
      <sheetName val="PO.Detail"/>
      <sheetName val="Q4-STDCOST"/>
      <sheetName val="lookup_Update"/>
      <sheetName val="Model"/>
      <sheetName val="Starters"/>
      <sheetName val="August2008"/>
      <sheetName val="PC.5.4 Siebel Revenue"/>
      <sheetName val="STK0731"/>
      <sheetName val="ZSD_REGIO_ADR"/>
      <sheetName val="DRS"/>
      <sheetName val="Preferred Securities"/>
      <sheetName val="BAL.SHEET"/>
      <sheetName val="885"/>
      <sheetName val="Companywise_Net_Inv_+_Valn"/>
      <sheetName val="SCH-_2"/>
      <sheetName val="March_Analysts"/>
      <sheetName val="AN_-_H"/>
      <sheetName val="Depn_Sch8"/>
      <sheetName val="Asset_Card8"/>
      <sheetName val="Invoices_for_February_20038"/>
      <sheetName val="WNS_NA_31_03_048"/>
      <sheetName val="WNS_UK_31_03_048"/>
      <sheetName val="FEDEX"/>
      <sheetName val="Options"/>
      <sheetName val="CCSC"/>
      <sheetName val="Balance"/>
      <sheetName val="Discounted_Cash_Flow8"/>
      <sheetName val="Interim_NWA_converted_Dec02~Ba8"/>
      <sheetName val="Consolidation__Rs8"/>
      <sheetName val="BS_Rec_Control_Sheet8"/>
      <sheetName val="Depn_day_basis_-_SoCrates_-_Co8"/>
      <sheetName val="wdr_bldg8"/>
      <sheetName val="Index_Calculation8"/>
      <sheetName val="OneSource_Data_(2)8"/>
      <sheetName val="Balance_sheet8"/>
      <sheetName val="Consolidated_Budget_Worksheet8"/>
      <sheetName val="30_09_008"/>
      <sheetName val="R_1_5_GL_Dump8"/>
      <sheetName val="3A_-_Segment_Calculation8"/>
      <sheetName val="gen_ledger_data8"/>
      <sheetName val="Balance_Sheet_8"/>
      <sheetName val="Ann_I8"/>
      <sheetName val="Break_up_Sheet8"/>
      <sheetName val="CRA_Calculator8"/>
      <sheetName val="BS_and_P&amp;L8"/>
      <sheetName val="Grpng_Dtls8"/>
      <sheetName val="wip_FG8"/>
      <sheetName val="Part_A_General6"/>
      <sheetName val="Hub_Inputs6"/>
      <sheetName val="trial_(2)6"/>
      <sheetName val="India_Mapping6"/>
      <sheetName val="Sep_20136"/>
      <sheetName val="Pg_1_Marketing_Info6"/>
      <sheetName val="Arrear_Salary_Sheet6"/>
      <sheetName val="Summary_Sales6"/>
      <sheetName val="Data_Input_for_MTD_SAles5"/>
      <sheetName val="INCOME_CAP_APPROACH_SUM5"/>
      <sheetName val="Sch_1-115"/>
      <sheetName val="Lists_&amp;_Tables5"/>
      <sheetName val="Ledger_Reco_3110085"/>
      <sheetName val="May_095"/>
      <sheetName val="for_challans5"/>
      <sheetName val="P&amp;L_February5"/>
      <sheetName val="P&amp;L_Feb_2001_cumulative5"/>
      <sheetName val="Key_Indicators_no_allocations4"/>
      <sheetName val="2008_P&amp;L_without_allocations4"/>
      <sheetName val="BAL_SHEET"/>
      <sheetName val="Asset_Consolidated"/>
      <sheetName val="Inc__Stat_from_Tral_balance"/>
      <sheetName val="PRODUCT_LINE"/>
      <sheetName val="Results_PL"/>
      <sheetName val="RetailExpenses-Input"/>
      <sheetName val="P&amp;L Summary"/>
      <sheetName val="Addi Jan - Dec 99"/>
      <sheetName val="Depn%20day%20basis%20-%20SoCrat"/>
      <sheetName val="Building"/>
      <sheetName val="Page1"/>
      <sheetName val="Stores"/>
      <sheetName val="tds cal"/>
      <sheetName val="Equip Codes"/>
      <sheetName val="Data for Multiple &amp; ratios"/>
      <sheetName val="PL"/>
      <sheetName val="Setup"/>
      <sheetName val="Tools Rev"/>
      <sheetName val="PO"/>
      <sheetName val="Links"/>
      <sheetName val="Base Case"/>
      <sheetName val="Macro1"/>
      <sheetName val="CMO"/>
      <sheetName val="All GL COA"/>
      <sheetName val="Variables"/>
      <sheetName val="Payroll_Statement"/>
      <sheetName val="Asset Detail"/>
      <sheetName val="OpTrack"/>
      <sheetName val="TB March 2002"/>
      <sheetName val="All"/>
      <sheetName val="TV inputs"/>
      <sheetName val="Dash"/>
      <sheetName val="TRIAL BALANCE"/>
      <sheetName val="Sotai"/>
      <sheetName val="Sept-03"/>
      <sheetName val="Masters"/>
      <sheetName val="Project Budget Worksheet"/>
      <sheetName val="Lead"/>
      <sheetName val="SORT"/>
      <sheetName val="Sub lead"/>
      <sheetName val="Share Price"/>
      <sheetName val="SCPC_Profile"/>
      <sheetName val="Data_for_Multiple_&amp;_ratios"/>
      <sheetName val="Preferred_Securities"/>
      <sheetName val="IS_Mo"/>
      <sheetName val="P&amp;L_Summary"/>
      <sheetName val="Addi_Jan_-_Dec_99"/>
      <sheetName val="PC_5_4_Siebel_Revenue"/>
      <sheetName val="Tools_Rev"/>
      <sheetName val="PO_Detail"/>
      <sheetName val="MAIN"/>
      <sheetName val="Financials_toggle"/>
      <sheetName val="Stock Cal"/>
      <sheetName val="Inter unit set off"/>
      <sheetName val="m3&amp;4"/>
      <sheetName val="rm9900"/>
      <sheetName val="Gemstar"/>
      <sheetName val="Instructions"/>
      <sheetName val="Sec Dist W1"/>
      <sheetName val="Sec Dist W2 "/>
      <sheetName val="Sec Dist W3 "/>
      <sheetName val="Sec Dist W4  "/>
      <sheetName val="MIS"/>
      <sheetName val="Telephone deposits written off"/>
      <sheetName val="UK P&amp;L"/>
      <sheetName val="MCORP USA"/>
      <sheetName val="IP Data Collection"/>
      <sheetName val="SUB11250"/>
      <sheetName val="Input-Pack Level"/>
      <sheetName val="BS &amp; Sch."/>
      <sheetName val="EXPENSES"/>
      <sheetName val="SALES-VAL"/>
      <sheetName val="Trial Bal"/>
      <sheetName val="Plan"/>
      <sheetName val="OCCUR"/>
      <sheetName val="ANALYSIS(PACKING)"/>
      <sheetName val="FMT 13-VOLUME BY MARKET"/>
      <sheetName val="FMT 14 -VOLUME BY BRANDS"/>
      <sheetName val="Input Journals"/>
      <sheetName val="Codes"/>
      <sheetName val="GK TB 310302 for OpBal Compare"/>
      <sheetName val="START PAGE"/>
      <sheetName val="Actuals"/>
      <sheetName val="tps"/>
      <sheetName val="prg"/>
      <sheetName val="Approved MTD Proj #'s"/>
      <sheetName val="ES"/>
      <sheetName val="Loan Amortization Schedule"/>
      <sheetName val="SBCM LHI FA WKSHEET"/>
      <sheetName val="vendor listing (2)"/>
      <sheetName val="Rate_dec02"/>
      <sheetName val="Bal Sheet"/>
      <sheetName val="AR_PL"/>
      <sheetName val="0"/>
      <sheetName val="Parent Main"/>
      <sheetName val="depreciation"/>
      <sheetName val="TargIS"/>
      <sheetName val="TargBSCF"/>
      <sheetName val="List"/>
      <sheetName val="#REF:Invoices for February 2003"/>
      <sheetName val="Koersen"/>
      <sheetName val="ASCTRIAL"/>
      <sheetName val="TOE - Summary Commentary"/>
      <sheetName val="Headcount"/>
      <sheetName val="QUERY"/>
      <sheetName val="PS Rates 07-31-01"/>
      <sheetName val="ISMC USA 2004-09"/>
      <sheetName val="DataSheet"/>
      <sheetName val="May TB"/>
      <sheetName val="PEOPLESOFT RATES"/>
      <sheetName val="Depn_Sch9"/>
      <sheetName val="Asset_Card9"/>
      <sheetName val="Invoices_for_February_20039"/>
      <sheetName val="BS_Rec_Control_Sheet9"/>
      <sheetName val="WNS_NA_31_03_049"/>
      <sheetName val="WNS_UK_31_03_049"/>
      <sheetName val="Discounted_Cash_Flow9"/>
      <sheetName val="Interim_NWA_converted_Dec02~Ba9"/>
      <sheetName val="Depn_day_basis_-_SoCrates_-_Co9"/>
      <sheetName val="Consolidation__Rs9"/>
      <sheetName val="Consolidated_Budget_Worksheet9"/>
      <sheetName val="Balance_Sheet_9"/>
      <sheetName val="Balance_sheet9"/>
      <sheetName val="wdr_bldg9"/>
      <sheetName val="Index_Calculation9"/>
      <sheetName val="OneSource_Data_(2)9"/>
      <sheetName val="Grpng_Dtls9"/>
      <sheetName val="Ann_I9"/>
      <sheetName val="30_09_009"/>
      <sheetName val="R_1_5_GL_Dump9"/>
      <sheetName val="3A_-_Segment_Calculation9"/>
      <sheetName val="gen_ledger_data9"/>
      <sheetName val="Break_up_Sheet9"/>
      <sheetName val="CRA_Calculator9"/>
      <sheetName val="India_Mapping7"/>
      <sheetName val="INCOME_CAP_APPROACH_SUM6"/>
      <sheetName val="Part_A_General7"/>
      <sheetName val="Sch_1-116"/>
      <sheetName val="Lists_&amp;_Tables6"/>
      <sheetName val="Arrear_Salary_Sheet7"/>
      <sheetName val="Ledger_Reco_3110086"/>
      <sheetName val="May_096"/>
      <sheetName val="SCH-_21"/>
      <sheetName val="BS_and_P&amp;L9"/>
      <sheetName val="for_challans6"/>
      <sheetName val="Key_Indicators_no_allocations5"/>
      <sheetName val="2008_P&amp;L_without_allocations5"/>
      <sheetName val="wip_FG9"/>
      <sheetName val="Hub_Inputs7"/>
      <sheetName val="Summary_Sales7"/>
      <sheetName val="Companywise_Net_Inv_+_Valn1"/>
      <sheetName val="March_Analysts1"/>
      <sheetName val="AN_-_H1"/>
      <sheetName val="Pg_1_Marketing_Info7"/>
      <sheetName val="IS_Mo1"/>
      <sheetName val="Results_PL1"/>
      <sheetName val="PRODUCT_LINE1"/>
      <sheetName val="Sep_20137"/>
      <sheetName val="trial_(2)7"/>
      <sheetName val="Data_Input_for_MTD_SAles6"/>
      <sheetName val="P&amp;L_February6"/>
      <sheetName val="P&amp;L_Feb_2001_cumulative6"/>
      <sheetName val="SCPC_Profile1"/>
      <sheetName val="Inc__Stat_from_Tral_balance1"/>
      <sheetName val="PC_5_4_Siebel_Revenue1"/>
      <sheetName val="PO_Detail1"/>
      <sheetName val="Asset_Consolidated1"/>
      <sheetName val="Preferred_Securities1"/>
      <sheetName val="P&amp;L_Summary1"/>
      <sheetName val="Addi_Jan_-_Dec_991"/>
      <sheetName val="BAL_SHEET1"/>
      <sheetName val="Tools_Rev1"/>
      <sheetName val="Asset_Detail"/>
      <sheetName val="All_GL_COA"/>
      <sheetName val="tds_cal"/>
      <sheetName val="Equip_Codes"/>
      <sheetName val="Data_for_Multiple_&amp;_ratios1"/>
      <sheetName val="TV_inputs"/>
      <sheetName val="Sub_lead"/>
      <sheetName val="Base_Case"/>
      <sheetName val="Sec_Dist_W1"/>
      <sheetName val="Sec_Dist_W2_"/>
      <sheetName val="Sec_Dist_W3_"/>
      <sheetName val="Sec_Dist_W4__"/>
      <sheetName val="TB_March_2002"/>
      <sheetName val="Share_Price"/>
      <sheetName val="Telephone_deposits_written_off"/>
      <sheetName val="UK_P&amp;L"/>
      <sheetName val="Stock_Cal"/>
      <sheetName val="Inter_unit_set_off"/>
      <sheetName val="TRIAL_BALANCE"/>
      <sheetName val="IP_Data_Collection"/>
      <sheetName val="Invoices for February 2003:#REF"/>
      <sheetName val="Ac.subAc combination"/>
      <sheetName val="Link"/>
      <sheetName val="Depn_Sch10"/>
      <sheetName val="Asset_Card10"/>
      <sheetName val="Invoices_for_February_200310"/>
      <sheetName val="BS_Rec_Control_Sheet10"/>
      <sheetName val="WNS_NA_31_03_0410"/>
      <sheetName val="WNS_UK_31_03_0410"/>
      <sheetName val="Discounted_Cash_Flow10"/>
      <sheetName val="Interim_NWA_converted_Dec02~B10"/>
      <sheetName val="Depn_day_basis_-_SoCrates_-_C10"/>
      <sheetName val="Consolidation__Rs10"/>
      <sheetName val="Consolidated_Budget_Worksheet10"/>
      <sheetName val="Balance_Sheet_10"/>
      <sheetName val="Balance_sheet10"/>
      <sheetName val="wdr_bldg10"/>
      <sheetName val="Index_Calculation10"/>
      <sheetName val="OneSource_Data_(2)10"/>
      <sheetName val="Grpng_Dtls10"/>
      <sheetName val="Ann_I10"/>
      <sheetName val="30_09_0010"/>
      <sheetName val="R_1_5_GL_Dump10"/>
      <sheetName val="3A_-_Segment_Calculation10"/>
      <sheetName val="gen_ledger_data10"/>
      <sheetName val="Break_up_Sheet10"/>
      <sheetName val="CRA_Calculator10"/>
      <sheetName val="India_Mapping8"/>
      <sheetName val="INCOME_CAP_APPROACH_SUM7"/>
      <sheetName val="Part_A_General8"/>
      <sheetName val="Sch_1-117"/>
      <sheetName val="Lists_&amp;_Tables7"/>
      <sheetName val="Arrear_Salary_Sheet8"/>
      <sheetName val="Ledger_Reco_3110087"/>
      <sheetName val="May_097"/>
      <sheetName val="SCH-_22"/>
      <sheetName val="BS_and_P&amp;L10"/>
      <sheetName val="for_challans7"/>
      <sheetName val="Key_Indicators_no_allocations6"/>
      <sheetName val="2008_P&amp;L_without_allocations6"/>
      <sheetName val="wip_FG10"/>
      <sheetName val="Hub_Inputs8"/>
      <sheetName val="Summary_Sales8"/>
      <sheetName val="Companywise_Net_Inv_+_Valn2"/>
      <sheetName val="March_Analysts2"/>
      <sheetName val="AN_-_H2"/>
      <sheetName val="Pg_1_Marketing_Info8"/>
      <sheetName val="IS_Mo2"/>
      <sheetName val="Results_PL2"/>
      <sheetName val="PRODUCT_LINE2"/>
      <sheetName val="Sep_20138"/>
      <sheetName val="trial_(2)8"/>
      <sheetName val="Data_Input_for_MTD_SAles7"/>
      <sheetName val="P&amp;L_February7"/>
      <sheetName val="P&amp;L_Feb_2001_cumulative7"/>
      <sheetName val="SCPC_Profile2"/>
      <sheetName val="Inc__Stat_from_Tral_balance2"/>
      <sheetName val="PC_5_4_Siebel_Revenue2"/>
      <sheetName val="PO_Detail2"/>
      <sheetName val="Asset_Consolidated2"/>
      <sheetName val="Preferred_Securities2"/>
      <sheetName val="P&amp;L_Summary2"/>
      <sheetName val="Addi_Jan_-_Dec_992"/>
      <sheetName val="BAL_SHEET2"/>
      <sheetName val="Tools_Rev2"/>
      <sheetName val="Asset_Detail1"/>
      <sheetName val="All_GL_COA1"/>
      <sheetName val="tds_cal1"/>
      <sheetName val="Equip_Codes1"/>
      <sheetName val="Data_for_Multiple_&amp;_ratios2"/>
      <sheetName val="TV_inputs1"/>
      <sheetName val="Sub_lead1"/>
      <sheetName val="Base_Case1"/>
      <sheetName val="Sec_Dist_W11"/>
      <sheetName val="Sec_Dist_W2_1"/>
      <sheetName val="Sec_Dist_W3_1"/>
      <sheetName val="Sec_Dist_W4__1"/>
      <sheetName val="TB_March_20021"/>
      <sheetName val="Share_Price1"/>
      <sheetName val="Telephone_deposits_written_off1"/>
      <sheetName val="UK_P&amp;L1"/>
      <sheetName val="Stock_Cal1"/>
      <sheetName val="Inter_unit_set_off1"/>
      <sheetName val="TRIAL_BALANCE1"/>
      <sheetName val="IP_Data_Collection1"/>
      <sheetName val="TNHCHINH"/>
      <sheetName val="TDTKP (2)"/>
      <sheetName val="TONGKE3p"/>
      <sheetName val="CHITIET VL-NC-DDTT3PHA "/>
      <sheetName val="CHITIET VL-NC-TT1p"/>
      <sheetName val="Master Price List"/>
      <sheetName val="LOB tree_All"/>
      <sheetName val="Labor abs-NMR"/>
      <sheetName val="Dont Alter"/>
      <sheetName val="B&amp;S31-03-04"/>
      <sheetName val="Rate for Depn"/>
      <sheetName val="F&amp;B"/>
      <sheetName val="Maint"/>
      <sheetName val="Kitchen"/>
      <sheetName val="Housek"/>
      <sheetName val="xlSVH_T"/>
      <sheetName val="Menu"/>
      <sheetName val="Assmp"/>
      <sheetName val="le_data"/>
      <sheetName val="Bsheet"/>
      <sheetName val="FG QTY"/>
      <sheetName val="Avg Rate"/>
      <sheetName val="Checklist"/>
      <sheetName val="GOPI'S UPLOAD"/>
      <sheetName val="New C PM"/>
      <sheetName val="sbu"/>
      <sheetName val="Revenue"/>
      <sheetName val="Tables"/>
      <sheetName val="PGTV P&amp;L"/>
      <sheetName val="TPM Tot"/>
      <sheetName val="StdMarginRegQtr"/>
      <sheetName val="BS-P&amp;L"/>
      <sheetName val="E-7 - Stores &amp; Spares"/>
      <sheetName val="Federal Total"/>
      <sheetName val="Master Support 3"/>
      <sheetName val="Material"/>
      <sheetName val="deb"/>
      <sheetName val="RCC,Ret. Wall"/>
      <sheetName val="vb 9&amp;10"/>
      <sheetName val="MultipleSecurities"/>
      <sheetName val="SACA-NT2"/>
      <sheetName val="14"/>
      <sheetName val="IO LIST"/>
      <sheetName val="Companywise_Net_Inv_+_Valn3"/>
      <sheetName val="SCH-_23"/>
      <sheetName val="March_Analysts3"/>
      <sheetName val="AN_-_H3"/>
      <sheetName val="Companywise_Net_Inv_+_Valn5"/>
      <sheetName val="SCH-_25"/>
      <sheetName val="PRODUCT_LINE4"/>
      <sheetName val="March_Analysts5"/>
      <sheetName val="AN_-_H5"/>
      <sheetName val="Results_PL4"/>
      <sheetName val="Inc__Stat_from_Tral_balance4"/>
      <sheetName val="IS_Mo4"/>
      <sheetName val="PC_5_4_Siebel_Revenue4"/>
      <sheetName val="SCPC_Profile4"/>
      <sheetName val="BAL_SHEET4"/>
      <sheetName val="Preferred_Securities4"/>
      <sheetName val="Asset_Consolidated4"/>
      <sheetName val="P&amp;L_Summary4"/>
      <sheetName val="Addi_Jan_-_Dec_994"/>
      <sheetName val="Tools_Rev4"/>
      <sheetName val="PO_Detail4"/>
      <sheetName val="Companywise_Net_Inv_+_Valn4"/>
      <sheetName val="SCH-_24"/>
      <sheetName val="PRODUCT_LINE3"/>
      <sheetName val="March_Analysts4"/>
      <sheetName val="AN_-_H4"/>
      <sheetName val="Results_PL3"/>
      <sheetName val="Inc__Stat_from_Tral_balance3"/>
      <sheetName val="IS_Mo3"/>
      <sheetName val="PC_5_4_Siebel_Revenue3"/>
      <sheetName val="SCPC_Profile3"/>
      <sheetName val="BAL_SHEET3"/>
      <sheetName val="Preferred_Securities3"/>
      <sheetName val="Asset_Consolidated3"/>
      <sheetName val="P&amp;L_Summary3"/>
      <sheetName val="Addi_Jan_-_Dec_993"/>
      <sheetName val="Tools_Rev3"/>
      <sheetName val="PO_Detail3"/>
      <sheetName val="Pile cap"/>
      <sheetName val="00 Income Statement"/>
      <sheetName val="Corporate"/>
      <sheetName val="Prodn Report"/>
      <sheetName val="storico"/>
      <sheetName val="Bal Sht"/>
      <sheetName val="3.Grouping - Profit &amp; Loss(mio)"/>
      <sheetName val="NOPAT MAR'01"/>
      <sheetName val="P &amp; l "/>
      <sheetName val="N 1 B"/>
      <sheetName val="N 1 R"/>
      <sheetName val="GuVMt06"/>
      <sheetName val="June'02"/>
      <sheetName val="STOCK FILE"/>
      <sheetName val="AN_Input"/>
      <sheetName val="LCGRAPH"/>
      <sheetName val="DI-ESTI"/>
      <sheetName val="Cash Flow Working"/>
      <sheetName val="GK_TB_310302_for_OpBal_Compare"/>
      <sheetName val="MCORP_USA"/>
      <sheetName val="Input-Pack_Level"/>
      <sheetName val="Loan_Amortization_Schedule"/>
      <sheetName val="Approved_MTD_Proj_#'s"/>
      <sheetName val="BS_&amp;_Sch_"/>
      <sheetName val="Trial_Bal"/>
      <sheetName val="TPM_Tot"/>
      <sheetName val="Project_Budget_Worksheet"/>
      <sheetName val="PLAN-Malad"/>
      <sheetName val="BS Schdl- 1 &amp; 2"/>
      <sheetName val="vendor_listing_(2)"/>
      <sheetName val="vb_9&amp;10"/>
      <sheetName val="Input_Journals"/>
      <sheetName val="Ac_subAc_combination"/>
      <sheetName val="Invoices_for_February_2003:#REF"/>
      <sheetName val="PGTV_P&amp;L"/>
      <sheetName val="RCC,Ret__Wall"/>
      <sheetName val="Federal_Total"/>
      <sheetName val="START_PAGE"/>
      <sheetName val="Master_Support_3"/>
      <sheetName val="E-7_-_Stores_&amp;_Spares"/>
      <sheetName val="Validation"/>
      <sheetName val="CC &amp; PC"/>
      <sheetName val="Ravika"/>
      <sheetName val="Exchange"/>
    </sheetNames>
    <sheetDataSet>
      <sheetData sheetId="0">
        <row r="18">
          <cell r="B18" t="str">
            <v>Hardware &amp; Software</v>
          </cell>
        </row>
      </sheetData>
      <sheetData sheetId="1">
        <row r="18">
          <cell r="B18" t="str">
            <v>Hardware &amp; Software</v>
          </cell>
        </row>
      </sheetData>
      <sheetData sheetId="2" refreshError="1"/>
      <sheetData sheetId="3">
        <row r="18">
          <cell r="B18" t="str">
            <v>Hardware &amp; Software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8">
          <cell r="B18" t="str">
            <v>Hardware &amp; Software</v>
          </cell>
        </row>
      </sheetData>
      <sheetData sheetId="103">
        <row r="18">
          <cell r="B18" t="str">
            <v>Hardware &amp; Software</v>
          </cell>
        </row>
      </sheetData>
      <sheetData sheetId="104">
        <row r="18">
          <cell r="B18" t="str">
            <v>Hardware &amp; Software</v>
          </cell>
        </row>
      </sheetData>
      <sheetData sheetId="105">
        <row r="18">
          <cell r="B18" t="str">
            <v>Hardware &amp; Software</v>
          </cell>
        </row>
      </sheetData>
      <sheetData sheetId="106">
        <row r="18">
          <cell r="B18" t="str">
            <v>Hardware &amp; Software</v>
          </cell>
        </row>
      </sheetData>
      <sheetData sheetId="107">
        <row r="18">
          <cell r="B18" t="str">
            <v>Hardware &amp; Software</v>
          </cell>
        </row>
      </sheetData>
      <sheetData sheetId="108"/>
      <sheetData sheetId="109"/>
      <sheetData sheetId="110"/>
      <sheetData sheetId="111"/>
      <sheetData sheetId="112">
        <row r="18">
          <cell r="B18" t="str">
            <v>Hardware &amp; Software</v>
          </cell>
        </row>
      </sheetData>
      <sheetData sheetId="113">
        <row r="18">
          <cell r="B18" t="str">
            <v>Hardware &amp; Software</v>
          </cell>
        </row>
      </sheetData>
      <sheetData sheetId="114">
        <row r="18">
          <cell r="B18" t="str">
            <v>Hardware &amp; Software</v>
          </cell>
        </row>
      </sheetData>
      <sheetData sheetId="115">
        <row r="18">
          <cell r="B18" t="str">
            <v>Hardware &amp; Software</v>
          </cell>
        </row>
      </sheetData>
      <sheetData sheetId="116">
        <row r="18">
          <cell r="B18" t="str">
            <v>Hardware &amp; Software</v>
          </cell>
        </row>
      </sheetData>
      <sheetData sheetId="117">
        <row r="18">
          <cell r="B18" t="str">
            <v>Hardware &amp; Software</v>
          </cell>
        </row>
      </sheetData>
      <sheetData sheetId="118">
        <row r="18">
          <cell r="B18" t="str">
            <v>Hardware &amp; Software</v>
          </cell>
        </row>
      </sheetData>
      <sheetData sheetId="119">
        <row r="18">
          <cell r="B18" t="str">
            <v>Hardware &amp; Software</v>
          </cell>
        </row>
      </sheetData>
      <sheetData sheetId="120">
        <row r="18">
          <cell r="B18" t="str">
            <v>Hardware &amp; Software</v>
          </cell>
        </row>
      </sheetData>
      <sheetData sheetId="121">
        <row r="18">
          <cell r="B18" t="str">
            <v>Hardware &amp; Software</v>
          </cell>
        </row>
      </sheetData>
      <sheetData sheetId="122">
        <row r="18">
          <cell r="B18" t="str">
            <v>Hardware &amp; Software</v>
          </cell>
        </row>
      </sheetData>
      <sheetData sheetId="123">
        <row r="18">
          <cell r="B18" t="str">
            <v>Hardware &amp; Software</v>
          </cell>
        </row>
      </sheetData>
      <sheetData sheetId="124">
        <row r="18">
          <cell r="B18" t="str">
            <v>Hardware &amp; Software</v>
          </cell>
        </row>
      </sheetData>
      <sheetData sheetId="125">
        <row r="18">
          <cell r="B18" t="str">
            <v>Hardware &amp; Software</v>
          </cell>
        </row>
      </sheetData>
      <sheetData sheetId="126">
        <row r="18">
          <cell r="B18" t="str">
            <v>Hardware &amp; Software</v>
          </cell>
        </row>
      </sheetData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>
        <row r="18">
          <cell r="B18" t="str">
            <v>Hardware &amp; Software</v>
          </cell>
        </row>
      </sheetData>
      <sheetData sheetId="161">
        <row r="18">
          <cell r="B18" t="str">
            <v>Hardware &amp; Software</v>
          </cell>
        </row>
      </sheetData>
      <sheetData sheetId="162">
        <row r="18">
          <cell r="B18" t="str">
            <v>Hardware &amp; Software</v>
          </cell>
        </row>
      </sheetData>
      <sheetData sheetId="163">
        <row r="18">
          <cell r="B18" t="str">
            <v>Hardware &amp; Software</v>
          </cell>
        </row>
      </sheetData>
      <sheetData sheetId="164">
        <row r="18">
          <cell r="B18" t="str">
            <v>Hardware &amp; Software</v>
          </cell>
        </row>
      </sheetData>
      <sheetData sheetId="165">
        <row r="18">
          <cell r="B18" t="str">
            <v>Hardware &amp; Software</v>
          </cell>
        </row>
      </sheetData>
      <sheetData sheetId="166">
        <row r="18">
          <cell r="B18" t="str">
            <v>Hardware &amp; Software</v>
          </cell>
        </row>
      </sheetData>
      <sheetData sheetId="167">
        <row r="18">
          <cell r="B18" t="str">
            <v>Hardware &amp; Software</v>
          </cell>
        </row>
      </sheetData>
      <sheetData sheetId="168">
        <row r="18">
          <cell r="B18" t="str">
            <v>Hardware &amp; Software</v>
          </cell>
        </row>
      </sheetData>
      <sheetData sheetId="169">
        <row r="18">
          <cell r="B18" t="str">
            <v>Hardware &amp; Software</v>
          </cell>
        </row>
      </sheetData>
      <sheetData sheetId="170">
        <row r="18">
          <cell r="B18" t="str">
            <v>Hardware &amp; Software</v>
          </cell>
        </row>
      </sheetData>
      <sheetData sheetId="171">
        <row r="18">
          <cell r="B18" t="str">
            <v>Hardware &amp; Software</v>
          </cell>
        </row>
      </sheetData>
      <sheetData sheetId="172">
        <row r="18">
          <cell r="B18" t="str">
            <v>Hardware &amp; Software</v>
          </cell>
        </row>
      </sheetData>
      <sheetData sheetId="173">
        <row r="18">
          <cell r="B18" t="str">
            <v>Hardware &amp; Software</v>
          </cell>
        </row>
      </sheetData>
      <sheetData sheetId="174">
        <row r="18">
          <cell r="B18" t="str">
            <v>Hardware &amp; Software</v>
          </cell>
        </row>
      </sheetData>
      <sheetData sheetId="175">
        <row r="18">
          <cell r="B18" t="str">
            <v>Hardware &amp; Software</v>
          </cell>
        </row>
      </sheetData>
      <sheetData sheetId="176">
        <row r="18">
          <cell r="B18" t="str">
            <v>Hardware &amp; Software</v>
          </cell>
        </row>
      </sheetData>
      <sheetData sheetId="177">
        <row r="18">
          <cell r="B18" t="str">
            <v>Hardware &amp; Software</v>
          </cell>
        </row>
      </sheetData>
      <sheetData sheetId="178">
        <row r="18">
          <cell r="B18" t="str">
            <v>Hardware &amp; Software</v>
          </cell>
        </row>
      </sheetData>
      <sheetData sheetId="179">
        <row r="18">
          <cell r="B18" t="str">
            <v>Hardware &amp; Software</v>
          </cell>
        </row>
      </sheetData>
      <sheetData sheetId="180">
        <row r="18">
          <cell r="B18" t="str">
            <v>Hardware &amp; Software</v>
          </cell>
        </row>
      </sheetData>
      <sheetData sheetId="181">
        <row r="18">
          <cell r="B18" t="str">
            <v>Hardware &amp; Software</v>
          </cell>
        </row>
      </sheetData>
      <sheetData sheetId="182">
        <row r="18">
          <cell r="B18" t="str">
            <v>Hardware &amp; Software</v>
          </cell>
        </row>
      </sheetData>
      <sheetData sheetId="183">
        <row r="18">
          <cell r="B18" t="str">
            <v>Hardware &amp; Software</v>
          </cell>
        </row>
      </sheetData>
      <sheetData sheetId="184">
        <row r="18">
          <cell r="B18" t="str">
            <v>Hardware &amp; Software</v>
          </cell>
        </row>
      </sheetData>
      <sheetData sheetId="185">
        <row r="18">
          <cell r="B18" t="str">
            <v>Hardware &amp; Software</v>
          </cell>
        </row>
      </sheetData>
      <sheetData sheetId="186" refreshError="1"/>
      <sheetData sheetId="187">
        <row r="18">
          <cell r="B18" t="str">
            <v>Hardware &amp; Software</v>
          </cell>
        </row>
      </sheetData>
      <sheetData sheetId="188">
        <row r="18">
          <cell r="B18" t="str">
            <v>Hardware &amp; Software</v>
          </cell>
        </row>
      </sheetData>
      <sheetData sheetId="189">
        <row r="18">
          <cell r="B18" t="str">
            <v>Hardware &amp; Software</v>
          </cell>
        </row>
      </sheetData>
      <sheetData sheetId="190">
        <row r="18">
          <cell r="B18" t="str">
            <v>Hardware &amp; Software</v>
          </cell>
        </row>
      </sheetData>
      <sheetData sheetId="191">
        <row r="18">
          <cell r="B18" t="str">
            <v>Hardware &amp; Software</v>
          </cell>
        </row>
      </sheetData>
      <sheetData sheetId="192">
        <row r="18">
          <cell r="B18" t="str">
            <v>Hardware &amp; Software</v>
          </cell>
        </row>
      </sheetData>
      <sheetData sheetId="193">
        <row r="18">
          <cell r="B18" t="str">
            <v>Hardware &amp; Software</v>
          </cell>
        </row>
      </sheetData>
      <sheetData sheetId="194">
        <row r="18">
          <cell r="B18" t="str">
            <v>Hardware &amp; Software</v>
          </cell>
        </row>
      </sheetData>
      <sheetData sheetId="195">
        <row r="18">
          <cell r="B18" t="str">
            <v>Hardware &amp; Software</v>
          </cell>
        </row>
      </sheetData>
      <sheetData sheetId="196">
        <row r="18">
          <cell r="B18" t="str">
            <v>Hardware &amp; Software</v>
          </cell>
        </row>
      </sheetData>
      <sheetData sheetId="197">
        <row r="18">
          <cell r="B18" t="str">
            <v>Hardware &amp; Software</v>
          </cell>
        </row>
      </sheetData>
      <sheetData sheetId="198">
        <row r="18">
          <cell r="B18" t="str">
            <v>Hardware &amp; Software</v>
          </cell>
        </row>
      </sheetData>
      <sheetData sheetId="199">
        <row r="18">
          <cell r="B18" t="str">
            <v>Hardware &amp; Software</v>
          </cell>
        </row>
      </sheetData>
      <sheetData sheetId="200">
        <row r="18">
          <cell r="B18" t="str">
            <v>Hardware &amp; Software</v>
          </cell>
        </row>
      </sheetData>
      <sheetData sheetId="201">
        <row r="18">
          <cell r="B18" t="str">
            <v>Hardware &amp; Software</v>
          </cell>
        </row>
      </sheetData>
      <sheetData sheetId="202">
        <row r="18">
          <cell r="B18" t="str">
            <v>Hardware &amp; Software</v>
          </cell>
        </row>
      </sheetData>
      <sheetData sheetId="203">
        <row r="18">
          <cell r="B18" t="str">
            <v>Hardware &amp; Software</v>
          </cell>
        </row>
      </sheetData>
      <sheetData sheetId="204">
        <row r="18">
          <cell r="B18" t="str">
            <v>Hardware &amp; Software</v>
          </cell>
        </row>
      </sheetData>
      <sheetData sheetId="205">
        <row r="18">
          <cell r="B18" t="str">
            <v>Hardware &amp; Software</v>
          </cell>
        </row>
      </sheetData>
      <sheetData sheetId="206">
        <row r="18">
          <cell r="B18" t="str">
            <v>Hardware &amp; Software</v>
          </cell>
        </row>
      </sheetData>
      <sheetData sheetId="207">
        <row r="18">
          <cell r="B18" t="str">
            <v>Hardware &amp; Software</v>
          </cell>
        </row>
      </sheetData>
      <sheetData sheetId="208">
        <row r="18">
          <cell r="B18" t="str">
            <v>Hardware &amp; Software</v>
          </cell>
        </row>
      </sheetData>
      <sheetData sheetId="209">
        <row r="18">
          <cell r="B18" t="str">
            <v>Hardware &amp; Software</v>
          </cell>
        </row>
      </sheetData>
      <sheetData sheetId="210">
        <row r="18">
          <cell r="B18" t="str">
            <v>Hardware &amp; Software</v>
          </cell>
        </row>
      </sheetData>
      <sheetData sheetId="211">
        <row r="18">
          <cell r="B18" t="str">
            <v>Hardware &amp; Software</v>
          </cell>
        </row>
      </sheetData>
      <sheetData sheetId="212">
        <row r="18">
          <cell r="B18" t="str">
            <v>Hardware &amp; Software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>
        <row r="18">
          <cell r="B18" t="str">
            <v>Hardware &amp; Software</v>
          </cell>
        </row>
      </sheetData>
      <sheetData sheetId="238">
        <row r="18">
          <cell r="B18" t="str">
            <v>Hardware &amp; Software</v>
          </cell>
        </row>
      </sheetData>
      <sheetData sheetId="239">
        <row r="18">
          <cell r="B18" t="str">
            <v>Hardware &amp; Software</v>
          </cell>
        </row>
      </sheetData>
      <sheetData sheetId="240">
        <row r="18">
          <cell r="B18" t="str">
            <v>Hardware &amp; Software</v>
          </cell>
        </row>
      </sheetData>
      <sheetData sheetId="241">
        <row r="18">
          <cell r="B18" t="str">
            <v>Hardware &amp; Software</v>
          </cell>
        </row>
      </sheetData>
      <sheetData sheetId="242">
        <row r="18">
          <cell r="B18" t="str">
            <v>Hardware &amp; Software</v>
          </cell>
        </row>
      </sheetData>
      <sheetData sheetId="243">
        <row r="18">
          <cell r="B18" t="str">
            <v>Hardware &amp; Software</v>
          </cell>
        </row>
      </sheetData>
      <sheetData sheetId="244">
        <row r="18">
          <cell r="B18" t="str">
            <v>Hardware &amp; Software</v>
          </cell>
        </row>
      </sheetData>
      <sheetData sheetId="245">
        <row r="18">
          <cell r="B18" t="str">
            <v>Hardware &amp; Software</v>
          </cell>
        </row>
      </sheetData>
      <sheetData sheetId="246">
        <row r="18">
          <cell r="B18" t="str">
            <v>Hardware &amp; Software</v>
          </cell>
        </row>
      </sheetData>
      <sheetData sheetId="247">
        <row r="18">
          <cell r="B18" t="str">
            <v>Hardware &amp; Software</v>
          </cell>
        </row>
      </sheetData>
      <sheetData sheetId="248">
        <row r="18">
          <cell r="B18" t="str">
            <v>Hardware &amp; Software</v>
          </cell>
        </row>
      </sheetData>
      <sheetData sheetId="249">
        <row r="18">
          <cell r="B18" t="str">
            <v>Hardware &amp; Software</v>
          </cell>
        </row>
      </sheetData>
      <sheetData sheetId="250">
        <row r="18">
          <cell r="B18" t="str">
            <v>Hardware &amp; Software</v>
          </cell>
        </row>
      </sheetData>
      <sheetData sheetId="251">
        <row r="18">
          <cell r="B18" t="str">
            <v>Hardware &amp; Software</v>
          </cell>
        </row>
      </sheetData>
      <sheetData sheetId="252">
        <row r="18">
          <cell r="B18" t="str">
            <v>Hardware &amp; Software</v>
          </cell>
        </row>
      </sheetData>
      <sheetData sheetId="253">
        <row r="18">
          <cell r="B18" t="str">
            <v>Hardware &amp; Software</v>
          </cell>
        </row>
      </sheetData>
      <sheetData sheetId="254">
        <row r="18">
          <cell r="B18" t="str">
            <v>Hardware &amp; Software</v>
          </cell>
        </row>
      </sheetData>
      <sheetData sheetId="255">
        <row r="18">
          <cell r="B18" t="str">
            <v>Hardware &amp; Software</v>
          </cell>
        </row>
      </sheetData>
      <sheetData sheetId="256">
        <row r="18">
          <cell r="B18" t="str">
            <v>Hardware &amp; Software</v>
          </cell>
        </row>
      </sheetData>
      <sheetData sheetId="257">
        <row r="18">
          <cell r="B18" t="str">
            <v>Hardware &amp; Software</v>
          </cell>
        </row>
      </sheetData>
      <sheetData sheetId="258">
        <row r="18">
          <cell r="B18" t="str">
            <v>Hardware &amp; Software</v>
          </cell>
        </row>
      </sheetData>
      <sheetData sheetId="259">
        <row r="18">
          <cell r="B18" t="str">
            <v>Hardware &amp; Software</v>
          </cell>
        </row>
      </sheetData>
      <sheetData sheetId="260">
        <row r="18">
          <cell r="B18" t="str">
            <v>Hardware &amp; Software</v>
          </cell>
        </row>
      </sheetData>
      <sheetData sheetId="261">
        <row r="18">
          <cell r="B18" t="str">
            <v>Hardware &amp; Software</v>
          </cell>
        </row>
      </sheetData>
      <sheetData sheetId="262">
        <row r="18">
          <cell r="B18" t="str">
            <v>Hardware &amp; Software</v>
          </cell>
        </row>
      </sheetData>
      <sheetData sheetId="263">
        <row r="18">
          <cell r="B18" t="str">
            <v>Hardware &amp; Software</v>
          </cell>
        </row>
      </sheetData>
      <sheetData sheetId="264">
        <row r="18">
          <cell r="B18" t="str">
            <v>Hardware &amp; Software</v>
          </cell>
        </row>
      </sheetData>
      <sheetData sheetId="265">
        <row r="18">
          <cell r="B18" t="str">
            <v>Hardware &amp; Software</v>
          </cell>
        </row>
      </sheetData>
      <sheetData sheetId="266">
        <row r="18">
          <cell r="B18" t="str">
            <v>Hardware &amp; Software</v>
          </cell>
        </row>
      </sheetData>
      <sheetData sheetId="267">
        <row r="18">
          <cell r="B18" t="str">
            <v>Hardware &amp; Software</v>
          </cell>
        </row>
      </sheetData>
      <sheetData sheetId="268">
        <row r="18">
          <cell r="B18" t="str">
            <v>Hardware &amp; Software</v>
          </cell>
        </row>
      </sheetData>
      <sheetData sheetId="269">
        <row r="18">
          <cell r="B18" t="str">
            <v>Hardware &amp; Software</v>
          </cell>
        </row>
      </sheetData>
      <sheetData sheetId="270">
        <row r="18">
          <cell r="B18" t="str">
            <v>Hardware &amp; Software</v>
          </cell>
        </row>
      </sheetData>
      <sheetData sheetId="271">
        <row r="18">
          <cell r="B18" t="str">
            <v>Hardware &amp; Software</v>
          </cell>
        </row>
      </sheetData>
      <sheetData sheetId="272">
        <row r="18">
          <cell r="B18" t="str">
            <v>Hardware &amp; Software</v>
          </cell>
        </row>
      </sheetData>
      <sheetData sheetId="273">
        <row r="18">
          <cell r="B18" t="str">
            <v>Hardware &amp; Software</v>
          </cell>
        </row>
      </sheetData>
      <sheetData sheetId="274">
        <row r="18">
          <cell r="B18" t="str">
            <v>Hardware &amp; Software</v>
          </cell>
        </row>
      </sheetData>
      <sheetData sheetId="275">
        <row r="18">
          <cell r="B18" t="str">
            <v>Hardware &amp; Software</v>
          </cell>
        </row>
      </sheetData>
      <sheetData sheetId="276">
        <row r="18">
          <cell r="B18" t="str">
            <v>Hardware &amp; Software</v>
          </cell>
        </row>
      </sheetData>
      <sheetData sheetId="277">
        <row r="18">
          <cell r="B18" t="str">
            <v>Hardware &amp; Software</v>
          </cell>
        </row>
      </sheetData>
      <sheetData sheetId="278">
        <row r="18">
          <cell r="B18" t="str">
            <v>Hardware &amp; Software</v>
          </cell>
        </row>
      </sheetData>
      <sheetData sheetId="279">
        <row r="18">
          <cell r="B18" t="str">
            <v>Hardware &amp; Software</v>
          </cell>
        </row>
      </sheetData>
      <sheetData sheetId="280">
        <row r="18">
          <cell r="B18" t="str">
            <v>Hardware &amp; Software</v>
          </cell>
        </row>
      </sheetData>
      <sheetData sheetId="281">
        <row r="18">
          <cell r="B18" t="str">
            <v>Hardware &amp; Software</v>
          </cell>
        </row>
      </sheetData>
      <sheetData sheetId="282" refreshError="1"/>
      <sheetData sheetId="283">
        <row r="18">
          <cell r="B18" t="str">
            <v>Hardware &amp; Software</v>
          </cell>
        </row>
      </sheetData>
      <sheetData sheetId="284">
        <row r="18">
          <cell r="B18" t="str">
            <v>Hardware &amp; Software</v>
          </cell>
        </row>
      </sheetData>
      <sheetData sheetId="285">
        <row r="18">
          <cell r="B18" t="str">
            <v>Hardware &amp; Software</v>
          </cell>
        </row>
      </sheetData>
      <sheetData sheetId="286">
        <row r="18">
          <cell r="B18" t="str">
            <v>Hardware &amp; Software</v>
          </cell>
        </row>
      </sheetData>
      <sheetData sheetId="287">
        <row r="18">
          <cell r="B18" t="str">
            <v>Hardware &amp; Software</v>
          </cell>
        </row>
      </sheetData>
      <sheetData sheetId="288">
        <row r="18">
          <cell r="B18" t="str">
            <v>Hardware &amp; Software</v>
          </cell>
        </row>
      </sheetData>
      <sheetData sheetId="289">
        <row r="18">
          <cell r="B18" t="str">
            <v>Hardware &amp; Software</v>
          </cell>
        </row>
      </sheetData>
      <sheetData sheetId="290">
        <row r="18">
          <cell r="B18" t="str">
            <v>Hardware &amp; Software</v>
          </cell>
        </row>
      </sheetData>
      <sheetData sheetId="291">
        <row r="18">
          <cell r="B18" t="str">
            <v>Hardware &amp; Software</v>
          </cell>
        </row>
      </sheetData>
      <sheetData sheetId="292">
        <row r="18">
          <cell r="B18" t="str">
            <v>Hardware &amp; Software</v>
          </cell>
        </row>
      </sheetData>
      <sheetData sheetId="293">
        <row r="18">
          <cell r="B18" t="str">
            <v>Hardware &amp; Software</v>
          </cell>
        </row>
      </sheetData>
      <sheetData sheetId="294">
        <row r="18">
          <cell r="B18" t="str">
            <v>Hardware &amp; Software</v>
          </cell>
        </row>
      </sheetData>
      <sheetData sheetId="295">
        <row r="18">
          <cell r="B18" t="str">
            <v>Hardware &amp; Software</v>
          </cell>
        </row>
      </sheetData>
      <sheetData sheetId="296">
        <row r="18">
          <cell r="B18" t="str">
            <v>Hardware &amp; Software</v>
          </cell>
        </row>
      </sheetData>
      <sheetData sheetId="297">
        <row r="18">
          <cell r="B18" t="str">
            <v>Hardware &amp; Software</v>
          </cell>
        </row>
      </sheetData>
      <sheetData sheetId="298">
        <row r="18">
          <cell r="B18" t="str">
            <v>Hardware &amp; Software</v>
          </cell>
        </row>
      </sheetData>
      <sheetData sheetId="299">
        <row r="18">
          <cell r="B18" t="str">
            <v>Hardware &amp; Software</v>
          </cell>
        </row>
      </sheetData>
      <sheetData sheetId="300">
        <row r="18">
          <cell r="B18" t="str">
            <v>Hardware &amp; Software</v>
          </cell>
        </row>
      </sheetData>
      <sheetData sheetId="301">
        <row r="18">
          <cell r="B18" t="str">
            <v>Hardware &amp; Software</v>
          </cell>
        </row>
      </sheetData>
      <sheetData sheetId="302">
        <row r="18">
          <cell r="B18" t="str">
            <v>Hardware &amp; Software</v>
          </cell>
        </row>
      </sheetData>
      <sheetData sheetId="303">
        <row r="18">
          <cell r="B18" t="str">
            <v>Hardware &amp; Software</v>
          </cell>
        </row>
      </sheetData>
      <sheetData sheetId="304">
        <row r="18">
          <cell r="B18" t="str">
            <v>Hardware &amp; Software</v>
          </cell>
        </row>
      </sheetData>
      <sheetData sheetId="305">
        <row r="18">
          <cell r="B18" t="str">
            <v>Hardware &amp; Software</v>
          </cell>
        </row>
      </sheetData>
      <sheetData sheetId="306">
        <row r="18">
          <cell r="B18" t="str">
            <v>Hardware &amp; Software</v>
          </cell>
        </row>
      </sheetData>
      <sheetData sheetId="307">
        <row r="18">
          <cell r="B18" t="str">
            <v>Hardware &amp; Software</v>
          </cell>
        </row>
      </sheetData>
      <sheetData sheetId="308">
        <row r="18">
          <cell r="B18" t="str">
            <v>Hardware &amp; Software</v>
          </cell>
        </row>
      </sheetData>
      <sheetData sheetId="309">
        <row r="18">
          <cell r="B18" t="str">
            <v>Hardware &amp; Software</v>
          </cell>
        </row>
      </sheetData>
      <sheetData sheetId="310">
        <row r="18">
          <cell r="B18" t="str">
            <v>Hardware &amp; Software</v>
          </cell>
        </row>
      </sheetData>
      <sheetData sheetId="311">
        <row r="18">
          <cell r="B18" t="str">
            <v>Hardware &amp; Software</v>
          </cell>
        </row>
      </sheetData>
      <sheetData sheetId="312">
        <row r="18">
          <cell r="B18" t="str">
            <v>Hardware &amp; Software</v>
          </cell>
        </row>
      </sheetData>
      <sheetData sheetId="313">
        <row r="18">
          <cell r="B18" t="str">
            <v>Hardware &amp; Software</v>
          </cell>
        </row>
      </sheetData>
      <sheetData sheetId="314">
        <row r="18">
          <cell r="B18" t="str">
            <v>Hardware &amp; Software</v>
          </cell>
        </row>
      </sheetData>
      <sheetData sheetId="315">
        <row r="18">
          <cell r="B18" t="str">
            <v>Hardware &amp; Software</v>
          </cell>
        </row>
      </sheetData>
      <sheetData sheetId="316">
        <row r="18">
          <cell r="B18" t="str">
            <v>Hardware &amp; Software</v>
          </cell>
        </row>
      </sheetData>
      <sheetData sheetId="317">
        <row r="18">
          <cell r="B18" t="str">
            <v>Hardware &amp; Software</v>
          </cell>
        </row>
      </sheetData>
      <sheetData sheetId="318">
        <row r="18">
          <cell r="B18" t="str">
            <v>Hardware &amp; Software</v>
          </cell>
        </row>
      </sheetData>
      <sheetData sheetId="319">
        <row r="18">
          <cell r="B18" t="str">
            <v>Hardware &amp; Software</v>
          </cell>
        </row>
      </sheetData>
      <sheetData sheetId="320">
        <row r="18">
          <cell r="B18" t="str">
            <v>Hardware &amp; Software</v>
          </cell>
        </row>
      </sheetData>
      <sheetData sheetId="321">
        <row r="18">
          <cell r="B18" t="str">
            <v>Hardware &amp; Software</v>
          </cell>
        </row>
      </sheetData>
      <sheetData sheetId="322">
        <row r="18">
          <cell r="B18" t="str">
            <v>Hardware &amp; Software</v>
          </cell>
        </row>
      </sheetData>
      <sheetData sheetId="323">
        <row r="18">
          <cell r="B18" t="str">
            <v>Hardware &amp; Software</v>
          </cell>
        </row>
      </sheetData>
      <sheetData sheetId="324">
        <row r="18">
          <cell r="B18" t="str">
            <v>Hardware &amp; Software</v>
          </cell>
        </row>
      </sheetData>
      <sheetData sheetId="325">
        <row r="18">
          <cell r="B18" t="str">
            <v>Hardware &amp; Software</v>
          </cell>
        </row>
      </sheetData>
      <sheetData sheetId="326">
        <row r="18">
          <cell r="B18" t="str">
            <v>Hardware &amp; Software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18">
          <cell r="B18" t="str">
            <v>Hardware &amp; Software</v>
          </cell>
        </row>
      </sheetData>
      <sheetData sheetId="347">
        <row r="18">
          <cell r="B18" t="str">
            <v>Hardware &amp; Software</v>
          </cell>
        </row>
      </sheetData>
      <sheetData sheetId="348">
        <row r="18">
          <cell r="B18" t="str">
            <v>Hardware &amp; Software</v>
          </cell>
        </row>
      </sheetData>
      <sheetData sheetId="349">
        <row r="18">
          <cell r="B18" t="str">
            <v>Hardware &amp; Software</v>
          </cell>
        </row>
      </sheetData>
      <sheetData sheetId="350">
        <row r="18">
          <cell r="B18" t="str">
            <v>Hardware &amp; Software</v>
          </cell>
        </row>
      </sheetData>
      <sheetData sheetId="351">
        <row r="18">
          <cell r="B18" t="str">
            <v>Hardware &amp; Software</v>
          </cell>
        </row>
      </sheetData>
      <sheetData sheetId="352">
        <row r="18">
          <cell r="B18" t="str">
            <v>Hardware &amp; Software</v>
          </cell>
        </row>
      </sheetData>
      <sheetData sheetId="353">
        <row r="18">
          <cell r="B18" t="str">
            <v>Hardware &amp; Software</v>
          </cell>
        </row>
      </sheetData>
      <sheetData sheetId="354">
        <row r="18">
          <cell r="B18" t="str">
            <v>Hardware &amp; Software</v>
          </cell>
        </row>
      </sheetData>
      <sheetData sheetId="355">
        <row r="18">
          <cell r="B18" t="str">
            <v>Hardware &amp; Software</v>
          </cell>
        </row>
      </sheetData>
      <sheetData sheetId="356">
        <row r="18">
          <cell r="B18" t="str">
            <v>Hardware &amp; Software</v>
          </cell>
        </row>
      </sheetData>
      <sheetData sheetId="357">
        <row r="18">
          <cell r="B18" t="str">
            <v>Hardware &amp; Software</v>
          </cell>
        </row>
      </sheetData>
      <sheetData sheetId="358">
        <row r="18">
          <cell r="B18" t="str">
            <v>Hardware &amp; Software</v>
          </cell>
        </row>
      </sheetData>
      <sheetData sheetId="359">
        <row r="18">
          <cell r="B18" t="str">
            <v>Hardware &amp; Software</v>
          </cell>
        </row>
      </sheetData>
      <sheetData sheetId="360">
        <row r="18">
          <cell r="B18" t="str">
            <v>Hardware &amp; Software</v>
          </cell>
        </row>
      </sheetData>
      <sheetData sheetId="361">
        <row r="18">
          <cell r="B18" t="str">
            <v>Hardware &amp; Software</v>
          </cell>
        </row>
      </sheetData>
      <sheetData sheetId="362">
        <row r="18">
          <cell r="B18" t="str">
            <v>Hardware &amp; Software</v>
          </cell>
        </row>
      </sheetData>
      <sheetData sheetId="363">
        <row r="18">
          <cell r="B18" t="str">
            <v>Hardware &amp; Software</v>
          </cell>
        </row>
      </sheetData>
      <sheetData sheetId="364">
        <row r="18">
          <cell r="B18" t="str">
            <v>Hardware &amp; Software</v>
          </cell>
        </row>
      </sheetData>
      <sheetData sheetId="365">
        <row r="18">
          <cell r="B18" t="str">
            <v>Hardware &amp; Software</v>
          </cell>
        </row>
      </sheetData>
      <sheetData sheetId="366">
        <row r="18">
          <cell r="B18" t="str">
            <v>Hardware &amp; Software</v>
          </cell>
        </row>
      </sheetData>
      <sheetData sheetId="367">
        <row r="18">
          <cell r="B18" t="str">
            <v>Hardware &amp; Software</v>
          </cell>
        </row>
      </sheetData>
      <sheetData sheetId="368">
        <row r="18">
          <cell r="B18" t="str">
            <v>Hardware &amp; Software</v>
          </cell>
        </row>
      </sheetData>
      <sheetData sheetId="369">
        <row r="18">
          <cell r="B18" t="str">
            <v>Hardware &amp; Software</v>
          </cell>
        </row>
      </sheetData>
      <sheetData sheetId="370">
        <row r="18">
          <cell r="B18" t="str">
            <v>Hardware &amp; Software</v>
          </cell>
        </row>
      </sheetData>
      <sheetData sheetId="371">
        <row r="18">
          <cell r="B18" t="str">
            <v>Hardware &amp; Software</v>
          </cell>
        </row>
      </sheetData>
      <sheetData sheetId="372">
        <row r="18">
          <cell r="B18" t="str">
            <v>Hardware &amp; Software</v>
          </cell>
        </row>
      </sheetData>
      <sheetData sheetId="373">
        <row r="18">
          <cell r="B18" t="str">
            <v>Hardware &amp; Software</v>
          </cell>
        </row>
      </sheetData>
      <sheetData sheetId="374">
        <row r="18">
          <cell r="B18" t="str">
            <v>Hardware &amp; Software</v>
          </cell>
        </row>
      </sheetData>
      <sheetData sheetId="375">
        <row r="18">
          <cell r="B18" t="str">
            <v>Hardware &amp; Software</v>
          </cell>
        </row>
      </sheetData>
      <sheetData sheetId="376">
        <row r="18">
          <cell r="B18" t="str">
            <v>Hardware &amp; Software</v>
          </cell>
        </row>
      </sheetData>
      <sheetData sheetId="377">
        <row r="18">
          <cell r="B18" t="str">
            <v>Hardware &amp; Software</v>
          </cell>
        </row>
      </sheetData>
      <sheetData sheetId="378">
        <row r="18">
          <cell r="B18" t="str">
            <v>Hardware &amp; Software</v>
          </cell>
        </row>
      </sheetData>
      <sheetData sheetId="379">
        <row r="18">
          <cell r="B18" t="str">
            <v>Hardware &amp; Software</v>
          </cell>
        </row>
      </sheetData>
      <sheetData sheetId="380">
        <row r="18">
          <cell r="B18" t="str">
            <v>Hardware &amp; Software</v>
          </cell>
        </row>
      </sheetData>
      <sheetData sheetId="381">
        <row r="18">
          <cell r="B18" t="str">
            <v>Hardware &amp; Software</v>
          </cell>
        </row>
      </sheetData>
      <sheetData sheetId="382">
        <row r="18">
          <cell r="B18" t="str">
            <v>Hardware &amp; Software</v>
          </cell>
        </row>
      </sheetData>
      <sheetData sheetId="383">
        <row r="18">
          <cell r="B18" t="str">
            <v>Hardware &amp; Software</v>
          </cell>
        </row>
      </sheetData>
      <sheetData sheetId="384">
        <row r="18">
          <cell r="B18" t="str">
            <v>Hardware &amp; Software</v>
          </cell>
        </row>
      </sheetData>
      <sheetData sheetId="385">
        <row r="18">
          <cell r="B18" t="str">
            <v>Hardware &amp; Software</v>
          </cell>
        </row>
      </sheetData>
      <sheetData sheetId="386">
        <row r="18">
          <cell r="B18" t="str">
            <v>Hardware &amp; Software</v>
          </cell>
        </row>
      </sheetData>
      <sheetData sheetId="387">
        <row r="18">
          <cell r="B18" t="str">
            <v>Hardware &amp; Software</v>
          </cell>
        </row>
      </sheetData>
      <sheetData sheetId="388">
        <row r="18">
          <cell r="B18" t="str">
            <v>Hardware &amp; Software</v>
          </cell>
        </row>
      </sheetData>
      <sheetData sheetId="389">
        <row r="18">
          <cell r="B18" t="str">
            <v>Hardware &amp; Software</v>
          </cell>
        </row>
      </sheetData>
      <sheetData sheetId="390">
        <row r="18">
          <cell r="B18" t="str">
            <v>Hardware &amp; Software</v>
          </cell>
        </row>
      </sheetData>
      <sheetData sheetId="391">
        <row r="18">
          <cell r="B18" t="str">
            <v>Hardware &amp; Software</v>
          </cell>
        </row>
      </sheetData>
      <sheetData sheetId="392">
        <row r="18">
          <cell r="B18" t="str">
            <v>Hardware &amp; Software</v>
          </cell>
        </row>
      </sheetData>
      <sheetData sheetId="393">
        <row r="18">
          <cell r="B18" t="str">
            <v>Hardware &amp; Software</v>
          </cell>
        </row>
      </sheetData>
      <sheetData sheetId="394">
        <row r="18">
          <cell r="B18" t="str">
            <v>Hardware &amp; Software</v>
          </cell>
        </row>
      </sheetData>
      <sheetData sheetId="395">
        <row r="18">
          <cell r="B18" t="str">
            <v>Hardware &amp; Software</v>
          </cell>
        </row>
      </sheetData>
      <sheetData sheetId="396">
        <row r="18">
          <cell r="B18" t="str">
            <v>Hardware &amp; Software</v>
          </cell>
        </row>
      </sheetData>
      <sheetData sheetId="397">
        <row r="18">
          <cell r="B18" t="str">
            <v>Hardware &amp; Software</v>
          </cell>
        </row>
      </sheetData>
      <sheetData sheetId="398">
        <row r="18">
          <cell r="B18" t="str">
            <v>Hardware &amp; Software</v>
          </cell>
        </row>
      </sheetData>
      <sheetData sheetId="399">
        <row r="18">
          <cell r="B18" t="str">
            <v>Hardware &amp; Software</v>
          </cell>
        </row>
      </sheetData>
      <sheetData sheetId="400">
        <row r="18">
          <cell r="B18" t="str">
            <v>Hardware &amp; Software</v>
          </cell>
        </row>
      </sheetData>
      <sheetData sheetId="401">
        <row r="18">
          <cell r="B18" t="str">
            <v>Hardware &amp; Software</v>
          </cell>
        </row>
      </sheetData>
      <sheetData sheetId="402">
        <row r="18">
          <cell r="B18" t="str">
            <v>Hardware &amp; Software</v>
          </cell>
        </row>
      </sheetData>
      <sheetData sheetId="403">
        <row r="18">
          <cell r="B18" t="str">
            <v>Hardware &amp; Software</v>
          </cell>
        </row>
      </sheetData>
      <sheetData sheetId="404">
        <row r="18">
          <cell r="B18" t="str">
            <v>Hardware &amp; Software</v>
          </cell>
        </row>
      </sheetData>
      <sheetData sheetId="405">
        <row r="18">
          <cell r="B18" t="str">
            <v>Hardware &amp; Software</v>
          </cell>
        </row>
      </sheetData>
      <sheetData sheetId="406">
        <row r="18">
          <cell r="B18" t="str">
            <v>Hardware &amp; Software</v>
          </cell>
        </row>
      </sheetData>
      <sheetData sheetId="407">
        <row r="18">
          <cell r="B18" t="str">
            <v>Hardware &amp; Software</v>
          </cell>
        </row>
      </sheetData>
      <sheetData sheetId="408">
        <row r="18">
          <cell r="B18" t="str">
            <v>Hardware &amp; Software</v>
          </cell>
        </row>
      </sheetData>
      <sheetData sheetId="409">
        <row r="18">
          <cell r="B18" t="str">
            <v>Hardware &amp; Software</v>
          </cell>
        </row>
      </sheetData>
      <sheetData sheetId="410">
        <row r="18">
          <cell r="B18" t="str">
            <v>Hardware &amp; Software</v>
          </cell>
        </row>
      </sheetData>
      <sheetData sheetId="411">
        <row r="18">
          <cell r="B18" t="str">
            <v>Hardware &amp; Software</v>
          </cell>
        </row>
      </sheetData>
      <sheetData sheetId="412">
        <row r="18">
          <cell r="B18" t="str">
            <v>Hardware &amp; Software</v>
          </cell>
        </row>
      </sheetData>
      <sheetData sheetId="413">
        <row r="18">
          <cell r="B18" t="str">
            <v>Hardware &amp; Software</v>
          </cell>
        </row>
      </sheetData>
      <sheetData sheetId="414">
        <row r="18">
          <cell r="B18" t="str">
            <v>Hardware &amp; Software</v>
          </cell>
        </row>
      </sheetData>
      <sheetData sheetId="415">
        <row r="18">
          <cell r="B18" t="str">
            <v>Hardware &amp; Software</v>
          </cell>
        </row>
      </sheetData>
      <sheetData sheetId="416">
        <row r="18">
          <cell r="B18" t="str">
            <v>Hardware &amp; Software</v>
          </cell>
        </row>
      </sheetData>
      <sheetData sheetId="417">
        <row r="18">
          <cell r="B18" t="str">
            <v>Hardware &amp; Software</v>
          </cell>
        </row>
      </sheetData>
      <sheetData sheetId="418">
        <row r="18">
          <cell r="B18" t="str">
            <v>Hardware &amp; Software</v>
          </cell>
        </row>
      </sheetData>
      <sheetData sheetId="419">
        <row r="18">
          <cell r="B18" t="str">
            <v>Hardware &amp; Software</v>
          </cell>
        </row>
      </sheetData>
      <sheetData sheetId="420">
        <row r="18">
          <cell r="B18" t="str">
            <v>Hardware &amp; Software</v>
          </cell>
        </row>
      </sheetData>
      <sheetData sheetId="421">
        <row r="18">
          <cell r="B18" t="str">
            <v>Hardware &amp; Software</v>
          </cell>
        </row>
      </sheetData>
      <sheetData sheetId="422">
        <row r="18">
          <cell r="B18" t="str">
            <v>Hardware &amp; Software</v>
          </cell>
        </row>
      </sheetData>
      <sheetData sheetId="423">
        <row r="18">
          <cell r="B18" t="str">
            <v>Hardware &amp; Software</v>
          </cell>
        </row>
      </sheetData>
      <sheetData sheetId="424">
        <row r="18">
          <cell r="B18" t="str">
            <v>Hardware &amp; Software</v>
          </cell>
        </row>
      </sheetData>
      <sheetData sheetId="425">
        <row r="18">
          <cell r="B18" t="str">
            <v>Hardware &amp; Software</v>
          </cell>
        </row>
      </sheetData>
      <sheetData sheetId="426">
        <row r="18">
          <cell r="B18" t="str">
            <v>Hardware &amp; Software</v>
          </cell>
        </row>
      </sheetData>
      <sheetData sheetId="427">
        <row r="18">
          <cell r="B18" t="str">
            <v>Hardware &amp; Software</v>
          </cell>
        </row>
      </sheetData>
      <sheetData sheetId="428">
        <row r="18">
          <cell r="B18" t="str">
            <v>Hardware &amp; Software</v>
          </cell>
        </row>
      </sheetData>
      <sheetData sheetId="429">
        <row r="18">
          <cell r="B18" t="str">
            <v>Hardware &amp; Software</v>
          </cell>
        </row>
      </sheetData>
      <sheetData sheetId="430">
        <row r="18">
          <cell r="B18" t="str">
            <v>Hardware &amp; Software</v>
          </cell>
        </row>
      </sheetData>
      <sheetData sheetId="431">
        <row r="18">
          <cell r="B18" t="str">
            <v>Hardware &amp; Software</v>
          </cell>
        </row>
      </sheetData>
      <sheetData sheetId="432">
        <row r="18">
          <cell r="B18" t="str">
            <v>Hardware &amp; Software</v>
          </cell>
        </row>
      </sheetData>
      <sheetData sheetId="433">
        <row r="18">
          <cell r="B18" t="str">
            <v>Hardware &amp; Software</v>
          </cell>
        </row>
      </sheetData>
      <sheetData sheetId="434">
        <row r="18">
          <cell r="B18" t="str">
            <v>Hardware &amp; Software</v>
          </cell>
        </row>
      </sheetData>
      <sheetData sheetId="435">
        <row r="18">
          <cell r="B18" t="str">
            <v>Hardware &amp; Software</v>
          </cell>
        </row>
      </sheetData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>
        <row r="18">
          <cell r="B18" t="str">
            <v>Hardware &amp; Software</v>
          </cell>
        </row>
      </sheetData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8">
          <cell r="B18" t="str">
            <v>Hardware &amp; Software</v>
          </cell>
        </row>
      </sheetData>
      <sheetData sheetId="459">
        <row r="18">
          <cell r="B18" t="str">
            <v>Hardware &amp; Software</v>
          </cell>
        </row>
      </sheetData>
      <sheetData sheetId="460">
        <row r="18">
          <cell r="B18" t="str">
            <v>Hardware &amp; Software</v>
          </cell>
        </row>
      </sheetData>
      <sheetData sheetId="461">
        <row r="18">
          <cell r="B18" t="str">
            <v>Hardware &amp; Software</v>
          </cell>
        </row>
      </sheetData>
      <sheetData sheetId="462">
        <row r="18">
          <cell r="B18" t="str">
            <v>Hardware &amp; Software</v>
          </cell>
        </row>
      </sheetData>
      <sheetData sheetId="463" refreshError="1"/>
      <sheetData sheetId="464" refreshError="1"/>
      <sheetData sheetId="465" refreshError="1"/>
      <sheetData sheetId="466" refreshError="1"/>
      <sheetData sheetId="467">
        <row r="18">
          <cell r="B18" t="str">
            <v>Hardware &amp; Software</v>
          </cell>
        </row>
      </sheetData>
      <sheetData sheetId="468">
        <row r="18">
          <cell r="B18" t="str">
            <v>Hardware &amp; Software</v>
          </cell>
        </row>
      </sheetData>
      <sheetData sheetId="469">
        <row r="18">
          <cell r="B18" t="str">
            <v>Hardware &amp; Software</v>
          </cell>
        </row>
      </sheetData>
      <sheetData sheetId="470">
        <row r="18">
          <cell r="B18" t="str">
            <v>Hardware &amp; Software</v>
          </cell>
        </row>
      </sheetData>
      <sheetData sheetId="471">
        <row r="18">
          <cell r="B18" t="str">
            <v>Hardware &amp; Software</v>
          </cell>
        </row>
      </sheetData>
      <sheetData sheetId="472">
        <row r="18">
          <cell r="B18" t="str">
            <v>Hardware &amp; Software</v>
          </cell>
        </row>
      </sheetData>
      <sheetData sheetId="473">
        <row r="18">
          <cell r="B18" t="str">
            <v>Hardware &amp; Software</v>
          </cell>
        </row>
      </sheetData>
      <sheetData sheetId="474">
        <row r="18">
          <cell r="B18" t="str">
            <v>Hardware &amp; Software</v>
          </cell>
        </row>
      </sheetData>
      <sheetData sheetId="475">
        <row r="18">
          <cell r="B18" t="str">
            <v>Hardware &amp; Software</v>
          </cell>
        </row>
      </sheetData>
      <sheetData sheetId="476">
        <row r="18">
          <cell r="B18" t="str">
            <v>Hardware &amp; Software</v>
          </cell>
        </row>
      </sheetData>
      <sheetData sheetId="477">
        <row r="18">
          <cell r="B18" t="str">
            <v>Hardware &amp; Software</v>
          </cell>
        </row>
      </sheetData>
      <sheetData sheetId="478">
        <row r="18">
          <cell r="B18" t="str">
            <v>Hardware &amp; Software</v>
          </cell>
        </row>
      </sheetData>
      <sheetData sheetId="479">
        <row r="18">
          <cell r="B18" t="str">
            <v>Hardware &amp; Software</v>
          </cell>
        </row>
      </sheetData>
      <sheetData sheetId="480">
        <row r="18">
          <cell r="B18" t="str">
            <v>Hardware &amp; Software</v>
          </cell>
        </row>
      </sheetData>
      <sheetData sheetId="481">
        <row r="18">
          <cell r="B18" t="str">
            <v>Hardware &amp; Software</v>
          </cell>
        </row>
      </sheetData>
      <sheetData sheetId="482">
        <row r="18">
          <cell r="B18" t="str">
            <v>Hardware &amp; Software</v>
          </cell>
        </row>
      </sheetData>
      <sheetData sheetId="483">
        <row r="18">
          <cell r="B18" t="str">
            <v>Hardware &amp; Software</v>
          </cell>
        </row>
      </sheetData>
      <sheetData sheetId="484">
        <row r="18">
          <cell r="B18" t="str">
            <v>Hardware &amp; Software</v>
          </cell>
        </row>
      </sheetData>
      <sheetData sheetId="485">
        <row r="18">
          <cell r="B18" t="str">
            <v>Hardware &amp; Software</v>
          </cell>
        </row>
      </sheetData>
      <sheetData sheetId="486">
        <row r="18">
          <cell r="B18" t="str">
            <v>Hardware &amp; Software</v>
          </cell>
        </row>
      </sheetData>
      <sheetData sheetId="487">
        <row r="18">
          <cell r="B18" t="str">
            <v>Hardware &amp; Software</v>
          </cell>
        </row>
      </sheetData>
      <sheetData sheetId="488">
        <row r="18">
          <cell r="B18" t="str">
            <v>Hardware &amp; Software</v>
          </cell>
        </row>
      </sheetData>
      <sheetData sheetId="489">
        <row r="18">
          <cell r="B18" t="str">
            <v>Hardware &amp; Software</v>
          </cell>
        </row>
      </sheetData>
      <sheetData sheetId="490">
        <row r="18">
          <cell r="B18" t="str">
            <v>Hardware &amp; Software</v>
          </cell>
        </row>
      </sheetData>
      <sheetData sheetId="491">
        <row r="18">
          <cell r="B18" t="str">
            <v>Hardware &amp; Software</v>
          </cell>
        </row>
      </sheetData>
      <sheetData sheetId="492">
        <row r="18">
          <cell r="B18" t="str">
            <v>Hardware &amp; Software</v>
          </cell>
        </row>
      </sheetData>
      <sheetData sheetId="493">
        <row r="18">
          <cell r="B18" t="str">
            <v>Hardware &amp; Software</v>
          </cell>
        </row>
      </sheetData>
      <sheetData sheetId="494">
        <row r="18">
          <cell r="B18" t="str">
            <v>Hardware &amp; Software</v>
          </cell>
        </row>
      </sheetData>
      <sheetData sheetId="495">
        <row r="18">
          <cell r="B18" t="str">
            <v>Hardware &amp; Software</v>
          </cell>
        </row>
      </sheetData>
      <sheetData sheetId="496">
        <row r="18">
          <cell r="B18" t="str">
            <v>Hardware &amp; Software</v>
          </cell>
        </row>
      </sheetData>
      <sheetData sheetId="497">
        <row r="18">
          <cell r="B18" t="str">
            <v>Hardware &amp; Software</v>
          </cell>
        </row>
      </sheetData>
      <sheetData sheetId="498">
        <row r="18">
          <cell r="B18" t="str">
            <v>Hardware &amp; Software</v>
          </cell>
        </row>
      </sheetData>
      <sheetData sheetId="499">
        <row r="18">
          <cell r="B18" t="str">
            <v>Hardware &amp; Software</v>
          </cell>
        </row>
      </sheetData>
      <sheetData sheetId="500">
        <row r="18">
          <cell r="B18" t="str">
            <v>Hardware &amp; Software</v>
          </cell>
        </row>
      </sheetData>
      <sheetData sheetId="501">
        <row r="18">
          <cell r="B18" t="str">
            <v>Hardware &amp; Software</v>
          </cell>
        </row>
      </sheetData>
      <sheetData sheetId="502">
        <row r="18">
          <cell r="B18" t="str">
            <v>Hardware &amp; Software</v>
          </cell>
        </row>
      </sheetData>
      <sheetData sheetId="503">
        <row r="18">
          <cell r="B18" t="str">
            <v>Hardware &amp; Software</v>
          </cell>
        </row>
      </sheetData>
      <sheetData sheetId="504">
        <row r="18">
          <cell r="B18" t="str">
            <v>Hardware &amp; Software</v>
          </cell>
        </row>
      </sheetData>
      <sheetData sheetId="505">
        <row r="18">
          <cell r="B18" t="str">
            <v>Hardware &amp; Software</v>
          </cell>
        </row>
      </sheetData>
      <sheetData sheetId="506">
        <row r="18">
          <cell r="B18" t="str">
            <v>Hardware &amp; Software</v>
          </cell>
        </row>
      </sheetData>
      <sheetData sheetId="507">
        <row r="18">
          <cell r="B18" t="str">
            <v>Hardware &amp; Software</v>
          </cell>
        </row>
      </sheetData>
      <sheetData sheetId="508">
        <row r="18">
          <cell r="B18" t="str">
            <v>Hardware &amp; Software</v>
          </cell>
        </row>
      </sheetData>
      <sheetData sheetId="509" refreshError="1"/>
      <sheetData sheetId="510" refreshError="1"/>
      <sheetData sheetId="511">
        <row r="18">
          <cell r="B18" t="str">
            <v>Hardware &amp; Software</v>
          </cell>
        </row>
      </sheetData>
      <sheetData sheetId="512">
        <row r="18">
          <cell r="B18" t="str">
            <v>Hardware &amp; Software</v>
          </cell>
        </row>
      </sheetData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>
        <row r="18">
          <cell r="B18" t="str">
            <v>Hardware &amp; Software</v>
          </cell>
        </row>
      </sheetData>
      <sheetData sheetId="528">
        <row r="18">
          <cell r="B18" t="str">
            <v>Hardware &amp; Software</v>
          </cell>
        </row>
      </sheetData>
      <sheetData sheetId="529">
        <row r="18">
          <cell r="B18" t="str">
            <v>Hardware &amp; Software</v>
          </cell>
        </row>
      </sheetData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>
        <row r="18">
          <cell r="B18" t="str">
            <v>Hardware &amp; Software</v>
          </cell>
        </row>
      </sheetData>
      <sheetData sheetId="549">
        <row r="18">
          <cell r="B18" t="str">
            <v>Hardware &amp; Software</v>
          </cell>
        </row>
      </sheetData>
      <sheetData sheetId="550">
        <row r="18">
          <cell r="B18" t="str">
            <v>Hardware &amp; Software</v>
          </cell>
        </row>
      </sheetData>
      <sheetData sheetId="551">
        <row r="18">
          <cell r="B18" t="str">
            <v>Hardware &amp; Software</v>
          </cell>
        </row>
      </sheetData>
      <sheetData sheetId="552">
        <row r="18">
          <cell r="B18" t="str">
            <v>Hardware &amp; Software</v>
          </cell>
        </row>
      </sheetData>
      <sheetData sheetId="553">
        <row r="18">
          <cell r="B18" t="str">
            <v>Hardware &amp; Software</v>
          </cell>
        </row>
      </sheetData>
      <sheetData sheetId="554">
        <row r="18">
          <cell r="B18" t="str">
            <v>Hardware &amp; Software</v>
          </cell>
        </row>
      </sheetData>
      <sheetData sheetId="555">
        <row r="18">
          <cell r="B18" t="str">
            <v>Hardware &amp; Software</v>
          </cell>
        </row>
      </sheetData>
      <sheetData sheetId="556">
        <row r="18">
          <cell r="B18" t="str">
            <v>Hardware &amp; Software</v>
          </cell>
        </row>
      </sheetData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>
        <row r="18">
          <cell r="B18" t="str">
            <v>Hardware &amp; Software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>
        <row r="18">
          <cell r="B18" t="str">
            <v>Hardware &amp; Software</v>
          </cell>
        </row>
      </sheetData>
      <sheetData sheetId="618">
        <row r="18">
          <cell r="B18" t="str">
            <v>Hardware &amp; Software</v>
          </cell>
        </row>
      </sheetData>
      <sheetData sheetId="619">
        <row r="18">
          <cell r="B18" t="str">
            <v>Hardware &amp; Software</v>
          </cell>
        </row>
      </sheetData>
      <sheetData sheetId="620"/>
      <sheetData sheetId="621"/>
      <sheetData sheetId="622"/>
      <sheetData sheetId="623">
        <row r="18">
          <cell r="B18" t="str">
            <v>Hardware &amp; Software</v>
          </cell>
        </row>
      </sheetData>
      <sheetData sheetId="624">
        <row r="18">
          <cell r="B18" t="str">
            <v>Hardware &amp; Software</v>
          </cell>
        </row>
      </sheetData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>
        <row r="18">
          <cell r="B18" t="str">
            <v>Hardware &amp; Software</v>
          </cell>
        </row>
      </sheetData>
      <sheetData sheetId="634">
        <row r="18">
          <cell r="B18" t="str">
            <v>Hardware &amp; Software</v>
          </cell>
        </row>
      </sheetData>
      <sheetData sheetId="635"/>
      <sheetData sheetId="636"/>
      <sheetData sheetId="637"/>
      <sheetData sheetId="638"/>
      <sheetData sheetId="639"/>
      <sheetData sheetId="640"/>
      <sheetData sheetId="641">
        <row r="18">
          <cell r="B18" t="str">
            <v>Hardware &amp; Software</v>
          </cell>
        </row>
      </sheetData>
      <sheetData sheetId="642">
        <row r="18">
          <cell r="B18" t="str">
            <v>Hardware &amp; Software</v>
          </cell>
        </row>
      </sheetData>
      <sheetData sheetId="643"/>
      <sheetData sheetId="644"/>
      <sheetData sheetId="645"/>
      <sheetData sheetId="646"/>
      <sheetData sheetId="647"/>
      <sheetData sheetId="648"/>
      <sheetData sheetId="649">
        <row r="18">
          <cell r="B18" t="str">
            <v>Hardware &amp; Software</v>
          </cell>
        </row>
      </sheetData>
      <sheetData sheetId="650"/>
      <sheetData sheetId="651"/>
      <sheetData sheetId="652"/>
      <sheetData sheetId="653"/>
      <sheetData sheetId="654"/>
      <sheetData sheetId="655"/>
      <sheetData sheetId="656"/>
      <sheetData sheetId="657">
        <row r="18">
          <cell r="B18" t="str">
            <v>Hardware &amp; Software</v>
          </cell>
        </row>
      </sheetData>
      <sheetData sheetId="658">
        <row r="18">
          <cell r="B18" t="str">
            <v>Hardware &amp; Software</v>
          </cell>
        </row>
      </sheetData>
      <sheetData sheetId="659">
        <row r="18">
          <cell r="B18" t="str">
            <v>Hardware &amp; Software</v>
          </cell>
        </row>
      </sheetData>
      <sheetData sheetId="660">
        <row r="18">
          <cell r="B18" t="str">
            <v>Hardware &amp; Software</v>
          </cell>
        </row>
      </sheetData>
      <sheetData sheetId="661">
        <row r="18">
          <cell r="B18" t="str">
            <v>Hardware &amp; Software</v>
          </cell>
        </row>
      </sheetData>
      <sheetData sheetId="662">
        <row r="18">
          <cell r="B18" t="str">
            <v>Hardware &amp; Software</v>
          </cell>
        </row>
      </sheetData>
      <sheetData sheetId="663">
        <row r="18">
          <cell r="B18" t="str">
            <v>Hardware &amp; Software</v>
          </cell>
        </row>
      </sheetData>
      <sheetData sheetId="664">
        <row r="18">
          <cell r="B18" t="str">
            <v>Hardware &amp; Software</v>
          </cell>
        </row>
      </sheetData>
      <sheetData sheetId="665">
        <row r="18">
          <cell r="B18" t="str">
            <v>Hardware &amp; Software</v>
          </cell>
        </row>
      </sheetData>
      <sheetData sheetId="666">
        <row r="18">
          <cell r="B18" t="str">
            <v>Hardware &amp; Software</v>
          </cell>
        </row>
      </sheetData>
      <sheetData sheetId="667">
        <row r="18">
          <cell r="B18" t="str">
            <v>Hardware &amp; Software</v>
          </cell>
        </row>
      </sheetData>
      <sheetData sheetId="668">
        <row r="18">
          <cell r="B18" t="str">
            <v>Hardware &amp; Software</v>
          </cell>
        </row>
      </sheetData>
      <sheetData sheetId="669">
        <row r="18">
          <cell r="B18" t="str">
            <v>Hardware &amp; Software</v>
          </cell>
        </row>
      </sheetData>
      <sheetData sheetId="670">
        <row r="18">
          <cell r="B18" t="str">
            <v>Hardware &amp; Software</v>
          </cell>
        </row>
      </sheetData>
      <sheetData sheetId="671">
        <row r="18">
          <cell r="B18" t="str">
            <v>Hardware &amp; Software</v>
          </cell>
        </row>
      </sheetData>
      <sheetData sheetId="672">
        <row r="18">
          <cell r="B18" t="str">
            <v>Hardware &amp; Software</v>
          </cell>
        </row>
      </sheetData>
      <sheetData sheetId="673">
        <row r="18">
          <cell r="B18" t="str">
            <v>Hardware &amp; Software</v>
          </cell>
        </row>
      </sheetData>
      <sheetData sheetId="674">
        <row r="18">
          <cell r="B18" t="str">
            <v>Hardware &amp; Software</v>
          </cell>
        </row>
      </sheetData>
      <sheetData sheetId="675">
        <row r="18">
          <cell r="B18" t="str">
            <v>Hardware &amp; Software</v>
          </cell>
        </row>
      </sheetData>
      <sheetData sheetId="676">
        <row r="18">
          <cell r="B18" t="str">
            <v>Hardware &amp; Software</v>
          </cell>
        </row>
      </sheetData>
      <sheetData sheetId="677"/>
      <sheetData sheetId="678">
        <row r="18">
          <cell r="B18" t="str">
            <v>Hardware &amp; Software</v>
          </cell>
        </row>
      </sheetData>
      <sheetData sheetId="679"/>
      <sheetData sheetId="680">
        <row r="18">
          <cell r="B18" t="str">
            <v>Hardware &amp; Software</v>
          </cell>
        </row>
      </sheetData>
      <sheetData sheetId="681">
        <row r="18">
          <cell r="B18" t="str">
            <v>Hardware &amp; Software</v>
          </cell>
        </row>
      </sheetData>
      <sheetData sheetId="682">
        <row r="18">
          <cell r="B18" t="str">
            <v>Hardware &amp; Software</v>
          </cell>
        </row>
      </sheetData>
      <sheetData sheetId="683"/>
      <sheetData sheetId="684"/>
      <sheetData sheetId="685"/>
      <sheetData sheetId="686">
        <row r="18">
          <cell r="B18" t="str">
            <v>Hardware &amp; Software</v>
          </cell>
        </row>
      </sheetData>
      <sheetData sheetId="687">
        <row r="18">
          <cell r="B18" t="str">
            <v>Hardware &amp; Software</v>
          </cell>
        </row>
      </sheetData>
      <sheetData sheetId="688"/>
      <sheetData sheetId="689"/>
      <sheetData sheetId="690"/>
      <sheetData sheetId="691">
        <row r="18">
          <cell r="B18" t="str">
            <v>Hardware &amp; Software</v>
          </cell>
        </row>
      </sheetData>
      <sheetData sheetId="692">
        <row r="18">
          <cell r="B18" t="str">
            <v>Hardware &amp; Software</v>
          </cell>
        </row>
      </sheetData>
      <sheetData sheetId="693"/>
      <sheetData sheetId="694">
        <row r="18">
          <cell r="B18" t="str">
            <v>Hardware &amp; Software</v>
          </cell>
        </row>
      </sheetData>
      <sheetData sheetId="695">
        <row r="18">
          <cell r="B18" t="str">
            <v>Hardware &amp; Software</v>
          </cell>
        </row>
      </sheetData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/>
      <sheetData sheetId="703">
        <row r="18">
          <cell r="B18" t="str">
            <v>Hardware &amp; Software</v>
          </cell>
        </row>
      </sheetData>
      <sheetData sheetId="704">
        <row r="18">
          <cell r="B18" t="str">
            <v>Hardware &amp; Software</v>
          </cell>
        </row>
      </sheetData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>
        <row r="18">
          <cell r="B18" t="str">
            <v>Hardware &amp; Software</v>
          </cell>
        </row>
      </sheetData>
      <sheetData sheetId="732"/>
      <sheetData sheetId="733"/>
      <sheetData sheetId="734">
        <row r="18">
          <cell r="B18" t="str">
            <v>Hardware &amp; Software</v>
          </cell>
        </row>
      </sheetData>
      <sheetData sheetId="735"/>
      <sheetData sheetId="736"/>
      <sheetData sheetId="737"/>
      <sheetData sheetId="738"/>
      <sheetData sheetId="739"/>
      <sheetData sheetId="740"/>
      <sheetData sheetId="741"/>
      <sheetData sheetId="742" refreshError="1"/>
      <sheetData sheetId="743">
        <row r="18">
          <cell r="B18" t="str">
            <v>Hardware &amp; Software</v>
          </cell>
        </row>
      </sheetData>
      <sheetData sheetId="744">
        <row r="18">
          <cell r="B18" t="str">
            <v>Hardware &amp; Software</v>
          </cell>
        </row>
      </sheetData>
      <sheetData sheetId="745">
        <row r="18">
          <cell r="B18" t="str">
            <v>Hardware &amp; Software</v>
          </cell>
        </row>
      </sheetData>
      <sheetData sheetId="746">
        <row r="18">
          <cell r="B18" t="str">
            <v>Hardware &amp; Software</v>
          </cell>
        </row>
      </sheetData>
      <sheetData sheetId="747">
        <row r="18">
          <cell r="B18" t="str">
            <v>Hardware &amp; Software</v>
          </cell>
        </row>
      </sheetData>
      <sheetData sheetId="748">
        <row r="18">
          <cell r="B18" t="str">
            <v>Hardware &amp; Software</v>
          </cell>
        </row>
      </sheetData>
      <sheetData sheetId="749">
        <row r="18">
          <cell r="B18" t="str">
            <v>Hardware &amp; Software</v>
          </cell>
        </row>
      </sheetData>
      <sheetData sheetId="750">
        <row r="18">
          <cell r="B18" t="str">
            <v>Hardware &amp; Software</v>
          </cell>
        </row>
      </sheetData>
      <sheetData sheetId="751">
        <row r="18">
          <cell r="B18" t="str">
            <v>Hardware &amp; Software</v>
          </cell>
        </row>
      </sheetData>
      <sheetData sheetId="752">
        <row r="18">
          <cell r="B18" t="str">
            <v>Hardware &amp; Software</v>
          </cell>
        </row>
      </sheetData>
      <sheetData sheetId="753">
        <row r="18">
          <cell r="B18" t="str">
            <v>Hardware &amp; Software</v>
          </cell>
        </row>
      </sheetData>
      <sheetData sheetId="754">
        <row r="18">
          <cell r="B18" t="str">
            <v>Hardware &amp; Software</v>
          </cell>
        </row>
      </sheetData>
      <sheetData sheetId="755">
        <row r="18">
          <cell r="B18" t="str">
            <v>Hardware &amp; Software</v>
          </cell>
        </row>
      </sheetData>
      <sheetData sheetId="756"/>
      <sheetData sheetId="757"/>
      <sheetData sheetId="758">
        <row r="18">
          <cell r="B18" t="str">
            <v>Hardware &amp; Software</v>
          </cell>
        </row>
      </sheetData>
      <sheetData sheetId="759">
        <row r="18">
          <cell r="B18" t="str">
            <v>Hardware &amp; Software</v>
          </cell>
        </row>
      </sheetData>
      <sheetData sheetId="760">
        <row r="18">
          <cell r="B18" t="str">
            <v>Hardware &amp; Software</v>
          </cell>
        </row>
      </sheetData>
      <sheetData sheetId="761">
        <row r="18">
          <cell r="B18" t="str">
            <v>Hardware &amp; Software</v>
          </cell>
        </row>
      </sheetData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/>
      <sheetData sheetId="771">
        <row r="18">
          <cell r="B18" t="str">
            <v>Hardware &amp; Software</v>
          </cell>
        </row>
      </sheetData>
      <sheetData sheetId="772">
        <row r="18">
          <cell r="B18" t="str">
            <v>Hardware &amp; Software</v>
          </cell>
        </row>
      </sheetData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>
        <row r="18">
          <cell r="B18" t="str">
            <v>Hardware &amp; Software</v>
          </cell>
        </row>
      </sheetData>
      <sheetData sheetId="829"/>
      <sheetData sheetId="830">
        <row r="18">
          <cell r="B18" t="str">
            <v>Hardware &amp; Software</v>
          </cell>
        </row>
      </sheetData>
      <sheetData sheetId="831"/>
      <sheetData sheetId="832">
        <row r="18">
          <cell r="B18" t="str">
            <v>Hardware &amp; Software</v>
          </cell>
        </row>
      </sheetData>
      <sheetData sheetId="833">
        <row r="18">
          <cell r="B18" t="str">
            <v>Hardware &amp; Software</v>
          </cell>
        </row>
      </sheetData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>
        <row r="18">
          <cell r="B18" t="str">
            <v>Hardware &amp; Software</v>
          </cell>
        </row>
      </sheetData>
      <sheetData sheetId="843">
        <row r="18">
          <cell r="B18" t="str">
            <v>Hardware &amp; Software</v>
          </cell>
        </row>
      </sheetData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 refreshError="1"/>
      <sheetData sheetId="893" refreshError="1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 refreshError="1"/>
      <sheetData sheetId="906" refreshError="1"/>
      <sheetData sheetId="907" refreshError="1"/>
      <sheetData sheetId="908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s Guide-1"/>
      <sheetName val="Threshold-2"/>
      <sheetName val="Analysis-3"/>
      <sheetName val="Interest-4"/>
      <sheetName val="Tickmarks"/>
      <sheetName val="Index"/>
      <sheetName val="Instructions"/>
      <sheetName val="Threshhold"/>
      <sheetName val="Ad &amp; Promo"/>
      <sheetName val="Office &amp; Gen"/>
      <sheetName val="Other Operating Exp"/>
      <sheetName val="GST Reduction"/>
      <sheetName val="DirectExp"/>
      <sheetName val="OperatingExp"/>
      <sheetName val="PyrllDeduc"/>
      <sheetName val="Interest"/>
      <sheetName val="mancount"/>
      <sheetName val="PRESFMS"/>
      <sheetName val="Opening Balanc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ompt"/>
      <sheetName val="BS"/>
      <sheetName val="PL"/>
      <sheetName val="Schedules -BS "/>
      <sheetName val="Schedule-PL"/>
      <sheetName val="FA"/>
      <sheetName val="AJE"/>
      <sheetName val="T"/>
      <sheetName val="RJE"/>
      <sheetName val="Group Summary"/>
      <sheetName val="MAT"/>
      <sheetName val="GT_Custom"/>
      <sheetName val="EPS"/>
      <sheetName val="Tax Provisioning"/>
      <sheetName val="IT Depp"/>
      <sheetName val="Advance Tax Paid"/>
      <sheetName val="Lead Sheet"/>
      <sheetName val="Deff Tax"/>
      <sheetName val="IVFinancials(3)"/>
    </sheetNames>
    <definedNames>
      <definedName name="_xlbgnm.bs1"/>
      <definedName name="Group4"/>
      <definedName name="HR"/>
      <definedName name="SaveWorkbookNo"/>
      <definedName name="SaveWorkbookYe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mary"/>
      <sheetName val="Year_End"/>
      <sheetName val="Asset Adjustment"/>
      <sheetName val="Additions"/>
      <sheetName val="Disposals"/>
      <sheetName val="Repairs"/>
      <sheetName val="Depreciation"/>
      <sheetName val="Existence"/>
      <sheetName val="Demo Equip"/>
      <sheetName val="Tickmarks"/>
      <sheetName val="Parameters"/>
      <sheetName val="PyrllDeduc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Price-Used"/>
      <sheetName val="2. Price-New"/>
      <sheetName val="3. Price-Parts"/>
      <sheetName val="4. Obsolescence"/>
      <sheetName val="5. Sum Count Errors"/>
      <sheetName val="6. Cutoff"/>
      <sheetName val="Tickmarks"/>
      <sheetName val="Price Testing - Used - 1"/>
      <sheetName val="Price Testing - New - 2 "/>
      <sheetName val="Parts  - Price Testing- 3"/>
      <sheetName val="Summary of Part Count Errors-4"/>
      <sheetName val="Cutoff Testing-5"/>
      <sheetName val="1. Obsolescence"/>
      <sheetName val="Reconciliation"/>
      <sheetName val="Input"/>
      <sheetName val="b"/>
      <sheetName val="Assumptions"/>
      <sheetName val="Year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RMASL Trading "/>
      <sheetName val="RMASL Trading"/>
      <sheetName val="Realised Gains in RMASL"/>
      <sheetName val="Sheet5"/>
      <sheetName val="F&amp;O Trading"/>
      <sheetName val="Realised Gains in F&amp;O"/>
      <sheetName val="Sheet1"/>
      <sheetName val="INDEX DATA"/>
      <sheetName val="Sheet2"/>
      <sheetName val="RMG"/>
      <sheetName val="MAIN"/>
      <sheetName val="Returns"/>
      <sheetName val="CHART"/>
      <sheetName val="Sheet3"/>
      <sheetName val="CHART1"/>
      <sheetName val="MAIN SHEET"/>
      <sheetName val="GRAPH"/>
      <sheetName val="Sheet4"/>
      <sheetName val="ChartRMASL"/>
      <sheetName val="RMG Cash Flow"/>
      <sheetName val="Index"/>
      <sheetName val="RMGChart"/>
      <sheetName val="Sheet8"/>
      <sheetName val="Composite"/>
      <sheetName val="RMASLGraph"/>
      <sheetName val="2007"/>
      <sheetName val="Sheet9"/>
      <sheetName val="2007Graph"/>
      <sheetName val="Sheet7"/>
      <sheetName val="RMASL_Trading_"/>
      <sheetName val="RMASL_Trading"/>
      <sheetName val="Realised_Gains_in_RMASL"/>
      <sheetName val="F&amp;O_Trading"/>
      <sheetName val="Realised_Gains_in_F&amp;O"/>
      <sheetName val="INDEX_DATA"/>
      <sheetName val="MAIN_SHEET"/>
      <sheetName val="RMG_Cash_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  <sheetName val="ESOP valuation"/>
      <sheetName val="Std devn for ESOP (2006-11)"/>
      <sheetName val="Risk free rate"/>
      <sheetName val="Market Return"/>
      <sheetName val="Capex- Disha"/>
      <sheetName val="Investment"/>
      <sheetName val="BETA"/>
      <sheetName val="WACC"/>
      <sheetName val="BSE30 - annual"/>
      <sheetName val="Sheet2"/>
    </sheetNames>
    <sheetDataSet>
      <sheetData sheetId="0" refreshError="1"/>
      <sheetData sheetId="1">
        <row r="294">
          <cell r="T294">
            <v>60562.55</v>
          </cell>
          <cell r="U294">
            <v>60562.55</v>
          </cell>
          <cell r="V294">
            <v>60562.55</v>
          </cell>
          <cell r="W294">
            <v>60562.55</v>
          </cell>
          <cell r="X294">
            <v>60562.55</v>
          </cell>
          <cell r="Y294">
            <v>60562.55</v>
          </cell>
          <cell r="Z294">
            <v>60562.55</v>
          </cell>
          <cell r="AA294">
            <v>60562.55</v>
          </cell>
          <cell r="AB294">
            <v>60562.55</v>
          </cell>
          <cell r="AC294">
            <v>60562.55</v>
          </cell>
          <cell r="AD294">
            <v>60562.55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"/>
      <sheetName val="current"/>
      <sheetName val="EQUITY HOLDINGS"/>
      <sheetName val="General assumptions"/>
      <sheetName val="Assumptions-Wireline"/>
      <sheetName val="CDMA-Assumptions"/>
      <sheetName val="NLD - Assum"/>
      <sheetName val="Assumptions &amp; workings-RICL"/>
      <sheetName val="Scope of project"/>
      <sheetName val="Usage &amp; Tariff Wireline"/>
      <sheetName val="Market share"/>
      <sheetName val="Summary Capex"/>
      <sheetName val="CDMA-Capex prices"/>
      <sheetName val="CDMA-CAPEX"/>
      <sheetName val="CDMA working"/>
      <sheetName val="Reliance subs"/>
      <sheetName val="Capex-Wired"/>
      <sheetName val="Staff-fixed"/>
      <sheetName val="Wireline-working"/>
      <sheetName val="P&amp;L-Wireline"/>
      <sheetName val="CDMA-P&amp;L"/>
      <sheetName val="NLD working"/>
      <sheetName val="NLD - P&amp;L"/>
      <sheetName val="RCL-P&amp;L"/>
      <sheetName val="RIC P&amp; L"/>
      <sheetName val="Summary biz plan"/>
      <sheetName val="RCPL EV"/>
      <sheetName val="EV-WLL"/>
      <sheetName val="EV-FIXED"/>
      <sheetName val="EV-NLD"/>
      <sheetName val="RICL 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W"/>
      <sheetName val="OPS_asia"/>
      <sheetName val="Production"/>
      <sheetName val="PRICE"/>
      <sheetName val="Data"/>
      <sheetName val="OPS_SIMPLIFIE"/>
      <sheetName val="CESSION"/>
      <sheetName val="ORDER"/>
      <sheetName val="income"/>
      <sheetName val="AP RA99-06"/>
      <sheetName val="HV RA99-06"/>
      <sheetName val="IN RA99-06"/>
      <sheetName val="CH RA99-06"/>
      <sheetName val="TH RA99-06"/>
      <sheetName val="HZ RA99-06"/>
      <sheetName val="Total MG "/>
      <sheetName val="Rates"/>
      <sheetName val="TB"/>
      <sheetName val="COA-IPCL"/>
      <sheetName val="M B-QtyRecn"/>
      <sheetName val="Schedule"/>
      <sheetName val="Sheet1"/>
      <sheetName val="MAPPINGS"/>
      <sheetName val="RES"/>
      <sheetName val="Chart of Accounts"/>
      <sheetName val="Op Plan Sales"/>
      <sheetName val="Params"/>
      <sheetName val="Masters"/>
      <sheetName val="d"/>
      <sheetName val="5Y_v2.14"/>
      <sheetName val="Trial Balance"/>
      <sheetName val="IOPlan"/>
      <sheetName val="Consol"/>
      <sheetName val="Lists"/>
      <sheetName val="IT Only"/>
      <sheetName val="Control"/>
      <sheetName val="Risco-Accts"/>
      <sheetName val="Comp"/>
      <sheetName val="Payroll_Statement"/>
      <sheetName val="Annexure"/>
      <sheetName val="Input schedule"/>
      <sheetName val="Sales &amp; Marketing Dashboard"/>
      <sheetName val="LIC"/>
      <sheetName val="PropertyList"/>
      <sheetName val="IT-accruals"/>
      <sheetName val="TPM Tot"/>
      <sheetName val="StdMarginRegQtr"/>
      <sheetName val="Sept '99"/>
      <sheetName val="AP_RA99-06"/>
      <sheetName val="HV_RA99-06"/>
      <sheetName val="IN_RA99-06"/>
      <sheetName val="CH_RA99-06"/>
      <sheetName val="TH_RA99-06"/>
      <sheetName val="HZ_RA99-06"/>
      <sheetName val="Op_Plan_Sales"/>
      <sheetName val="M_B-QtyRecn"/>
      <sheetName val="FBT Full"/>
      <sheetName val="Price Testing - Used - 1"/>
      <sheetName val="Consolidated"/>
      <sheetName val="India"/>
      <sheetName val="BAL0301"/>
      <sheetName val="Other"/>
      <sheetName val="Summary"/>
      <sheetName val="BAL96-97"/>
      <sheetName val="Other notes"/>
      <sheetName val="MAIN"/>
      <sheetName val="consolidated Budget"/>
      <sheetName val="POFG"/>
      <sheetName val="Rollup_Summary"/>
      <sheetName val="List"/>
      <sheetName val="Cash Flow.7"/>
      <sheetName val="Opening Balance"/>
      <sheetName val="Jodalli-P&amp;L"/>
      <sheetName val="Graphdata"/>
      <sheetName val="データシート"/>
      <sheetName val="Categ"/>
      <sheetName val="Amortization Table"/>
      <sheetName val="IIL Payroll"/>
      <sheetName val="3 Yr Revenue Analysis(old)"/>
      <sheetName val="Macro1"/>
      <sheetName val="IS"/>
      <sheetName val="May 09"/>
      <sheetName val="AP_RA99-061"/>
      <sheetName val="HV_RA99-061"/>
      <sheetName val="IN_RA99-061"/>
      <sheetName val="CH_RA99-061"/>
      <sheetName val="TH_RA99-061"/>
      <sheetName val="HZ_RA99-061"/>
      <sheetName val="Total_MG_"/>
      <sheetName val="Op_Plan_Sales1"/>
      <sheetName val="IT_Only"/>
      <sheetName val="AP_RA99-062"/>
      <sheetName val="HV_RA99-062"/>
      <sheetName val="IN_RA99-062"/>
      <sheetName val="CH_RA99-062"/>
      <sheetName val="TH_RA99-062"/>
      <sheetName val="HZ_RA99-062"/>
      <sheetName val="Total_MG_1"/>
      <sheetName val="Op_Plan_Sales2"/>
      <sheetName val="IT_Only1"/>
      <sheetName val="Sales_&amp;_Marketing_Dashboard"/>
      <sheetName val="TPM_Tot"/>
      <sheetName val="Sept_'99"/>
      <sheetName val="Page1"/>
      <sheetName val="Main-Material"/>
      <sheetName val="Push Diag on Premise"/>
      <sheetName val="CChannel Attract Input"/>
      <sheetName val="FStratPlan"/>
      <sheetName val="Price_Testing_-_Used_-_11"/>
      <sheetName val="Price_Testing_-_Used_-_1"/>
      <sheetName val=""/>
      <sheetName val="Cover"/>
      <sheetName val="未着品BALANCE"/>
      <sheetName val="Trial_Balance"/>
      <sheetName val="Input_schedule"/>
      <sheetName val="New form 3CD A"/>
      <sheetName val="EXPENSES"/>
      <sheetName val="All Data"/>
      <sheetName val="Rate_dec02"/>
      <sheetName val="BS"/>
      <sheetName val="CRITERIA1"/>
      <sheetName val="FINAL SHEET"/>
      <sheetName val="License Area"/>
      <sheetName val="Challan"/>
      <sheetName val="Nomenclature"/>
      <sheetName val="PAP"/>
      <sheetName val="Keyratios"/>
      <sheetName val="Facility"/>
      <sheetName val="P L"/>
      <sheetName val="Other_notes"/>
      <sheetName val="M_B-QtyRecn1"/>
      <sheetName val="FBT_Full"/>
      <sheetName val="Chart_of_Accounts"/>
      <sheetName val="consolidated_Budget"/>
      <sheetName val="Other_notes1"/>
      <sheetName val="M_B-QtyRecn2"/>
      <sheetName val="Sales_&amp;_Marketing_Dashboard1"/>
      <sheetName val="Trial_Balance1"/>
      <sheetName val="Input_schedule1"/>
      <sheetName val="TPM_Tot1"/>
      <sheetName val="Sept_'991"/>
      <sheetName val="FBT_Full1"/>
      <sheetName val="Chart_of_Accounts1"/>
      <sheetName val="consolidated_Budget1"/>
      <sheetName val="AP_RA99-063"/>
      <sheetName val="HV_RA99-063"/>
      <sheetName val="IN_RA99-063"/>
      <sheetName val="CH_RA99-063"/>
      <sheetName val="TH_RA99-063"/>
      <sheetName val="HZ_RA99-063"/>
      <sheetName val="Op_Plan_Sales3"/>
      <sheetName val="Other_notes2"/>
      <sheetName val="M_B-QtyRecn3"/>
      <sheetName val="IT_Only2"/>
      <sheetName val="Sales_&amp;_Marketing_Dashboard2"/>
      <sheetName val="Total_MG_2"/>
      <sheetName val="Trial_Balance2"/>
      <sheetName val="Input_schedule2"/>
      <sheetName val="TPM_Tot2"/>
      <sheetName val="Sept_'992"/>
      <sheetName val="FBT_Full2"/>
      <sheetName val="Chart_of_Accounts2"/>
      <sheetName val="consolidated_Budget2"/>
      <sheetName val="AP_RA99-064"/>
      <sheetName val="HV_RA99-064"/>
      <sheetName val="IN_RA99-064"/>
      <sheetName val="CH_RA99-064"/>
      <sheetName val="TH_RA99-064"/>
      <sheetName val="HZ_RA99-064"/>
      <sheetName val="Op_Plan_Sales4"/>
      <sheetName val="Other_notes3"/>
      <sheetName val="M_B-QtyRecn4"/>
      <sheetName val="IT_Only3"/>
      <sheetName val="Sales_&amp;_Marketing_Dashboard3"/>
      <sheetName val="Total_MG_3"/>
      <sheetName val="Trial_Balance3"/>
      <sheetName val="Input_schedule3"/>
      <sheetName val="TPM_Tot3"/>
      <sheetName val="Sept_'993"/>
      <sheetName val="FBT_Full3"/>
      <sheetName val="Chart_of_Accounts3"/>
      <sheetName val="consolidated_Budget3"/>
      <sheetName val="5Y_v2_14"/>
      <sheetName val="Price_Testing_-_Used_-_12"/>
      <sheetName val="Push_Diag_on_Premise"/>
      <sheetName val="CChannel_Attract_Input"/>
      <sheetName val="Cash_Flow_7"/>
      <sheetName val="Opening_Balance"/>
      <sheetName val="AP_RA99-065"/>
      <sheetName val="HV_RA99-065"/>
      <sheetName val="IN_RA99-065"/>
      <sheetName val="CH_RA99-065"/>
      <sheetName val="TH_RA99-065"/>
      <sheetName val="HZ_RA99-065"/>
      <sheetName val="Op_Plan_Sales5"/>
      <sheetName val="Other_notes4"/>
      <sheetName val="M_B-QtyRecn5"/>
      <sheetName val="IT_Only4"/>
      <sheetName val="Sales_&amp;_Marketing_Dashboard4"/>
      <sheetName val="Total_MG_4"/>
      <sheetName val="Trial_Balance4"/>
      <sheetName val="Input_schedule4"/>
      <sheetName val="TPM_Tot4"/>
      <sheetName val="Sept_'994"/>
      <sheetName val="FBT_Full4"/>
      <sheetName val="Chart_of_Accounts4"/>
      <sheetName val="consolidated_Budget4"/>
      <sheetName val="5Y_v2_141"/>
      <sheetName val="Price_Testing_-_Used_-_13"/>
      <sheetName val="Push_Diag_on_Premise1"/>
      <sheetName val="CChannel_Attract_Input1"/>
      <sheetName val="Cash_Flow_71"/>
      <sheetName val="Opening_Balance1"/>
      <sheetName val="AP_RA99-067"/>
      <sheetName val="HV_RA99-067"/>
      <sheetName val="IN_RA99-067"/>
      <sheetName val="CH_RA99-067"/>
      <sheetName val="TH_RA99-067"/>
      <sheetName val="HZ_RA99-067"/>
      <sheetName val="Op_Plan_Sales7"/>
      <sheetName val="Other_notes6"/>
      <sheetName val="M_B-QtyRecn7"/>
      <sheetName val="IT_Only6"/>
      <sheetName val="Sales_&amp;_Marketing_Dashboard6"/>
      <sheetName val="Total_MG_6"/>
      <sheetName val="Trial_Balance6"/>
      <sheetName val="Input_schedule6"/>
      <sheetName val="TPM_Tot6"/>
      <sheetName val="Sept_'996"/>
      <sheetName val="FBT_Full6"/>
      <sheetName val="Chart_of_Accounts6"/>
      <sheetName val="consolidated_Budget6"/>
      <sheetName val="5Y_v2_143"/>
      <sheetName val="Price_Testing_-_Used_-_15"/>
      <sheetName val="Push_Diag_on_Premise3"/>
      <sheetName val="CChannel_Attract_Input3"/>
      <sheetName val="Cash_Flow_73"/>
      <sheetName val="Opening_Balance3"/>
      <sheetName val="AP_RA99-066"/>
      <sheetName val="HV_RA99-066"/>
      <sheetName val="IN_RA99-066"/>
      <sheetName val="CH_RA99-066"/>
      <sheetName val="TH_RA99-066"/>
      <sheetName val="HZ_RA99-066"/>
      <sheetName val="Op_Plan_Sales6"/>
      <sheetName val="Other_notes5"/>
      <sheetName val="M_B-QtyRecn6"/>
      <sheetName val="IT_Only5"/>
      <sheetName val="Sales_&amp;_Marketing_Dashboard5"/>
      <sheetName val="Total_MG_5"/>
      <sheetName val="Trial_Balance5"/>
      <sheetName val="Input_schedule5"/>
      <sheetName val="TPM_Tot5"/>
      <sheetName val="Sept_'995"/>
      <sheetName val="FBT_Full5"/>
      <sheetName val="Chart_of_Accounts5"/>
      <sheetName val="consolidated_Budget5"/>
      <sheetName val="5Y_v2_142"/>
      <sheetName val="Price_Testing_-_Used_-_14"/>
      <sheetName val="Push_Diag_on_Premise2"/>
      <sheetName val="CChannel_Attract_Input2"/>
      <sheetName val="Cash_Flow_72"/>
      <sheetName val="Opening_Balance2"/>
      <sheetName val="AP_RA99-068"/>
      <sheetName val="HV_RA99-068"/>
      <sheetName val="IN_RA99-068"/>
      <sheetName val="CH_RA99-068"/>
      <sheetName val="TH_RA99-068"/>
      <sheetName val="HZ_RA99-068"/>
      <sheetName val="Op_Plan_Sales8"/>
      <sheetName val="Other_notes7"/>
      <sheetName val="M_B-QtyRecn8"/>
      <sheetName val="IT_Only7"/>
      <sheetName val="Sales_&amp;_Marketing_Dashboard7"/>
      <sheetName val="Total_MG_7"/>
      <sheetName val="Trial_Balance7"/>
      <sheetName val="Input_schedule7"/>
      <sheetName val="TPM_Tot7"/>
      <sheetName val="Sept_'997"/>
      <sheetName val="FBT_Full7"/>
      <sheetName val="Chart_of_Accounts7"/>
      <sheetName val="consolidated_Budget7"/>
      <sheetName val="5Y_v2_144"/>
      <sheetName val="Price_Testing_-_Used_-_16"/>
      <sheetName val="Push_Diag_on_Premise4"/>
      <sheetName val="CChannel_Attract_Input4"/>
      <sheetName val="Cash_Flow_74"/>
      <sheetName val="Opening_Balance4"/>
      <sheetName val="AP_RA99-069"/>
      <sheetName val="HV_RA99-069"/>
      <sheetName val="IN_RA99-069"/>
      <sheetName val="CH_RA99-069"/>
      <sheetName val="TH_RA99-069"/>
      <sheetName val="HZ_RA99-069"/>
      <sheetName val="Op_Plan_Sales9"/>
      <sheetName val="Other_notes8"/>
      <sheetName val="M_B-QtyRecn9"/>
      <sheetName val="IT_Only8"/>
      <sheetName val="Sales_&amp;_Marketing_Dashboard8"/>
      <sheetName val="Total_MG_8"/>
      <sheetName val="Trial_Balance8"/>
      <sheetName val="Input_schedule8"/>
      <sheetName val="TPM_Tot8"/>
      <sheetName val="Sept_'998"/>
      <sheetName val="FBT_Full8"/>
      <sheetName val="Chart_of_Accounts8"/>
      <sheetName val="consolidated_Budget8"/>
      <sheetName val="5Y_v2_145"/>
      <sheetName val="Price_Testing_-_Used_-_17"/>
      <sheetName val="Push_Diag_on_Premise5"/>
      <sheetName val="CChannel_Attract_Input5"/>
      <sheetName val="Cash_Flow_75"/>
      <sheetName val="Opening_Balance5"/>
      <sheetName val="AP_RA99-0610"/>
      <sheetName val="HV_RA99-0610"/>
      <sheetName val="IN_RA99-0610"/>
      <sheetName val="CH_RA99-0610"/>
      <sheetName val="TH_RA99-0610"/>
      <sheetName val="HZ_RA99-0610"/>
      <sheetName val="Op_Plan_Sales10"/>
      <sheetName val="Other_notes9"/>
      <sheetName val="M_B-QtyRecn10"/>
      <sheetName val="IT_Only9"/>
      <sheetName val="Sales_&amp;_Marketing_Dashboard9"/>
      <sheetName val="Total_MG_9"/>
      <sheetName val="Trial_Balance9"/>
      <sheetName val="Input_schedule9"/>
      <sheetName val="TPM_Tot9"/>
      <sheetName val="Sept_'999"/>
      <sheetName val="FBT_Full9"/>
      <sheetName val="Chart_of_Accounts9"/>
      <sheetName val="consolidated_Budget9"/>
      <sheetName val="5Y_v2_146"/>
      <sheetName val="Price_Testing_-_Used_-_18"/>
      <sheetName val="Push_Diag_on_Premise6"/>
      <sheetName val="CChannel_Attract_Input6"/>
      <sheetName val="Cash_Flow_76"/>
      <sheetName val="Opening_Balance6"/>
      <sheetName val="Rev"/>
      <sheetName val="working"/>
      <sheetName val="riola don't know 9-26-99"/>
      <sheetName val="Spiltrates-Latest"/>
      <sheetName val="AP_RA99-0611"/>
      <sheetName val="HV_RA99-0611"/>
      <sheetName val="IN_RA99-0611"/>
      <sheetName val="CH_RA99-0611"/>
      <sheetName val="TH_RA99-0611"/>
      <sheetName val="HZ_RA99-0611"/>
      <sheetName val="Op_Plan_Sales11"/>
      <sheetName val="Other_notes10"/>
      <sheetName val="M_B-QtyRecn11"/>
      <sheetName val="IT_Only10"/>
      <sheetName val="Sales_&amp;_Marketing_Dashboard10"/>
      <sheetName val="Total_MG_10"/>
      <sheetName val="Trial_Balance10"/>
      <sheetName val="Input_schedule10"/>
      <sheetName val="TPM_Tot10"/>
      <sheetName val="Sept_'9910"/>
      <sheetName val="FBT_Full10"/>
      <sheetName val="Chart_of_Accounts10"/>
      <sheetName val="consolidated_Budget10"/>
      <sheetName val="5Y_v2_147"/>
      <sheetName val="Price_Testing_-_Used_-_19"/>
      <sheetName val="Push_Diag_on_Premise7"/>
      <sheetName val="CChannel_Attract_Input7"/>
      <sheetName val="Cash_Flow_77"/>
      <sheetName val="Opening_Balance7"/>
      <sheetName val="List_ratios"/>
      <sheetName val="Assum"/>
      <sheetName val="VARFCST"/>
      <sheetName val="MPCP9899"/>
      <sheetName val="B0_111350"/>
      <sheetName val="A"/>
      <sheetName val="IT_FBT_DDTP"/>
      <sheetName val="NLD - Assum"/>
      <sheetName val="AP_RA99-0612"/>
      <sheetName val="HV_RA99-0612"/>
      <sheetName val="IN_RA99-0612"/>
      <sheetName val="CH_RA99-0612"/>
      <sheetName val="TH_RA99-0612"/>
      <sheetName val="HZ_RA99-0612"/>
      <sheetName val="Op_Plan_Sales12"/>
      <sheetName val="Other_notes11"/>
      <sheetName val="M_B-QtyRecn12"/>
      <sheetName val="IT_Only11"/>
      <sheetName val="Sales_&amp;_Marketing_Dashboard11"/>
      <sheetName val="Total_MG_11"/>
      <sheetName val="Trial_Balance11"/>
      <sheetName val="Input_schedule11"/>
      <sheetName val="TPM_Tot11"/>
      <sheetName val="Sept_'9911"/>
      <sheetName val="FBT_Full11"/>
      <sheetName val="Chart_of_Accounts11"/>
      <sheetName val="consolidated_Budget11"/>
      <sheetName val="5Y_v2_148"/>
      <sheetName val="Price_Testing_-_Used_-_110"/>
      <sheetName val="Push_Diag_on_Premise8"/>
      <sheetName val="CChannel_Attract_Input8"/>
      <sheetName val="Cash_Flow_78"/>
      <sheetName val="Opening_Balance8"/>
      <sheetName val="Input Screen"/>
      <sheetName val="TB Round"/>
      <sheetName val="Sales &amp;Sale Cost"/>
      <sheetName val="Travel Expense Report(1week)"/>
      <sheetName val="Grouping TB"/>
      <sheetName val="LPERDAS"/>
      <sheetName val="Reports List"/>
      <sheetName val="Setup Variables"/>
      <sheetName val="Aseet1998"/>
      <sheetName val="Ipotesi"/>
      <sheetName val="MR08' Cost Manag"/>
      <sheetName val="Wavg RM"/>
      <sheetName val="COV"/>
      <sheetName val="98ordbkg"/>
      <sheetName val="Financials"/>
      <sheetName val="2003"/>
      <sheetName val="exp-m"/>
      <sheetName val="Notes"/>
      <sheetName val="Cash Flows"/>
      <sheetName val="Val &amp; Multp"/>
      <sheetName val="Options"/>
      <sheetName val="Heating Div"/>
      <sheetName val="All other Div's"/>
      <sheetName val="CoCapital"/>
      <sheetName val="EPS"/>
      <sheetName val="Mult"/>
      <sheetName val="Synergies"/>
      <sheetName val="Mkt Mult"/>
      <sheetName val="Trans Mult"/>
      <sheetName val="Module1"/>
      <sheetName val=".2 Reserve"/>
      <sheetName val="Maint Def Rev 03-04"/>
      <sheetName val="New-Growth Def Rev 03-04"/>
      <sheetName val="Perpetual Def Rev 03-04"/>
      <sheetName val="Renewal Def Rev 03-04"/>
      <sheetName val="Excess Calc"/>
      <sheetName val="SCH-A"/>
      <sheetName val="Balance Sheet "/>
      <sheetName val="P&amp;L Summary Page"/>
      <sheetName val="12-19-00"/>
      <sheetName val="Axis Bank Cheques"/>
      <sheetName val="Payslip"/>
      <sheetName val="RESULTS-BLR-BB"/>
      <sheetName val="TARGET"/>
      <sheetName val="Master Sheet"/>
      <sheetName val="12.04.09"/>
      <sheetName val="Debtors Ageing"/>
      <sheetName val="PLAN-BLR-BB"/>
      <sheetName val="RESULTS-REALTY"/>
      <sheetName val="SME"/>
      <sheetName val="M.G.P-2010"/>
      <sheetName val="Listings 96-02"/>
      <sheetName val="Rec"/>
      <sheetName val="Results"/>
      <sheetName val="mdd &amp; co Fdr jan.02 "/>
      <sheetName val="Project Resource Details"/>
      <sheetName val="Assets"/>
      <sheetName val="AR JAN'02"/>
      <sheetName val="1 - A (Narrative)"/>
      <sheetName val="Locked cell"/>
      <sheetName val="Power"/>
      <sheetName val="sent to HO"/>
      <sheetName val="P&amp;L February"/>
      <sheetName val="P&amp;L Feb 2001 cumulative"/>
      <sheetName val="COLUMN"/>
      <sheetName val="PARTY DETAILS"/>
      <sheetName val="SAP - Rightpak"/>
      <sheetName val="ENCL6"/>
      <sheetName val="PREFACE"/>
      <sheetName val="QTY. PROV.LAB"/>
      <sheetName val="TAXPRO"/>
      <sheetName val="PopCache"/>
      <sheetName val="LCGRAPH"/>
      <sheetName val="PV"/>
      <sheetName val="1.2 HDFC Collection"/>
      <sheetName val="PopCache_Sheet1"/>
      <sheetName val="Fx Rates"/>
      <sheetName val="AS21SchE - 9M0708"/>
      <sheetName val="Consolidation _Rs"/>
      <sheetName val="Lookups"/>
      <sheetName val="Res_Area"/>
      <sheetName val="Power Cost sheet"/>
      <sheetName val="Steam Cost Sheet"/>
      <sheetName val="Query Results ALL"/>
      <sheetName val="May_09"/>
      <sheetName val="3_Yr_Revenue_Analysis(old)"/>
      <sheetName val="Amortization_Table"/>
      <sheetName val="New_form_3CD_A"/>
      <sheetName val="riola_don't_know_9-26-99"/>
      <sheetName val="_2_Reserve"/>
      <sheetName val="Listings_96-02"/>
      <sheetName val="All_Data"/>
      <sheetName val="P_L"/>
      <sheetName val="mdd_&amp;_co_Fdr_jan_02_"/>
      <sheetName val="Project_Resource_Details"/>
      <sheetName val="Balance_Sheet_"/>
      <sheetName val="P&amp;L_Summary_Page"/>
      <sheetName val="Axis_Bank_Cheques"/>
      <sheetName val="Master_Sheet"/>
      <sheetName val="12_04_09"/>
      <sheetName val="Debtors_Ageing"/>
      <sheetName val="Excess_Calc"/>
      <sheetName val="M_G_P-2010"/>
      <sheetName val="SAP_-_Rightpak"/>
      <sheetName val="Cash_Flows"/>
      <sheetName val="Val_&amp;_Multp"/>
      <sheetName val="Heating_Div"/>
      <sheetName val="All_other_Div's"/>
      <sheetName val="Mkt_Mult"/>
      <sheetName val="Trans_Mult"/>
      <sheetName val="Maint_Def_Rev_03-04"/>
      <sheetName val="New-Growth_Def_Rev_03-04"/>
      <sheetName val="Perpetual_Def_Rev_03-04"/>
      <sheetName val="Renewal_Def_Rev_03-04"/>
      <sheetName val="1_-_A_(Narrative)"/>
      <sheetName val="Resources"/>
      <sheetName val="Base Data"/>
      <sheetName val="экспорт"/>
      <sheetName val="Please do not USE or DELETE"/>
      <sheetName val="501frgmar"/>
      <sheetName val="Links"/>
      <sheetName val="Validation"/>
      <sheetName val="mar rep rev"/>
      <sheetName val="TB-HK"/>
      <sheetName val="Presentation"/>
      <sheetName val="Detail"/>
      <sheetName val="CLP_Value_Driver (14) Dec Old"/>
      <sheetName val="Year 2003-04 Plan"/>
      <sheetName val="Lic Rev Account Lookup Table"/>
      <sheetName val="Setup"/>
      <sheetName val="BS-203"/>
      <sheetName val="Cheops BS"/>
      <sheetName val="BSPL"/>
      <sheetName val="RUPEE"/>
      <sheetName val="RF2004_vs_OB2004"/>
      <sheetName val="Region"/>
      <sheetName val="ValuationInput"/>
      <sheetName val="DebtInput"/>
      <sheetName val="Storage"/>
      <sheetName val="Valuation"/>
      <sheetName val="STAFFSCHED "/>
      <sheetName val="Tools Rev"/>
      <sheetName val="Rayala"/>
      <sheetName val="Inflation"/>
      <sheetName val="deb"/>
      <sheetName val="AnnexIII"/>
      <sheetName val="sept-plan"/>
      <sheetName val="Inputs"/>
      <sheetName val="_2_Reserve1"/>
      <sheetName val="Maint_Def_Rev_03-041"/>
      <sheetName val="New-Growth_Def_Rev_03-041"/>
      <sheetName val="Perpetual_Def_Rev_03-041"/>
      <sheetName val="Renewal_Def_Rev_03-041"/>
      <sheetName val="New_form_3CD_A1"/>
      <sheetName val="Asset_Data"/>
      <sheetName val="Base Info"/>
      <sheetName val="RCC,Ret. Wall"/>
      <sheetName val="Détails plans d'actions"/>
      <sheetName val="AP_RA99-0613"/>
      <sheetName val="HV_RA99-0613"/>
      <sheetName val="IN_RA99-0613"/>
      <sheetName val="CH_RA99-0613"/>
      <sheetName val="TH_RA99-0613"/>
      <sheetName val="HZ_RA99-0613"/>
      <sheetName val="Op_Plan_Sales13"/>
      <sheetName val="Other_notes12"/>
      <sheetName val="M_B-QtyRecn13"/>
      <sheetName val="IT_Only12"/>
      <sheetName val="Sales_&amp;_Marketing_Dashboard12"/>
      <sheetName val="Total_MG_12"/>
      <sheetName val="Trial_Balance12"/>
      <sheetName val="Input_schedule12"/>
      <sheetName val="TPM_Tot12"/>
      <sheetName val="Sept_'9912"/>
      <sheetName val="FBT_Full12"/>
      <sheetName val="Chart_of_Accounts12"/>
      <sheetName val="consolidated_Budget12"/>
      <sheetName val="5Y_v2_149"/>
      <sheetName val="Price_Testing_-_Used_-_111"/>
      <sheetName val="Push_Diag_on_Premise9"/>
      <sheetName val="CChannel_Attract_Input9"/>
      <sheetName val="Cash_Flow_79"/>
      <sheetName val="Opening_Balance9"/>
      <sheetName val="FINAL_SHEET"/>
      <sheetName val="BKCSTOCKVAL"/>
      <sheetName val="MAHSTOCKVAL"/>
      <sheetName val="目录"/>
      <sheetName val="Debraj Sinha"/>
      <sheetName val="Parameter"/>
      <sheetName val="Resource Type"/>
      <sheetName val="LAMINATION-NORDMECCANICA"/>
      <sheetName val="Info on Rupee Cost"/>
      <sheetName val="Revenue"/>
      <sheetName val="Tables"/>
      <sheetName val="OpTrack"/>
      <sheetName val="PropertyPreop-Budget"/>
      <sheetName val="stat C (2)"/>
      <sheetName val="Bal Sheet"/>
      <sheetName val="Lead"/>
      <sheetName val="AR_PL"/>
      <sheetName val="May_091"/>
      <sheetName val="3_Yr_Revenue_Analysis(old)1"/>
      <sheetName val="Amortization_Table1"/>
      <sheetName val="riola_don't_know_9-26-991"/>
      <sheetName val="Listings_96-021"/>
      <sheetName val="All_Data1"/>
      <sheetName val="P_L1"/>
      <sheetName val="mdd_&amp;_co_Fdr_jan_02_1"/>
      <sheetName val="Project_Resource_Details1"/>
      <sheetName val="Balance_Sheet_1"/>
      <sheetName val="P&amp;L_Summary_Page1"/>
      <sheetName val="Axis_Bank_Cheques1"/>
      <sheetName val="Master_Sheet1"/>
      <sheetName val="12_04_091"/>
      <sheetName val="Debtors_Ageing1"/>
      <sheetName val="Excess_Calc1"/>
      <sheetName val="M_G_P-20101"/>
      <sheetName val="SAP_-_Rightpak1"/>
      <sheetName val="Cash_Flows1"/>
      <sheetName val="Val_&amp;_Multp1"/>
      <sheetName val="Heating_Div1"/>
      <sheetName val="All_other_Div's1"/>
      <sheetName val="Mkt_Mult1"/>
      <sheetName val="Trans_Mult1"/>
      <sheetName val="1_-_A_(Narrative)1"/>
      <sheetName val="May_092"/>
      <sheetName val="3_Yr_Revenue_Analysis(old)2"/>
      <sheetName val="Amortization_Table2"/>
      <sheetName val="New_form_3CD_A2"/>
      <sheetName val="riola_don't_know_9-26-992"/>
      <sheetName val="_2_Reserve2"/>
      <sheetName val="Listings_96-022"/>
      <sheetName val="All_Data2"/>
      <sheetName val="P_L2"/>
      <sheetName val="mdd_&amp;_co_Fdr_jan_02_2"/>
      <sheetName val="Project_Resource_Details2"/>
      <sheetName val="Balance_Sheet_2"/>
      <sheetName val="P&amp;L_Summary_Page2"/>
      <sheetName val="Axis_Bank_Cheques2"/>
      <sheetName val="Master_Sheet2"/>
      <sheetName val="12_04_092"/>
      <sheetName val="Debtors_Ageing2"/>
      <sheetName val="Excess_Calc2"/>
      <sheetName val="M_G_P-20102"/>
      <sheetName val="SAP_-_Rightpak2"/>
      <sheetName val="Cash_Flows2"/>
      <sheetName val="Val_&amp;_Multp2"/>
      <sheetName val="Heating_Div2"/>
      <sheetName val="All_other_Div's2"/>
      <sheetName val="Mkt_Mult2"/>
      <sheetName val="Trans_Mult2"/>
      <sheetName val="Maint_Def_Rev_03-042"/>
      <sheetName val="New-Growth_Def_Rev_03-042"/>
      <sheetName val="Perpetual_Def_Rev_03-042"/>
      <sheetName val="Renewal_Def_Rev_03-042"/>
      <sheetName val="1_-_A_(Narrative)2"/>
      <sheetName val="P&amp;L_February"/>
      <sheetName val="P&amp;L_Feb_2001_cumulative"/>
      <sheetName val="AR_JAN'02"/>
      <sheetName val="NLD_-_Assum"/>
      <sheetName val="Locked_cell"/>
      <sheetName val="PARTY_DETAILS"/>
      <sheetName val="Base_Data"/>
      <sheetName val="FinMajestic"/>
      <sheetName val="PTRANGE"/>
      <sheetName val="Mktg"/>
      <sheetName val="Project Info"/>
      <sheetName val="#REF"/>
      <sheetName val="Model"/>
      <sheetName val="C-21(b)"/>
      <sheetName val="Dim_New"/>
      <sheetName val="PBCLIST"/>
      <sheetName val="AP_RA99-0614"/>
      <sheetName val="HV_RA99-0614"/>
      <sheetName val="IN_RA99-0614"/>
      <sheetName val="CH_RA99-0614"/>
      <sheetName val="TH_RA99-0614"/>
      <sheetName val="HZ_RA99-0614"/>
      <sheetName val="Trial_Balance13"/>
      <sheetName val="Total_MG_13"/>
      <sheetName val="Op_Plan_Sales14"/>
      <sheetName val="IT_Only13"/>
      <sheetName val="May_093"/>
      <sheetName val="Price_Testing_-_Used_-_112"/>
      <sheetName val="M_B-QtyRecn14"/>
      <sheetName val="Input_schedule13"/>
      <sheetName val="Sales_&amp;_Marketing_Dashboard13"/>
      <sheetName val="TPM_Tot13"/>
      <sheetName val="Sept_'9913"/>
      <sheetName val="Chart_of_Accounts13"/>
      <sheetName val="Opening_Balance10"/>
      <sheetName val="3_Yr_Revenue_Analysis(old)3"/>
      <sheetName val="Cash_Flow_710"/>
      <sheetName val="FBT_Full13"/>
      <sheetName val="Other_notes13"/>
      <sheetName val="consolidated_Budget13"/>
      <sheetName val="Push_Diag_on_Premise10"/>
      <sheetName val="CChannel_Attract_Input10"/>
      <sheetName val="Amortization_Table3"/>
      <sheetName val="New_form_3CD_A3"/>
      <sheetName val="riola_don't_know_9-26-993"/>
      <sheetName val="_2_Reserve3"/>
      <sheetName val="Listings_96-023"/>
      <sheetName val="5Y_v2_1410"/>
      <sheetName val="All_Data3"/>
      <sheetName val="P_L3"/>
      <sheetName val="mdd_&amp;_co_Fdr_jan_02_3"/>
      <sheetName val="Project_Resource_Details3"/>
      <sheetName val="Balance_Sheet_3"/>
      <sheetName val="P&amp;L_Summary_Page3"/>
      <sheetName val="Axis_Bank_Cheques3"/>
      <sheetName val="Master_Sheet3"/>
      <sheetName val="12_04_093"/>
      <sheetName val="Debtors_Ageing3"/>
      <sheetName val="Excess_Calc3"/>
      <sheetName val="M_G_P-20103"/>
      <sheetName val="SAP_-_Rightpak3"/>
      <sheetName val="Cash_Flows3"/>
      <sheetName val="Val_&amp;_Multp3"/>
      <sheetName val="Heating_Div3"/>
      <sheetName val="All_other_Div's3"/>
      <sheetName val="Mkt_Mult3"/>
      <sheetName val="Trans_Mult3"/>
      <sheetName val="Maint_Def_Rev_03-043"/>
      <sheetName val="New-Growth_Def_Rev_03-043"/>
      <sheetName val="Perpetual_Def_Rev_03-043"/>
      <sheetName val="Renewal_Def_Rev_03-043"/>
      <sheetName val="1_-_A_(Narrative)3"/>
      <sheetName val="P&amp;L_February1"/>
      <sheetName val="P&amp;L_Feb_2001_cumulative1"/>
      <sheetName val="AR_JAN'021"/>
      <sheetName val="NLD_-_Assum1"/>
      <sheetName val="Locked_cell1"/>
      <sheetName val="PARTY_DETAILS1"/>
      <sheetName val="FINAL_SHEET1"/>
      <sheetName val="Base_Data1"/>
      <sheetName val="Transaction Inputs"/>
      <sheetName val="Q1_Bookings_-_Pers_-_Attainment"/>
      <sheetName val="Q1 Bookings - Pers - Attainment"/>
      <sheetName val="XLR_NoRangeSheet"/>
      <sheetName val="DATABASE"/>
      <sheetName val="UK"/>
      <sheetName val="Transaction_Inputs"/>
      <sheetName val="Verification "/>
      <sheetName val="F.Assets"/>
      <sheetName val="F_Assets"/>
      <sheetName val="15"/>
      <sheetName val="Cash Flow-WSL Base Fcst"/>
      <sheetName val="MB51"/>
      <sheetName val="Intro"/>
      <sheetName val="Staff"/>
      <sheetName val="CF SALE.W.OFF 01-02"/>
      <sheetName val="stock data"/>
      <sheetName val="Turnover"/>
      <sheetName val="Sheet2"/>
      <sheetName val="P&amp;L"/>
      <sheetName val="SCH-A,B,C"/>
      <sheetName val="FORM-16"/>
      <sheetName val="11400&amp;11405-done"/>
      <sheetName val="Non-Statistical Sampling Master"/>
      <sheetName val="Two Step Revenue Testing Master"/>
      <sheetName val="Global Data"/>
      <sheetName val="Employees"/>
      <sheetName val="AP_RA99-0615"/>
      <sheetName val="HV_RA99-0615"/>
      <sheetName val="IN_RA99-0615"/>
      <sheetName val="CH_RA99-0615"/>
      <sheetName val="TH_RA99-0615"/>
      <sheetName val="HZ_RA99-0615"/>
      <sheetName val="Trial_Balance14"/>
      <sheetName val="Total_MG_14"/>
      <sheetName val="Op_Plan_Sales15"/>
      <sheetName val="IT_Only14"/>
      <sheetName val="May_094"/>
      <sheetName val="Price_Testing_-_Used_-_113"/>
      <sheetName val="M_B-QtyRecn15"/>
      <sheetName val="Input_schedule14"/>
      <sheetName val="Sales_&amp;_Marketing_Dashboard14"/>
      <sheetName val="TPM_Tot14"/>
      <sheetName val="Sept_'9914"/>
      <sheetName val="Chart_of_Accounts14"/>
      <sheetName val="Opening_Balance11"/>
      <sheetName val="3_Yr_Revenue_Analysis(old)4"/>
      <sheetName val="Cash_Flow_711"/>
      <sheetName val="FBT_Full14"/>
      <sheetName val="Other_notes14"/>
      <sheetName val="consolidated_Budget14"/>
      <sheetName val="Push_Diag_on_Premise11"/>
      <sheetName val="CChannel_Attract_Input11"/>
      <sheetName val="Amortization_Table4"/>
      <sheetName val="New_form_3CD_A4"/>
      <sheetName val="riola_don't_know_9-26-994"/>
      <sheetName val="_2_Reserve4"/>
      <sheetName val="Listings_96-024"/>
      <sheetName val="5Y_v2_1411"/>
      <sheetName val="All_Data4"/>
      <sheetName val="P_L4"/>
      <sheetName val="mdd_&amp;_co_Fdr_jan_02_4"/>
      <sheetName val="Project_Resource_Details4"/>
      <sheetName val="Balance_Sheet_4"/>
      <sheetName val="P&amp;L_Summary_Page4"/>
      <sheetName val="Axis_Bank_Cheques4"/>
      <sheetName val="Master_Sheet4"/>
      <sheetName val="12_04_094"/>
      <sheetName val="Debtors_Ageing4"/>
      <sheetName val="Excess_Calc4"/>
      <sheetName val="M_G_P-20104"/>
      <sheetName val="SAP_-_Rightpak4"/>
      <sheetName val="Cash_Flows4"/>
      <sheetName val="Val_&amp;_Multp4"/>
      <sheetName val="Heating_Div4"/>
      <sheetName val="All_other_Div's4"/>
      <sheetName val="Mkt_Mult4"/>
      <sheetName val="Trans_Mult4"/>
      <sheetName val="Maint_Def_Rev_03-044"/>
      <sheetName val="New-Growth_Def_Rev_03-044"/>
      <sheetName val="Perpetual_Def_Rev_03-044"/>
      <sheetName val="Renewal_Def_Rev_03-044"/>
      <sheetName val="1_-_A_(Narrative)4"/>
      <sheetName val="P&amp;L_February2"/>
      <sheetName val="P&amp;L_Feb_2001_cumulative2"/>
      <sheetName val="AR_JAN'022"/>
      <sheetName val="NLD_-_Assum2"/>
      <sheetName val="Locked_cell2"/>
      <sheetName val="PARTY_DETAILS2"/>
      <sheetName val="FINAL_SHEET2"/>
      <sheetName val="Base_Data2"/>
      <sheetName val="PL"/>
      <sheetName val="Sch-PL"/>
      <sheetName val="Sch-FA"/>
      <sheetName val="hmax_2"/>
      <sheetName val="Occ, Other Rev, Exp, Dispo"/>
      <sheetName val="P1 RM"/>
      <sheetName val="5-F-PAR"/>
      <sheetName val="LEGAL GUJ"/>
      <sheetName val="MORE-MAR'2002"/>
      <sheetName val="SCHE-MARCH'2002"/>
      <sheetName val="concrete"/>
      <sheetName val="WO-List"/>
      <sheetName val="K-Summary"/>
      <sheetName val="BST"/>
      <sheetName val="U1.6"/>
      <sheetName val="E"/>
      <sheetName val="MR08'_Cost_Manag"/>
      <sheetName val="Wavg_RM"/>
      <sheetName val="Travel_Expense_Report(1week)"/>
      <sheetName val="mar_rep_rev"/>
      <sheetName val="CF_SALE_W_OFF_01-02"/>
      <sheetName val="stock_data"/>
      <sheetName val="Reference"/>
      <sheetName val="Balancesheet"/>
      <sheetName val="61750000 Consultancy Charges"/>
      <sheetName val="YTD"/>
      <sheetName val="Labour &amp; Plant"/>
      <sheetName val="Annexure B"/>
      <sheetName val="CAPEX'00"/>
      <sheetName val="SALES-BD"/>
      <sheetName val="LINK GAP"/>
      <sheetName val="Sheet"/>
      <sheetName val="Reclass BS 11"/>
      <sheetName val="Reclass PL 11"/>
      <sheetName val="CABLE DATA"/>
      <sheetName val="Register"/>
      <sheetName val="Rising Main"/>
      <sheetName val="RECAPITULATION"/>
      <sheetName val="Civil Boq"/>
      <sheetName val="ORIGINAL"/>
      <sheetName val="cost centers"/>
      <sheetName val="Clause16(b) PF"/>
      <sheetName val="comet cur act"/>
      <sheetName val="Output"/>
      <sheetName val="recast tb - mar'11"/>
      <sheetName val="ALL"/>
      <sheetName val="telephone deposits written o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8.3000000000000007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 refreshError="1"/>
      <sheetData sheetId="88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/>
      <sheetData sheetId="844"/>
      <sheetData sheetId="845"/>
      <sheetData sheetId="846"/>
      <sheetData sheetId="847"/>
      <sheetData sheetId="848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Bs"/>
      <sheetName val="p&amp;l"/>
      <sheetName val="SCH-BS"/>
      <sheetName val="SCH-PL"/>
      <sheetName val="sch2"/>
      <sheetName val="sch5"/>
      <sheetName val="sch6"/>
      <sheetName val="Grp-BS"/>
      <sheetName val="Grp-PL"/>
      <sheetName val="Trial"/>
      <sheetName val="Cash Flow"/>
      <sheetName val="Working FY 05"/>
      <sheetName val="sch19"/>
      <sheetName val="segmental"/>
      <sheetName val="Cashflow (2)"/>
      <sheetName val="Cash-WKI"/>
    </sheetNames>
    <sheetDataSet>
      <sheetData sheetId="0" refreshError="1">
        <row r="2">
          <cell r="N2">
            <v>2</v>
          </cell>
        </row>
        <row r="6">
          <cell r="M6">
            <v>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-P"/>
      <sheetName val="Summary-CF(A&amp;Q)"/>
      <sheetName val="Summary-CF(M)"/>
      <sheetName val="Rent Roll"/>
      <sheetName val="Leasing Assumptions"/>
      <sheetName val="Rev Projection"/>
      <sheetName val="Floating Rent Assumption"/>
      <sheetName val="Occ, Other Rev, Exp, Dispo"/>
      <sheetName val="Rev Proj Cal"/>
      <sheetName val="Rev % Rent (Cal) (C)"/>
      <sheetName val="Rev % Rent (Cal) (M)"/>
      <sheetName val="Rev % Rent (Cal)"/>
      <sheetName val="Occ Cal"/>
      <sheetName val="Parking Occ Cal"/>
      <sheetName val="SD"/>
      <sheetName val="Leasing Commission"/>
      <sheetName val="NewLeaseStatus (Cal)"/>
      <sheetName val="NewLeaseStatus (Cal) (2)"/>
      <sheetName val="Rent (Cal)"/>
      <sheetName val="CAM (Cal)"/>
      <sheetName val="Parking (Cal)"/>
      <sheetName val="MK_Parking"/>
      <sheetName val="MK_CAM"/>
      <sheetName val="MK_Rent"/>
      <sheetName val="Rev"/>
      <sheetName val="A-General"/>
      <sheetName val="STOCKS"/>
      <sheetName val="CUMAA"/>
      <sheetName val="Occ_ Other Rev_ Exp_ Dispo"/>
      <sheetName val="目录"/>
      <sheetName val="DESTROY"/>
      <sheetName val="MAIN"/>
      <sheetName val="Sens"/>
      <sheetName val="Rev sum"/>
      <sheetName val="Query Results ALL"/>
      <sheetName val="Main Sheet"/>
      <sheetName val="Dels"/>
      <sheetName val="Sheet1"/>
      <sheetName val="Retail_Model"/>
      <sheetName val="Op Model"/>
      <sheetName val="Fx Rates"/>
      <sheetName val="R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83">
          <cell r="E83">
            <v>6479447272.727273</v>
          </cell>
        </row>
        <row r="85">
          <cell r="E85">
            <v>8699923082.261364</v>
          </cell>
        </row>
      </sheetData>
      <sheetData sheetId="8">
        <row r="83">
          <cell r="E83">
            <v>6479447272.727273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BS-One pager"/>
      <sheetName val="BS"/>
      <sheetName val="MONTHLY SUMMARY"/>
      <sheetName val="Print Page No 3 to 22 Notes "/>
      <sheetName val="Pivot"/>
      <sheetName val="PL"/>
      <sheetName val="TB"/>
      <sheetName val="Cash Flow"/>
      <sheetName val="CF Matrix"/>
      <sheetName val="Cash flow - Feb"/>
      <sheetName val="Fixed Asset Schedule"/>
      <sheetName val="Grouping"/>
      <sheetName val="TB-June-15"/>
      <sheetName val="Sheet1"/>
      <sheetName val="Master"/>
      <sheetName val="Entry"/>
      <sheetName val="P&amp;L Impact"/>
      <sheetName val="BS Impact"/>
      <sheetName val="trade rec"/>
    </sheetNames>
    <sheetDataSet>
      <sheetData sheetId="0">
        <row r="2">
          <cell r="B2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D BS"/>
      <sheetName val="BOD PL"/>
      <sheetName val="B S"/>
      <sheetName val="P L"/>
      <sheetName val="DTPL"/>
      <sheetName val="PAP"/>
      <sheetName val="Critical"/>
      <sheetName val="Seg. report"/>
      <sheetName val="SPR"/>
      <sheetName val="Yield-COB"/>
      <sheetName val="Yield-backup"/>
      <sheetName val="Yield-COB sum"/>
      <sheetName val="Presentation"/>
      <sheetName val="Cashflow"/>
      <sheetName val="Keyratios"/>
      <sheetName val="Bal"/>
      <sheetName val="prof"/>
      <sheetName val="Interest"/>
      <sheetName val="Borrowing"/>
      <sheetName val="Facility"/>
      <sheetName val="deb"/>
      <sheetName val="NFF"/>
      <sheetName val="Tax"/>
      <sheetName val="Cntrl Sheet"/>
      <sheetName val="PL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_Gains"/>
      <sheetName val="Sheet1"/>
    </sheetNames>
    <sheetDataSet>
      <sheetData sheetId="0"/>
      <sheetData sheetId="1">
        <row r="1">
          <cell r="A1" t="str">
            <v>N/A</v>
          </cell>
          <cell r="B1" t="str">
            <v>Aarti Industries Ltd.</v>
          </cell>
          <cell r="C1" t="str">
            <v>Residential</v>
          </cell>
        </row>
        <row r="2">
          <cell r="A2" t="str">
            <v>No</v>
          </cell>
          <cell r="B2" t="str">
            <v>Aban Loyd Chiles Offshore Ltd.</v>
          </cell>
          <cell r="C2" t="str">
            <v>Other</v>
          </cell>
        </row>
        <row r="3">
          <cell r="A3" t="str">
            <v>Yes</v>
          </cell>
          <cell r="B3" t="str">
            <v>Abbott India Ltd.</v>
          </cell>
          <cell r="C3" t="str">
            <v>Shares/Units</v>
          </cell>
        </row>
        <row r="4">
          <cell r="B4" t="str">
            <v>Adani Exports Ltd.</v>
          </cell>
          <cell r="C4" t="str">
            <v>Land</v>
          </cell>
        </row>
        <row r="5">
          <cell r="B5" t="str">
            <v>AFT Industries Ltd.</v>
          </cell>
          <cell r="C5" t="str">
            <v>Debentures</v>
          </cell>
        </row>
        <row r="6">
          <cell r="B6" t="str">
            <v>Aftek Infosys Ltd.</v>
          </cell>
        </row>
        <row r="7">
          <cell r="B7" t="str">
            <v>Agro Dutch Industries Ltd.</v>
          </cell>
        </row>
        <row r="8">
          <cell r="B8" t="str">
            <v>Agro Tech Foods Ltd.</v>
          </cell>
        </row>
        <row r="9">
          <cell r="B9" t="str">
            <v>Ahmedabad Electricity Co.Ltd.</v>
          </cell>
        </row>
        <row r="10">
          <cell r="B10" t="str">
            <v>Ajanta Pharma Ltd.</v>
          </cell>
        </row>
        <row r="11">
          <cell r="B11" t="str">
            <v>Aksh Optifibre Ltd.</v>
          </cell>
        </row>
        <row r="12">
          <cell r="B12" t="str">
            <v>Albright &amp; Wilson Chemicals India Ltd.</v>
          </cell>
        </row>
        <row r="13">
          <cell r="B13" t="str">
            <v>Alembic Ltd.</v>
          </cell>
        </row>
        <row r="14">
          <cell r="B14" t="str">
            <v>Alfa Laval (India) Ltd.</v>
          </cell>
        </row>
        <row r="15">
          <cell r="B15" t="str">
            <v>Alps Industries Ltd.</v>
          </cell>
        </row>
        <row r="16">
          <cell r="B16" t="str">
            <v>Alstom Ltd.</v>
          </cell>
        </row>
        <row r="17">
          <cell r="B17" t="str">
            <v>Alstom Power India Ltd.</v>
          </cell>
        </row>
        <row r="18">
          <cell r="B18" t="str">
            <v>Amara Raja Batteries Ltd.</v>
          </cell>
        </row>
        <row r="19">
          <cell r="B19" t="str">
            <v>Ambalal Sarabhai Enterprise Ltd.</v>
          </cell>
        </row>
        <row r="20">
          <cell r="B20" t="str">
            <v>Amtrex Hitachi Appliances Ltd.</v>
          </cell>
        </row>
        <row r="21">
          <cell r="B21" t="str">
            <v>Andhra Bank</v>
          </cell>
        </row>
        <row r="22">
          <cell r="B22" t="str">
            <v>Apollo Hospitals Enterprises Ltd.</v>
          </cell>
        </row>
        <row r="23">
          <cell r="B23" t="str">
            <v>Apollo Tyres Ltd.</v>
          </cell>
        </row>
        <row r="24">
          <cell r="B24" t="str">
            <v>Archies Greetings &amp; Gifts Ltd.</v>
          </cell>
        </row>
        <row r="25">
          <cell r="B25" t="str">
            <v>Arvind Mills Ltd.</v>
          </cell>
        </row>
        <row r="26">
          <cell r="B26" t="str">
            <v>Asea Brown Boveri Ltd.</v>
          </cell>
        </row>
        <row r="27">
          <cell r="B27" t="str">
            <v>Ashima Ltd.</v>
          </cell>
        </row>
        <row r="28">
          <cell r="B28" t="str">
            <v>Ashok Leyland Finance Ltd.</v>
          </cell>
        </row>
        <row r="29">
          <cell r="B29" t="str">
            <v>Ashok Leyland Ltd.</v>
          </cell>
        </row>
        <row r="30">
          <cell r="B30" t="str">
            <v>Asian Hotels Ltd.</v>
          </cell>
        </row>
        <row r="31">
          <cell r="B31" t="str">
            <v>Asian Paints (India) Ltd.</v>
          </cell>
        </row>
        <row r="32">
          <cell r="B32" t="str">
            <v>Assam Company Ltd.</v>
          </cell>
        </row>
        <row r="33">
          <cell r="B33" t="str">
            <v>Associated Cement Cos. Ltd.</v>
          </cell>
        </row>
        <row r="34">
          <cell r="B34" t="str">
            <v>AstraZeneca Pharma India Ltd.</v>
          </cell>
        </row>
        <row r="35">
          <cell r="B35" t="str">
            <v>Atcom Technologies Ltd.</v>
          </cell>
        </row>
        <row r="36">
          <cell r="B36" t="str">
            <v>Atlas Copco (India) Ltd.</v>
          </cell>
        </row>
        <row r="37">
          <cell r="B37" t="str">
            <v>Atul Ltd.</v>
          </cell>
        </row>
        <row r="38">
          <cell r="B38" t="str">
            <v>Aurobindo Pharma Ltd.</v>
          </cell>
        </row>
        <row r="39">
          <cell r="B39" t="str">
            <v>Automotive Axles Ltd.</v>
          </cell>
        </row>
        <row r="40">
          <cell r="B40" t="str">
            <v>Aventis Crop Science India Ltd.</v>
          </cell>
        </row>
        <row r="41">
          <cell r="B41" t="str">
            <v>Aventis Pharma Ltd.</v>
          </cell>
        </row>
        <row r="42">
          <cell r="B42" t="str">
            <v>Avon Organics Ltd.</v>
          </cell>
        </row>
        <row r="43">
          <cell r="B43" t="str">
            <v>Aztec Software and Technolgy Services Ltd.</v>
          </cell>
        </row>
        <row r="44">
          <cell r="B44" t="str">
            <v>Bajaj Auto Finance Ltd.</v>
          </cell>
        </row>
        <row r="45">
          <cell r="B45" t="str">
            <v>Bajaj Auto Ltd.</v>
          </cell>
        </row>
        <row r="46">
          <cell r="B46" t="str">
            <v>Bajaj Hindustan Ltd.</v>
          </cell>
        </row>
        <row r="47">
          <cell r="B47" t="str">
            <v>Balaji Distilleries Ltd.</v>
          </cell>
        </row>
        <row r="48">
          <cell r="B48" t="str">
            <v>Balaji Telefilms Ltd.</v>
          </cell>
        </row>
        <row r="49">
          <cell r="B49" t="str">
            <v>Ballarpur Industries Ltd.</v>
          </cell>
        </row>
        <row r="50">
          <cell r="B50" t="str">
            <v>Balrampur Chini Mills Ltd.</v>
          </cell>
        </row>
        <row r="51">
          <cell r="B51" t="str">
            <v>Bank Of Baroda</v>
          </cell>
        </row>
        <row r="52">
          <cell r="B52" t="str">
            <v>Bank of India</v>
          </cell>
        </row>
        <row r="53">
          <cell r="B53" t="str">
            <v>Bank Of Punjab Ltd.</v>
          </cell>
        </row>
        <row r="54">
          <cell r="B54" t="str">
            <v>Bannari Amman Sugars Ltd.</v>
          </cell>
        </row>
        <row r="55">
          <cell r="B55" t="str">
            <v>BASF India Ltd.</v>
          </cell>
        </row>
        <row r="56">
          <cell r="B56" t="str">
            <v>Bata India Ltd.</v>
          </cell>
        </row>
        <row r="57">
          <cell r="B57" t="str">
            <v>Bayer (India) Ltd.</v>
          </cell>
        </row>
        <row r="58">
          <cell r="B58" t="str">
            <v>Bayer ABS Ltd.</v>
          </cell>
        </row>
        <row r="59">
          <cell r="B59" t="str">
            <v>Berger Paints India Ltd.</v>
          </cell>
        </row>
        <row r="60">
          <cell r="B60" t="str">
            <v>Bharat Earth Movers Ltd.</v>
          </cell>
        </row>
        <row r="61">
          <cell r="B61" t="str">
            <v>Bharat Electronics Ltd.</v>
          </cell>
        </row>
        <row r="62">
          <cell r="B62" t="str">
            <v>Bharat Forge Ltd.</v>
          </cell>
        </row>
        <row r="63">
          <cell r="B63" t="str">
            <v>Bharat Heavy Electricals Ltd.</v>
          </cell>
        </row>
        <row r="64">
          <cell r="B64" t="str">
            <v>Bharat Petroleum Corpn. Ltd.</v>
          </cell>
        </row>
        <row r="65">
          <cell r="B65" t="str">
            <v>Bharti Tele-Ventures Ltd.</v>
          </cell>
        </row>
        <row r="66">
          <cell r="B66" t="str">
            <v>Bhartiya International Ltd.</v>
          </cell>
        </row>
        <row r="67">
          <cell r="B67" t="str">
            <v>Bhushan Steel &amp; Strips Ltd.</v>
          </cell>
        </row>
        <row r="68">
          <cell r="B68" t="str">
            <v>Binani Industries Ltd.</v>
          </cell>
        </row>
        <row r="69">
          <cell r="B69" t="str">
            <v>Birla 3M Ltd.</v>
          </cell>
        </row>
        <row r="70">
          <cell r="B70" t="str">
            <v>Birla Corporation Ltd.</v>
          </cell>
        </row>
        <row r="71">
          <cell r="B71" t="str">
            <v>Birla Ericsson Opticaal Ltd.</v>
          </cell>
        </row>
        <row r="72">
          <cell r="B72" t="str">
            <v>Birla Global Finance Ltd.</v>
          </cell>
        </row>
        <row r="73">
          <cell r="B73" t="str">
            <v>Blow Plast Ltd.</v>
          </cell>
        </row>
        <row r="74">
          <cell r="B74" t="str">
            <v>Blue Dart Express Ltd.</v>
          </cell>
        </row>
        <row r="75">
          <cell r="B75" t="str">
            <v>Blue Star Ltd.</v>
          </cell>
        </row>
        <row r="76">
          <cell r="B76" t="str">
            <v>BOC India Ltd.</v>
          </cell>
        </row>
        <row r="77">
          <cell r="B77" t="str">
            <v>Bombay Burmah Trading Corpn. Ltd.</v>
          </cell>
        </row>
        <row r="78">
          <cell r="B78" t="str">
            <v>Bombay Dyeing &amp; Mfg. Co. Ltd.</v>
          </cell>
        </row>
        <row r="79">
          <cell r="B79" t="str">
            <v>BPL Ltd.</v>
          </cell>
        </row>
        <row r="80">
          <cell r="B80" t="str">
            <v>Britannia Industries Ltd.</v>
          </cell>
        </row>
        <row r="81">
          <cell r="B81" t="str">
            <v>BSES Ltd.</v>
          </cell>
        </row>
        <row r="82">
          <cell r="B82" t="str">
            <v>Burroughs Wellcome (India) Ltd.</v>
          </cell>
        </row>
        <row r="83">
          <cell r="B83" t="str">
            <v>Cadila Healthcare Ltd.</v>
          </cell>
        </row>
        <row r="84">
          <cell r="B84" t="str">
            <v>Carborundum Universal Ltd.</v>
          </cell>
        </row>
        <row r="85">
          <cell r="B85" t="str">
            <v>Carrier Aircon Ltd.</v>
          </cell>
        </row>
        <row r="86">
          <cell r="B86" t="str">
            <v>Castrol India Ltd.</v>
          </cell>
        </row>
        <row r="87">
          <cell r="B87" t="str">
            <v>Ceat Ltd.</v>
          </cell>
        </row>
        <row r="88">
          <cell r="B88" t="str">
            <v>Centurion Bank Ltd.</v>
          </cell>
        </row>
        <row r="89">
          <cell r="B89" t="str">
            <v>Century Enka Ltd.</v>
          </cell>
        </row>
        <row r="90">
          <cell r="B90" t="str">
            <v>Century Textiles &amp; Industries Ltd.</v>
          </cell>
        </row>
        <row r="91">
          <cell r="B91" t="str">
            <v>CESC Ltd.</v>
          </cell>
        </row>
        <row r="92">
          <cell r="B92" t="str">
            <v>CG Igarashi Motars Ltd.</v>
          </cell>
        </row>
        <row r="93">
          <cell r="B93" t="str">
            <v>Chambal Fertilisers &amp; Chemicals Ltd.</v>
          </cell>
        </row>
        <row r="94">
          <cell r="B94" t="str">
            <v>Chemplast Sanmar Ltd.</v>
          </cell>
        </row>
        <row r="95">
          <cell r="B95" t="str">
            <v>Chennai Petroleum Corporation Ltd.</v>
          </cell>
        </row>
        <row r="96">
          <cell r="B96" t="str">
            <v>Ciba Speciality Chemicals (India) Ltd.</v>
          </cell>
        </row>
        <row r="97">
          <cell r="B97" t="str">
            <v>Cinevistaas Ltd</v>
          </cell>
        </row>
        <row r="98">
          <cell r="B98" t="str">
            <v>Cipla Ltd.</v>
          </cell>
        </row>
        <row r="99">
          <cell r="B99" t="str">
            <v>Clariant (India) Ltd.</v>
          </cell>
        </row>
        <row r="100">
          <cell r="B100" t="str">
            <v>CMC Ltd.</v>
          </cell>
        </row>
        <row r="101">
          <cell r="B101" t="str">
            <v>Coates of India Ltd.</v>
          </cell>
        </row>
        <row r="102">
          <cell r="B102" t="str">
            <v>Colgate-Palmolive (India) Ltd.</v>
          </cell>
        </row>
        <row r="103">
          <cell r="B103" t="str">
            <v>Colour Chem Ltd.</v>
          </cell>
        </row>
        <row r="104">
          <cell r="B104" t="str">
            <v>Computech International Ltd.</v>
          </cell>
        </row>
        <row r="105">
          <cell r="B105" t="str">
            <v>Container Corporation Of India Ltd.</v>
          </cell>
        </row>
        <row r="106">
          <cell r="B106" t="str">
            <v>Core Healthcare Ltd.</v>
          </cell>
        </row>
        <row r="107">
          <cell r="B107" t="str">
            <v>Corporation Bank</v>
          </cell>
        </row>
        <row r="108">
          <cell r="B108" t="str">
            <v>Credit Rating Information Services</v>
          </cell>
        </row>
        <row r="109">
          <cell r="B109" t="str">
            <v>Crest Communications Ltd.</v>
          </cell>
        </row>
        <row r="110">
          <cell r="B110" t="str">
            <v>Crompton Greaves Ltd.</v>
          </cell>
        </row>
        <row r="111">
          <cell r="B111" t="str">
            <v>Cummins India Ltd.</v>
          </cell>
        </row>
        <row r="112">
          <cell r="B112" t="str">
            <v>Cybertech Systems and Software Ltd.</v>
          </cell>
        </row>
        <row r="113">
          <cell r="B113" t="str">
            <v>Dabur India Ltd.</v>
          </cell>
        </row>
        <row r="114">
          <cell r="B114" t="str">
            <v>Daewoo Motors India Ltd.</v>
          </cell>
        </row>
        <row r="115">
          <cell r="B115" t="str">
            <v>Dalmia Cement (Bharat) Ltd.</v>
          </cell>
        </row>
        <row r="116">
          <cell r="B116" t="str">
            <v>Deepak Fertilizers &amp;Petrochemicals</v>
          </cell>
        </row>
        <row r="117">
          <cell r="B117" t="str">
            <v>Dena Bank</v>
          </cell>
        </row>
        <row r="118">
          <cell r="B118" t="str">
            <v>Digital Globalsoft Ltd.</v>
          </cell>
        </row>
        <row r="119">
          <cell r="B119" t="str">
            <v>Dr. Reddys Laboratories Ltd.</v>
          </cell>
        </row>
        <row r="120">
          <cell r="B120" t="str">
            <v>Dredging Corporation of India Ltd.</v>
          </cell>
        </row>
        <row r="121">
          <cell r="B121" t="str">
            <v>DSQ Software Ltd.</v>
          </cell>
        </row>
        <row r="122">
          <cell r="B122" t="str">
            <v>Duphar-Interfran Ltd.</v>
          </cell>
        </row>
        <row r="123">
          <cell r="B123" t="str">
            <v>E.I.D. Parry (India) Ltd.</v>
          </cell>
        </row>
        <row r="124">
          <cell r="B124" t="str">
            <v>Eicher Motors Ltd.</v>
          </cell>
        </row>
        <row r="125">
          <cell r="B125" t="str">
            <v>EIH Ltd.</v>
          </cell>
        </row>
        <row r="126">
          <cell r="B126" t="str">
            <v>Elbee Services Ltd.</v>
          </cell>
        </row>
        <row r="127">
          <cell r="B127" t="str">
            <v>Elder Pharmaceuticals Ltd.</v>
          </cell>
        </row>
        <row r="128">
          <cell r="B128" t="str">
            <v>Electrolux Kelvinator Ltd.</v>
          </cell>
        </row>
        <row r="129">
          <cell r="B129" t="str">
            <v>Electrosteel Castings Ltd.</v>
          </cell>
        </row>
        <row r="130">
          <cell r="B130" t="str">
            <v>Elgi Equipments Ltd.</v>
          </cell>
        </row>
        <row r="131">
          <cell r="B131" t="str">
            <v>EMCO Ltd.</v>
          </cell>
        </row>
        <row r="132">
          <cell r="B132" t="str">
            <v>Engineers India Ltd.</v>
          </cell>
        </row>
        <row r="133">
          <cell r="B133" t="str">
            <v>Esab India Ltd.</v>
          </cell>
        </row>
        <row r="134">
          <cell r="B134" t="str">
            <v>Escorts Ltd.</v>
          </cell>
        </row>
        <row r="135">
          <cell r="B135" t="str">
            <v>e-Serve International Ltd.</v>
          </cell>
        </row>
        <row r="136">
          <cell r="B136" t="str">
            <v>Eskay KnIT (India) Ltd.</v>
          </cell>
        </row>
        <row r="137">
          <cell r="B137" t="str">
            <v>Essar Oil Ltd.</v>
          </cell>
        </row>
        <row r="138">
          <cell r="B138" t="str">
            <v>Essar Shipping Ltd.</v>
          </cell>
        </row>
        <row r="139">
          <cell r="B139" t="str">
            <v>Essar Steel Ltd.</v>
          </cell>
        </row>
        <row r="140">
          <cell r="B140" t="str">
            <v>Essel Propack Ltd.</v>
          </cell>
        </row>
        <row r="141">
          <cell r="B141" t="str">
            <v>ETC Networks Ltd.</v>
          </cell>
        </row>
        <row r="142">
          <cell r="B142" t="str">
            <v>Eveready Industries India Ltd.</v>
          </cell>
        </row>
        <row r="143">
          <cell r="B143" t="str">
            <v>Excell Industries Ltd.</v>
          </cell>
        </row>
        <row r="144">
          <cell r="B144" t="str">
            <v>Exide Industries Ltd.</v>
          </cell>
        </row>
        <row r="145">
          <cell r="B145" t="str">
            <v>Fag Bearings India Ltd.</v>
          </cell>
        </row>
        <row r="146">
          <cell r="B146" t="str">
            <v>FCL Technologies &amp; Products Ltd.</v>
          </cell>
        </row>
        <row r="147">
          <cell r="B147" t="str">
            <v>FDC Ltd.</v>
          </cell>
        </row>
        <row r="148">
          <cell r="B148" t="str">
            <v>Federal Bank Ltd.</v>
          </cell>
        </row>
        <row r="149">
          <cell r="B149" t="str">
            <v>Finolex Cables Ltd.</v>
          </cell>
        </row>
        <row r="150">
          <cell r="B150" t="str">
            <v>Finolex Industries Ltd.</v>
          </cell>
        </row>
        <row r="151">
          <cell r="B151" t="str">
            <v>Flex Industries Ltd.</v>
          </cell>
        </row>
        <row r="152">
          <cell r="B152" t="str">
            <v>Floatglass India Ltd.</v>
          </cell>
        </row>
        <row r="153">
          <cell r="B153" t="str">
            <v>Forbes Gokak Ltd.</v>
          </cell>
        </row>
        <row r="154">
          <cell r="B154" t="str">
            <v>Foseco India Ltd.</v>
          </cell>
        </row>
        <row r="155">
          <cell r="B155" t="str">
            <v>Fulford (India) Ltd.</v>
          </cell>
        </row>
        <row r="156">
          <cell r="B156" t="str">
            <v>Gail (India) Ltd.</v>
          </cell>
        </row>
        <row r="157">
          <cell r="B157" t="str">
            <v>Gammon India Ltd.</v>
          </cell>
        </row>
        <row r="158">
          <cell r="B158" t="str">
            <v>Geometric Software Solutions Co.Ltd.</v>
          </cell>
        </row>
        <row r="159">
          <cell r="B159" t="str">
            <v>George Williamson (Assam)</v>
          </cell>
        </row>
        <row r="160">
          <cell r="B160" t="str">
            <v>German Remedies Ltd.</v>
          </cell>
        </row>
        <row r="161">
          <cell r="B161" t="str">
            <v>Gillette India Ltd.</v>
          </cell>
        </row>
        <row r="162">
          <cell r="B162" t="str">
            <v>GlaxoSmithkline Consumer Healthcare Ltd.</v>
          </cell>
        </row>
        <row r="163">
          <cell r="B163" t="str">
            <v>GlaxoSmithKline Pharmaceuticals Ltd.</v>
          </cell>
        </row>
        <row r="164">
          <cell r="B164" t="str">
            <v>Glenmark Pharmaceuticals Ltd.</v>
          </cell>
        </row>
        <row r="165">
          <cell r="B165" t="str">
            <v>Global Trust Bank Ltd.</v>
          </cell>
        </row>
        <row r="166">
          <cell r="B166" t="str">
            <v>Godfrey Phillips India Ltd.</v>
          </cell>
        </row>
        <row r="167">
          <cell r="B167" t="str">
            <v>Godrej Consumer Products Ltd.</v>
          </cell>
        </row>
        <row r="168">
          <cell r="B168" t="str">
            <v>Godrej Industries Ltd.</v>
          </cell>
        </row>
        <row r="169">
          <cell r="B169" t="str">
            <v>Goetze (India) Ltd.</v>
          </cell>
        </row>
        <row r="170">
          <cell r="B170" t="str">
            <v>Goldiam International Ltd.</v>
          </cell>
        </row>
        <row r="171">
          <cell r="B171" t="str">
            <v>Goodlass Nerolac Paints Ltd.</v>
          </cell>
        </row>
        <row r="172">
          <cell r="B172" t="str">
            <v>Goodricke Group Ltd.</v>
          </cell>
        </row>
        <row r="173">
          <cell r="B173" t="str">
            <v>Goodyear India Ltd.</v>
          </cell>
        </row>
        <row r="174">
          <cell r="B174" t="str">
            <v>Grasim Industries Ltd.</v>
          </cell>
        </row>
        <row r="175">
          <cell r="B175" t="str">
            <v>Great Eastern Shipping Co. Ltd.</v>
          </cell>
        </row>
        <row r="176">
          <cell r="B176" t="str">
            <v>Greaves Ltd.</v>
          </cell>
        </row>
        <row r="177">
          <cell r="B177" t="str">
            <v>Grindwell Norton Ltd.</v>
          </cell>
        </row>
        <row r="178">
          <cell r="B178" t="str">
            <v>GTL Ltd.</v>
          </cell>
        </row>
        <row r="179">
          <cell r="B179" t="str">
            <v>Gujarat Alkalis &amp; Chemicals Ltd.</v>
          </cell>
        </row>
        <row r="180">
          <cell r="B180" t="str">
            <v>Gujarat Ambuja Cements Ltd.</v>
          </cell>
        </row>
        <row r="181">
          <cell r="B181" t="str">
            <v>Gujarat Fluorochemicals Ltd.</v>
          </cell>
        </row>
        <row r="182">
          <cell r="B182" t="str">
            <v>Gujarat Gas Co. Ltd.</v>
          </cell>
        </row>
        <row r="183">
          <cell r="B183" t="str">
            <v>Gujarat Heavy Chemicals Ltd.</v>
          </cell>
        </row>
        <row r="184">
          <cell r="B184" t="str">
            <v>Gujarat Industries Power Co. Ltd.</v>
          </cell>
        </row>
        <row r="185">
          <cell r="B185" t="str">
            <v>Gujarat Mineral Development Corporation</v>
          </cell>
        </row>
        <row r="186">
          <cell r="B186" t="str">
            <v>Gujarat Narmada Valley Fert.Co.Ltd.</v>
          </cell>
        </row>
        <row r="187">
          <cell r="B187" t="str">
            <v>Gujarat Sidhee Cement Ltd.</v>
          </cell>
        </row>
        <row r="188">
          <cell r="B188" t="str">
            <v>Gujarat State Fertilizers &amp; Chem.Ltd.</v>
          </cell>
        </row>
        <row r="189">
          <cell r="B189" t="str">
            <v>Havells India Ltd.</v>
          </cell>
        </row>
        <row r="190">
          <cell r="B190" t="str">
            <v>HCL Infosystems Ltd.</v>
          </cell>
        </row>
        <row r="191">
          <cell r="B191" t="str">
            <v>HCL Technologies Ltd.</v>
          </cell>
        </row>
        <row r="192">
          <cell r="B192" t="str">
            <v>HDFC Bank Ltd.</v>
          </cell>
        </row>
        <row r="193">
          <cell r="B193" t="str">
            <v>HEG Ltd.</v>
          </cell>
        </row>
        <row r="194">
          <cell r="B194" t="str">
            <v>Henkel Spic India Ltd.</v>
          </cell>
        </row>
        <row r="195">
          <cell r="B195" t="str">
            <v>Hero Honda Motors Ltd.</v>
          </cell>
        </row>
        <row r="196">
          <cell r="B196" t="str">
            <v>Hikal Ltd.</v>
          </cell>
        </row>
        <row r="197">
          <cell r="B197" t="str">
            <v>Himachal Futuristic Communications</v>
          </cell>
        </row>
        <row r="198">
          <cell r="B198" t="str">
            <v>Himatsingka Seide Ltd.</v>
          </cell>
        </row>
        <row r="199">
          <cell r="B199" t="str">
            <v>Hind Lever Chemicals Ltd.</v>
          </cell>
        </row>
        <row r="200">
          <cell r="B200" t="str">
            <v>Hindalco Industries Ltd.</v>
          </cell>
        </row>
        <row r="201">
          <cell r="B201" t="str">
            <v>Hindustan Construction Co. Ltd.</v>
          </cell>
        </row>
        <row r="202">
          <cell r="B202" t="str">
            <v>Hindustan Inks &amp; Resins Ltd.</v>
          </cell>
        </row>
        <row r="203">
          <cell r="B203" t="str">
            <v>Hindustan Lever Ltd.</v>
          </cell>
        </row>
        <row r="204">
          <cell r="B204" t="str">
            <v>Hindustan Motors Ltd.</v>
          </cell>
        </row>
        <row r="205">
          <cell r="B205" t="str">
            <v>Hindustan Oil Exploration Co. Ltd.</v>
          </cell>
        </row>
        <row r="206">
          <cell r="B206" t="str">
            <v>Hindustan Organic Chemicals Ltd.</v>
          </cell>
        </row>
        <row r="207">
          <cell r="B207" t="str">
            <v>Hindustan Petroleum Corporation Ltd.</v>
          </cell>
        </row>
        <row r="208">
          <cell r="B208" t="str">
            <v>Hindustan Powerplus Ltd.</v>
          </cell>
        </row>
        <row r="209">
          <cell r="B209" t="str">
            <v>Hindustan Sanitaryware &amp; Industries</v>
          </cell>
        </row>
        <row r="210">
          <cell r="B210" t="str">
            <v>Hindustan Zinc Ltd.</v>
          </cell>
        </row>
        <row r="211">
          <cell r="B211" t="str">
            <v>HMT Ltd.</v>
          </cell>
        </row>
        <row r="212">
          <cell r="B212" t="str">
            <v>Honda Siel Power Products Ltd.</v>
          </cell>
        </row>
        <row r="213">
          <cell r="B213" t="str">
            <v>Hotel Leela Venture Ltd.</v>
          </cell>
        </row>
        <row r="214">
          <cell r="B214" t="str">
            <v>Housing Development Finance Corp.Lt</v>
          </cell>
        </row>
        <row r="215">
          <cell r="B215" t="str">
            <v>Hughes Software Systems Ltd.</v>
          </cell>
        </row>
        <row r="216">
          <cell r="B216" t="str">
            <v>IBP Co. Ltd.</v>
          </cell>
        </row>
        <row r="217">
          <cell r="B217" t="str">
            <v>ICI India Ltd.</v>
          </cell>
        </row>
        <row r="218">
          <cell r="B218" t="str">
            <v>ICICI Bank Ltd.</v>
          </cell>
        </row>
        <row r="219">
          <cell r="B219" t="str">
            <v>IDBI Bank Ltd.</v>
          </cell>
        </row>
        <row r="220">
          <cell r="B220" t="str">
            <v>IFCI Ltd.</v>
          </cell>
        </row>
        <row r="221">
          <cell r="B221" t="str">
            <v>India Cements Ltd.</v>
          </cell>
        </row>
        <row r="222">
          <cell r="B222" t="str">
            <v>India Glycols Ltd.</v>
          </cell>
        </row>
        <row r="223">
          <cell r="B223" t="str">
            <v>India Gypsum Ltd.</v>
          </cell>
        </row>
        <row r="224">
          <cell r="B224" t="str">
            <v>Indian Aluminium Co. Ltd.</v>
          </cell>
        </row>
        <row r="225">
          <cell r="B225" t="str">
            <v>Indian Hotels Co. Ltd.</v>
          </cell>
        </row>
        <row r="226">
          <cell r="B226" t="str">
            <v>Indian Oil Corporation Ltd.</v>
          </cell>
        </row>
        <row r="227">
          <cell r="B227" t="str">
            <v>Indian Overseas Bank</v>
          </cell>
        </row>
        <row r="228">
          <cell r="B228" t="str">
            <v>Indian Petrochemicals Corpn. Ltd.</v>
          </cell>
        </row>
        <row r="229">
          <cell r="B229" t="str">
            <v>Indian Rayon &amp; Industries Ltd.</v>
          </cell>
        </row>
        <row r="230">
          <cell r="B230" t="str">
            <v>Indo Gulf Corporation Ltd.</v>
          </cell>
        </row>
        <row r="231">
          <cell r="B231" t="str">
            <v>Indo National Ltd.</v>
          </cell>
        </row>
        <row r="232">
          <cell r="B232" t="str">
            <v>Indo Rama Synthetics (India) Ltd.</v>
          </cell>
        </row>
        <row r="233">
          <cell r="B233" t="str">
            <v>Indraprastha Medical Corporation Ltd.</v>
          </cell>
        </row>
        <row r="234">
          <cell r="B234" t="str">
            <v>IndusInd Bank Ltd.</v>
          </cell>
        </row>
        <row r="235">
          <cell r="B235" t="str">
            <v>Industrial Development Bank of India Ltd.</v>
          </cell>
        </row>
        <row r="236">
          <cell r="B236" t="str">
            <v>Information Technologies (India) Lt</v>
          </cell>
        </row>
        <row r="237">
          <cell r="B237" t="str">
            <v>Infosys Technologies Ltd.</v>
          </cell>
        </row>
        <row r="238">
          <cell r="B238" t="str">
            <v>Infotech Enterprises Ltd.</v>
          </cell>
        </row>
        <row r="239">
          <cell r="B239" t="str">
            <v>Ingersoll-Rand (India) Ltd.</v>
          </cell>
        </row>
        <row r="240">
          <cell r="B240" t="str">
            <v>Insilco Ltd.</v>
          </cell>
        </row>
        <row r="241">
          <cell r="B241" t="str">
            <v>IP Rings Ltd.</v>
          </cell>
        </row>
        <row r="242">
          <cell r="B242" t="str">
            <v>Ipca Laboratories Ltd.</v>
          </cell>
        </row>
        <row r="243">
          <cell r="B243" t="str">
            <v>Ispat Industries Ltd.</v>
          </cell>
        </row>
        <row r="244">
          <cell r="B244" t="str">
            <v>ITC Hotels Ltd.</v>
          </cell>
        </row>
        <row r="245">
          <cell r="B245" t="str">
            <v>ITC Ltd.</v>
          </cell>
        </row>
        <row r="246">
          <cell r="B246" t="str">
            <v>ITI Ltd.</v>
          </cell>
        </row>
        <row r="247">
          <cell r="B247" t="str">
            <v>IVRCL Infrastructures &amp; Projects Ltd.</v>
          </cell>
        </row>
        <row r="248">
          <cell r="B248" t="str">
            <v>J.B. Chemicals &amp; Pharmaceuticals Ltd.</v>
          </cell>
        </row>
        <row r="249">
          <cell r="B249" t="str">
            <v>J.K.Industries Ltd.</v>
          </cell>
        </row>
        <row r="250">
          <cell r="B250" t="str">
            <v>Jagatjit Industries Ltd.</v>
          </cell>
        </row>
        <row r="251">
          <cell r="B251" t="str">
            <v>Jai Prakash Industries Ltd.</v>
          </cell>
        </row>
        <row r="252">
          <cell r="B252" t="str">
            <v>Jay Shree Tea &amp; Industries Ltd.</v>
          </cell>
        </row>
        <row r="253">
          <cell r="B253" t="str">
            <v>Jayant Agro-Organics Ltd.</v>
          </cell>
        </row>
        <row r="254">
          <cell r="B254" t="str">
            <v>JCT Ltd.</v>
          </cell>
        </row>
        <row r="255">
          <cell r="B255" t="str">
            <v>Jindal Iron &amp; Steel Co Ltd.</v>
          </cell>
        </row>
        <row r="256">
          <cell r="B256" t="str">
            <v>Jindal Photo Films Ltd.</v>
          </cell>
        </row>
        <row r="257">
          <cell r="B257" t="str">
            <v>Jindal Steel &amp; Power Ltd.</v>
          </cell>
        </row>
        <row r="258">
          <cell r="B258" t="str">
            <v>Jindal Strips Ltd.</v>
          </cell>
        </row>
        <row r="259">
          <cell r="B259" t="str">
            <v>Jindal Vijayanagar Steel Ltd.</v>
          </cell>
        </row>
        <row r="260">
          <cell r="B260" t="str">
            <v>JK Corp Ltd.</v>
          </cell>
        </row>
        <row r="261">
          <cell r="B261" t="str">
            <v>Jubilant Organosys Ltd.</v>
          </cell>
        </row>
        <row r="262">
          <cell r="B262" t="str">
            <v>Jupiter Bioscience Ltd.</v>
          </cell>
        </row>
        <row r="263">
          <cell r="B263" t="str">
            <v>Jyoti Structures Ltd.</v>
          </cell>
        </row>
        <row r="264">
          <cell r="B264" t="str">
            <v>K.E.C. International Ltd.</v>
          </cell>
        </row>
        <row r="265">
          <cell r="B265" t="str">
            <v>Kajaria Ceramics Ltd.</v>
          </cell>
        </row>
        <row r="266">
          <cell r="B266" t="str">
            <v>Kale Consultants Ltd.</v>
          </cell>
        </row>
        <row r="267">
          <cell r="B267" t="str">
            <v>Kalpataru Power Transmission Ltd.</v>
          </cell>
        </row>
        <row r="268">
          <cell r="B268" t="str">
            <v>Kalyani Steels Ltd.</v>
          </cell>
        </row>
        <row r="269">
          <cell r="B269" t="str">
            <v>Kanoria Chemicals &amp; Industries Ltd.</v>
          </cell>
        </row>
        <row r="270">
          <cell r="B270" t="str">
            <v>KDL Biotech Ltd.</v>
          </cell>
        </row>
        <row r="271">
          <cell r="B271" t="str">
            <v>Kesoram Industries Ltd.</v>
          </cell>
        </row>
        <row r="272">
          <cell r="B272" t="str">
            <v>Kinetic Motor Co. Ltd.</v>
          </cell>
        </row>
        <row r="273">
          <cell r="B273" t="str">
            <v>Kirloskar Oil Engines Ltd.</v>
          </cell>
        </row>
        <row r="274">
          <cell r="B274" t="str">
            <v>Kochi Refineries Ltd.</v>
          </cell>
        </row>
        <row r="275">
          <cell r="B275" t="str">
            <v>Kodak India Ltd.</v>
          </cell>
        </row>
        <row r="276">
          <cell r="B276" t="str">
            <v>Kopran Ltd.</v>
          </cell>
        </row>
        <row r="277">
          <cell r="B277" t="str">
            <v>Kotak Mahindra Finance Ltd.</v>
          </cell>
        </row>
        <row r="278">
          <cell r="B278" t="str">
            <v>Kothari Products Ltd.</v>
          </cell>
        </row>
        <row r="279">
          <cell r="B279" t="str">
            <v>Krebs Biochemicals Ltd.</v>
          </cell>
        </row>
        <row r="280">
          <cell r="B280" t="str">
            <v>Krishna Lifestyle Technologies Ltd.</v>
          </cell>
        </row>
        <row r="281">
          <cell r="B281" t="str">
            <v>Krone Communications Ltd.</v>
          </cell>
        </row>
        <row r="282">
          <cell r="B282" t="str">
            <v>KSB Pumps Ltd.</v>
          </cell>
        </row>
        <row r="283">
          <cell r="B283" t="str">
            <v>L.M.L. Ltd.</v>
          </cell>
        </row>
        <row r="284">
          <cell r="B284" t="str">
            <v>Lakhani India Ltd.</v>
          </cell>
        </row>
        <row r="285">
          <cell r="B285" t="str">
            <v>Lakshmi Machine Works Ltd.</v>
          </cell>
        </row>
        <row r="286">
          <cell r="B286" t="str">
            <v>Larsen &amp; Toubro Ltd.</v>
          </cell>
        </row>
        <row r="287">
          <cell r="B287" t="str">
            <v>Lic Housing Finance Ltd.</v>
          </cell>
        </row>
        <row r="288">
          <cell r="B288" t="str">
            <v>Lloyds Steel Industries Ltd.</v>
          </cell>
        </row>
        <row r="289">
          <cell r="B289" t="str">
            <v>Lupin Ltd.</v>
          </cell>
        </row>
        <row r="290">
          <cell r="B290" t="str">
            <v>M.R.F. Ltd.</v>
          </cell>
        </row>
        <row r="291">
          <cell r="B291" t="str">
            <v>Macmillan India Ltd.</v>
          </cell>
        </row>
        <row r="292">
          <cell r="B292" t="str">
            <v>Madras Aluminium Co. Ltd.</v>
          </cell>
        </row>
        <row r="293">
          <cell r="B293" t="str">
            <v>Madras Cements Ltd.</v>
          </cell>
        </row>
        <row r="294">
          <cell r="B294" t="str">
            <v>Madura Coats Ltd.</v>
          </cell>
        </row>
        <row r="295">
          <cell r="B295" t="str">
            <v>Mahanagar Telephone Nigam Ltd.</v>
          </cell>
        </row>
        <row r="296">
          <cell r="B296" t="str">
            <v>Maharashtra Seamless Ltd.</v>
          </cell>
        </row>
        <row r="297">
          <cell r="B297" t="str">
            <v>Mahavir Spg. Mills Ltd.</v>
          </cell>
        </row>
        <row r="298">
          <cell r="B298" t="str">
            <v>Mahindra &amp; Mahindra Ltd.</v>
          </cell>
        </row>
        <row r="299">
          <cell r="B299" t="str">
            <v>Mahindra Gesco Developers Ltd.</v>
          </cell>
        </row>
        <row r="300">
          <cell r="B300" t="str">
            <v>Mangalore Chemicals &amp; Fertilisers Ltd.</v>
          </cell>
        </row>
        <row r="301">
          <cell r="B301" t="str">
            <v>Mangalore Refinery &amp; Petrochemicals Ltd.</v>
          </cell>
        </row>
        <row r="302">
          <cell r="B302" t="str">
            <v>Maral Overseas Ltd.</v>
          </cell>
        </row>
        <row r="303">
          <cell r="B303" t="str">
            <v>Marico Industries Ltd.</v>
          </cell>
        </row>
        <row r="304">
          <cell r="B304" t="str">
            <v>Mascon Global Ltd.</v>
          </cell>
        </row>
        <row r="305">
          <cell r="B305" t="str">
            <v>Mascot Systems Ltd.</v>
          </cell>
        </row>
        <row r="306">
          <cell r="B306" t="str">
            <v>Mastek Ltd.</v>
          </cell>
        </row>
        <row r="307">
          <cell r="B307" t="str">
            <v>Matsushita Television &amp; Audio India</v>
          </cell>
        </row>
        <row r="308">
          <cell r="B308" t="str">
            <v>Max India Ltd.</v>
          </cell>
        </row>
        <row r="309">
          <cell r="B309" t="str">
            <v>McDowell &amp; Company Ltd.</v>
          </cell>
        </row>
        <row r="310">
          <cell r="B310" t="str">
            <v>Merck Ltd.</v>
          </cell>
        </row>
        <row r="311">
          <cell r="B311" t="str">
            <v>Mid-Day Multimedia Ltd.</v>
          </cell>
        </row>
        <row r="312">
          <cell r="B312" t="str">
            <v>Mirc Electronics Ltd.</v>
          </cell>
        </row>
        <row r="313">
          <cell r="B313" t="str">
            <v>Mirza Tanners Ltd.</v>
          </cell>
        </row>
        <row r="314">
          <cell r="B314" t="str">
            <v>Modi Rubber Ltd.</v>
          </cell>
        </row>
        <row r="315">
          <cell r="B315" t="str">
            <v>Monsanto India Ltd.</v>
          </cell>
        </row>
        <row r="316">
          <cell r="B316" t="str">
            <v>Morepen Laboratories Ltd.</v>
          </cell>
        </row>
        <row r="317">
          <cell r="B317" t="str">
            <v>Moser-Baer (India) Ltd.</v>
          </cell>
        </row>
        <row r="318">
          <cell r="B318" t="str">
            <v>Motherson Sumi Systems Ltd.</v>
          </cell>
        </row>
        <row r="319">
          <cell r="B319" t="str">
            <v>Motor Industries Co. Ltd.</v>
          </cell>
        </row>
        <row r="320">
          <cell r="B320" t="str">
            <v>Mphasis BFL Ltd.</v>
          </cell>
        </row>
        <row r="321">
          <cell r="B321" t="str">
            <v>MRO-TEK Ltd.</v>
          </cell>
        </row>
        <row r="322">
          <cell r="B322" t="str">
            <v>Mukand Engineers Ltd.</v>
          </cell>
        </row>
        <row r="323">
          <cell r="B323" t="str">
            <v>Mukand Ltd.</v>
          </cell>
        </row>
        <row r="324">
          <cell r="B324" t="str">
            <v>Mukta Arts Ltd.</v>
          </cell>
        </row>
        <row r="325">
          <cell r="B325" t="str">
            <v>Munjal Showa Ltd.</v>
          </cell>
        </row>
        <row r="326">
          <cell r="B326" t="str">
            <v>Mysore Cements Ltd.</v>
          </cell>
        </row>
        <row r="327">
          <cell r="B327" t="str">
            <v>Nagarjuna Fertiliser &amp; Chem. Ltd.</v>
          </cell>
        </row>
        <row r="328">
          <cell r="B328" t="str">
            <v>Nahar Exports Ltd.</v>
          </cell>
        </row>
        <row r="329">
          <cell r="B329" t="str">
            <v>Nahar Spinning Mills Ltd.</v>
          </cell>
        </row>
        <row r="330">
          <cell r="B330" t="str">
            <v>Narmada Chematur Petrochemicals Ltd.</v>
          </cell>
        </row>
        <row r="331">
          <cell r="B331" t="str">
            <v>Nath Seeds Ltd.</v>
          </cell>
        </row>
        <row r="332">
          <cell r="B332" t="str">
            <v>National Aluminium Co. Ltd.</v>
          </cell>
        </row>
        <row r="333">
          <cell r="B333" t="str">
            <v>National Organic Chemical Industries Ltd.</v>
          </cell>
        </row>
        <row r="334">
          <cell r="B334" t="str">
            <v>Navneet Publications (India) Ltd.</v>
          </cell>
        </row>
        <row r="335">
          <cell r="B335" t="str">
            <v>Nelco Ltd.</v>
          </cell>
        </row>
        <row r="336">
          <cell r="B336" t="str">
            <v>Nestle India Ltd.</v>
          </cell>
        </row>
        <row r="337">
          <cell r="B337" t="str">
            <v>Neyveli Lignite Corporation Ltd.</v>
          </cell>
        </row>
        <row r="338">
          <cell r="B338" t="str">
            <v>Nicholas Piramal India Ltd.</v>
          </cell>
        </row>
        <row r="339">
          <cell r="B339" t="str">
            <v>NIIT Ltd.</v>
          </cell>
        </row>
        <row r="340">
          <cell r="B340" t="str">
            <v>Nilkamal Plastics Ltd.</v>
          </cell>
        </row>
        <row r="341">
          <cell r="B341" t="str">
            <v>Nirma Ltd.</v>
          </cell>
        </row>
        <row r="342">
          <cell r="B342" t="str">
            <v>Novartis India Ltd.</v>
          </cell>
        </row>
        <row r="343">
          <cell r="B343" t="str">
            <v>NRB Bearings Ltd.</v>
          </cell>
        </row>
        <row r="344">
          <cell r="B344" t="str">
            <v>Oil And Natural Gas Corporation Ltd.</v>
          </cell>
        </row>
        <row r="345">
          <cell r="B345" t="str">
            <v>Oil Country Tubular Ltd.</v>
          </cell>
        </row>
        <row r="346">
          <cell r="B346" t="str">
            <v>Onward Technologies Ltd.</v>
          </cell>
        </row>
        <row r="347">
          <cell r="B347" t="str">
            <v>Orchid Chemicals &amp; Pharmaceuticals</v>
          </cell>
        </row>
        <row r="348">
          <cell r="B348" t="str">
            <v>Oriental Bank Of Commerce</v>
          </cell>
        </row>
        <row r="349">
          <cell r="B349" t="str">
            <v>Oriental Hotels Ltd.</v>
          </cell>
        </row>
        <row r="350">
          <cell r="B350" t="str">
            <v>Oswal Agro Mills Ltd.</v>
          </cell>
        </row>
        <row r="351">
          <cell r="B351" t="str">
            <v>Oswal Chemicals &amp; Fertilizers Ltd.</v>
          </cell>
        </row>
        <row r="352">
          <cell r="B352" t="str">
            <v>Panacea Biotec Ltd.</v>
          </cell>
        </row>
        <row r="353">
          <cell r="B353" t="str">
            <v>Paper Products Ltd.</v>
          </cell>
        </row>
        <row r="354">
          <cell r="B354" t="str">
            <v>Parekh Platinum Ltd.</v>
          </cell>
        </row>
        <row r="355">
          <cell r="B355" t="str">
            <v>Parke Davis (India) Ltd.</v>
          </cell>
        </row>
        <row r="356">
          <cell r="B356" t="str">
            <v>Pentamedia Graphics Ltd.</v>
          </cell>
        </row>
        <row r="357">
          <cell r="B357" t="str">
            <v>Pentasoft Technologies Ltd.</v>
          </cell>
        </row>
        <row r="358">
          <cell r="B358" t="str">
            <v>Pfizer Ltd.</v>
          </cell>
        </row>
        <row r="359">
          <cell r="B359" t="str">
            <v>Pharmacia Healthcare Ltd.</v>
          </cell>
        </row>
        <row r="360">
          <cell r="B360" t="str">
            <v>Philips India Ltd.</v>
          </cell>
        </row>
        <row r="361">
          <cell r="B361" t="str">
            <v>Pidilite Industries Ltd.</v>
          </cell>
        </row>
        <row r="362">
          <cell r="B362" t="str">
            <v>PNB Gilts Ltd.</v>
          </cell>
        </row>
        <row r="363">
          <cell r="B363" t="str">
            <v>Polaris Software Lab Ltd.</v>
          </cell>
        </row>
        <row r="364">
          <cell r="B364" t="str">
            <v>Prism Cement Ltd.</v>
          </cell>
        </row>
        <row r="365">
          <cell r="B365" t="str">
            <v>Priyadarshini Cement Ltd.</v>
          </cell>
        </row>
        <row r="366">
          <cell r="B366" t="str">
            <v>Procter &amp; Gamble Hygiene &amp; Health Care Ltd.</v>
          </cell>
        </row>
        <row r="367">
          <cell r="B367" t="str">
            <v>PSI Data Systems Ltd.</v>
          </cell>
        </row>
        <row r="368">
          <cell r="B368" t="str">
            <v>PSL Holdings Ltd.</v>
          </cell>
        </row>
        <row r="369">
          <cell r="B369" t="str">
            <v>Punjab Anand Lamp Industries Ltd.</v>
          </cell>
        </row>
        <row r="370">
          <cell r="B370" t="str">
            <v>Punjab Communications Ltd.</v>
          </cell>
        </row>
        <row r="371">
          <cell r="B371" t="str">
            <v>Punjab National Bank</v>
          </cell>
        </row>
        <row r="372">
          <cell r="B372" t="str">
            <v>Punjab Tractors Ltd.</v>
          </cell>
        </row>
        <row r="373">
          <cell r="B373" t="str">
            <v>R S Software India Ltd.</v>
          </cell>
        </row>
        <row r="374">
          <cell r="B374" t="str">
            <v>Rain Calcining Ltd.</v>
          </cell>
        </row>
        <row r="375">
          <cell r="B375" t="str">
            <v>Rallis India Ltd.</v>
          </cell>
        </row>
        <row r="376">
          <cell r="B376" t="str">
            <v>Rama Newsprint &amp; Papers Ltd.</v>
          </cell>
        </row>
        <row r="377">
          <cell r="B377" t="str">
            <v>Ramco Systems Ltd.</v>
          </cell>
        </row>
        <row r="378">
          <cell r="B378" t="str">
            <v>Ranbaxy Laboratories Ltd.</v>
          </cell>
        </row>
        <row r="379">
          <cell r="B379" t="str">
            <v>Rashtriya Chemicals &amp; Fertilizers Ltd.</v>
          </cell>
        </row>
        <row r="380">
          <cell r="B380" t="str">
            <v>Rayban Sun Optics India Ltd.</v>
          </cell>
        </row>
        <row r="381">
          <cell r="B381" t="str">
            <v>Raymond Ltd.</v>
          </cell>
        </row>
        <row r="382">
          <cell r="B382" t="str">
            <v>Reliance Capital Ltd.</v>
          </cell>
        </row>
        <row r="383">
          <cell r="B383" t="str">
            <v>Reliance Industrial Infrastructure</v>
          </cell>
        </row>
        <row r="384">
          <cell r="B384" t="str">
            <v>Reliance Industries Ltd.</v>
          </cell>
        </row>
        <row r="385">
          <cell r="B385" t="str">
            <v>Revathi Equipment Ltd.</v>
          </cell>
        </row>
        <row r="386">
          <cell r="B386" t="str">
            <v>Rolta India Ltd.</v>
          </cell>
        </row>
        <row r="387">
          <cell r="B387" t="str">
            <v>Roofit Industries Ltd.</v>
          </cell>
        </row>
        <row r="388">
          <cell r="B388" t="str">
            <v>RPG Cables Ltd.</v>
          </cell>
        </row>
        <row r="389">
          <cell r="B389" t="str">
            <v>RPG Life Sciences Ltd.</v>
          </cell>
        </row>
        <row r="390">
          <cell r="B390" t="str">
            <v>Ruchi Soya Industries Ltd.</v>
          </cell>
        </row>
        <row r="391">
          <cell r="B391" t="str">
            <v>Saint-Gobain Sekurit India Ltd.</v>
          </cell>
        </row>
        <row r="392">
          <cell r="B392" t="str">
            <v>Salora International Ltd.</v>
          </cell>
        </row>
        <row r="393">
          <cell r="B393" t="str">
            <v>Samtel Colour Ltd.</v>
          </cell>
        </row>
        <row r="394">
          <cell r="B394" t="str">
            <v>Saregama India Ltd.</v>
          </cell>
        </row>
        <row r="395">
          <cell r="B395" t="str">
            <v>Satyam Computer Services Ltd.</v>
          </cell>
        </row>
        <row r="396">
          <cell r="B396" t="str">
            <v>Saw Pipes Ltd.</v>
          </cell>
        </row>
        <row r="397">
          <cell r="B397" t="str">
            <v>Sesa Goa Ltd.</v>
          </cell>
        </row>
        <row r="398">
          <cell r="B398" t="str">
            <v>Shasun Chemicals And Drugs Ltd.</v>
          </cell>
        </row>
        <row r="399">
          <cell r="B399" t="str">
            <v>Shaw Wallace &amp; Co. Ltd.</v>
          </cell>
        </row>
        <row r="400">
          <cell r="B400" t="str">
            <v>Shipping Corporation Of India Ltd.</v>
          </cell>
        </row>
        <row r="401">
          <cell r="B401" t="str">
            <v>Shree Cements Ltd.</v>
          </cell>
        </row>
        <row r="402">
          <cell r="B402" t="str">
            <v>Shree Rama Multi-tech Ltd.</v>
          </cell>
        </row>
        <row r="403">
          <cell r="B403" t="str">
            <v>Shyam Telecom Ltd.</v>
          </cell>
        </row>
        <row r="404">
          <cell r="B404" t="str">
            <v>Siemens Ltd.</v>
          </cell>
        </row>
        <row r="405">
          <cell r="B405" t="str">
            <v>Siltap Chemicals Ltd.</v>
          </cell>
        </row>
        <row r="406">
          <cell r="B406" t="str">
            <v>Silverline Technologies Ltd.</v>
          </cell>
        </row>
        <row r="407">
          <cell r="B407" t="str">
            <v>Skanska Cementation India Ltd.</v>
          </cell>
        </row>
        <row r="408">
          <cell r="B408" t="str">
            <v>SKF Bearings (India) Ltd.</v>
          </cell>
        </row>
        <row r="409">
          <cell r="B409" t="str">
            <v>Snowcem India Ltd.</v>
          </cell>
        </row>
        <row r="410">
          <cell r="B410" t="str">
            <v>Solectron Centum Electronics Ltd.</v>
          </cell>
        </row>
        <row r="411">
          <cell r="B411" t="str">
            <v>Sonata Software Ltd.</v>
          </cell>
        </row>
        <row r="412">
          <cell r="B412" t="str">
            <v>Southern Petrochemicals</v>
          </cell>
        </row>
        <row r="413">
          <cell r="B413" t="str">
            <v>SRF Ltd.</v>
          </cell>
        </row>
        <row r="414">
          <cell r="B414" t="str">
            <v>Sri Adhikari Brothers Television Network</v>
          </cell>
        </row>
        <row r="415">
          <cell r="B415" t="str">
            <v>SSI Ltd.</v>
          </cell>
        </row>
        <row r="416">
          <cell r="B416" t="str">
            <v>State Bank Of India</v>
          </cell>
        </row>
        <row r="417">
          <cell r="B417" t="str">
            <v>Steel Authority of India Ltd.</v>
          </cell>
        </row>
        <row r="418">
          <cell r="B418" t="str">
            <v>Sterling Biotech Ltd.</v>
          </cell>
        </row>
        <row r="419">
          <cell r="B419" t="str">
            <v>Sterlite Optical Technoligies Ltd.</v>
          </cell>
        </row>
        <row r="420">
          <cell r="B420" t="str">
            <v>Subex Systems Ltd.</v>
          </cell>
        </row>
        <row r="421">
          <cell r="B421" t="str">
            <v>Sun Earth Ceramics Ltd.</v>
          </cell>
        </row>
        <row r="422">
          <cell r="B422" t="str">
            <v>Sun Pharmaceutical Industries Ltd.</v>
          </cell>
        </row>
        <row r="423">
          <cell r="B423" t="str">
            <v>Sundaram Clayton Ltd.</v>
          </cell>
        </row>
        <row r="424">
          <cell r="B424" t="str">
            <v>Sundram Fasteners Ltd.</v>
          </cell>
        </row>
        <row r="425">
          <cell r="B425" t="str">
            <v>Supreme Industries Ltd.</v>
          </cell>
        </row>
        <row r="426">
          <cell r="B426" t="str">
            <v>Supreme Petrochem Ltd.</v>
          </cell>
        </row>
        <row r="427">
          <cell r="B427" t="str">
            <v>Su-raj Diamonds and Jewellery Ltd.</v>
          </cell>
        </row>
        <row r="428">
          <cell r="B428" t="str">
            <v>Suven Pharmaceuticals Ltd.</v>
          </cell>
        </row>
        <row r="429">
          <cell r="B429" t="str">
            <v>Swaraj Engines Ltd.</v>
          </cell>
        </row>
        <row r="430">
          <cell r="B430" t="str">
            <v>Swaraj Mazda Ltd.</v>
          </cell>
        </row>
        <row r="431">
          <cell r="B431" t="str">
            <v>Syngenta India Ltd.</v>
          </cell>
        </row>
        <row r="432">
          <cell r="B432" t="str">
            <v>Tamil Nadu Newsprint And Papers Ltd.</v>
          </cell>
        </row>
        <row r="433">
          <cell r="B433" t="str">
            <v>Tamilnadu Petroproducts Ltd.</v>
          </cell>
        </row>
        <row r="434">
          <cell r="B434" t="str">
            <v>Tata Chemicals Ltd.</v>
          </cell>
        </row>
        <row r="435">
          <cell r="B435" t="str">
            <v>Tata Elxsi Ltd.</v>
          </cell>
        </row>
        <row r="436">
          <cell r="B436" t="str">
            <v>Tata Engg. &amp; Loco. Co. Ltd.</v>
          </cell>
        </row>
        <row r="437">
          <cell r="B437" t="str">
            <v>Tata Finance Ltd.</v>
          </cell>
        </row>
        <row r="438">
          <cell r="B438" t="str">
            <v>Tata Honeywell Ltd.</v>
          </cell>
        </row>
        <row r="439">
          <cell r="B439" t="str">
            <v>Tata Infomedia Ltd.</v>
          </cell>
        </row>
        <row r="440">
          <cell r="B440" t="str">
            <v>Tata Infotech Ltd.</v>
          </cell>
        </row>
        <row r="441">
          <cell r="B441" t="str">
            <v>Tata Investment Corporation Ltd.</v>
          </cell>
        </row>
        <row r="442">
          <cell r="B442" t="str">
            <v>Tata Iron &amp; Steel Co. Ltd.</v>
          </cell>
        </row>
        <row r="443">
          <cell r="B443" t="str">
            <v>Tata Power Co. Ltd.</v>
          </cell>
        </row>
        <row r="444">
          <cell r="B444" t="str">
            <v>Tata Tea Ltd.</v>
          </cell>
        </row>
        <row r="445">
          <cell r="B445" t="str">
            <v>Tata Telecom Ltd.</v>
          </cell>
        </row>
        <row r="446">
          <cell r="B446" t="str">
            <v>Tata Teleservices (Maharashtra) Ltd.</v>
          </cell>
        </row>
        <row r="447">
          <cell r="B447" t="str">
            <v>Television Eighteen India Ltd.</v>
          </cell>
        </row>
        <row r="448">
          <cell r="B448" t="str">
            <v>Thermax Ltd.</v>
          </cell>
        </row>
        <row r="449">
          <cell r="B449" t="str">
            <v>Thirumalai Chemicals Ltd.</v>
          </cell>
        </row>
        <row r="450">
          <cell r="B450" t="str">
            <v>Thomas Cook (India) Ltd.</v>
          </cell>
        </row>
        <row r="451">
          <cell r="B451" t="str">
            <v>Timex Watches Ltd.</v>
          </cell>
        </row>
        <row r="452">
          <cell r="B452" t="str">
            <v>Timken India Ltd.</v>
          </cell>
        </row>
        <row r="453">
          <cell r="B453" t="str">
            <v>Tips Industries Ltd.</v>
          </cell>
        </row>
        <row r="454">
          <cell r="B454" t="str">
            <v>Titan Industries Ltd.</v>
          </cell>
        </row>
        <row r="455">
          <cell r="B455" t="str">
            <v>Torrent Pharmaceuticals Ltd.</v>
          </cell>
        </row>
        <row r="456">
          <cell r="B456" t="str">
            <v>Tourism Finance Corpn. Of India Ltd.</v>
          </cell>
        </row>
        <row r="457">
          <cell r="B457" t="str">
            <v>Trent Ltd.</v>
          </cell>
        </row>
        <row r="458">
          <cell r="B458" t="str">
            <v>Trigyn Technologies Ltd.</v>
          </cell>
        </row>
        <row r="459">
          <cell r="B459" t="str">
            <v>Tube Investments of India Ltd.</v>
          </cell>
        </row>
        <row r="460">
          <cell r="B460" t="str">
            <v>TVS Electronics Ltd.</v>
          </cell>
        </row>
        <row r="461">
          <cell r="B461" t="str">
            <v>TVS Motor Company Ltd.</v>
          </cell>
        </row>
        <row r="462">
          <cell r="B462" t="str">
            <v>Ultramarine &amp; Pigments Ltd.</v>
          </cell>
        </row>
        <row r="463">
          <cell r="B463" t="str">
            <v>Unichem Laboratories Ltd.</v>
          </cell>
        </row>
        <row r="464">
          <cell r="B464" t="str">
            <v>Union Bank of India</v>
          </cell>
        </row>
        <row r="465">
          <cell r="B465" t="str">
            <v>Unitech Ltd.</v>
          </cell>
        </row>
        <row r="466">
          <cell r="B466" t="str">
            <v>United Breweries Ltd.</v>
          </cell>
        </row>
        <row r="467">
          <cell r="B467" t="str">
            <v>United Phosphorus Ltd.</v>
          </cell>
        </row>
        <row r="468">
          <cell r="B468" t="str">
            <v>Usha Beltron Ltd.</v>
          </cell>
        </row>
        <row r="469">
          <cell r="B469" t="str">
            <v>UTI Bank Ltd.</v>
          </cell>
        </row>
        <row r="470">
          <cell r="B470" t="str">
            <v>V.I.P. Industries Ltd.</v>
          </cell>
        </row>
        <row r="471">
          <cell r="B471" t="str">
            <v>Vardhaman Spinning &amp; Gen. Mills Ltd.</v>
          </cell>
        </row>
        <row r="472">
          <cell r="B472" t="str">
            <v>Varun Shipping Co. Ltd.</v>
          </cell>
        </row>
        <row r="473">
          <cell r="B473" t="str">
            <v>Vashisti Detergents Ltd.</v>
          </cell>
        </row>
        <row r="474">
          <cell r="B474" t="str">
            <v>Venkys (India) Ltd.</v>
          </cell>
        </row>
        <row r="475">
          <cell r="B475" t="str">
            <v>Vesuvius India Ltd.</v>
          </cell>
        </row>
        <row r="476">
          <cell r="B476" t="str">
            <v>Videocon Appliances Ltd.</v>
          </cell>
        </row>
        <row r="477">
          <cell r="B477" t="str">
            <v>Videocon International Ltd.</v>
          </cell>
        </row>
        <row r="478">
          <cell r="B478" t="str">
            <v>Videsh Sanchar Nigam Ltd.</v>
          </cell>
        </row>
        <row r="479">
          <cell r="B479" t="str">
            <v>Vikas WSP Ltd.</v>
          </cell>
        </row>
        <row r="480">
          <cell r="B480" t="str">
            <v>Vindhya Telelinks Ltd.</v>
          </cell>
        </row>
        <row r="481">
          <cell r="B481" t="str">
            <v>Visualsoft Technologies Ltd.</v>
          </cell>
        </row>
        <row r="482">
          <cell r="B482" t="str">
            <v>Voltas Ltd.</v>
          </cell>
        </row>
        <row r="483">
          <cell r="B483" t="str">
            <v>VST Industries Ltd.</v>
          </cell>
        </row>
        <row r="484">
          <cell r="B484" t="str">
            <v>Vysya Bank Ltd.</v>
          </cell>
        </row>
        <row r="485">
          <cell r="B485" t="str">
            <v>Warren Tea Ltd.</v>
          </cell>
        </row>
        <row r="486">
          <cell r="B486" t="str">
            <v>Wartsila India Ltd.</v>
          </cell>
        </row>
        <row r="487">
          <cell r="B487" t="str">
            <v>Welspun -Gujarat Stahl Rohren Ltd.</v>
          </cell>
        </row>
        <row r="488">
          <cell r="B488" t="str">
            <v>Welspun India Ltd.</v>
          </cell>
        </row>
        <row r="489">
          <cell r="B489" t="str">
            <v>Whirlpool of India Ltd.</v>
          </cell>
        </row>
        <row r="490">
          <cell r="B490" t="str">
            <v>Widia (india) Ltd.</v>
          </cell>
        </row>
        <row r="491">
          <cell r="B491" t="str">
            <v>Wimco Ltd.</v>
          </cell>
        </row>
        <row r="492">
          <cell r="B492" t="str">
            <v>Wipro Ltd.</v>
          </cell>
        </row>
        <row r="493">
          <cell r="B493" t="str">
            <v>Wockhardt Life Sciences Ltd.</v>
          </cell>
        </row>
        <row r="494">
          <cell r="B494" t="str">
            <v>Wockhardt Ltd.</v>
          </cell>
        </row>
        <row r="495">
          <cell r="B495" t="str">
            <v>Wyeth Lederle Ltd.</v>
          </cell>
        </row>
        <row r="496">
          <cell r="B496" t="str">
            <v>Yokogawa Blue Star Ltd.</v>
          </cell>
        </row>
        <row r="497">
          <cell r="B497" t="str">
            <v>Zandu Pharmaceuticals Works Ltd.</v>
          </cell>
        </row>
        <row r="498">
          <cell r="B498" t="str">
            <v>Zee Telefilms Ltd.</v>
          </cell>
        </row>
        <row r="499">
          <cell r="B499" t="str">
            <v>Zensar Technologies Ltd.</v>
          </cell>
        </row>
        <row r="500">
          <cell r="B500" t="str">
            <v>Zuari Industries Ltd.</v>
          </cell>
        </row>
      </sheetData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D BS"/>
      <sheetName val="BOD PL"/>
      <sheetName val="B S"/>
      <sheetName val="P L"/>
      <sheetName val="DTPL"/>
      <sheetName val="PAP"/>
      <sheetName val="Critical"/>
      <sheetName val="Seg. report"/>
      <sheetName val="SPR"/>
      <sheetName val="Yield-COB"/>
      <sheetName val="Yield-backup"/>
      <sheetName val="Yield-COB sum"/>
      <sheetName val="Presentation"/>
      <sheetName val="Cashflow"/>
      <sheetName val="Keyratios"/>
      <sheetName val="Bal"/>
      <sheetName val="prof"/>
      <sheetName val="Interest"/>
      <sheetName val="Borrowing"/>
      <sheetName val="Facility"/>
      <sheetName val="deb"/>
      <sheetName val="NFF"/>
      <sheetName val="Tax"/>
      <sheetName val="Cntrl Sheet"/>
      <sheetName val="PL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 Sheet"/>
      <sheetName val="P &amp; L"/>
      <sheetName val="Schdule form-I"/>
      <sheetName val="Sheet1"/>
      <sheetName val="Sheet2"/>
      <sheetName val="Schduel form-II"/>
      <sheetName val="Schduel form-I (2)"/>
      <sheetName val="grpng"/>
      <sheetName val="Abstract"/>
      <sheetName val="Net"/>
      <sheetName val="Sheet1 (2)"/>
      <sheetName val="Sheet3"/>
      <sheetName val="FA"/>
      <sheetName val="Inv"/>
      <sheetName val="Ingrouping"/>
      <sheetName val="Schduel form-I (3)"/>
      <sheetName val="JVSFROMUSLTOUTV"/>
      <sheetName val="JVSFROMUTVTOUSL"/>
      <sheetName val="jvs160104"/>
      <sheetName val="JVs"/>
      <sheetName val="jv"/>
      <sheetName val="inv (2)"/>
      <sheetName val="contb"/>
      <sheetName val="prov jvs-utv (2)"/>
      <sheetName val="woa_op_bal "/>
      <sheetName val="BalancesheetGrouping"/>
      <sheetName val="Expensesgrouping"/>
      <sheetName val="Corp ohs"/>
      <sheetName val="Sheet4"/>
      <sheetName val="final Combine"/>
      <sheetName val="Depriciation"/>
      <sheetName val="woa_op_bal"/>
      <sheetName val="Expenses"/>
      <sheetName val="P&amp;M"/>
      <sheetName val="Mumbai"/>
      <sheetName val="B_Sheet"/>
      <sheetName val="P_&amp;_L"/>
      <sheetName val="Schdule_form-I"/>
      <sheetName val="Schduel_form-II"/>
      <sheetName val="Schduel_form-I_(2)"/>
      <sheetName val="Sheet1_(2)"/>
      <sheetName val="Schduel_form-I_(3)"/>
      <sheetName val="inv_(2)"/>
      <sheetName val="prov_jvs-utv_(2)"/>
      <sheetName val="woa_op_bal_"/>
      <sheetName val="Corp_ohs"/>
      <sheetName val="final_Combine"/>
      <sheetName val="Value"/>
      <sheetName val="Price Testing - Used - 1"/>
      <sheetName val="wwww"/>
      <sheetName val="UTV Balance Sheet Post Consolid"/>
      <sheetName val="C_flow 95"/>
      <sheetName val="ANX-D(16b)"/>
      <sheetName val="WDV(P&amp;M)31.03.99"/>
      <sheetName val="WDV(OE)31.03.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 block"/>
      <sheetName val="Table 41"/>
      <sheetName val="Table 9"/>
      <sheetName val="Table11"/>
      <sheetName val="K-1"/>
      <sheetName val="K-2"/>
      <sheetName val="Sheet1"/>
      <sheetName val="K-3"/>
      <sheetName val="Table 1"/>
      <sheetName val="Table 2"/>
      <sheetName val="Table 3"/>
      <sheetName val="Table 4"/>
      <sheetName val="Table 5"/>
      <sheetName val="Table 6"/>
      <sheetName val="Pivot"/>
      <sheetName val="Pivot 2"/>
      <sheetName val="DOT-Customer-data"/>
      <sheetName val="Fund Utilisation"/>
      <sheetName val="Consol"/>
      <sheetName val="Hyderabad_NLA"/>
      <sheetName val="Silokhera_NLA"/>
      <sheetName val="Cyber City_NLA"/>
      <sheetName val="Chennai_NLA"/>
      <sheetName val="Summary"/>
      <sheetName val="Chennai "/>
      <sheetName val="Tenant-Chennai"/>
      <sheetName val="Hyderabad"/>
      <sheetName val="Tanent-W Block"/>
      <sheetName val="W block (2)"/>
      <sheetName val="Silokhera"/>
      <sheetName val="Table 7"/>
      <sheetName val="Project Data"/>
      <sheetName val="Unleased area"/>
      <sheetName val="Assumption"/>
      <sheetName val="Pivot (2)"/>
      <sheetName val="Building 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 block"/>
      <sheetName val="Table 41"/>
      <sheetName val="Table 9"/>
      <sheetName val="Table11"/>
      <sheetName val="K-1"/>
      <sheetName val="K-2"/>
      <sheetName val="Sheet1"/>
      <sheetName val="K-3"/>
      <sheetName val="Table 1"/>
      <sheetName val="Table 2"/>
      <sheetName val="Table 3"/>
      <sheetName val="Table 4"/>
      <sheetName val="Table 5"/>
      <sheetName val="Table 6"/>
      <sheetName val="Pivot"/>
      <sheetName val="Pivot 2"/>
      <sheetName val="DOT-Customer-data"/>
      <sheetName val="Fund Utilisation"/>
      <sheetName val="Consol"/>
      <sheetName val="Hyderabad_NLA"/>
      <sheetName val="Silokhera_NLA"/>
      <sheetName val="Cyber City_NLA"/>
      <sheetName val="Chennai_NLA"/>
      <sheetName val="Summary"/>
      <sheetName val="Chennai "/>
      <sheetName val="Tenant-Chennai"/>
      <sheetName val="Hyderabad"/>
      <sheetName val="Tanent-W Block"/>
      <sheetName val="W block (2)"/>
      <sheetName val="Silokhera"/>
      <sheetName val="Table 7"/>
      <sheetName val="Project Data"/>
      <sheetName val="Unleased area"/>
      <sheetName val="Assumption"/>
      <sheetName val="Pivot (2)"/>
      <sheetName val="Building 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. report"/>
      <sheetName val="Tax"/>
      <sheetName val="DTPL"/>
      <sheetName val="PAP Memo -1"/>
      <sheetName val="PAP Memo"/>
      <sheetName val="Interest"/>
      <sheetName val="P L"/>
      <sheetName val="B S"/>
      <sheetName val="Yield-COB"/>
      <sheetName val="BOD PL"/>
      <sheetName val="BOD BS"/>
      <sheetName val="NFF"/>
      <sheetName val="PAP"/>
      <sheetName val="Sheet2"/>
      <sheetName val="Yield-COB sum"/>
      <sheetName val="SPR"/>
      <sheetName val="Yield-backup"/>
      <sheetName val="BOD BS (2)"/>
      <sheetName val="Facility"/>
      <sheetName val="Esti reports"/>
      <sheetName val="Borrowing"/>
      <sheetName val="MIS reports"/>
      <sheetName val="Cashflow"/>
      <sheetName val="Cntrl Sheet"/>
      <sheetName val="CARE Ratios"/>
      <sheetName val="deb"/>
      <sheetName val="Keyratios"/>
      <sheetName val="Bal"/>
      <sheetName val="pro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 refreshError="1"/>
      <sheetData sheetId="28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. report"/>
      <sheetName val="Tax"/>
      <sheetName val="DTPL"/>
      <sheetName val="PAP Memo -1"/>
      <sheetName val="PAP Memo"/>
      <sheetName val="Interest"/>
      <sheetName val="P L"/>
      <sheetName val="B S"/>
      <sheetName val="Yield-COB"/>
      <sheetName val="BOD PL"/>
      <sheetName val="BOD BS"/>
      <sheetName val="NFF"/>
      <sheetName val="PAP"/>
      <sheetName val="Sheet2"/>
      <sheetName val="Yield-COB sum"/>
      <sheetName val="SPR"/>
      <sheetName val="Yield-backup"/>
      <sheetName val="BOD BS (2)"/>
      <sheetName val="Facility"/>
      <sheetName val="Esti reports"/>
      <sheetName val="Borrowing"/>
      <sheetName val="MIS reports"/>
      <sheetName val="Cashflow"/>
      <sheetName val="Cntrl Sheet"/>
      <sheetName val="CARE Ratios"/>
      <sheetName val="deb"/>
      <sheetName val="Keyratios"/>
      <sheetName val="Bal"/>
      <sheetName val="pro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 refreshError="1"/>
      <sheetData sheetId="28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 L"/>
    </sheetNames>
    <sheetDataSet>
      <sheetData sheetId="0" refreshError="1"/>
      <sheetData sheetId="1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 Entry"/>
      <sheetName val="Sheet2"/>
      <sheetName val="New BS"/>
      <sheetName val="New P &amp; L"/>
      <sheetName val="Notes 2-16"/>
      <sheetName val="Notes 17-21"/>
      <sheetName val="FA NEW"/>
      <sheetName val="TB YTD Dec 17"/>
      <sheetName val="TB-Q3 2016-17"/>
      <sheetName val="Debtors Ageing (2)"/>
      <sheetName val="LOB wise tallied with TB"/>
      <sheetName val="LOB wise Financials"/>
      <sheetName val="Notes 1"/>
      <sheetName val="Balance Sheet in Lakhs (2)"/>
      <sheetName val="Trial balance_Sept"/>
      <sheetName val="Creditors Ageing - 180 days Dec"/>
      <sheetName val="Crs Ageing"/>
      <sheetName val="Debtors Ageing - 180 Days Sept "/>
      <sheetName val="New Grouping "/>
      <sheetName val="FA A"/>
      <sheetName val="REVISED FINAL TB"/>
      <sheetName val="Trial Balance - June 30, 2017"/>
      <sheetName val="Debtors Ageing (In Lakhs)"/>
      <sheetName val="Debtors Ageing"/>
      <sheetName val="Creditors Ageing"/>
      <sheetName val="Fixed Assets Additions"/>
      <sheetName val="Notes 22-33"/>
      <sheetName val="TB 15"/>
      <sheetName val="tb revised 10 june"/>
      <sheetName val="Sun Drs"/>
      <sheetName val="FSSL TB"/>
      <sheetName val="Deffered Tax"/>
      <sheetName val="Lease Calc."/>
      <sheetName val="Related Party"/>
      <sheetName val="IT Depn."/>
      <sheetName val="IT Addn."/>
      <sheetName val="STI"/>
      <sheetName val="IT Computation"/>
      <sheetName val="TB Grouping"/>
      <sheetName val="EPS"/>
      <sheetName val="Sheet1"/>
      <sheetName val="Sheet4"/>
      <sheetName val="TB"/>
      <sheetName val="PIVOT -Grouping "/>
      <sheetName val="TB "/>
      <sheetName val="Sheet5"/>
      <sheetName val="FA IT Depreciation"/>
      <sheetName val="List of Acts"/>
      <sheetName val="Sheet3"/>
    </sheetNames>
    <sheetDataSet>
      <sheetData sheetId="0"/>
      <sheetData sheetId="1"/>
      <sheetData sheetId="2"/>
      <sheetData sheetId="3">
        <row r="52">
          <cell r="B52" t="str">
            <v>Date: 21st September 2017</v>
          </cell>
        </row>
      </sheetData>
      <sheetData sheetId="4">
        <row r="16">
          <cell r="G16">
            <v>200000</v>
          </cell>
        </row>
      </sheetData>
      <sheetData sheetId="5">
        <row r="12">
          <cell r="E12">
            <v>99116.472379999992</v>
          </cell>
        </row>
      </sheetData>
      <sheetData sheetId="6">
        <row r="34">
          <cell r="J34">
            <v>6999.3200000000006</v>
          </cell>
        </row>
      </sheetData>
      <sheetData sheetId="7"/>
      <sheetData sheetId="8">
        <row r="203">
          <cell r="C203">
            <v>28262455.690000001</v>
          </cell>
        </row>
      </sheetData>
      <sheetData sheetId="9"/>
      <sheetData sheetId="10"/>
      <sheetData sheetId="11"/>
      <sheetData sheetId="12"/>
      <sheetData sheetId="13"/>
      <sheetData sheetId="14">
        <row r="68">
          <cell r="D68">
            <v>6625563.8099999996</v>
          </cell>
        </row>
      </sheetData>
      <sheetData sheetId="15"/>
      <sheetData sheetId="16"/>
      <sheetData sheetId="17"/>
      <sheetData sheetId="18">
        <row r="35">
          <cell r="E35">
            <v>0</v>
          </cell>
        </row>
      </sheetData>
      <sheetData sheetId="19"/>
      <sheetData sheetId="20">
        <row r="277">
          <cell r="C277">
            <v>404941</v>
          </cell>
        </row>
      </sheetData>
      <sheetData sheetId="21"/>
      <sheetData sheetId="22"/>
      <sheetData sheetId="23"/>
      <sheetData sheetId="24"/>
      <sheetData sheetId="25">
        <row r="1">
          <cell r="F1">
            <v>58988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cashflow"/>
    </sheetNames>
    <sheetDataSet>
      <sheetData sheetId="0"/>
      <sheetData sheetId="1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cashflow"/>
    </sheetNames>
    <sheetDataSet>
      <sheetData sheetId="0"/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  <sheetName val="Tax (2)"/>
      <sheetName val="Assumptions - Sugar"/>
      <sheetName val="Assumptions-Fancy Sugar"/>
      <sheetName val="Cons-P&amp;L"/>
      <sheetName val="Financials"/>
      <sheetName val="Ratios"/>
      <sheetName val="WC Estimates"/>
      <sheetName val="Power&amp;Fuel"/>
      <sheetName val="Power&amp;Fuel (2)"/>
      <sheetName val="Depreciation"/>
      <sheetName val="debt schedule"/>
      <sheetName val="Tax"/>
      <sheetName val="Valuation"/>
      <sheetName val="Power_Fuel"/>
      <sheetName val="_x0000__x0000__x0000__x0002__x0000__x0000__x0000__x0000_䀘_x0000__x0000__x0000__x0000__x0001__x0000_"/>
      <sheetName val="_x0000__x0000__x0000__x0002__x0000__x0000__x0000__x0000_䀦_x0000__x0000__x0000__x0000__x0001__x0000__x0000__x0000_㵈ˑ㵰㿪_x0000_"/>
      <sheetName val="Sheet1"/>
      <sheetName val="Dec"/>
      <sheetName val="COST PER KG  (Qtr)"/>
      <sheetName val=""/>
      <sheetName val="March.10"/>
      <sheetName val="???_x0002_????䀘????_x0001_?"/>
      <sheetName val="???_x0002_????䀦????_x0001_???㵈ˑ㵰㿪?"/>
      <sheetName val="MC.9 - ROH"/>
      <sheetName val="stores &amp; spares"/>
      <sheetName val="____x0002_____䀘_____x0001__"/>
      <sheetName val="____x0002_____䀦_____x0001____㵈ˑ㵰㿪_"/>
      <sheetName val="Do not delete"/>
      <sheetName val="Computation"/>
      <sheetName val="CASHFLOWS"/>
      <sheetName val="CO_1"/>
      <sheetName val="Sheet2"/>
      <sheetName val="New Proj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D BS"/>
      <sheetName val="B S"/>
      <sheetName val="BOD PL"/>
      <sheetName val="P L"/>
      <sheetName val="SPR"/>
      <sheetName val="Yield-COB"/>
      <sheetName val="Seg. report"/>
      <sheetName val="PAP"/>
      <sheetName val="ICRA Ratios"/>
      <sheetName val="Yield-backup"/>
      <sheetName val="DTPL"/>
      <sheetName val="Sheet2"/>
      <sheetName val="Esti reports"/>
      <sheetName val="CARE Ratios"/>
      <sheetName val="MIS reports"/>
      <sheetName val="deb"/>
      <sheetName val="Borrowing"/>
      <sheetName val="Facility"/>
      <sheetName val="Yield-COB sum"/>
      <sheetName val="NFF"/>
      <sheetName val="Interest"/>
      <sheetName val="Cashflow"/>
      <sheetName val="Keyratios"/>
      <sheetName val="Bal"/>
      <sheetName val="prof"/>
      <sheetName val="Tax"/>
      <sheetName val="Cntrl Sheet"/>
      <sheetName val="NFF (2)"/>
      <sheetName val="Sheet1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D BS"/>
      <sheetName val="B S"/>
      <sheetName val="BOD PL"/>
      <sheetName val="P L"/>
      <sheetName val="SPR"/>
      <sheetName val="Yield-COB"/>
      <sheetName val="Seg. report"/>
      <sheetName val="PAP"/>
      <sheetName val="ICRA Ratios"/>
      <sheetName val="Yield-backup"/>
      <sheetName val="DTPL"/>
      <sheetName val="Sheet2"/>
      <sheetName val="Esti reports"/>
      <sheetName val="CARE Ratios"/>
      <sheetName val="MIS reports"/>
      <sheetName val="deb"/>
      <sheetName val="Borrowing"/>
      <sheetName val="Facility"/>
      <sheetName val="Yield-COB sum"/>
      <sheetName val="NFF"/>
      <sheetName val="Interest"/>
      <sheetName val="Cashflow"/>
      <sheetName val="Keyratios"/>
      <sheetName val="Bal"/>
      <sheetName val="prof"/>
      <sheetName val="Tax"/>
      <sheetName val="Cntrl Sheet"/>
      <sheetName val="NFF (2)"/>
      <sheetName val="Sheet1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f 1 plus 3"/>
      <sheetName val="Fixed lines"/>
      <sheetName val="Equipment"/>
      <sheetName val="Sheet1"/>
      <sheetName val="Co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A 3.7"/>
      <sheetName val="HLY_-99-00"/>
      <sheetName val="Hydro_Data"/>
      <sheetName val="dpc_cost"/>
      <sheetName val="Plant_Availability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0000000"/>
      <sheetName val="LC CAL-SBBJ"/>
      <sheetName val="LC CAL-OTHERS"/>
      <sheetName val="LC CAL-ICICI"/>
      <sheetName val="sentini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0000000"/>
      <sheetName val="LC CAL-SBBJ"/>
      <sheetName val="LC CAL-OTHERS"/>
      <sheetName val="LC CAL-ICICI"/>
      <sheetName val="sentini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harti-PL"/>
      <sheetName val="Bharti-BS"/>
      <sheetName val="Bharti-Businesswise"/>
      <sheetName val="MIS"/>
      <sheetName val="MIS -work"/>
      <sheetName val="Business wise BS"/>
      <sheetName val="Business wise PL"/>
      <sheetName val="RIC-CFLOW-NEW"/>
      <sheetName val="RIC-Businesswise BS"/>
      <sheetName val="RIC-MIS"/>
      <sheetName val="RIC-Businesswise PL"/>
      <sheetName val="RCIL-CFLOW-NEW "/>
      <sheetName val="Infocomm Grp BS"/>
      <sheetName val="intercompany"/>
      <sheetName val="Infocomm Grp PL"/>
      <sheetName val="Sum"/>
      <sheetName val="Index"/>
      <sheetName val="RCIL-Dec04"/>
      <sheetName val="RCIL Analysis"/>
      <sheetName val="RCIL-cover "/>
      <sheetName val="RCIL-BS Work"/>
      <sheetName val="RCIL-PL Work"/>
      <sheetName val="RCIL-Extl"/>
      <sheetName val="RCIL-BS"/>
      <sheetName val="RCIL-P&amp;L"/>
      <sheetName val="RCIL-Adjt"/>
      <sheetName val="RCIL-cf"/>
      <sheetName val="RCIL-Sch"/>
      <sheetName val="RIC-Sch"/>
      <sheetName val="RCIL-FA Sch"/>
      <sheetName val="RCIL-Policy"/>
      <sheetName val="RCIL - Notes (New)"/>
      <sheetName val="RCIL-Notes"/>
      <sheetName val="RCIL-related"/>
      <sheetName val="RCTL-BS"/>
      <sheetName val="RCTL-P &amp; L"/>
      <sheetName val="RCTL-SCH"/>
      <sheetName val="RCTL-BS Work"/>
      <sheetName val="RCTL-PL Work"/>
      <sheetName val="RCTL-Adjt"/>
      <sheetName val="RCTL-FA SCH"/>
      <sheetName val="RCTL-Policy"/>
      <sheetName val="RCTL - Notes"/>
      <sheetName val="RCRL-BS"/>
      <sheetName val="RCRL-P &amp; L"/>
      <sheetName val="RCRL-BS Work"/>
      <sheetName val="RCRL-PL Work"/>
      <sheetName val="RCRL-Sch"/>
      <sheetName val="RCRL-Adj"/>
      <sheetName val="RCRL-Policy"/>
      <sheetName val="RCRL-Notes"/>
      <sheetName val="RIC-Ext Det"/>
      <sheetName val="RIC-cover"/>
      <sheetName val="RIC-MAR 05"/>
      <sheetName val="RIC-P &amp; L"/>
      <sheetName val="RIC-BS"/>
      <sheetName val="RIC-BS Work"/>
      <sheetName val="RIC-PL Work"/>
      <sheetName val="RIC-Adj"/>
      <sheetName val="RIC-FA Sch"/>
      <sheetName val="RIC-CFlow"/>
      <sheetName val="Infocomm-FA"/>
      <sheetName val="RWSL-FA"/>
      <sheetName val="GSIL-SLM"/>
      <sheetName val="RIC-Segment"/>
      <sheetName val="RIC-Policy"/>
      <sheetName val="RIC-Notes"/>
      <sheetName val="BS RSOLU"/>
      <sheetName val="P &amp; L  RSOLU"/>
      <sheetName val="BS Work  RSOLU"/>
      <sheetName val="PL Work RSOLU"/>
      <sheetName val="Sch RSOLU"/>
      <sheetName val="Policy RSOLU"/>
      <sheetName val="Notes RSOLU"/>
      <sheetName val="FA Sch RSOLU"/>
      <sheetName val="Adj RSOLU"/>
      <sheetName val="BS RIIL"/>
      <sheetName val="P &amp; L  RIIL"/>
      <sheetName val="PL Work RIIL"/>
      <sheetName val="BS Work  RIIL"/>
      <sheetName val="Sch RIIL"/>
      <sheetName val="Adj RIIL"/>
      <sheetName val="Segment RIIL"/>
      <sheetName val="Policy RIIL"/>
      <sheetName val="FA Sch RIIL"/>
      <sheetName val="Notes RIIL"/>
      <sheetName val="CFlow RIIL"/>
      <sheetName val="FA PARADOX"/>
      <sheetName val="FA NIS"/>
      <sheetName val="BS RI BV"/>
      <sheetName val="BS Work  RI BV INR"/>
      <sheetName val="P &amp; L  RI BV"/>
      <sheetName val="Sch RI BV"/>
      <sheetName val="PL Work RI BV INR"/>
      <sheetName val="Reco - CTR"/>
      <sheetName val="Adj RI BV INR"/>
      <sheetName val="PL Work RI BV USD"/>
      <sheetName val="BS Work  RI BV USD"/>
      <sheetName val="Adj RI BV USD"/>
      <sheetName val="FA Sch RI BV"/>
      <sheetName val="FA RII"/>
      <sheetName val="FA RCI"/>
      <sheetName val="FA HK"/>
      <sheetName val="FA UK"/>
      <sheetName val="FA RNI"/>
      <sheetName val="BS RGNL"/>
      <sheetName val="P &amp; L  RGNL"/>
      <sheetName val="RGNL-Segment"/>
      <sheetName val="Adj RGNL"/>
      <sheetName val="BS Work  RGNL"/>
      <sheetName val="PL Work  RGNL"/>
      <sheetName val="RGNL-FA Sch"/>
      <sheetName val="Sch RGNL"/>
      <sheetName val="FLAG FA Sch"/>
      <sheetName val="RGNL-Policy"/>
      <sheetName val="RGNL-Notes"/>
      <sheetName val="BS GSIL"/>
      <sheetName val="P &amp; L GSIL"/>
      <sheetName val="Sch GSIL"/>
      <sheetName val="FA GSIL WDV"/>
      <sheetName val="BS Work GSIL"/>
      <sheetName val="PL Work  GSIL"/>
      <sheetName val="Adj GSIL"/>
      <sheetName val="Policy GSIL"/>
      <sheetName val="Notes GSIL"/>
      <sheetName val="BS NRL"/>
      <sheetName val="P &amp; L  NRL"/>
      <sheetName val="Sch NRL"/>
      <sheetName val="Adj NRL"/>
      <sheetName val="Policy NRL"/>
      <sheetName val="Notes NRL"/>
      <sheetName val="BS Work  NRL"/>
      <sheetName val="PL Work NRL"/>
      <sheetName val="Exchange rate"/>
      <sheetName val="RCTL_SCH"/>
      <sheetName val="assumptions"/>
      <sheetName val="Article"/>
      <sheetName val="WORKINGS"/>
      <sheetName val="Occ, Other Rev, Exp, Dis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LR"/>
      <sheetName val="Not Billed"/>
      <sheetName val="Billing Data"/>
      <sheetName val="Billing Summary"/>
      <sheetName val="B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  <sheetName val="DEPN32"/>
      <sheetName val="43B (2)"/>
      <sheetName val="TDSCERT"/>
      <sheetName val="Sheet8"/>
      <sheetName val="Sheet10"/>
      <sheetName val="Sheet11"/>
      <sheetName val="Sheet12"/>
      <sheetName val="Sheet13"/>
      <sheetName val="Sheet14"/>
      <sheetName val="Sheet15"/>
      <sheetName val="Sheet16"/>
      <sheetName val="COMPUTATION"/>
      <sheetName val="GRATUITY"/>
      <sheetName val="BFDLOSS"/>
      <sheetName val="HP"/>
      <sheetName val="LOCWISERENT"/>
      <sheetName val="hp exp"/>
      <sheetName val="depn on letout prop"/>
      <sheetName val="RENT( Exl. JSR)"/>
      <sheetName val="RENT(JSR)"/>
      <sheetName val="CAP GAIN"/>
      <sheetName val="CG(TI Ltd)"/>
      <sheetName val="OTH_INC"/>
      <sheetName val="SALEOFINV&amp;LAND"/>
      <sheetName val="80G"/>
      <sheetName val="TEC KNOW"/>
      <sheetName val="Provisions"/>
      <sheetName val="DEFERREDEXP"/>
      <sheetName val="VRS DEFER"/>
      <sheetName val="VRSDEFER"/>
      <sheetName val="allwyn profit reco"/>
      <sheetName val="BRDNOTE"/>
      <sheetName val="35AB"/>
      <sheetName val="Reco"/>
      <sheetName val="CFD"/>
      <sheetName val="CFDSTATUS1"/>
      <sheetName val="HALLOSSES"/>
      <sheetName val="SH. E Add"/>
      <sheetName val="SH. E Sale"/>
      <sheetName val="TEC KNOW (2)"/>
      <sheetName val="192"/>
      <sheetName val="194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General"/>
      <sheetName val="A-Bucket"/>
      <sheetName val="A-Matrix"/>
      <sheetName val="Print"/>
      <sheetName val="Summary-P"/>
      <sheetName val="Summary-CF"/>
      <sheetName val="Summary-RentRoll"/>
      <sheetName val="Summary-G1"/>
      <sheetName val="Summary-G2"/>
      <sheetName val="Summary-Valuations"/>
      <sheetName val="Summary-Trustee"/>
      <sheetName val="Summary-CF(Q)"/>
      <sheetName val="A-Property"/>
      <sheetName val="A-UW1"/>
      <sheetName val="A-UW2"/>
      <sheetName val="A-RentRoll"/>
      <sheetName val="A-APP"/>
      <sheetName val="A-AssetBucket"/>
      <sheetName val="O-Property"/>
      <sheetName val="O-UW1"/>
      <sheetName val="O-UW2"/>
      <sheetName val="O-Exp"/>
      <sheetName val="O-Exp2"/>
      <sheetName val="O-RevBase"/>
      <sheetName val="O-RevCAM"/>
      <sheetName val="O-RevMkt"/>
      <sheetName val="O-RevOther"/>
      <sheetName val="O-Dispo"/>
      <sheetName val="O-SD&amp;Dpre"/>
      <sheetName val="O-OccBldg"/>
      <sheetName val="O-OccParking"/>
      <sheetName val="O-Other"/>
      <sheetName val="G-1"/>
      <sheetName val="Exp"/>
      <sheetName val="MktRent"/>
      <sheetName val="Rent"/>
      <sheetName val="Rev"/>
      <sheetName val="LeaseStatus"/>
      <sheetName val="SD"/>
      <sheetName val="Occ"/>
      <sheetName val="Def"/>
      <sheetName val="CRITERIA3"/>
      <sheetName val="Occ, Other Rev, Exp, Dispo"/>
      <sheetName val="A_General"/>
      <sheetName val="Factor -local"/>
      <sheetName val="Factor- cables"/>
    </sheetNames>
    <sheetDataSet>
      <sheetData sheetId="0" refreshError="1">
        <row r="16">
          <cell r="Q16">
            <v>37257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utation"/>
      <sheetName val="Details OF F-16A-Mynd"/>
      <sheetName val="SERVICETAX"/>
      <sheetName val="PF"/>
      <sheetName val="TDS"/>
      <sheetName val="Trial"/>
      <sheetName val="Def"/>
      <sheetName val="BS"/>
      <sheetName val="SCHEDULE BS"/>
      <sheetName val="P &amp; l"/>
      <sheetName val="P&amp;L schd"/>
      <sheetName val="Annexure IV"/>
      <sheetName val="FIXEDASSETS"/>
      <sheetName val="FIXEDASSETS (2)"/>
      <sheetName val="schedule -V-fixed assets"/>
      <sheetName val="IT 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FINAL"/>
      <sheetName val="_REF"/>
      <sheetName val="Rates"/>
      <sheetName val="P&amp;L"/>
      <sheetName val="SCH-A,B,C"/>
      <sheetName val="vb 9&amp;10"/>
      <sheetName val="fa"/>
      <sheetName val="Nov 02 &amp; Dec 02 sal"/>
      <sheetName val="SCH- D"/>
      <sheetName val="2266957"/>
      <sheetName val="Kailas"/>
      <sheetName val="Kalav"/>
      <sheetName val="Data"/>
      <sheetName val="Page1"/>
      <sheetName val="wdr bldg"/>
      <sheetName val="SCH-E,F,G,H,I"/>
      <sheetName val="P&amp;L Schedules"/>
      <sheetName val="SALES-VAL"/>
      <sheetName val="SCH4"/>
      <sheetName val="Break up Sheet"/>
      <sheetName val="TBAL9697 -group wise  sdpl"/>
      <sheetName val="Schedules"/>
      <sheetName val="PA2"/>
      <sheetName val="adp-budget"/>
      <sheetName val="CRITERIA1"/>
      <sheetName val="Trial Balance 06-07"/>
      <sheetName val="New May"/>
      <sheetName val="Results PL"/>
      <sheetName val="tngst1"/>
      <sheetName val="Client Federal Inputs"/>
      <sheetName val="California Credit"/>
      <sheetName val="Details"/>
      <sheetName val="Total DTH Forecast"/>
      <sheetName val="Total Distribution Forecast"/>
      <sheetName val="System"/>
      <sheetName val="Nov_02_&amp;_Dec_02_sal"/>
      <sheetName val="SCH-_D"/>
      <sheetName val="vb_9&amp;10"/>
      <sheetName val="wdr_bldg"/>
      <sheetName val="P&amp;L_Schedules"/>
      <sheetName val="Break_up_Sheet"/>
      <sheetName val="TBAL9697_-group_wise__sdpl"/>
      <sheetName val="Trial_Balance_06-07"/>
      <sheetName val="New_May"/>
      <sheetName val="Results_PL"/>
      <sheetName val="Client_Federal_Inputs"/>
      <sheetName val="California_Credit"/>
      <sheetName val="Total_DTH_Forecast"/>
      <sheetName val="Total_Distribution_Forecast"/>
      <sheetName val="Nov_02_&amp;_Dec_02_sal1"/>
      <sheetName val="SCH-_D1"/>
      <sheetName val="vb_9&amp;101"/>
      <sheetName val="wdr_bldg1"/>
      <sheetName val="P&amp;L_Schedules1"/>
      <sheetName val="Break_up_Sheet1"/>
      <sheetName val="TBAL9697_-group_wise__sdpl1"/>
      <sheetName val="Trial_Balance_06-071"/>
      <sheetName val="New_May1"/>
      <sheetName val="Results_PL1"/>
      <sheetName val="Client_Federal_Inputs1"/>
      <sheetName val="California_Credit1"/>
      <sheetName val="Total_DTH_Forecast1"/>
      <sheetName val="Total_Distribution_Forecast1"/>
      <sheetName val="INV"/>
      <sheetName val="Apr04"/>
      <sheetName val="Aug04"/>
      <sheetName val="Dec04"/>
      <sheetName val="Feb05"/>
      <sheetName val="Nov04"/>
      <sheetName val="Oct04"/>
      <sheetName val="Input"/>
      <sheetName val="FITZ MORT 94"/>
      <sheetName val="Summary Statements"/>
      <sheetName val="DETAIL.XLS"/>
      <sheetName val="Nov_02_&amp;_Dec_02_sal2"/>
      <sheetName val="SCH-_D2"/>
      <sheetName val="vb_9&amp;102"/>
      <sheetName val="wdr_bldg2"/>
      <sheetName val="P&amp;L_Schedules2"/>
      <sheetName val="Break_up_Sheet2"/>
      <sheetName val="TBAL9697_-group_wise__sdpl2"/>
      <sheetName val="Trial_Balance_06-072"/>
      <sheetName val="New_May2"/>
      <sheetName val="Results_PL2"/>
      <sheetName val="Client_Federal_Inputs2"/>
      <sheetName val="California_Credit2"/>
      <sheetName val="Total_DTH_Forecast2"/>
      <sheetName val="Total_Distribution_Forecast2"/>
      <sheetName val="2000"/>
      <sheetName val="EXPENSES"/>
      <sheetName val="FITZ_MORT_94"/>
      <sheetName val="Nov_02_&amp;_Dec_02_sal3"/>
      <sheetName val="SCH-_D3"/>
      <sheetName val="vb_9&amp;103"/>
      <sheetName val="wdr_bldg3"/>
      <sheetName val="P&amp;L_Schedules3"/>
      <sheetName val="Break_up_Sheet3"/>
      <sheetName val="TBAL9697_-group_wise__sdpl3"/>
      <sheetName val="Trial_Balance_06-073"/>
      <sheetName val="Client_Federal_Inputs3"/>
      <sheetName val="California_Credit3"/>
      <sheetName val="New_May3"/>
      <sheetName val="Results_PL3"/>
      <sheetName val="Total_DTH_Forecast3"/>
      <sheetName val="Total_Distribution_Forecast3"/>
      <sheetName val="FITZ_MORT_941"/>
      <sheetName val="pukhraj (HUF)"/>
      <sheetName val="Bs_dft"/>
      <sheetName val="P&amp;l_dft"/>
      <sheetName val="Sch_dft"/>
      <sheetName val="Nov_02_&amp;_Dec_02_sal4"/>
      <sheetName val="SCH-_D4"/>
      <sheetName val="vb_9&amp;104"/>
      <sheetName val="wdr_bldg4"/>
      <sheetName val="P&amp;L_Schedules4"/>
      <sheetName val="Break_up_Sheet4"/>
      <sheetName val="TBAL9697_-group_wise__sdpl4"/>
      <sheetName val="Trial_Balance_06-074"/>
      <sheetName val="New_May4"/>
      <sheetName val="Results_PL4"/>
      <sheetName val="Client_Federal_Inputs4"/>
      <sheetName val="California_Credit4"/>
      <sheetName val="Total_DTH_Forecast4"/>
      <sheetName val="Total_Distribution_Forecast4"/>
      <sheetName val="Summary_Statements"/>
      <sheetName val="DETAIL_XLS"/>
      <sheetName val="FITZ_MORT_942"/>
      <sheetName val="Quarterly Scrap"/>
      <sheetName val="Raw Mtls."/>
      <sheetName val="WIP"/>
      <sheetName val="Finished Goods"/>
      <sheetName val="Raw Data"/>
      <sheetName val="COVER"/>
      <sheetName val="STB4"/>
      <sheetName val="PL"/>
      <sheetName val="sEP2003"/>
      <sheetName val="mp_rev"/>
      <sheetName val="Sheet1"/>
      <sheetName val="Directors"/>
      <sheetName val="Comp"/>
      <sheetName val="15"/>
      <sheetName val="exp-m"/>
      <sheetName val="Table for Template"/>
      <sheetName val="cap01"/>
      <sheetName val="VACANT CTC"/>
      <sheetName val="slab01"/>
      <sheetName val="Returns"/>
      <sheetName val="D.D"/>
      <sheetName val="Sheet2"/>
      <sheetName val="Minibase"/>
      <sheetName val="Area"/>
      <sheetName val="Intro"/>
      <sheetName val="Computation"/>
      <sheetName val="XLR_NoRangeSheet"/>
      <sheetName val="Sch A&amp;B"/>
      <sheetName val="CASHFLOWS"/>
      <sheetName val="SUMMARY"/>
      <sheetName val="Cash Flow Working"/>
      <sheetName val="FORM7"/>
      <sheetName val="Design"/>
      <sheetName val="TB WORLI"/>
      <sheetName val="TB APJ"/>
      <sheetName val="P&amp;L-actuals"/>
      <sheetName val="Basement Budget"/>
      <sheetName val="JV"/>
      <sheetName val="vb_9&amp;105"/>
      <sheetName val="Nov_02_&amp;_Dec_02_sal5"/>
      <sheetName val="SCH-_D5"/>
      <sheetName val="wdr_bldg5"/>
      <sheetName val="P&amp;L_Schedules5"/>
      <sheetName val="Break_up_Sheet5"/>
      <sheetName val="TBAL9697_-group_wise__sdpl5"/>
      <sheetName val="Trial_Balance_06-075"/>
      <sheetName val="Results_PL5"/>
      <sheetName val="Client_Federal_Inputs5"/>
      <sheetName val="California_Credit5"/>
      <sheetName val="Total_DTH_Forecast5"/>
      <sheetName val="Total_Distribution_Forecast5"/>
      <sheetName val="New_May5"/>
      <sheetName val="FITZ_MORT_943"/>
      <sheetName val="Quarterly_Scrap"/>
      <sheetName val="Raw_Mtls_"/>
      <sheetName val="Finished_Goods"/>
      <sheetName val="Raw_Data"/>
      <sheetName val="Summary_Statements1"/>
      <sheetName val="DETAIL_XLS1"/>
      <sheetName val="共機J"/>
      <sheetName val="TB"/>
      <sheetName val="90-120"/>
      <sheetName val="120RECV"/>
      <sheetName val="BS"/>
      <sheetName val="form26"/>
      <sheetName val="sum"/>
      <sheetName val="SCH"/>
      <sheetName val="Model"/>
      <sheetName val="PA- Consutant "/>
      <sheetName val="97-98"/>
      <sheetName val="WIL-Rev Annexures"/>
      <sheetName val="Suman"/>
      <sheetName val="2006-04"/>
      <sheetName val="2006-08"/>
      <sheetName val="2006-06"/>
      <sheetName val="2006-05"/>
      <sheetName val="2006-11"/>
      <sheetName val="2006-10"/>
      <sheetName val="2006-07"/>
      <sheetName val="2006-03"/>
      <sheetName val="2006-09"/>
      <sheetName val="RFIN_519H"/>
      <sheetName val="PG8"/>
      <sheetName val="Rev_Cog_query Xchg"/>
      <sheetName val="KEY INPUTS"/>
      <sheetName val="Front Sheet"/>
      <sheetName val="Sydney"/>
      <sheetName val="200B"/>
      <sheetName val="June"/>
      <sheetName val="May"/>
      <sheetName val="Area St"/>
      <sheetName val="A"/>
      <sheetName val="B"/>
      <sheetName val="F1a-Pile"/>
      <sheetName val="INDIGINEOUS ITEMS "/>
      <sheetName val="Asset Consolidated"/>
      <sheetName val="LCGRAPH"/>
      <sheetName val="vb_9&amp;106"/>
      <sheetName val="Nov_02_&amp;_Dec_02_sal6"/>
      <sheetName val="SCH-_D6"/>
      <sheetName val="wdr_bldg6"/>
      <sheetName val="P&amp;L_Schedules6"/>
      <sheetName val="Break_up_Sheet6"/>
      <sheetName val="TBAL9697_-group_wise__sdpl6"/>
      <sheetName val="Trial_Balance_06-076"/>
      <sheetName val="Total_DTH_Forecast6"/>
      <sheetName val="Total_Distribution_Forecast6"/>
      <sheetName val="Client_Federal_Inputs6"/>
      <sheetName val="California_Credit6"/>
      <sheetName val="FITZ_MORT_944"/>
      <sheetName val="New_May6"/>
      <sheetName val="Results_PL6"/>
      <sheetName val="Summary_Statements2"/>
      <sheetName val="DETAIL_XLS2"/>
      <sheetName val="pukhraj_(HUF)"/>
      <sheetName val="Quarterly_Scrap1"/>
      <sheetName val="Raw_Mtls_1"/>
      <sheetName val="Finished_Goods1"/>
      <sheetName val="Raw_Data1"/>
      <sheetName val="WIL-Rev_Annexures"/>
      <sheetName val="CSCCincSKR"/>
      <sheetName val="Calculator"/>
      <sheetName val="SI"/>
      <sheetName val="IT_DDTP"/>
      <sheetName val="GENERAL"/>
      <sheetName val="10A"/>
      <sheetName val="CFL"/>
      <sheetName val="MATC"/>
      <sheetName val="PART_C"/>
      <sheetName val="CYLA BFLA"/>
      <sheetName val="BALANCE_SHEET"/>
      <sheetName val="80G"/>
      <sheetName val="CalculateTR"/>
      <sheetName val="CG_OS"/>
      <sheetName val="FBI_FB"/>
      <sheetName val="FSI"/>
      <sheetName val="FTP"/>
      <sheetName val="HOUSE_PROPERTY"/>
      <sheetName val="NATUREOFBUSINESS"/>
      <sheetName val="OTHER_INFORMATION"/>
      <sheetName val="GENERAL2"/>
      <sheetName val="SUBSIDIARY DETAILS"/>
      <sheetName val="QUANTITATIVE_DETAILS"/>
      <sheetName val="TR_FA"/>
      <sheetName val="Home"/>
      <sheetName val="DEP_DCG"/>
      <sheetName val="DDT_TDS_TCS"/>
      <sheetName val="DPM_DOA"/>
      <sheetName val="EI"/>
      <sheetName val="BP"/>
      <sheetName val="80_"/>
      <sheetName val="MAT"/>
      <sheetName val="PROFIT_LOSS"/>
      <sheetName val="UD"/>
      <sheetName val="Cover Page"/>
      <sheetName val="Master"/>
      <sheetName val="Master LOV"/>
      <sheetName val=" Financial Report"/>
      <sheetName val="DF"/>
      <sheetName val="BS Schedules"/>
      <sheetName val="ANX"/>
      <sheetName val="Bal Sheet"/>
      <sheetName val="FPS"/>
      <sheetName val="BFNR"/>
      <sheetName val="BBRS"/>
      <sheetName val="BBRD"/>
      <sheetName val="BKPM1"/>
      <sheetName val="BIPR"/>
      <sheetName val="FA reg July-08"/>
      <sheetName val="Lead"/>
      <sheetName val="????(?????)"/>
      <sheetName val="reference"/>
      <sheetName val="Sheet4"/>
      <sheetName val="Sheet3"/>
      <sheetName val="APWk data"/>
      <sheetName val="WIPROGE"/>
      <sheetName val="GLOBAL"/>
      <sheetName val="November 08"/>
      <sheetName val="PF Spine"/>
      <sheetName val="CellPlan"/>
      <sheetName val="Month"/>
      <sheetName val="Sydney_Poly"/>
      <sheetName val="Madrid"/>
      <sheetName val="Sydney_Mono"/>
      <sheetName val="PE CHARGES"/>
      <sheetName val="VACANT_CTC"/>
      <sheetName val="Sch_A&amp;B"/>
      <sheetName val="EcoGraph"/>
      <sheetName val="ranges"/>
      <sheetName val="ANN-F ok1"/>
      <sheetName val="Construction"/>
      <sheetName val="MASTER_RATE ANALYSIS"/>
      <sheetName val="Balance Sheet_US$"/>
      <sheetName val="14"/>
      <sheetName val="3"/>
      <sheetName val="40"/>
      <sheetName val="JAN"/>
      <sheetName val="BS-2003"/>
      <sheetName val="Schedules PL"/>
      <sheetName val="Schedules BS"/>
      <sheetName val="TRIAL BALANCE"/>
      <sheetName val="Apr'05"/>
      <sheetName val="Aug'05"/>
      <sheetName val="Dec'05"/>
      <sheetName val="Feb'06"/>
      <sheetName val="Jan'06"/>
      <sheetName val="Mar'06"/>
      <sheetName val="May'05"/>
      <sheetName val="Nov'05"/>
      <sheetName val="Oct'05"/>
      <sheetName val="Sept'05"/>
      <sheetName val="jan'04"/>
      <sheetName val="Register"/>
      <sheetName val="9020100000"/>
      <sheetName val="ModPlan"/>
      <sheetName val="コスト"/>
      <sheetName val="Cash_Flow_Working"/>
      <sheetName val="Table_for_Template"/>
      <sheetName val="TB_WORLI"/>
      <sheetName val="TB_APJ"/>
      <sheetName val="PA-_Consutant_"/>
      <sheetName val="INDIGINEOUS_ITEMS_"/>
      <sheetName val="Basement_Budget"/>
      <sheetName val="D_D"/>
      <sheetName val="Rev_Cog_query_Xchg"/>
      <sheetName val="CYLA_BFLA"/>
      <sheetName val="SUBSIDIARY_DETAILS"/>
      <sheetName val="Cover_Page"/>
      <sheetName val="Master_LOV"/>
      <sheetName val="_Financial_Report"/>
      <sheetName val="BS_Schedules"/>
      <sheetName val="APWk_data"/>
      <sheetName val="November_08"/>
      <sheetName val="PF_Spine"/>
      <sheetName val="Bal_Sheet"/>
      <sheetName val="FA_reg_July-08"/>
      <sheetName val="Schedules_PL"/>
      <sheetName val="Schedules_BS"/>
      <sheetName val="TRIAL_BALANCE"/>
      <sheetName val="vb_9&amp;107"/>
      <sheetName val="Nov_02_&amp;_Dec_02_sal7"/>
      <sheetName val="SCH-_D7"/>
      <sheetName val="wdr_bldg7"/>
      <sheetName val="P&amp;L_Schedules7"/>
      <sheetName val="Break_up_Sheet7"/>
      <sheetName val="TBAL9697_-group_wise__sdpl7"/>
      <sheetName val="Results_PL7"/>
      <sheetName val="Trial_Balance_06-077"/>
      <sheetName val="Client_Federal_Inputs7"/>
      <sheetName val="California_Credit7"/>
      <sheetName val="Total_DTH_Forecast7"/>
      <sheetName val="Total_Distribution_Forecast7"/>
      <sheetName val="FITZ_MORT_945"/>
      <sheetName val="New_May7"/>
      <sheetName val="Quarterly_Scrap2"/>
      <sheetName val="Raw_Mtls_2"/>
      <sheetName val="Finished_Goods2"/>
      <sheetName val="Raw_Data2"/>
      <sheetName val="Summary_Statements3"/>
      <sheetName val="DETAIL_XLS3"/>
      <sheetName val="pukhraj_(HUF)1"/>
      <sheetName val="Cash_Flow_Working1"/>
      <sheetName val="VACANT_CTC1"/>
      <sheetName val="Sch_A&amp;B1"/>
      <sheetName val="Table_for_Template1"/>
      <sheetName val="TB_WORLI1"/>
      <sheetName val="TB_APJ1"/>
      <sheetName val="PA-_Consutant_1"/>
      <sheetName val="INDIGINEOUS_ITEMS_1"/>
      <sheetName val="Basement_Budget1"/>
      <sheetName val="D_D1"/>
      <sheetName val="WIL-Rev_Annexures1"/>
      <sheetName val="Rev_Cog_query_Xchg1"/>
      <sheetName val="CYLA_BFLA1"/>
      <sheetName val="SUBSIDIARY_DETAILS1"/>
      <sheetName val="Cover_Page1"/>
      <sheetName val="Master_LOV1"/>
      <sheetName val="_Financial_Report1"/>
      <sheetName val="BS_Schedules1"/>
      <sheetName val="APWk_data1"/>
      <sheetName val="November_081"/>
      <sheetName val="PF_Spine1"/>
      <sheetName val="Bal_Sheet1"/>
      <sheetName val="FA_reg_July-081"/>
      <sheetName val="Schedules_PL1"/>
      <sheetName val="Schedules_BS1"/>
      <sheetName val="TRIAL_BALANCE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-AY05-06"/>
      <sheetName val="Oth income (2)"/>
      <sheetName val="Computation as per AO (2)"/>
      <sheetName val="Computation as per AO (3)"/>
      <sheetName val="Tax Liability"/>
      <sheetName val="Computation as per AO"/>
      <sheetName val="MAT (AO)"/>
      <sheetName val="Computation AY05-06 (Revised)"/>
      <sheetName val="MAT (Revised)"/>
      <sheetName val="AdjAs per return-80IA (Revised)"/>
      <sheetName val="Oth income"/>
      <sheetName val="Computation AY05-06"/>
      <sheetName val="MAT"/>
      <sheetName val="Adj As per return-80IA"/>
      <sheetName val="units generated and sold"/>
      <sheetName val="Book Profit"/>
      <sheetName val="Support working"/>
      <sheetName val="FA Addidions Summery"/>
      <sheetName val="IT Depn-Supply-GEN"/>
      <sheetName val="IT Other Div"/>
      <sheetName val=" Dep Samalkot"/>
      <sheetName val="Depn Rspl"/>
      <sheetName val="Exchange Fluctuation"/>
      <sheetName val="tax-free-2004-2005"/>
      <sheetName val="Clause 21(i) Corporate"/>
      <sheetName val="Clause21(i) Supply"/>
      <sheetName val="21(i)-Contract"/>
      <sheetName val="Clause 21(i) DTPS"/>
      <sheetName val="21 (i)RSPL"/>
      <sheetName val="Donation"/>
      <sheetName val="BSPL"/>
      <sheetName val="RRT"/>
      <sheetName val="TDS "/>
      <sheetName val="Indian_client"/>
      <sheetName val="Bhutan_Client"/>
      <sheetName val="working other income"/>
      <sheetName val="Revised Tax Free income"/>
      <sheetName val="LOT 1"/>
      <sheetName val="Computation AY04-05"/>
      <sheetName val="DATA"/>
      <sheetName val="Sheet1"/>
      <sheetName val="Computation AY04-05 (Revi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 t="str">
            <v>RELIANCE ENERGY LIMITED</v>
          </cell>
        </row>
        <row r="655">
          <cell r="A655" t="str">
            <v>RELIANCE ENERGY LIMITED</v>
          </cell>
        </row>
        <row r="656">
          <cell r="A656" t="str">
            <v xml:space="preserve">SCHEDULES ANNEXED TO AND FORMING PART OF THE ACCOUNTS                            </v>
          </cell>
        </row>
        <row r="659">
          <cell r="A659" t="str">
            <v>SCHEDULE 13 - EXPENDITURE OF EPC, CONTRACTS AND ELASTIMOLD DIVISIONS</v>
          </cell>
        </row>
        <row r="660">
          <cell r="A660" t="str">
            <v>(Other than Common Expenditure)</v>
          </cell>
        </row>
        <row r="661">
          <cell r="A661" t="str">
            <v>Cost of Materials and Sub-contract Charges</v>
          </cell>
          <cell r="D661">
            <v>10862739190.07</v>
          </cell>
        </row>
        <row r="663">
          <cell r="A663" t="str">
            <v>Cost of Elastimold</v>
          </cell>
          <cell r="D663">
            <v>12957933</v>
          </cell>
        </row>
        <row r="665">
          <cell r="A665" t="str">
            <v>Rent</v>
          </cell>
          <cell r="D665">
            <v>15926267.24</v>
          </cell>
        </row>
        <row r="666">
          <cell r="A666" t="str">
            <v>Repairs and Maintenance:</v>
          </cell>
        </row>
        <row r="667">
          <cell r="A667" t="str">
            <v>- Buildings</v>
          </cell>
          <cell r="D667">
            <v>5363222.6399999997</v>
          </cell>
        </row>
        <row r="668">
          <cell r="A668" t="str">
            <v xml:space="preserve">- Plant and Machinery </v>
          </cell>
          <cell r="D668">
            <v>11711088.52</v>
          </cell>
        </row>
        <row r="669">
          <cell r="A669" t="str">
            <v>-Other Assets</v>
          </cell>
          <cell r="D669">
            <v>3963988.48</v>
          </cell>
        </row>
        <row r="671">
          <cell r="A671" t="str">
            <v>Salaries, Wages and Bonus</v>
          </cell>
          <cell r="D671">
            <v>124049735.94</v>
          </cell>
        </row>
        <row r="673">
          <cell r="A673" t="str">
            <v>Contribution to Provident Fund and Other Funds</v>
          </cell>
          <cell r="D673">
            <v>14265147.9</v>
          </cell>
        </row>
        <row r="675">
          <cell r="A675" t="str">
            <v>Contribution To Gratuity Fund</v>
          </cell>
          <cell r="D675">
            <v>14076535.84</v>
          </cell>
        </row>
        <row r="677">
          <cell r="A677" t="str">
            <v>Workmen and Staff Welfare Expenses</v>
          </cell>
          <cell r="D677">
            <v>28789179.879999999</v>
          </cell>
        </row>
        <row r="679">
          <cell r="A679" t="str">
            <v>Insurance</v>
          </cell>
          <cell r="D679">
            <v>40813955.270000003</v>
          </cell>
        </row>
        <row r="681">
          <cell r="A681" t="str">
            <v>Rates and Taxes</v>
          </cell>
          <cell r="D681">
            <v>56160235.869999997</v>
          </cell>
        </row>
        <row r="683">
          <cell r="A683" t="str">
            <v xml:space="preserve">Miscellaneous Expenses </v>
          </cell>
          <cell r="D683">
            <v>329244578.82999998</v>
          </cell>
        </row>
        <row r="684">
          <cell r="A684" t="str">
            <v>[Includes Exchange Fluctuation Profit/(Loss) Rs.0.22 lacs (Rs.1.05 crore)]</v>
          </cell>
        </row>
        <row r="685">
          <cell r="A685" t="str">
            <v>Legal and Professional Charges</v>
          </cell>
          <cell r="D685">
            <v>554105</v>
          </cell>
        </row>
        <row r="687">
          <cell r="A687" t="str">
            <v>Loss on sale of assets</v>
          </cell>
          <cell r="D687">
            <v>681995.51</v>
          </cell>
        </row>
        <row r="689">
          <cell r="A689" t="str">
            <v>Bad Debts</v>
          </cell>
          <cell r="D689">
            <v>860216.46</v>
          </cell>
        </row>
        <row r="691">
          <cell r="A691" t="str">
            <v>Provision for Doubtful Debts</v>
          </cell>
          <cell r="D691">
            <v>123311620.01000001</v>
          </cell>
        </row>
        <row r="692">
          <cell r="D692">
            <v>11645468996.459999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over all s curve"/>
      <sheetName val="CritIssues"/>
      <sheetName val="DETAIL SHEET"/>
      <sheetName val="ANALYSIS SHEET"/>
      <sheetName val="CONCERNS"/>
      <sheetName val="Performance Para"/>
      <sheetName val="Total Subs"/>
      <sheetName val="Call Attempts"/>
      <sheetName val="MOU"/>
      <sheetName val="MOU_Subscriber"/>
      <sheetName val="CSR (RIM-RIM)"/>
      <sheetName val="CSR (LEX)"/>
      <sheetName val="CSR (TAX)"/>
      <sheetName val="CSR (Others)"/>
      <sheetName val="Call Setup Success"/>
      <sheetName val="RF Failure Rate"/>
      <sheetName val="Dropped Call Rate"/>
      <sheetName val="Summary"/>
      <sheetName val="North"/>
      <sheetName val="East"/>
      <sheetName val="West"/>
      <sheetName val="South "/>
      <sheetName val="A-General"/>
      <sheetName val="fco"/>
      <sheetName val="Edit(01)"/>
      <sheetName val="over_all_s_curve"/>
      <sheetName val="DETAIL_SHEET"/>
      <sheetName val="ANALYSIS_SHEET"/>
      <sheetName val="Performance_Para"/>
      <sheetName val="Total_Subs"/>
      <sheetName val="Call_Attempts"/>
      <sheetName val="CSR_(RIM-RIM)"/>
      <sheetName val="CSR_(LEX)"/>
      <sheetName val="CSR_(TAX)"/>
      <sheetName val="CSR_(Others)"/>
      <sheetName val="Call_Setup_Success"/>
      <sheetName val="RF_Failure_Rate"/>
      <sheetName val="Dropped_Call_Rate"/>
      <sheetName val="South_"/>
      <sheetName val="over_all_s_curve1"/>
      <sheetName val="DETAIL_SHEET1"/>
      <sheetName val="ANALYSIS_SHEET1"/>
      <sheetName val="Performance_Para1"/>
      <sheetName val="Total_Subs1"/>
      <sheetName val="Call_Attempts1"/>
      <sheetName val="CSR_(RIM-RIM)1"/>
      <sheetName val="CSR_(LEX)1"/>
      <sheetName val="CSR_(TAX)1"/>
      <sheetName val="CSR_(Others)1"/>
      <sheetName val="Call_Setup_Success1"/>
      <sheetName val="RF_Failure_Rate1"/>
      <sheetName val="Dropped_Call_Rate1"/>
      <sheetName val="South_1"/>
      <sheetName val="over_all_s_curve2"/>
      <sheetName val="DETAIL_SHEET2"/>
      <sheetName val="ANALYSIS_SHEET2"/>
      <sheetName val="Performance_Para2"/>
      <sheetName val="Total_Subs2"/>
      <sheetName val="Call_Attempts2"/>
      <sheetName val="CSR_(RIM-RIM)2"/>
      <sheetName val="CSR_(LEX)2"/>
      <sheetName val="CSR_(TAX)2"/>
      <sheetName val="CSR_(Others)2"/>
      <sheetName val="Call_Setup_Success2"/>
      <sheetName val="RF_Failure_Rate2"/>
      <sheetName val="Dropped_Call_Rate2"/>
      <sheetName val="South_2"/>
      <sheetName val="Assmpns"/>
      <sheetName val="Const QMS Dash Board"/>
      <sheetName val="Table"/>
      <sheetName val="spool"/>
      <sheetName val="Const_QMS_Dash_Board"/>
      <sheetName val="NLD - Assum"/>
      <sheetName val="Const_QMS_Dash_Board1"/>
      <sheetName val="Const_QMS_Dash_Board2"/>
      <sheetName val="over_all_s_curve3"/>
      <sheetName val="DETAIL_SHEET3"/>
      <sheetName val="ANALYSIS_SHEET3"/>
      <sheetName val="South_3"/>
      <sheetName val="Performance_Para3"/>
      <sheetName val="Total_Subs3"/>
      <sheetName val="Call_Attempts3"/>
      <sheetName val="CSR_(RIM-RIM)3"/>
      <sheetName val="CSR_(LEX)3"/>
      <sheetName val="CSR_(TAX)3"/>
      <sheetName val="CSR_(Others)3"/>
      <sheetName val="Call_Setup_Success3"/>
      <sheetName val="RF_Failure_Rate3"/>
      <sheetName val="Dropped_Call_Rate3"/>
      <sheetName val="Const_QMS_Dash_Board3"/>
      <sheetName val="Equipment"/>
    </sheetNames>
    <sheetDataSet>
      <sheetData sheetId="0" refreshError="1"/>
      <sheetData sheetId="1"/>
      <sheetData sheetId="2" refreshError="1"/>
      <sheetData sheetId="3" refreshError="1">
        <row r="10">
          <cell r="L10">
            <v>37044</v>
          </cell>
          <cell r="M10">
            <v>37051</v>
          </cell>
          <cell r="N10">
            <v>37058</v>
          </cell>
          <cell r="O10">
            <v>37065</v>
          </cell>
          <cell r="P10">
            <v>37072</v>
          </cell>
          <cell r="Q10">
            <v>37079</v>
          </cell>
          <cell r="R10">
            <v>37086</v>
          </cell>
          <cell r="S10">
            <v>37093</v>
          </cell>
          <cell r="T10">
            <v>37100</v>
          </cell>
          <cell r="U10">
            <v>37107</v>
          </cell>
          <cell r="V10">
            <v>37114</v>
          </cell>
          <cell r="W10">
            <v>37121</v>
          </cell>
          <cell r="X10">
            <v>37128</v>
          </cell>
          <cell r="Y10">
            <v>37135</v>
          </cell>
          <cell r="Z10">
            <v>37142</v>
          </cell>
          <cell r="AA10">
            <v>37149</v>
          </cell>
          <cell r="AB10">
            <v>37156</v>
          </cell>
          <cell r="AC10">
            <v>37163</v>
          </cell>
          <cell r="AD10">
            <v>37170</v>
          </cell>
          <cell r="AE10">
            <v>37177</v>
          </cell>
          <cell r="AF10">
            <v>37184</v>
          </cell>
          <cell r="AG10">
            <v>37191</v>
          </cell>
          <cell r="AH10">
            <v>37198</v>
          </cell>
          <cell r="AI10">
            <v>37205</v>
          </cell>
          <cell r="AJ10">
            <v>37212</v>
          </cell>
          <cell r="AK10">
            <v>37219</v>
          </cell>
          <cell r="AL10">
            <v>37226</v>
          </cell>
          <cell r="AM10">
            <v>37233</v>
          </cell>
          <cell r="AN10">
            <v>37240</v>
          </cell>
          <cell r="AO10">
            <v>37247</v>
          </cell>
          <cell r="AP10">
            <v>37254</v>
          </cell>
          <cell r="AQ10">
            <v>37261</v>
          </cell>
          <cell r="AR10">
            <v>37268</v>
          </cell>
          <cell r="AS10">
            <v>37275</v>
          </cell>
          <cell r="AT10">
            <v>37282</v>
          </cell>
          <cell r="AU10">
            <v>37289</v>
          </cell>
          <cell r="AV10">
            <v>37296</v>
          </cell>
          <cell r="AW10">
            <v>37303</v>
          </cell>
          <cell r="AX10">
            <v>37310</v>
          </cell>
          <cell r="AY10">
            <v>37317</v>
          </cell>
          <cell r="AZ10">
            <v>37324</v>
          </cell>
          <cell r="BA10">
            <v>37331</v>
          </cell>
        </row>
        <row r="12">
          <cell r="L12">
            <v>0.91939793497976841</v>
          </cell>
          <cell r="N12">
            <v>0.99030277661504118</v>
          </cell>
          <cell r="P12">
            <v>1</v>
          </cell>
          <cell r="R12">
            <v>1</v>
          </cell>
          <cell r="T12">
            <v>1</v>
          </cell>
          <cell r="W12">
            <v>1</v>
          </cell>
          <cell r="X12">
            <v>1</v>
          </cell>
          <cell r="Y12">
            <v>1</v>
          </cell>
          <cell r="AA12">
            <v>1</v>
          </cell>
          <cell r="AC12">
            <v>1</v>
          </cell>
          <cell r="AE12">
            <v>1</v>
          </cell>
          <cell r="AH12">
            <v>1</v>
          </cell>
          <cell r="AJ12">
            <v>1</v>
          </cell>
          <cell r="AL12">
            <v>1</v>
          </cell>
          <cell r="AN12">
            <v>1</v>
          </cell>
          <cell r="AP12">
            <v>1</v>
          </cell>
          <cell r="AR12">
            <v>1</v>
          </cell>
          <cell r="AU12">
            <v>1</v>
          </cell>
          <cell r="AW12">
            <v>1</v>
          </cell>
          <cell r="AY12">
            <v>1</v>
          </cell>
          <cell r="BA12">
            <v>1</v>
          </cell>
        </row>
        <row r="13">
          <cell r="L13">
            <v>0.91939793497976841</v>
          </cell>
          <cell r="N13">
            <v>0.92567671271103669</v>
          </cell>
          <cell r="P13">
            <v>0.93132761266917818</v>
          </cell>
          <cell r="R13">
            <v>0.94562927305706712</v>
          </cell>
          <cell r="T13">
            <v>0.95686130877633591</v>
          </cell>
          <cell r="W13">
            <v>0.95686130877633591</v>
          </cell>
          <cell r="X13">
            <v>0.95686130877633591</v>
          </cell>
          <cell r="Y13">
            <v>0.95686130877633591</v>
          </cell>
          <cell r="Z13">
            <v>0.96644342123622162</v>
          </cell>
        </row>
        <row r="15">
          <cell r="L15">
            <v>0.89312549446961464</v>
          </cell>
          <cell r="N15">
            <v>0.92082276953216025</v>
          </cell>
          <cell r="P15">
            <v>0.95570598749506408</v>
          </cell>
          <cell r="R15">
            <v>1.0000076743079518</v>
          </cell>
          <cell r="T15">
            <v>1.0000076743079518</v>
          </cell>
          <cell r="W15">
            <v>1.0000076743079518</v>
          </cell>
          <cell r="X15">
            <v>1</v>
          </cell>
          <cell r="Y15">
            <v>1.0000076743079518</v>
          </cell>
          <cell r="AA15">
            <v>1.0000076743079518</v>
          </cell>
          <cell r="AC15">
            <v>1.0000076743079518</v>
          </cell>
          <cell r="AE15">
            <v>1.0000076743079518</v>
          </cell>
          <cell r="AH15">
            <v>1.0000076743079518</v>
          </cell>
          <cell r="AJ15">
            <v>1.0000076743079518</v>
          </cell>
          <cell r="AL15">
            <v>1.0000076743079518</v>
          </cell>
          <cell r="AN15">
            <v>1.0000076743079518</v>
          </cell>
          <cell r="AP15">
            <v>1.0000076743079518</v>
          </cell>
          <cell r="AR15">
            <v>1.0000076743079518</v>
          </cell>
          <cell r="AU15">
            <v>1.0000076743079518</v>
          </cell>
          <cell r="AW15">
            <v>1.0000076743079518</v>
          </cell>
          <cell r="AY15">
            <v>1.0000076743079518</v>
          </cell>
          <cell r="BA15">
            <v>1.0000076743079518</v>
          </cell>
        </row>
        <row r="16">
          <cell r="L16">
            <v>0.89312549446961464</v>
          </cell>
          <cell r="N16">
            <v>0.92082276953216025</v>
          </cell>
          <cell r="P16">
            <v>0.92786917956066683</v>
          </cell>
          <cell r="R16">
            <v>0.94217129892545737</v>
          </cell>
          <cell r="T16">
            <v>0.95689201690580283</v>
          </cell>
          <cell r="W16">
            <v>0.95689201690580283</v>
          </cell>
          <cell r="X16">
            <v>0.95689201690580283</v>
          </cell>
          <cell r="Y16">
            <v>0.95689201690580283</v>
          </cell>
          <cell r="Z16">
            <v>0.96647443688021251</v>
          </cell>
        </row>
        <row r="18">
          <cell r="L18">
            <v>0</v>
          </cell>
          <cell r="N18">
            <v>0</v>
          </cell>
          <cell r="P18">
            <v>0</v>
          </cell>
          <cell r="R18">
            <v>2.3804307937885542E-3</v>
          </cell>
          <cell r="T18">
            <v>2.2599785770530744E-2</v>
          </cell>
          <cell r="W18">
            <v>8.6974404865170177E-2</v>
          </cell>
          <cell r="X18">
            <v>0.14697440486517016</v>
          </cell>
          <cell r="Y18">
            <v>0.22464055285714485</v>
          </cell>
          <cell r="Z18">
            <v>0.3</v>
          </cell>
          <cell r="AA18">
            <v>0.42172657200446562</v>
          </cell>
          <cell r="AC18">
            <v>0.64032824836789182</v>
          </cell>
          <cell r="AE18">
            <v>0.84088511281930367</v>
          </cell>
          <cell r="AH18">
            <v>0.94993202229797302</v>
          </cell>
          <cell r="AJ18">
            <v>0.98847082204861225</v>
          </cell>
          <cell r="AL18">
            <v>0.99999999999999978</v>
          </cell>
          <cell r="AN18">
            <v>0.99999999999999978</v>
          </cell>
          <cell r="AP18">
            <v>0.99999999999999978</v>
          </cell>
          <cell r="AR18">
            <v>0.99999999999999978</v>
          </cell>
          <cell r="AU18">
            <v>0.99999999999999978</v>
          </cell>
          <cell r="AW18">
            <v>0.99999999999999978</v>
          </cell>
          <cell r="AY18">
            <v>0.99999999999999978</v>
          </cell>
          <cell r="BA18">
            <v>0.99999999999999978</v>
          </cell>
        </row>
        <row r="19">
          <cell r="L19">
            <v>0</v>
          </cell>
          <cell r="N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H19">
            <v>0</v>
          </cell>
          <cell r="AJ19">
            <v>0</v>
          </cell>
          <cell r="AL19">
            <v>0</v>
          </cell>
        </row>
        <row r="21">
          <cell r="L21">
            <v>0</v>
          </cell>
          <cell r="N21">
            <v>0</v>
          </cell>
          <cell r="P21">
            <v>6.6916836421089913E-3</v>
          </cell>
          <cell r="R21">
            <v>2.9219154387668218E-2</v>
          </cell>
          <cell r="T21">
            <v>7.7472282534953724E-2</v>
          </cell>
          <cell r="W21">
            <v>0.16754903180586575</v>
          </cell>
          <cell r="X21">
            <v>0.22754903180586575</v>
          </cell>
          <cell r="Y21">
            <v>0.30495825560038586</v>
          </cell>
          <cell r="Z21">
            <v>0.37995825560038587</v>
          </cell>
          <cell r="AA21">
            <v>0.47879200736018385</v>
          </cell>
          <cell r="AC21">
            <v>0.66049695012854148</v>
          </cell>
          <cell r="AE21">
            <v>0.81170798035669511</v>
          </cell>
          <cell r="AH21">
            <v>0.91688301087437651</v>
          </cell>
          <cell r="AJ21">
            <v>0.97238264254081697</v>
          </cell>
          <cell r="AL21">
            <v>0.99465163102722276</v>
          </cell>
          <cell r="AN21">
            <v>0.99999999999999989</v>
          </cell>
          <cell r="AP21">
            <v>0.99999999999999989</v>
          </cell>
          <cell r="AR21">
            <v>0.99999999999999989</v>
          </cell>
          <cell r="AU21">
            <v>0.99999999999999989</v>
          </cell>
          <cell r="AW21">
            <v>0.99999999999999989</v>
          </cell>
          <cell r="AY21">
            <v>0.99999999999999989</v>
          </cell>
          <cell r="BA21">
            <v>0.99999999999999989</v>
          </cell>
        </row>
        <row r="22">
          <cell r="L22">
            <v>0</v>
          </cell>
          <cell r="N22">
            <v>0</v>
          </cell>
          <cell r="P22">
            <v>2.4999264727508016E-3</v>
          </cell>
          <cell r="R22">
            <v>3.8136133250982816E-3</v>
          </cell>
          <cell r="T22">
            <v>5.051202279261878E-2</v>
          </cell>
          <cell r="W22">
            <v>0.10944138164329054</v>
          </cell>
          <cell r="X22">
            <v>0.11799329975174716</v>
          </cell>
          <cell r="Y22">
            <v>0.15210136088582321</v>
          </cell>
          <cell r="Z22">
            <v>0.20461243812837324</v>
          </cell>
          <cell r="AA22">
            <v>0</v>
          </cell>
          <cell r="AC22">
            <v>0</v>
          </cell>
          <cell r="AE22">
            <v>0</v>
          </cell>
          <cell r="AH22">
            <v>0</v>
          </cell>
          <cell r="AJ22">
            <v>0</v>
          </cell>
          <cell r="AL22">
            <v>0</v>
          </cell>
          <cell r="AN22">
            <v>0</v>
          </cell>
        </row>
        <row r="24">
          <cell r="L24">
            <v>1.6743944622193821E-2</v>
          </cell>
          <cell r="N24">
            <v>3.7909999902326998E-2</v>
          </cell>
          <cell r="P24">
            <v>0.12624262161801389</v>
          </cell>
          <cell r="R24">
            <v>0.28782530344911311</v>
          </cell>
          <cell r="T24">
            <v>0.4111375138311959</v>
          </cell>
          <cell r="W24">
            <v>0.47581602311780619</v>
          </cell>
          <cell r="X24">
            <v>0.4878160231178062</v>
          </cell>
          <cell r="Y24">
            <v>0.49533801140541694</v>
          </cell>
          <cell r="Z24">
            <v>0.55533801140541694</v>
          </cell>
          <cell r="AA24">
            <v>0.59589102203642652</v>
          </cell>
          <cell r="AC24">
            <v>0.79676569779691553</v>
          </cell>
          <cell r="AE24">
            <v>0.94298262676212585</v>
          </cell>
          <cell r="AH24">
            <v>0.99160743263701778</v>
          </cell>
          <cell r="AJ24">
            <v>1</v>
          </cell>
          <cell r="AL24">
            <v>1</v>
          </cell>
          <cell r="AN24">
            <v>1</v>
          </cell>
          <cell r="AP24">
            <v>1</v>
          </cell>
          <cell r="AR24">
            <v>1</v>
          </cell>
          <cell r="AU24">
            <v>1</v>
          </cell>
          <cell r="AW24">
            <v>1</v>
          </cell>
          <cell r="AY24">
            <v>1</v>
          </cell>
          <cell r="BA24">
            <v>1</v>
          </cell>
        </row>
        <row r="25">
          <cell r="L25">
            <v>1.6743944622193821E-2</v>
          </cell>
          <cell r="N25">
            <v>3.6069247373642525E-2</v>
          </cell>
          <cell r="P25">
            <v>0.14664904831604755</v>
          </cell>
          <cell r="R25">
            <v>0.20853187698223888</v>
          </cell>
          <cell r="T25">
            <v>0.27250769872620445</v>
          </cell>
          <cell r="W25">
            <v>0.30794904817651469</v>
          </cell>
          <cell r="X25">
            <v>0.33725095126535387</v>
          </cell>
          <cell r="Y25">
            <v>0.34283226613941853</v>
          </cell>
          <cell r="Z25">
            <v>0.38776185087563858</v>
          </cell>
          <cell r="AA25">
            <v>0</v>
          </cell>
          <cell r="AC25">
            <v>0</v>
          </cell>
          <cell r="AE25">
            <v>0</v>
          </cell>
          <cell r="AH25">
            <v>0</v>
          </cell>
          <cell r="AJ25">
            <v>0</v>
          </cell>
        </row>
        <row r="27">
          <cell r="L27">
            <v>1.7849742631617871E-2</v>
          </cell>
          <cell r="N27">
            <v>4.0682826465377381E-2</v>
          </cell>
          <cell r="P27">
            <v>8.1161372049561586E-2</v>
          </cell>
          <cell r="R27">
            <v>0.19783840669570052</v>
          </cell>
          <cell r="T27">
            <v>0.32073986797907061</v>
          </cell>
          <cell r="W27">
            <v>0.43882303324928812</v>
          </cell>
          <cell r="X27">
            <v>0.46382303324928814</v>
          </cell>
          <cell r="Y27">
            <v>0.48570272840584294</v>
          </cell>
          <cell r="Z27">
            <v>0.52070272840584297</v>
          </cell>
          <cell r="AA27">
            <v>0.56468214810457551</v>
          </cell>
          <cell r="AC27">
            <v>0.71385750285195237</v>
          </cell>
          <cell r="AE27">
            <v>0.87673387931881663</v>
          </cell>
          <cell r="AH27">
            <v>0.96623918047161728</v>
          </cell>
          <cell r="AJ27">
            <v>0.99443582773590578</v>
          </cell>
          <cell r="AL27">
            <v>1</v>
          </cell>
          <cell r="AN27">
            <v>1</v>
          </cell>
          <cell r="AP27">
            <v>1</v>
          </cell>
          <cell r="AR27">
            <v>1</v>
          </cell>
          <cell r="AU27">
            <v>1</v>
          </cell>
          <cell r="AW27">
            <v>1</v>
          </cell>
          <cell r="AY27">
            <v>1</v>
          </cell>
          <cell r="BA27">
            <v>1</v>
          </cell>
        </row>
        <row r="28">
          <cell r="L28">
            <v>1.3067253448903762E-2</v>
          </cell>
          <cell r="N28">
            <v>2.1568293666463418E-2</v>
          </cell>
          <cell r="P28">
            <v>7.2626859798765708E-2</v>
          </cell>
          <cell r="R28">
            <v>0.10740542810778078</v>
          </cell>
          <cell r="T28">
            <v>0.20994464730973647</v>
          </cell>
          <cell r="W28">
            <v>0.25789163039974777</v>
          </cell>
          <cell r="X28">
            <v>0.30098984619291547</v>
          </cell>
          <cell r="Y28">
            <v>0.30798393139447766</v>
          </cell>
          <cell r="Z28">
            <v>0.35626230505513645</v>
          </cell>
          <cell r="AA28">
            <v>0</v>
          </cell>
          <cell r="AC28">
            <v>0</v>
          </cell>
          <cell r="AE28">
            <v>0</v>
          </cell>
          <cell r="AH28">
            <v>0</v>
          </cell>
          <cell r="AJ28">
            <v>0</v>
          </cell>
          <cell r="AL28">
            <v>0</v>
          </cell>
        </row>
        <row r="30"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W30">
            <v>0</v>
          </cell>
          <cell r="Y30">
            <v>0</v>
          </cell>
          <cell r="AA30">
            <v>2.7977805901403283E-2</v>
          </cell>
          <cell r="AC30">
            <v>0.10779287283849312</v>
          </cell>
          <cell r="AE30">
            <v>0.25931603269483516</v>
          </cell>
          <cell r="AH30">
            <v>0.41865145728765613</v>
          </cell>
          <cell r="AJ30">
            <v>0.46623763374067212</v>
          </cell>
          <cell r="AL30">
            <v>0.51047405986662098</v>
          </cell>
          <cell r="AN30">
            <v>0.56456577560551879</v>
          </cell>
          <cell r="AP30">
            <v>0.6601684895896428</v>
          </cell>
          <cell r="AR30">
            <v>0.79492215804626243</v>
          </cell>
          <cell r="AU30">
            <v>0.90139567913629648</v>
          </cell>
          <cell r="AW30">
            <v>0.96639909927725787</v>
          </cell>
          <cell r="AY30">
            <v>0.99462539028507024</v>
          </cell>
          <cell r="BA30">
            <v>1</v>
          </cell>
        </row>
        <row r="31">
          <cell r="L31">
            <v>0</v>
          </cell>
          <cell r="N31">
            <v>0</v>
          </cell>
          <cell r="P31">
            <v>0</v>
          </cell>
          <cell r="R31">
            <v>0</v>
          </cell>
          <cell r="T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H31">
            <v>0</v>
          </cell>
          <cell r="AJ31">
            <v>0</v>
          </cell>
          <cell r="AL31">
            <v>0</v>
          </cell>
          <cell r="AN31">
            <v>0</v>
          </cell>
          <cell r="AP31">
            <v>0</v>
          </cell>
          <cell r="AR31">
            <v>0</v>
          </cell>
          <cell r="AU31">
            <v>0</v>
          </cell>
          <cell r="AW31">
            <v>0</v>
          </cell>
          <cell r="AY31">
            <v>0</v>
          </cell>
          <cell r="BA31">
            <v>0</v>
          </cell>
        </row>
        <row r="54">
          <cell r="L54">
            <v>0.44047337977177931</v>
          </cell>
          <cell r="N54">
            <v>0.46006348124269364</v>
          </cell>
          <cell r="P54">
            <v>0.49432992119408287</v>
          </cell>
          <cell r="R54">
            <v>0.55475346079269849</v>
          </cell>
          <cell r="T54">
            <v>0.59383328395116886</v>
          </cell>
          <cell r="W54">
            <v>0.63407603834982917</v>
          </cell>
          <cell r="X54">
            <v>0.64653376856509359</v>
          </cell>
          <cell r="Y54">
            <v>0.67094873696075719</v>
          </cell>
          <cell r="Z54">
            <v>0.68931348798398795</v>
          </cell>
          <cell r="AA54">
            <v>0.72969405543426347</v>
          </cell>
          <cell r="AC54">
            <v>0.81388214962756034</v>
          </cell>
          <cell r="AE54">
            <v>0.89639675585243639</v>
          </cell>
          <cell r="AH54">
            <v>0.94445140444107056</v>
          </cell>
          <cell r="AJ54">
            <v>0.96021505869683488</v>
          </cell>
          <cell r="AL54">
            <v>0.96647065996666137</v>
          </cell>
          <cell r="AN54">
            <v>0.9703736875722615</v>
          </cell>
          <cell r="AP54">
            <v>0.9768810562080471</v>
          </cell>
          <cell r="AR54">
            <v>0.98605330414043613</v>
          </cell>
          <cell r="AU54">
            <v>0.9933006135818605</v>
          </cell>
          <cell r="AW54">
            <v>0.99772518690008594</v>
          </cell>
          <cell r="AY54">
            <v>0.99964645956227516</v>
          </cell>
          <cell r="BA54">
            <v>1.0000122919244645</v>
          </cell>
        </row>
        <row r="55">
          <cell r="L55">
            <v>0.43974091174764435</v>
          </cell>
          <cell r="N55">
            <v>0.45691147572755314</v>
          </cell>
          <cell r="P55">
            <v>0.48175844201387791</v>
          </cell>
          <cell r="R55">
            <v>0.5016635379898855</v>
          </cell>
          <cell r="T55">
            <v>0.53428292554164736</v>
          </cell>
          <cell r="W55">
            <v>0.54838567492262125</v>
          </cell>
          <cell r="X55">
            <v>0.55891371560164804</v>
          </cell>
          <cell r="Y55">
            <v>0.56207611295574722</v>
          </cell>
          <cell r="Z55">
            <v>0.58178408860555331</v>
          </cell>
          <cell r="AA55">
            <v>0</v>
          </cell>
          <cell r="AC55">
            <v>0</v>
          </cell>
          <cell r="AE55">
            <v>0</v>
          </cell>
          <cell r="AH55">
            <v>0</v>
          </cell>
          <cell r="AJ55">
            <v>0</v>
          </cell>
          <cell r="AL55">
            <v>0</v>
          </cell>
          <cell r="AN55">
            <v>0</v>
          </cell>
          <cell r="AP55">
            <v>0</v>
          </cell>
          <cell r="AR55">
            <v>0</v>
          </cell>
          <cell r="AU55">
            <v>0</v>
          </cell>
          <cell r="AW55">
            <v>0</v>
          </cell>
          <cell r="AY55">
            <v>0</v>
          </cell>
          <cell r="BA55">
            <v>0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>
        <row r="10">
          <cell r="L10">
            <v>37044</v>
          </cell>
        </row>
      </sheetData>
      <sheetData sheetId="28">
        <row r="10">
          <cell r="L10">
            <v>37044</v>
          </cell>
        </row>
      </sheetData>
      <sheetData sheetId="29">
        <row r="10">
          <cell r="L10">
            <v>37044</v>
          </cell>
        </row>
      </sheetData>
      <sheetData sheetId="30"/>
      <sheetData sheetId="31">
        <row r="10">
          <cell r="L10">
            <v>37044</v>
          </cell>
        </row>
      </sheetData>
      <sheetData sheetId="32"/>
      <sheetData sheetId="33">
        <row r="10">
          <cell r="L10">
            <v>37044</v>
          </cell>
        </row>
      </sheetData>
      <sheetData sheetId="34">
        <row r="10">
          <cell r="L10">
            <v>37044</v>
          </cell>
        </row>
      </sheetData>
      <sheetData sheetId="35"/>
      <sheetData sheetId="36"/>
      <sheetData sheetId="37"/>
      <sheetData sheetId="38"/>
      <sheetData sheetId="39"/>
      <sheetData sheetId="40">
        <row r="10">
          <cell r="L10">
            <v>37044</v>
          </cell>
        </row>
      </sheetData>
      <sheetData sheetId="41" refreshError="1"/>
      <sheetData sheetId="42" refreshError="1"/>
      <sheetData sheetId="43">
        <row r="10">
          <cell r="L10">
            <v>37044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>
        <row r="10">
          <cell r="L10">
            <v>37044</v>
          </cell>
        </row>
      </sheetData>
      <sheetData sheetId="56"/>
      <sheetData sheetId="57">
        <row r="10">
          <cell r="L10">
            <v>37044</v>
          </cell>
        </row>
      </sheetData>
      <sheetData sheetId="58"/>
      <sheetData sheetId="59"/>
      <sheetData sheetId="60">
        <row r="10">
          <cell r="L10">
            <v>37044</v>
          </cell>
        </row>
      </sheetData>
      <sheetData sheetId="61">
        <row r="10">
          <cell r="L10">
            <v>37044</v>
          </cell>
        </row>
      </sheetData>
      <sheetData sheetId="62">
        <row r="10">
          <cell r="L10">
            <v>37044</v>
          </cell>
        </row>
      </sheetData>
      <sheetData sheetId="63">
        <row r="10">
          <cell r="L10">
            <v>37044</v>
          </cell>
        </row>
      </sheetData>
      <sheetData sheetId="64">
        <row r="10">
          <cell r="L10">
            <v>37044</v>
          </cell>
        </row>
      </sheetData>
      <sheetData sheetId="65">
        <row r="10">
          <cell r="L10">
            <v>37044</v>
          </cell>
        </row>
      </sheetData>
      <sheetData sheetId="66">
        <row r="10">
          <cell r="L10">
            <v>37044</v>
          </cell>
        </row>
      </sheetData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>
        <row r="10">
          <cell r="L10">
            <v>37044</v>
          </cell>
        </row>
      </sheetData>
      <sheetData sheetId="76">
        <row r="10">
          <cell r="L10">
            <v>37044</v>
          </cell>
        </row>
      </sheetData>
      <sheetData sheetId="77">
        <row r="10">
          <cell r="L10">
            <v>37044</v>
          </cell>
        </row>
      </sheetData>
      <sheetData sheetId="78">
        <row r="10">
          <cell r="L10">
            <v>37044</v>
          </cell>
        </row>
      </sheetData>
      <sheetData sheetId="79">
        <row r="10">
          <cell r="L10">
            <v>37044</v>
          </cell>
        </row>
      </sheetData>
      <sheetData sheetId="80">
        <row r="10">
          <cell r="L10">
            <v>37044</v>
          </cell>
        </row>
      </sheetData>
      <sheetData sheetId="81">
        <row r="10">
          <cell r="L10">
            <v>37044</v>
          </cell>
        </row>
      </sheetData>
      <sheetData sheetId="82">
        <row r="10">
          <cell r="L10">
            <v>37044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TB_data"/>
      <sheetName val="Bal_TB"/>
      <sheetName val="Pivot Table"/>
      <sheetName val="Sum_Sch"/>
      <sheetName val="Creditors"/>
      <sheetName val="BS"/>
      <sheetName val="P_L"/>
      <sheetName val="Add_Dep"/>
      <sheetName val="Dep"/>
      <sheetName val="F.A.-Sch"/>
      <sheetName val="BS_Sch"/>
      <sheetName val="P&amp;L_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phil_codes"/>
      <sheetName val="gmr_tb"/>
      <sheetName val="phil-tb"/>
      <sheetName val="phil"/>
      <sheetName val="GM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2)"/>
      <sheetName val="Sheet1"/>
      <sheetName val="Sheet2"/>
      <sheetName val="Sheet3"/>
      <sheetName val="#REF"/>
      <sheetName val="_REF"/>
      <sheetName val="WACC_VDF"/>
      <sheetName val="STI"/>
      <sheetName val="DETAIL SHEET"/>
      <sheetName val="StaffWelfare"/>
      <sheetName val="TB-03-06"/>
      <sheetName val="3CD-ANX"/>
      <sheetName val="TRIALBALANCE"/>
      <sheetName val="SUMMARY SHEET"/>
      <sheetName val="Rates"/>
      <sheetName val="FORM-16A ( MONTHLY DETAILED )"/>
      <sheetName val="WACC"/>
      <sheetName val="Computation"/>
      <sheetName val="TB"/>
      <sheetName val="BASIC SAL CALCULATION"/>
      <sheetName val="TB_Dec-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S"/>
      <sheetName val="Tickmarks"/>
      <sheetName val="O.S. check"/>
      <sheetName val="Sub test- IOB EEFC"/>
      <sheetName val="CMA - IOB EEFC"/>
      <sheetName val="Sub test- HDFC 958"/>
      <sheetName val="CMA - HDFC"/>
      <sheetName val="Sub test - IOB"/>
      <sheetName val="CMA - IOB"/>
      <sheetName val="Sheet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Leadsheet &amp; Movement"/>
      <sheetName val="#REF"/>
    </sheetNames>
    <sheetDataSet>
      <sheetData sheetId="0" refreshError="1"/>
      <sheetData sheetId="1" refreshError="1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Leadsheet &amp; Movement"/>
      <sheetName val="#REF"/>
    </sheetNames>
    <sheetDataSet>
      <sheetData sheetId="0" refreshError="1"/>
      <sheetData sheetId="1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App"/>
      <sheetName val="March 08 - def tax"/>
      <sheetName val="Def Tax"/>
      <sheetName val="Tax"/>
      <sheetName val="Mat"/>
      <sheetName val="Book Loss for Mat"/>
      <sheetName val="DEP IT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B5">
            <v>66.394208313872028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App"/>
      <sheetName val="March 08 - def tax"/>
      <sheetName val="Def Tax"/>
      <sheetName val="Tax"/>
      <sheetName val="Mat"/>
      <sheetName val="Book Loss for Mat"/>
      <sheetName val="DEP IT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BS"/>
    </sheetNames>
    <sheetDataSet>
      <sheetData sheetId="0" refreshError="1"/>
      <sheetData sheetId="1" refreshError="1">
        <row r="1">
          <cell r="L1">
            <v>1</v>
          </cell>
        </row>
      </sheetData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Tags"/>
      <sheetName val="CntrlVlv"/>
      <sheetName val="FlowMtr"/>
      <sheetName val="IsolnVlv"/>
      <sheetName val="MOVs"/>
      <sheetName val="RelVlvs"/>
      <sheetName val="Overall"/>
      <sheetName val="ETASlippage"/>
      <sheetName val="BND-Merox-LNUU"/>
      <sheetName val="BSD-CPP"/>
      <sheetName val="BSN-Arom"/>
      <sheetName val="CD-FCC"/>
      <sheetName val="JP-Os&amp;Us"/>
      <sheetName val="JP-R_RLoading"/>
      <sheetName val="MDM-SHP_TAME"/>
      <sheetName val="MDM-RURW"/>
      <sheetName val="PBMR-Marine&amp;MTF"/>
      <sheetName val="RLG-CrudeHTrtr"/>
      <sheetName val="RMS-Utility"/>
      <sheetName val="SC-ATU_SWS"/>
      <sheetName val="SC-Coker"/>
      <sheetName val="InputActDelETA"/>
      <sheetName val="ProfileETAQrys"/>
      <sheetName val="InputPO_Del"/>
      <sheetName val="ProfilePO_DelQrys"/>
      <sheetName val="ChtData"/>
      <sheetName val="ChtData2"/>
      <sheetName val="Module1"/>
      <sheetName val="Module2"/>
      <sheetName val="Sale 30-4-2006"/>
      <sheetName val="Input"/>
      <sheetName val="C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tion of Threshold"/>
      <sheetName val="Data Sheet"/>
      <sheetName val="Threshold Table"/>
      <sheetName val="Tickmarks"/>
      <sheetName val="Company"/>
      <sheetName val="wwww"/>
      <sheetName val="Input"/>
      <sheetName val="Proj 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Phasing+ Int"/>
      <sheetName val="UPERC Tariff Calc"/>
      <sheetName val="Depreciation"/>
      <sheetName val="Working Capital"/>
      <sheetName val="PFSBU"/>
      <sheetName val="Financials"/>
      <sheetName val="Table"/>
      <sheetName val="Ratios"/>
      <sheetName val="Sensitivity"/>
      <sheetName val="Project Cost_New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s"/>
      <sheetName val="T.P&amp;L"/>
      <sheetName val="U.BS"/>
      <sheetName val="W.CF"/>
    </sheetNames>
    <sheetDataSet>
      <sheetData sheetId="0" refreshError="1">
        <row r="2">
          <cell r="AM2" t="str">
            <v>Business Plan 2003-04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s &amp; Inputs"/>
      <sheetName val="EVA"/>
      <sheetName val="NOPAT"/>
      <sheetName val="Capital"/>
      <sheetName val="IS"/>
      <sheetName val="BS"/>
      <sheetName val="Amortisation"/>
      <sheetName val="Tax"/>
      <sheetName val="CWIP"/>
      <sheetName val="Excess Cash"/>
      <sheetName val="Checks _ Inputs"/>
      <sheetName val="wwww"/>
      <sheetName val="PF ann. 3CD"/>
      <sheetName val="Company"/>
      <sheetName val="Journal Vouchers"/>
      <sheetName val="BANKINT"/>
      <sheetName val="InputPO_Del"/>
      <sheetName val="Capital_by_Years_Valuation"/>
      <sheetName val="ReportsParameters"/>
      <sheetName val="Data"/>
      <sheetName val="Uplinking Exp"/>
      <sheetName val="Lookup"/>
      <sheetName val="Int-Dep &amp; Tax"/>
      <sheetName val="Trial vijay"/>
      <sheetName val="EVA Annual Calculation Template"/>
      <sheetName val="tables"/>
      <sheetName val="Schedule 1"/>
      <sheetName val="Schedule 2"/>
      <sheetName val="Schedule 3"/>
      <sheetName val="Schedule 3(a) "/>
      <sheetName val="Schedule 3(a)"/>
      <sheetName val="Schedule 4 "/>
      <sheetName val="Schedule 4"/>
      <sheetName val="Schedule 4 (a)"/>
      <sheetName val="Schedule 4(a)"/>
      <sheetName val="Schedule 5"/>
      <sheetName val="Schedule 6  "/>
      <sheetName val="Schedule 7"/>
      <sheetName val="Schedule 8  "/>
      <sheetName val="Schedule 6"/>
      <sheetName val="Schedule 8 "/>
      <sheetName val="clause 21(i)(B) Appx 7"/>
      <sheetName val="clause 21(ii)(B)-Annx11"/>
      <sheetName val="clause 21(ii)(B)a-Annx12"/>
      <sheetName val="reco deoosit"/>
      <sheetName val="Schedule 8a"/>
      <sheetName val="Schedule 9"/>
      <sheetName val="Schedule 9a"/>
      <sheetName val="Schedule 10"/>
      <sheetName val="Schedule 11"/>
      <sheetName val="Working"/>
      <sheetName val="Clause 32-Appx10"/>
      <sheetName val="Checks_&amp;_Inputs"/>
      <sheetName val="Excess_Cash"/>
      <sheetName val="PF_ann__3CD"/>
      <sheetName val="Checks___Inputs"/>
      <sheetName val="Journal_Vouchers"/>
      <sheetName val="Uplinking_Exp"/>
      <sheetName val="Int-Dep_&amp;_Tax"/>
      <sheetName val="Trial_vijay"/>
      <sheetName val="EVA_Annual_Calculation_Template"/>
      <sheetName val="Opdata_(2)"/>
      <sheetName val="Input"/>
      <sheetName val="b"/>
      <sheetName val="contb"/>
      <sheetName val="grpng"/>
      <sheetName val="Checks_&amp;_Inputs1"/>
      <sheetName val="Excess_Cash1"/>
      <sheetName val="Checks___Inputs1"/>
      <sheetName val="raw material"/>
      <sheetName val="Validation"/>
      <sheetName val="Space"/>
      <sheetName val="Sales"/>
      <sheetName val="List_ratios"/>
      <sheetName val="Liability Mgmt"/>
      <sheetName val="Total"/>
      <sheetName val="Valid Data"/>
      <sheetName val="Table 5"/>
      <sheetName val="proposallinked"/>
      <sheetName val="WORKRES"/>
      <sheetName val="Determination of Threshold"/>
      <sheetName val="MAR EX"/>
      <sheetName val="Signatories"/>
      <sheetName val="Sheet9"/>
      <sheetName val="Activity Codes"/>
      <sheetName val="UK - plan"/>
      <sheetName val="Payroll"/>
      <sheetName val="Net"/>
      <sheetName val="T"/>
      <sheetName val="TB apr-01"/>
      <sheetName val="Checks_&amp;_Inputs2"/>
      <sheetName val="Excess_Cash2"/>
      <sheetName val="Checks___Inputs2"/>
      <sheetName val="PF_ann__3CD1"/>
      <sheetName val="Journal_Vouchers1"/>
      <sheetName val="Uplinking_Exp1"/>
      <sheetName val="Int-Dep_&amp;_Tax1"/>
      <sheetName val="Trial_vijay1"/>
      <sheetName val="EVA_Annual_Calculation_Templat1"/>
      <sheetName val="Schedule_1"/>
      <sheetName val="Schedule_2"/>
      <sheetName val="Schedule_3"/>
      <sheetName val="Schedule_3(a)_"/>
      <sheetName val="Schedule_3(a)"/>
      <sheetName val="Schedule_4_"/>
      <sheetName val="Schedule_4"/>
      <sheetName val="Schedule_4_(a)"/>
      <sheetName val="Schedule_4(a)"/>
      <sheetName val="Schedule_5"/>
      <sheetName val="Schedule_6__"/>
      <sheetName val="Schedule_7"/>
      <sheetName val="Schedule_8__"/>
      <sheetName val="Schedule_6"/>
      <sheetName val="Schedule_8_"/>
      <sheetName val="clause_21(i)(B)_Appx_7"/>
      <sheetName val="clause_21(ii)(B)-Annx11"/>
      <sheetName val="clause_21(ii)(B)a-Annx12"/>
      <sheetName val="reco_deoosit"/>
      <sheetName val="Schedule_8a"/>
      <sheetName val="Schedule_9"/>
      <sheetName val="Schedule_9a"/>
      <sheetName val="Schedule_10"/>
      <sheetName val="Schedule_11"/>
      <sheetName val="Clause_32-Appx10"/>
      <sheetName val="MAR_EX"/>
      <sheetName val="Valid_Data"/>
      <sheetName val="UK_-_plan"/>
      <sheetName val="raw_material"/>
      <sheetName val="Liability_Mgmt"/>
      <sheetName val="Table_5"/>
      <sheetName val="TB_apr-01"/>
      <sheetName val="Determination_of_Threshold"/>
      <sheetName val="Trial_Balance"/>
      <sheetName val="Freehold Land "/>
      <sheetName val="Dont Alter"/>
      <sheetName val="BP Data Sheet"/>
      <sheetName val="v"/>
      <sheetName val="spc"/>
      <sheetName val="Original"/>
      <sheetName val="Sch 3 Depr"/>
      <sheetName val="Instructions"/>
      <sheetName val="MEAL99 "/>
      <sheetName val="MEAL2KACTUAL"/>
      <sheetName val="Assumptions"/>
      <sheetName val="16.IC-RP list"/>
    </sheetNames>
    <sheetDataSet>
      <sheetData sheetId="0" refreshError="1">
        <row r="2">
          <cell r="B2" t="str">
            <v>Baylabs</v>
          </cell>
        </row>
        <row r="16">
          <cell r="C16">
            <v>0.3</v>
          </cell>
        </row>
        <row r="17">
          <cell r="C17">
            <v>0.3</v>
          </cell>
        </row>
      </sheetData>
      <sheetData sheetId="1" refreshError="1"/>
      <sheetData sheetId="2" refreshError="1"/>
      <sheetData sheetId="3" refreshError="1"/>
      <sheetData sheetId="4" refreshError="1">
        <row r="2">
          <cell r="B2" t="str">
            <v>To Retained Earnings</v>
          </cell>
          <cell r="D2">
            <v>203261.8</v>
          </cell>
          <cell r="E2">
            <v>303914.8</v>
          </cell>
          <cell r="F2">
            <v>1448238.3143923855</v>
          </cell>
          <cell r="G2">
            <v>2529814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Check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B4" t="str">
            <v>Baylabs</v>
          </cell>
          <cell r="D4" t="str">
            <v>99 YTD</v>
          </cell>
          <cell r="E4">
            <v>2000</v>
          </cell>
          <cell r="F4">
            <v>2001</v>
          </cell>
          <cell r="G4">
            <v>2002</v>
          </cell>
          <cell r="H4">
            <v>2003</v>
          </cell>
          <cell r="I4">
            <v>2004</v>
          </cell>
          <cell r="J4">
            <v>2005</v>
          </cell>
          <cell r="K4">
            <v>2006</v>
          </cell>
          <cell r="L4">
            <v>2007</v>
          </cell>
          <cell r="M4">
            <v>2008</v>
          </cell>
          <cell r="N4">
            <v>2009</v>
          </cell>
        </row>
        <row r="7">
          <cell r="B7" t="str">
            <v>Total Sales</v>
          </cell>
          <cell r="D7">
            <v>486897</v>
          </cell>
          <cell r="E7">
            <v>1459297</v>
          </cell>
          <cell r="F7">
            <v>9749736</v>
          </cell>
          <cell r="G7">
            <v>17491008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C8" t="str">
            <v>Damages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Royalty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Rebate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Settlement Discount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Book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D13" t="str">
            <v xml:space="preserve"> </v>
          </cell>
          <cell r="E13" t="str">
            <v xml:space="preserve"> </v>
          </cell>
          <cell r="F13" t="str">
            <v xml:space="preserve"> </v>
          </cell>
          <cell r="G13" t="str">
            <v xml:space="preserve"> </v>
          </cell>
          <cell r="H13" t="str">
            <v xml:space="preserve"> </v>
          </cell>
          <cell r="I13" t="str">
            <v xml:space="preserve"> </v>
          </cell>
          <cell r="J13" t="str">
            <v xml:space="preserve"> 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</row>
        <row r="14">
          <cell r="B14" t="str">
            <v>Nett Sales</v>
          </cell>
          <cell r="D14">
            <v>486897</v>
          </cell>
          <cell r="E14">
            <v>1459297</v>
          </cell>
          <cell r="F14">
            <v>9749736</v>
          </cell>
          <cell r="G14">
            <v>17491008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B16" t="str">
            <v>Cost of Sales</v>
          </cell>
          <cell r="D16">
            <v>92724</v>
          </cell>
          <cell r="E16">
            <v>384444</v>
          </cell>
          <cell r="F16">
            <v>3669712.1222965918</v>
          </cell>
          <cell r="G16">
            <v>6801276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 t="str">
            <v>Purchases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 t="str">
            <v>Raw Materials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 t="str">
            <v>Containers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 xml:space="preserve"> </v>
          </cell>
          <cell r="E20" t="str">
            <v xml:space="preserve"> </v>
          </cell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I20" t="str">
            <v xml:space="preserve"> </v>
          </cell>
          <cell r="J20" t="str">
            <v xml:space="preserve"> 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</row>
        <row r="21">
          <cell r="B21" t="str">
            <v>Gross Profit</v>
          </cell>
          <cell r="D21">
            <v>394173</v>
          </cell>
          <cell r="E21">
            <v>1074853</v>
          </cell>
          <cell r="F21">
            <v>6080023.8777034078</v>
          </cell>
          <cell r="G21">
            <v>10689732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Gross Margin</v>
          </cell>
          <cell r="D22">
            <v>0.80956136513472043</v>
          </cell>
          <cell r="E22">
            <v>0.73655534137327772</v>
          </cell>
          <cell r="F22">
            <v>0.62360907799999998</v>
          </cell>
          <cell r="G22">
            <v>0.61115585791282012</v>
          </cell>
          <cell r="H22" t="str">
            <v>n/a</v>
          </cell>
          <cell r="I22" t="str">
            <v>n/a</v>
          </cell>
          <cell r="J22" t="str">
            <v>n/a</v>
          </cell>
          <cell r="K22" t="str">
            <v>n/a</v>
          </cell>
          <cell r="L22" t="str">
            <v>n/a</v>
          </cell>
          <cell r="M22" t="str">
            <v>n/a</v>
          </cell>
          <cell r="N22" t="str">
            <v>n/a</v>
          </cell>
        </row>
        <row r="24">
          <cell r="B24" t="str">
            <v>Direct Expenses</v>
          </cell>
          <cell r="D24">
            <v>103944</v>
          </cell>
          <cell r="E24">
            <v>565834</v>
          </cell>
          <cell r="F24">
            <v>3761112</v>
          </cell>
          <cell r="G24">
            <v>6725712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Direct</v>
          </cell>
          <cell r="D25">
            <v>17009</v>
          </cell>
          <cell r="E25">
            <v>284419</v>
          </cell>
          <cell r="F25">
            <v>1860144</v>
          </cell>
          <cell r="G25">
            <v>3326364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 t="str">
            <v>Indirect</v>
          </cell>
          <cell r="D26">
            <v>86935</v>
          </cell>
          <cell r="E26">
            <v>281415</v>
          </cell>
          <cell r="F26">
            <v>1900968</v>
          </cell>
          <cell r="G26">
            <v>3399348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 t="str">
            <v>Launch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B29" t="str">
            <v>Other Operating Expenses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 t="str">
            <v>Artwork / Design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2">
          <cell r="B32" t="str">
            <v>Advertising &amp; Promotion Expenses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Advertising - Launch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5">
          <cell r="B35" t="str">
            <v>Research &amp; Design Expenses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Product Maintenance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 t="str">
            <v>True R&amp;D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B39" t="str">
            <v>New Products</v>
          </cell>
          <cell r="D39">
            <v>0</v>
          </cell>
          <cell r="E39">
            <v>75000</v>
          </cell>
          <cell r="F39">
            <v>250000</v>
          </cell>
          <cell r="G39">
            <v>350000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Development R&amp;D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Launch R&amp;D</v>
          </cell>
          <cell r="D41">
            <v>0</v>
          </cell>
          <cell r="E41">
            <v>75000</v>
          </cell>
          <cell r="F41">
            <v>250000</v>
          </cell>
          <cell r="G41">
            <v>350000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C42" t="str">
            <v>Patent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4">
          <cell r="B44" t="str">
            <v>General &amp; Administrative Expenses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 t="str">
            <v>Laboratory Tests / Results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Legal Fees, Audit Fees &amp; Regulatory Fees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 t="str">
            <v>Freight Paid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Travelling Expenses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Rent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 t="str">
            <v>Salaries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Depreciation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Insurance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 t="str">
            <v>Other Admin Costs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 t="str">
            <v xml:space="preserve"> 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</row>
        <row r="60">
          <cell r="C60" t="str">
            <v>Other Income / (Expense) [Operating]</v>
          </cell>
          <cell r="D60">
            <v>145</v>
          </cell>
          <cell r="E60">
            <v>145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 t="str">
            <v>Other Income / (Expense) [Non-Operating]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75">
          <cell r="B75" t="str">
            <v>Income Tax Provision @30%</v>
          </cell>
          <cell r="D75">
            <v>87112.2</v>
          </cell>
          <cell r="E75">
            <v>130249.2</v>
          </cell>
          <cell r="F75">
            <v>620673.56331102236</v>
          </cell>
          <cell r="G75">
            <v>1084206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</sheetData>
      <sheetData sheetId="5" refreshError="1">
        <row r="2">
          <cell r="B2" t="str">
            <v>Total Capital Employed (per orig. source)</v>
          </cell>
          <cell r="D2">
            <v>0</v>
          </cell>
          <cell r="E2">
            <v>223261.8</v>
          </cell>
          <cell r="F2">
            <v>323914.79999999981</v>
          </cell>
          <cell r="G2">
            <v>1772153.1143923842</v>
          </cell>
          <cell r="H2">
            <v>4301967.1143923812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B3" t="str">
            <v>Check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7">
          <cell r="C7" t="str">
            <v>Cheque Account</v>
          </cell>
          <cell r="D7">
            <v>0</v>
          </cell>
          <cell r="E7">
            <v>34790</v>
          </cell>
          <cell r="F7">
            <v>359162.29389999982</v>
          </cell>
          <cell r="G7">
            <v>1675555.8898367397</v>
          </cell>
          <cell r="H7">
            <v>4617981.20617007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>Petty Cash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Cash &amp; Bank Balances</v>
          </cell>
          <cell r="D9">
            <v>0</v>
          </cell>
          <cell r="E9">
            <v>34790</v>
          </cell>
          <cell r="F9">
            <v>359162.29389999982</v>
          </cell>
          <cell r="G9">
            <v>1675555.8898367397</v>
          </cell>
          <cell r="H9">
            <v>4617981.20617007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1">
          <cell r="C11" t="str">
            <v>Trade Debtors</v>
          </cell>
          <cell r="D11">
            <v>0</v>
          </cell>
          <cell r="E11">
            <v>378050</v>
          </cell>
          <cell r="F11">
            <v>102981.9</v>
          </cell>
          <cell r="G11">
            <v>926224.91999999993</v>
          </cell>
          <cell r="H11">
            <v>1661645.7599999998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 t="str">
            <v>Other Debtors &amp; Deposits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>less Provision for Doubtful Debts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6">
          <cell r="C16" t="str">
            <v>Stock</v>
          </cell>
          <cell r="D16">
            <v>0</v>
          </cell>
          <cell r="E16">
            <v>0</v>
          </cell>
          <cell r="F16">
            <v>305809.34352471604</v>
          </cell>
          <cell r="G16">
            <v>566773</v>
          </cell>
          <cell r="H16">
            <v>566773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less Provision for Stock Obsolescence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20">
          <cell r="B20" t="str">
            <v>Other Current Assets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C24" t="str">
            <v>Trade Creditors</v>
          </cell>
          <cell r="D24">
            <v>0</v>
          </cell>
          <cell r="E24">
            <v>59052</v>
          </cell>
          <cell r="F24">
            <v>348622.65161817626</v>
          </cell>
          <cell r="G24">
            <v>646121.22</v>
          </cell>
          <cell r="H24">
            <v>646121.22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str">
            <v>Other Creditors &amp; Accruals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str">
            <v>VAT Payable</v>
          </cell>
          <cell r="D26">
            <v>0</v>
          </cell>
          <cell r="E26">
            <v>43414</v>
          </cell>
          <cell r="F26">
            <v>-34833.114193460242</v>
          </cell>
          <cell r="G26">
            <v>-643.2878666666802</v>
          </cell>
          <cell r="H26">
            <v>63182.868466666623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str">
            <v>Provision for Taxation</v>
          </cell>
          <cell r="D27">
            <v>0</v>
          </cell>
          <cell r="E27">
            <v>87112.2</v>
          </cell>
          <cell r="F27">
            <v>130249.19999999998</v>
          </cell>
          <cell r="G27">
            <v>750922.76331102219</v>
          </cell>
          <cell r="H27">
            <v>1835128.7633110222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Other Current Liabilities (Interest-free)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35">
          <cell r="B35" t="str">
            <v>Fixed Assets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Investments [Operating]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Investments [Non-Operating]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42">
          <cell r="B42" t="str">
            <v>Share Capital</v>
          </cell>
          <cell r="D42">
            <v>0</v>
          </cell>
          <cell r="E42">
            <v>20000</v>
          </cell>
          <cell r="F42">
            <v>20000</v>
          </cell>
          <cell r="G42">
            <v>20000</v>
          </cell>
          <cell r="H42">
            <v>20000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Retained Earnings</v>
          </cell>
          <cell r="D43">
            <v>0</v>
          </cell>
          <cell r="E43">
            <v>0</v>
          </cell>
          <cell r="F43">
            <v>0</v>
          </cell>
          <cell r="G43">
            <v>303914.8</v>
          </cell>
          <cell r="H43">
            <v>1752153.1143923856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Current Period Profit</v>
          </cell>
          <cell r="D44">
            <v>0</v>
          </cell>
          <cell r="E44">
            <v>203261.8</v>
          </cell>
          <cell r="F44">
            <v>303914.8</v>
          </cell>
          <cell r="G44">
            <v>1448238.3143923855</v>
          </cell>
          <cell r="H44">
            <v>2529814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55">
          <cell r="B55" t="str">
            <v>Cumulative Goodwill w/o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B2" t="str">
            <v>Baylabs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Assume"/>
      <sheetName val="Print Menu"/>
      <sheetName val="Reset-Module"/>
      <sheetName val="Export"/>
      <sheetName val="Adjustments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-Module"/>
      <sheetName val="ruSure-Module"/>
      <sheetName val="Print Module"/>
      <sheetName val="BS"/>
      <sheetName val="Checks &amp; Inputs"/>
      <sheetName val="IS"/>
      <sheetName val="PF ann. 3CD"/>
      <sheetName val="F-B"/>
      <sheetName val="F-B-21"/>
      <sheetName val="F-B-3"/>
      <sheetName val="F-B-4"/>
      <sheetName val="Net"/>
      <sheetName val="ExcelEVA Model-Samtel"/>
      <sheetName val="entitlements"/>
      <sheetName val="Lead Sheets"/>
      <sheetName val="Control"/>
      <sheetName val="COA in Acct Group"/>
      <sheetName val="INDEPENDENT"/>
      <sheetName val="accs"/>
      <sheetName val="fa"/>
      <sheetName val="PL"/>
      <sheetName val="Parameters"/>
      <sheetName val="FORM-16A ( MONTHLY DETAILED )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Checks_&amp;_Inputs2"/>
      <sheetName val="Checks_&amp;_Inputs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Checks_&amp;_Inputs1"/>
      <sheetName val="2000"/>
      <sheetName val="Company"/>
      <sheetName val="EAST"/>
      <sheetName val="OCAOCL"/>
      <sheetName val="Original"/>
      <sheetName val="COA_in_Acct_Group"/>
      <sheetName val="FA (2)"/>
      <sheetName val="BSPL"/>
      <sheetName val="Assumptions"/>
      <sheetName val="PM"/>
      <sheetName val="b"/>
      <sheetName val="Detailed P&amp;L"/>
      <sheetName val="Conditions"/>
      <sheetName val="Liability Mgmt"/>
      <sheetName val="cc"/>
      <sheetName val="C Section"/>
      <sheetName val="FORM_16A _ MONTHLY DETAILED _"/>
      <sheetName val="ExcelEVA_Model-Samtel"/>
      <sheetName val="Lead_Sheets"/>
      <sheetName val="PF_ann__3CD"/>
      <sheetName val="FORM-16A_(_MONTHLY_DETAILED_)"/>
      <sheetName val="FORM_16A___MONTHLY_DETAILED__"/>
      <sheetName val="Financials"/>
      <sheetName val="SUPP08"/>
      <sheetName val="TB for BS"/>
      <sheetName val="TDC France"/>
      <sheetName val="Other"/>
      <sheetName val="Draft (Egypt Data source)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hecks_&amp;_Inputs3"/>
      <sheetName val="PF_ann__3CD1"/>
      <sheetName val="ExcelEVA_Model-Samtel1"/>
      <sheetName val="Lead_Sheets1"/>
      <sheetName val="COA_in_Acct_Group1"/>
      <sheetName val="FORM-16A_(_MONTHLY_DETAILED_)1"/>
      <sheetName val="FORM_16A___MONTHLY_DETAILED__1"/>
      <sheetName val="FA_(2)"/>
      <sheetName val="TB_for_BS"/>
      <sheetName val="TDC_France"/>
      <sheetName val="Draft_(Egypt_Data_source)"/>
      <sheetName val="Detailed_P&amp;L"/>
      <sheetName val="Liability_Mgmt"/>
      <sheetName val="C_Section"/>
      <sheetName val="Signatories"/>
      <sheetName val="Civil_Work"/>
      <sheetName val="INV"/>
      <sheetName val="Assmpns"/>
      <sheetName val="std.wt."/>
      <sheetName val="std_wt_"/>
      <sheetName val="std_wt_1"/>
      <sheetName val="Input"/>
      <sheetName val="Tables"/>
      <sheetName val="Sheet1"/>
      <sheetName val="inc rec - 96 Bud"/>
      <sheetName val="Int-Dep &amp; Tax"/>
      <sheetName val="S4 (2)"/>
      <sheetName val="IC-RP list"/>
      <sheetName val="Annex 1 &amp;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59">
          <cell r="C59" t="str">
            <v>Cash Operating Taxes</v>
          </cell>
        </row>
        <row r="60">
          <cell r="C60" t="str">
            <v>Accrued Operating Taxes</v>
          </cell>
        </row>
        <row r="61">
          <cell r="C61" t="str">
            <v>Effective Taxes</v>
          </cell>
        </row>
        <row r="62">
          <cell r="C62" t="str">
            <v>Cash Effective Taxes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y Region"/>
      <sheetName val="Assumptions"/>
      <sheetName val="Data"/>
      <sheetName val="Bloomberg"/>
      <sheetName val="Setting"/>
      <sheetName val="Descri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&amp;MCapex"/>
      <sheetName val="S&amp;M assumptions"/>
      <sheetName val="opex"/>
      <sheetName val="network assumptions"/>
      <sheetName val="assptions"/>
      <sheetName val="Qtrly"/>
      <sheetName val="FWT realization"/>
      <sheetName val="interconnect"/>
      <sheetName val="data.exp"/>
      <sheetName val="Qtrly PresN"/>
      <sheetName val="FY"/>
      <sheetName val="month wise"/>
      <sheetName val="data_exp"/>
      <sheetName val="Article"/>
      <sheetName val="Sheet3 (2)"/>
      <sheetName val="IOU-factory-9"/>
      <sheetName val="IOU-sales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</sheetNames>
    <sheetDataSet>
      <sheetData sheetId="0"/>
      <sheetData sheetId="1"/>
      <sheetData sheetId="2"/>
      <sheetData sheetId="3"/>
      <sheetData sheetId="4">
        <row r="5">
          <cell r="B5">
            <v>66.394208313872028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 Statement"/>
      <sheetName val="Bal Pmt"/>
      <sheetName val="Sheet1"/>
      <sheetName val="Sum"/>
      <sheetName val="Names"/>
      <sheetName val="Summary"/>
      <sheetName val="Data"/>
      <sheetName val="Sheet2"/>
      <sheetName val="Pymt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 Statement"/>
      <sheetName val="Bal Pmt"/>
      <sheetName val="Sheet1"/>
      <sheetName val="Sum"/>
      <sheetName val="Names"/>
      <sheetName val="Summary"/>
      <sheetName val="Data"/>
      <sheetName val="Sheet2"/>
      <sheetName val="Pymt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 Equip."/>
      <sheetName val="GH Equip"/>
      <sheetName val="Master"/>
      <sheetName val="DPE"/>
      <sheetName val="F &amp; F PY"/>
      <sheetName val="XREF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 Equip."/>
      <sheetName val="GH Equip"/>
      <sheetName val="Master"/>
      <sheetName val="DPE"/>
      <sheetName val="F &amp; F PY"/>
      <sheetName val="XREF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TB 31 Mar 10 15 MTHS"/>
      <sheetName val="Schedule No.1"/>
      <sheetName val="PTN"/>
      <sheetName val="Fund Req. May 15"/>
      <sheetName val="Fund Req."/>
      <sheetName val="CF"/>
      <sheetName val="현금흐름표"/>
      <sheetName val="SAPBEXqueries"/>
      <sheetName val="Con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B Update - Pd 4"/>
      <sheetName val="RB Update - Pd 3"/>
      <sheetName val="RB Update - Pd 2"/>
      <sheetName val="RB Update - Pd 1"/>
      <sheetName val="Pd 13, 1999 or Budget-Yr 2000"/>
      <sheetName val="Centerwise_Monthly"/>
      <sheetName val="data.exp"/>
      <sheetName val="Pd 13_ 1999 or Budget_Yr 2000"/>
      <sheetName val="workshee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"/>
      <sheetName val="Inc.Statment_inputs"/>
      <sheetName val="Bal_Sheet"/>
      <sheetName val="Intangadjst"/>
      <sheetName val="Adjst"/>
      <sheetName val="Nopatop"/>
      <sheetName val="Nopatfin"/>
      <sheetName val="Capop"/>
      <sheetName val="Capfin"/>
      <sheetName val="Capsbs"/>
      <sheetName val="Nopatsbs"/>
      <sheetName val="Tax"/>
      <sheetName val="EVA"/>
      <sheetName val="EvaGraph"/>
      <sheetName val="MVA"/>
      <sheetName val="EvaMva"/>
      <sheetName val="MvaGraph"/>
      <sheetName val="Sumperf"/>
      <sheetName val="SixP"/>
      <sheetName val="CostofCap"/>
      <sheetName val="PyrllDeduc"/>
      <sheetName val="wwww"/>
      <sheetName val="BS"/>
      <sheetName val="Checks &amp; Inputs"/>
      <sheetName val="IS"/>
      <sheetName val="PF ann. 3CD"/>
      <sheetName val="data.exp"/>
      <sheetName val="INDEPENDENT"/>
    </sheetNames>
    <sheetDataSet>
      <sheetData sheetId="0" refreshError="1">
        <row r="16">
          <cell r="J16" t="str">
            <v xml:space="preserve"> Rupees Lakhs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eco of Additions"/>
      <sheetName val="Additions"/>
      <sheetName val="RECO SALE  SchD (2)"/>
      <sheetName val="Deletions"/>
      <sheetName val="Schedule"/>
      <sheetName val="O Equip."/>
      <sheetName val="F &amp; F 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blockwise"/>
      <sheetName val="XREF"/>
      <sheetName val="Tickmarks"/>
      <sheetName val="ANN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s &amp; Interest Summary"/>
      <sheetName val="New CARO"/>
      <sheetName val="Sheet Index"/>
      <sheetName val="Cover Sheet"/>
      <sheetName val="Main Sheet"/>
      <sheetName val="Balance Confirmation"/>
      <sheetName val="ILFS Balance Confirmation"/>
      <sheetName val="Delay sheet"/>
      <sheetName val="NCD IL&amp;FS"/>
      <sheetName val="DDB Summary wrking"/>
      <sheetName val="TL BOB"/>
      <sheetName val="TL CBI"/>
      <sheetName val="TL IDBI"/>
      <sheetName val="TL SBI"/>
      <sheetName val="TL JKB"/>
      <sheetName val="TL SBH"/>
      <sheetName val="TL LIC"/>
      <sheetName val="TL IL&amp;FS"/>
      <sheetName val="TL CDR IL&amp;FS"/>
      <sheetName val="LOC 100cr ILFS"/>
      <sheetName val="DDB Rev Details"/>
      <sheetName val="XREF"/>
      <sheetName val="Tickmarks"/>
      <sheetName val="Summary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PLANTS"/>
      <sheetName val="TALSTOCKVAL"/>
      <sheetName val="BKCSTOCKVAL"/>
      <sheetName val="MAHSTOCKVAL"/>
    </sheetNames>
    <sheetDataSet>
      <sheetData sheetId="0"/>
      <sheetData sheetId="1"/>
      <sheetData sheetId="2"/>
      <sheetData sheetId="3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equirements"/>
      <sheetName val="Issues"/>
      <sheetName val="Share capital &amp; Application"/>
      <sheetName val="TopSheet"/>
      <sheetName val="Capital work in progress"/>
      <sheetName val="Depreciation Reco"/>
      <sheetName val="Debtors"/>
      <sheetName val="Confirmation combined"/>
      <sheetName val="Advances"/>
      <sheetName val="Adv pymt of taxes"/>
      <sheetName val="Prepaid exps"/>
      <sheetName val="Creditors"/>
      <sheetName val="FD Income and Int. Accrued"/>
      <sheetName val="Security Deposit"/>
      <sheetName val="Provision for expenses"/>
      <sheetName val="Statutory Dues"/>
      <sheetName val="Rent"/>
      <sheetName val="Directors fees"/>
      <sheetName val="Managerial Rem."/>
      <sheetName val="Foriegn Cur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equirements"/>
      <sheetName val="Issues"/>
      <sheetName val="Share capital &amp; Application"/>
      <sheetName val="TopSheet"/>
      <sheetName val="Capital work in progress"/>
      <sheetName val="Depreciation Reco"/>
      <sheetName val="Debtors"/>
      <sheetName val="Confirmation combined"/>
      <sheetName val="Advances"/>
      <sheetName val="Adv pymt of taxes"/>
      <sheetName val="Prepaid exps"/>
      <sheetName val="Creditors"/>
      <sheetName val="FD Income and Int. Accrued"/>
      <sheetName val="Security Deposit"/>
      <sheetName val="Provision for expenses"/>
      <sheetName val="Statutory Dues"/>
      <sheetName val="Rent"/>
      <sheetName val="Directors fees"/>
      <sheetName val="Managerial Rem."/>
      <sheetName val="Foriegn Cur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physical verifiection"/>
      <sheetName val="Capital WIP"/>
      <sheetName val="Leasehold mprovements"/>
      <sheetName val="Fa Register blockwise"/>
      <sheetName val="Fixed Assets Top Sheet"/>
      <sheetName val="Depreciation on op wdv"/>
      <sheetName val="Sheet1"/>
      <sheetName val="FA Register"/>
      <sheetName val="XREF"/>
      <sheetName val="Tickmarks"/>
      <sheetName val="Top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 Done"/>
      <sheetName val="Analytical"/>
      <sheetName val="PF"/>
      <sheetName val="Superannuation Working"/>
      <sheetName val="Leave Encashment"/>
      <sheetName val="Gratuity"/>
      <sheetName val="Additions"/>
      <sheetName val="Increment"/>
      <sheetName val="Resignation"/>
      <sheetName val="Working for Analysis"/>
      <sheetName val="Emp Reco"/>
      <sheetName val="Salary Analysis"/>
      <sheetName val="Apr 05"/>
      <sheetName val="May 05"/>
      <sheetName val="June 05"/>
      <sheetName val="July 05"/>
      <sheetName val="Aug 05"/>
      <sheetName val="Sep 05"/>
      <sheetName val="Oct 05"/>
      <sheetName val="Nov 05"/>
      <sheetName val="Dec 05"/>
      <sheetName val="Jan06"/>
      <sheetName val="Feb06"/>
      <sheetName val="Mar06"/>
      <sheetName val="Arrear"/>
      <sheetName val="Total Salary"/>
      <sheetName val="Tickmarks"/>
      <sheetName val="Leasehold mprovements"/>
      <sheetName val="XREF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-DOM"/>
      <sheetName val="NETTING OFF-Mar-15"/>
      <sheetName val="STD2001"/>
      <sheetName val="Vendors"/>
      <sheetName val="Ten_Crudes"/>
      <sheetName val="BS-Sch-E"/>
      <sheetName val="XREF"/>
    </sheetNames>
    <sheetDataSet>
      <sheetData sheetId="0"/>
      <sheetData sheetId="1">
        <row r="404">
          <cell r="E404">
            <v>1799717705.1699994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 D"/>
      <sheetName val="145A"/>
      <sheetName val="ANN E"/>
      <sheetName val="ANNE1"/>
      <sheetName val="ANNE2"/>
      <sheetName val="Reco of Additions"/>
      <sheetName val="RECO SALE - I.T"/>
      <sheetName val="RECO SALE  SchD"/>
      <sheetName val="Ann F"/>
      <sheetName val="Ann F "/>
      <sheetName val="  Ann G final"/>
      <sheetName val="Ann  H"/>
      <sheetName val="Ann-G1"/>
      <sheetName val="Ann   I"/>
      <sheetName val="Ann  J"/>
      <sheetName val="Service tax collection"/>
      <sheetName val="Ann J1"/>
      <sheetName val="ANN K"/>
      <sheetName val="Ann I1 (2)"/>
      <sheetName val="ANN L"/>
      <sheetName val="ANN M"/>
      <sheetName val="Ann  N"/>
      <sheetName val="Ann-O"/>
      <sheetName val="Ann P"/>
      <sheetName val="XREF"/>
      <sheetName val="Clause 20"/>
      <sheetName val="Tickmarks"/>
      <sheetName val="leave-encash working"/>
      <sheetName val="Ann N"/>
      <sheetName val="sch h1"/>
      <sheetName val="sch h 2"/>
      <sheetName val="Ann "/>
      <sheetName val="note to Sch H2 Sr. 3"/>
      <sheetName val="Sch H"/>
      <sheetName val="Resign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WIP Computers"/>
      <sheetName val="Addition 2010-11"/>
      <sheetName val="CWIP P&amp;M"/>
      <sheetName val="CWIP-Building"/>
      <sheetName val="Sheet1"/>
      <sheetName val="Sheet2"/>
      <sheetName val="Sheet3"/>
      <sheetName val="test"/>
      <sheetName val=""/>
      <sheetName val="GL_comparison"/>
      <sheetName val="WDV Workings"/>
      <sheetName val="Lead"/>
      <sheetName val="WS 2"/>
      <sheetName val="Consumption"/>
      <sheetName val="MF NAV&amp;MARKET VALUE 31.03.2006"/>
    </sheetNames>
    <sheetDataSet>
      <sheetData sheetId="0"/>
      <sheetData sheetId="1"/>
      <sheetData sheetId="2">
        <row r="15">
          <cell r="D15">
            <v>4620987.45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pre.Entry"/>
      <sheetName val="Fixed Assets"/>
      <sheetName val="FA Schedule"/>
      <sheetName val="Addition 2010-11"/>
      <sheetName val="Sch-5 Cross Check"/>
      <sheetName val="FA - VAP"/>
      <sheetName val="Sch-5"/>
      <sheetName val="Schedule"/>
      <sheetName val="ADDITION SUMMARY"/>
      <sheetName val="Addition Details-Q4"/>
      <sheetName val="CWIP OTHERS"/>
      <sheetName val="CWIP-Building"/>
      <sheetName val="CWIP Computers"/>
      <sheetName val="CWIP E&amp;I"/>
      <sheetName val="XREF"/>
      <sheetName val="Tickmarks"/>
      <sheetName val="CWIP P&amp;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sheet"/>
      <sheetName val="XREF"/>
      <sheetName val="Tickmarks"/>
      <sheetName val="#REF"/>
      <sheetName val="Final FA register blockwise"/>
      <sheetName val="blockwi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 07"/>
      <sheetName val="Sept 06"/>
      <sheetName val="Tickmarks"/>
      <sheetName val="COMPUTATION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10"/>
      <sheetName val="SCH 11A"/>
      <sheetName val="SCH 11B"/>
      <sheetName val="SCH 11C"/>
      <sheetName val="SCH 11D"/>
      <sheetName val="SCH 11E"/>
      <sheetName val="SCH 11F"/>
      <sheetName val="SCH 11G"/>
      <sheetName val="SCH 11H"/>
      <sheetName val="SCH 11 I"/>
      <sheetName val="SCH 11J"/>
      <sheetName val="SCH 12"/>
      <sheetName val="SCH 12A"/>
      <sheetName val="SCH 12B"/>
      <sheetName val="SCHD 12C"/>
      <sheetName val="SCH 12D"/>
      <sheetName val="SCH 12E"/>
      <sheetName val="SCH 13"/>
      <sheetName val="Tit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 07"/>
      <sheetName val="Sept 06"/>
      <sheetName val="Tickmarks"/>
      <sheetName val="COMPUTATION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3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3CD Final"/>
      <sheetName val="Annexure-I "/>
      <sheetName val="ANN -II TO 3CD (2)"/>
      <sheetName val="Annex-1"/>
      <sheetName val="Annex-2"/>
      <sheetName val="Annexure-3  "/>
      <sheetName val="Annex 3A "/>
      <sheetName val="Annex 3A  - Final"/>
      <sheetName val="Annexure-3B "/>
      <sheetName val="Annexure-4"/>
      <sheetName val="Annex -5"/>
      <sheetName val="Annx-6"/>
      <sheetName val="Annx-7"/>
      <sheetName val="Annex-8A"/>
      <sheetName val="Annex-8B"/>
      <sheetName val="Annex - 9"/>
      <sheetName val="Annexure- 10"/>
      <sheetName val="Annexure 11"/>
      <sheetName val="Annexure-12 qty"/>
      <sheetName val="Annexure-13 Ratio "/>
      <sheetName val="summary"/>
      <sheetName val="Details "/>
      <sheetName val="work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_Sch"/>
      <sheetName val="31.03.05"/>
      <sheetName val="Furniture and Fixtures"/>
      <sheetName val="Office Equiptments"/>
      <sheetName val="Vehicles"/>
      <sheetName val="DPE_Computers"/>
      <sheetName val="Expressway"/>
      <sheetName val="XREF"/>
      <sheetName val="Tickmarks"/>
      <sheetName val="Sept 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inal - Anita"/>
      <sheetName val="Final"/>
      <sheetName val="Provfor Doubt Debts "/>
      <sheetName val="XREF"/>
      <sheetName val="Fixed asset register"/>
      <sheetName val="Consumption"/>
      <sheetName val="Stocks Annexure"/>
      <sheetName val="SALE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POLICY"/>
      <sheetName val="NEW POLICY"/>
      <sheetName val="IMPACT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Quotations Procedure"/>
      <sheetName val="Schedule 2006-2007"/>
      <sheetName val="Schedule 2005-2006"/>
      <sheetName val="Schedule C - 2004-2005"/>
      <sheetName val="Vadodara Halol Toll Road"/>
      <sheetName val="Claim Adjust"/>
      <sheetName val="VH Road"/>
      <sheetName val="Office Premises"/>
      <sheetName val="Furniture and Fixtures"/>
      <sheetName val="Office Equipments"/>
      <sheetName val="Data Processing Equipments"/>
      <sheetName val="Vehicles"/>
      <sheetName val="Electrical Installations"/>
      <sheetName val="P&amp;L sale of assets"/>
      <sheetName val="Variance Analysis"/>
      <sheetName val="VHR for 30 years mARCH 2007"/>
      <sheetName val="VHR for 30 years March 2006"/>
      <sheetName val="XREF"/>
      <sheetName val="Tickmarks"/>
      <sheetName val="CWIP"/>
      <sheetName val="VHR for 30 years"/>
      <sheetName val="Investment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blockwise"/>
      <sheetName val="finally a reg"/>
      <sheetName val="wkg"/>
      <sheetName val="XREF"/>
      <sheetName val="Tickmarks"/>
      <sheetName val="blockwise"/>
      <sheetName val="FA final reg"/>
      <sheetName val="Sheet1"/>
      <sheetName val="#REF"/>
      <sheetName val="A&amp;M Road"/>
      <sheetName val="DPE"/>
      <sheetName val="Elect. Install."/>
      <sheetName val="F&amp;F"/>
      <sheetName val="Office Equip."/>
      <sheetName val="Office Premises"/>
      <sheetName val="Vehicles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pe"/>
      <sheetName val="ANN -II TO 3CD"/>
      <sheetName val="Pivot of expenses"/>
      <sheetName val="Working"/>
      <sheetName val="Working of Medical Claim"/>
      <sheetName val="FBT Challan details F-09"/>
      <sheetName val="SA Contr"/>
      <sheetName val="FBT Ledger download Apr.08  "/>
      <sheetName val="FBT Ledger download Apr.08  Fin"/>
      <sheetName val="Dump for taxable"/>
      <sheetName val="XREF"/>
      <sheetName val="Tickmarks"/>
    </sheetNames>
    <sheetDataSet>
      <sheetData sheetId="0"/>
      <sheetData sheetId="1"/>
      <sheetData sheetId="2"/>
      <sheetData sheetId="3">
        <row r="20">
          <cell r="E20">
            <v>9679889.7600000016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1. Policy"/>
      <sheetName val="3. Depreciation Test"/>
      <sheetName val="2. Balance Test"/>
      <sheetName val="4. Repairs &amp; Maintenance"/>
      <sheetName val="Tickmarks 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E"/>
      <sheetName val="F &amp; F"/>
      <sheetName val="Vehicles"/>
      <sheetName val="O Equip."/>
      <sheetName val="GH Equip"/>
      <sheetName val="XREF"/>
      <sheetName val="Tickmark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10"/>
      <sheetName val="SCH 11A"/>
      <sheetName val="SCH 11B"/>
      <sheetName val="SCH 11C"/>
      <sheetName val="SCH 11D"/>
      <sheetName val="SCH 11E"/>
      <sheetName val="SCH 11F"/>
      <sheetName val="SCH 11G"/>
      <sheetName val="SCH 11H"/>
      <sheetName val="SCH 11 I"/>
      <sheetName val="SCH 11J"/>
      <sheetName val="SCH 12"/>
      <sheetName val="SCH 12A"/>
      <sheetName val="SCH 12B"/>
      <sheetName val="SCHD 12C"/>
      <sheetName val="SCH 12D"/>
      <sheetName val="SCH 12E"/>
      <sheetName val="SCH 13"/>
      <sheetName val="Tit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E"/>
      <sheetName val="F &amp; F"/>
      <sheetName val="Vehicles"/>
      <sheetName val="O Equip."/>
      <sheetName val="GH Equip"/>
      <sheetName val="XREF"/>
      <sheetName val="Tickmark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</sheetDataSet>
  </externalBook>
</externalLink>
</file>

<file path=xl/externalLinks/externalLink3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l-EXCL"/>
      <sheetName val="pL-iNCL"/>
      <sheetName val="Sheet3"/>
      <sheetName val="P&amp;L"/>
      <sheetName val="BS"/>
      <sheetName val="VARIANCE ANALYSIS "/>
      <sheetName val="cash flow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GROUPINGS"/>
      <sheetName val="SIF P&amp;L BS"/>
      <sheetName val="SIF P&amp;L"/>
      <sheetName val="SIF Workings"/>
      <sheetName val="SIF Results Back up"/>
      <sheetName val="PROVISIONS"/>
      <sheetName val="P &amp; L Approach(OB)"/>
      <sheetName val="P &amp; L Approach(CB) "/>
      <sheetName val="AS-22"/>
      <sheetName val="Nagar provisions"/>
      <sheetName val="CL PROVISION"/>
      <sheetName val="SIF R20&amp;R30 "/>
      <sheetName val="SIF-Sent to France"/>
      <sheetName val="sch-IV"/>
      <sheetName val="TBM ANALYS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3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ing"/>
      <sheetName val="Check list"/>
      <sheetName val="Summary"/>
      <sheetName val="Bal Sheet as per grouping"/>
      <sheetName val="Bal Sheet"/>
      <sheetName val="Sell Exp"/>
      <sheetName val="S&amp;M for Jap Rep"/>
      <sheetName val="comments t suchiya"/>
      <sheetName val="comments"/>
      <sheetName val="mfg fin with .5 adm cost"/>
      <sheetName val="mfg without .5 adm cost"/>
      <sheetName val="Working-Mar 2000"/>
      <sheetName val="Tally Control"/>
      <sheetName val="OSF"/>
      <sheetName val="qty"/>
      <sheetName val="COGS"/>
      <sheetName val="Comments (2)"/>
      <sheetName val="Plant goals"/>
      <sheetName val="Capex &amp; Headcount"/>
      <sheetName val="Rev &amp; GP"/>
      <sheetName val="PL"/>
      <sheetName val="Fin.Summ."/>
      <sheetName val="Sales &amp; Pdn.Summ."/>
      <sheetName val="BS"/>
      <sheetName val="WIP"/>
      <sheetName val="Kobayashi Detail"/>
      <sheetName val="Sheet1"/>
      <sheetName val="FA sch as per Jap Rep."/>
      <sheetName val="Sheet2"/>
      <sheetName val="Half Yrly"/>
      <sheetName val="Control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_res"/>
      <sheetName val="InputPO_Del"/>
      <sheetName val="Summary"/>
      <sheetName val="P &amp; L - BenchMark -All Biz (II)"/>
      <sheetName val="P_&amp;_L_-_BenchMark_-All_Biz_(II)"/>
      <sheetName val="P_&amp;_L_-_BenchMark_-All_Biz_(II1"/>
      <sheetName val="P_&amp;_L_-_BenchMark_-All_Biz_(II2"/>
      <sheetName val="Compiled P&amp;L"/>
      <sheetName val="4. TOP 25 QTY &amp; VALUE WISE "/>
      <sheetName val="INDIVIDUAL GRAPH DATA"/>
      <sheetName val="HOTO Status"/>
      <sheetName val="HOTO Status - Own Built"/>
      <sheetName val="HOTO Status- Leased"/>
      <sheetName val="@RISK Correlations"/>
      <sheetName val="@RISK_Correlations"/>
      <sheetName val="oresreqsum"/>
      <sheetName val="2.00-03 Final Budget"/>
      <sheetName val="1.2"/>
      <sheetName val="STR_PLAN2"/>
      <sheetName val="Lists"/>
      <sheetName val="Notes"/>
      <sheetName val="GL"/>
      <sheetName val="Input"/>
      <sheetName val="DET0900"/>
      <sheetName val="Const QMS Dash Board"/>
      <sheetName val="A G PIPING"/>
      <sheetName val="OVER ALL"/>
      <sheetName val="@RISK_Correlations2"/>
      <sheetName val="HOTO_Status1"/>
      <sheetName val="HOTO_Status_-_Own_Built1"/>
      <sheetName val="HOTO_Status-_Leased1"/>
      <sheetName val="Const_QMS_Dash_Board1"/>
      <sheetName val="A_G_PIPING1"/>
      <sheetName val="OVER_ALL1"/>
      <sheetName val="@RISK_Correlations1"/>
      <sheetName val="HOTO_Status"/>
      <sheetName val="HOTO_Status_-_Own_Built"/>
      <sheetName val="HOTO_Status-_Leased"/>
      <sheetName val="Const_QMS_Dash_Board"/>
      <sheetName val="A_G_PIPING"/>
      <sheetName val="OVER_ALL"/>
      <sheetName val="19-PERF"/>
      <sheetName val="NLD - Assum"/>
      <sheetName val="Capex-fixed"/>
      <sheetName val="BPC"/>
      <sheetName val="RMMB_Convcst"/>
      <sheetName val="SOLUT006"/>
      <sheetName val="CRUDE"/>
      <sheetName val="BOQ+Data"/>
      <sheetName val="Cap_Porta Cabins"/>
      <sheetName val="Cap_Shut_Scaf"/>
      <sheetName val="12 Taxes &amp; Duties."/>
      <sheetName val="13 Overhead_Demob_Financial"/>
      <sheetName val="BAL-PAGE-8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めも"/>
      <sheetName val="ｓｔｏｒｙ"/>
      <sheetName val="ﾏﾆｭｱﾙ"/>
      <sheetName val="ふんどし0308"/>
      <sheetName val="1"/>
      <sheetName val="1new0308"/>
      <sheetName val="対象顧客0309"/>
      <sheetName val="対象顧客0309 (2)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3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めも"/>
      <sheetName val="ｓｔｏｒｙ"/>
      <sheetName val="ﾏﾆｭｱﾙ"/>
      <sheetName val="ふんどし0308"/>
      <sheetName val="1"/>
      <sheetName val="1new0308"/>
      <sheetName val="対象顧客0309"/>
      <sheetName val="対象顧客0309 (2)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3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UNK"/>
      <sheetName val="平残連結"/>
      <sheetName val="平残DFL"/>
      <sheetName val="平残LOAN"/>
      <sheetName val="平残ﾚﾝﾀﾙ"/>
      <sheetName val="平残投資"/>
      <sheetName val="残高連結"/>
      <sheetName val="残高DFL"/>
      <sheetName val="残高LOAN"/>
      <sheetName val="残高ﾚﾝﾀﾙ"/>
      <sheetName val="残高投資"/>
      <sheetName val="人"/>
      <sheetName val="DFL連結"/>
      <sheetName val="LOAN連結"/>
      <sheetName val="ﾚﾝﾀﾙ連結"/>
      <sheetName val="その他連結"/>
      <sheetName val="受取手数料"/>
      <sheetName val="再ﾘｰｽ収益"/>
      <sheetName val="諸原価連結"/>
      <sheetName val="発生連結"/>
      <sheetName val="利息連結"/>
      <sheetName val="ﾚﾝﾀ償却連結"/>
      <sheetName val="その他原価"/>
      <sheetName val="支払手数料"/>
      <sheetName val="販管連結"/>
      <sheetName val="繰入連結"/>
      <sheetName val="雑損失"/>
      <sheetName val="粗利調整"/>
      <sheetName val="仕切ｺｽ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</sheetDataSet>
  </externalBook>
</externalLink>
</file>

<file path=xl/externalLinks/externalLink3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UNK"/>
      <sheetName val="平残連結"/>
      <sheetName val="平残DFL"/>
      <sheetName val="平残LOAN"/>
      <sheetName val="平残ﾚﾝﾀﾙ"/>
      <sheetName val="平残投資"/>
      <sheetName val="残高連結"/>
      <sheetName val="残高DFL"/>
      <sheetName val="残高LOAN"/>
      <sheetName val="残高ﾚﾝﾀﾙ"/>
      <sheetName val="残高投資"/>
      <sheetName val="人"/>
      <sheetName val="DFL連結"/>
      <sheetName val="LOAN連結"/>
      <sheetName val="ﾚﾝﾀﾙ連結"/>
      <sheetName val="その他連結"/>
      <sheetName val="受取手数料"/>
      <sheetName val="再ﾘｰｽ収益"/>
      <sheetName val="諸原価連結"/>
      <sheetName val="発生連結"/>
      <sheetName val="利息連結"/>
      <sheetName val="ﾚﾝﾀ償却連結"/>
      <sheetName val="その他原価"/>
      <sheetName val="支払手数料"/>
      <sheetName val="販管連結"/>
      <sheetName val="繰入連結"/>
      <sheetName val="雑損失"/>
      <sheetName val="粗利調整"/>
      <sheetName val="仕切ｺｽ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</sheetDataSet>
  </externalBook>
</externalLink>
</file>

<file path=xl/externalLinks/externalLink3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平残連結"/>
      <sheetName val="平残DFL"/>
      <sheetName val="平残LOAN"/>
      <sheetName val="平残ﾚﾝﾀﾙ"/>
      <sheetName val="平残投資"/>
      <sheetName val="残高連結"/>
      <sheetName val="残高DFL"/>
      <sheetName val="残高LOAN"/>
      <sheetName val="残高ﾚﾝﾀﾙ"/>
      <sheetName val="残高投資"/>
      <sheetName val="末人員"/>
      <sheetName val="平均人員"/>
      <sheetName val="DFL連結"/>
      <sheetName val="LOAN連結"/>
      <sheetName val="ﾚﾝﾀﾙ連結"/>
      <sheetName val="その他連結"/>
      <sheetName val="受取手数料"/>
      <sheetName val="再ﾘｰｽ収益"/>
      <sheetName val="諸原価連結"/>
      <sheetName val="利息連結"/>
      <sheetName val="その他原価"/>
      <sheetName val="ﾚﾝﾀﾙ原価連結"/>
      <sheetName val="支払手数料"/>
      <sheetName val="販管連結"/>
      <sheetName val="貸倒繰入連結"/>
      <sheetName val="雑損失"/>
      <sheetName val="粗利調整"/>
      <sheetName val="仕切ｺｽﾄ"/>
      <sheetName val="発生連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96-97"/>
      <sheetName val="BAL96_97"/>
      <sheetName val="ANNUALAC"/>
      <sheetName val="income tax"/>
      <sheetName val="MAT"/>
      <sheetName val="houseprop"/>
      <sheetName val="dep"/>
      <sheetName val="wealthtax "/>
      <sheetName val="pl96-97"/>
      <sheetName val="TB"/>
      <sheetName val="BS SCH"/>
      <sheetName val="BS"/>
      <sheetName val="P &amp; L"/>
      <sheetName val="F Asset"/>
      <sheetName val="abstract"/>
      <sheetName val="Sheet1"/>
      <sheetName val="Sheet2"/>
      <sheetName val="Sheet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ns &amp; aDVANCES (2)"/>
      <sheetName val="Loans &amp; aDVANCES"/>
      <sheetName val="Curr Assets "/>
      <sheetName val="Borrowing Bifurcation"/>
      <sheetName val="PGC"/>
      <sheetName val="B S"/>
      <sheetName val="P L"/>
      <sheetName val="Reserves"/>
      <sheetName val="Invest Break"/>
      <sheetName val="Other Loans "/>
      <sheetName val="Tier II Capital "/>
      <sheetName val="Investments"/>
      <sheetName val="Borrowing Summary"/>
      <sheetName val="Investment Summary"/>
      <sheetName val="Curr Liab Provs "/>
      <sheetName val="DEPOSITS"/>
      <sheetName val="Interest Accrued on Inv"/>
      <sheetName val="Adv Recd"/>
      <sheetName val="Misc Liability"/>
      <sheetName val="Sundry Debtors"/>
      <sheetName val="Interst Accrued on Loans"/>
      <sheetName val="Prepaid Expenses iss"/>
      <sheetName val="Prepaid Expenses"/>
      <sheetName val="Interest Accrued (Liability)"/>
      <sheetName val="Sundry Creditors"/>
      <sheetName val="Gross 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0312"/>
      <sheetName val="有価"/>
      <sheetName val="0309"/>
      <sheetName val="Sheet1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0312"/>
      <sheetName val="有価"/>
      <sheetName val="0309"/>
      <sheetName val="Sheet1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関連会社明細"/>
      <sheetName val="子会社まとめ"/>
      <sheetName val="関連会社まとめ"/>
      <sheetName val="子会社明細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4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関連会社明細"/>
      <sheetName val="子会社まとめ"/>
      <sheetName val="関連会社まとめ"/>
      <sheetName val="子会社明細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4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売却可能公債"/>
      <sheetName val="短期"/>
      <sheetName val="売却可能株式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売却可能公債"/>
      <sheetName val="短期"/>
      <sheetName val="売却可能株式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別比較"/>
      <sheetName val="課別税前"/>
      <sheetName val="課別税前 (前期)"/>
      <sheetName val="前当期利息"/>
      <sheetName val="前当期営業収入"/>
      <sheetName val="前当期資産"/>
      <sheetName val="3部提出用累計"/>
      <sheetName val="ROUND用"/>
      <sheetName val="組替後"/>
      <sheetName val="ﾃﾞｰﾀ変換"/>
      <sheetName val="SAPﾃﾞｰﾀ貼付用"/>
      <sheetName val="前期ROUND用"/>
      <sheetName val="前期ROUND用0104"/>
      <sheetName val="前期ROUND用0106"/>
      <sheetName val="ROUND用0204"/>
      <sheetName val="ROUND用0204単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別比較"/>
      <sheetName val="課別税前"/>
      <sheetName val="課別税前 (前期)"/>
      <sheetName val="前当期利息"/>
      <sheetName val="前当期営業収入"/>
      <sheetName val="前当期資産"/>
      <sheetName val="3部提出用累計"/>
      <sheetName val="ROUND用"/>
      <sheetName val="組替後"/>
      <sheetName val="ﾃﾞｰﾀ変換"/>
      <sheetName val="SAPﾃﾞｰﾀ貼付用"/>
      <sheetName val="前期ROUND用"/>
      <sheetName val="前期ROUND用0104"/>
      <sheetName val="前期ROUND用0106"/>
      <sheetName val="ROUND用0204"/>
      <sheetName val="ROUND用0204単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船舶"/>
      <sheetName val="テーマ"/>
      <sheetName val="備忘"/>
      <sheetName val="四半期毎MICﾃﾞｰﾀ転記"/>
      <sheetName val="融資二部修正・04年09月追加・船舶修正"/>
      <sheetName val="９５年３月期～"/>
      <sheetName val="事業ﾏﾄﾘｯｸｽ②"/>
      <sheetName val="200403"/>
      <sheetName val="ogawa ﾃﾞｰﾀﾒﾝﾃ上の注意"/>
      <sheetName val="ogawa用"/>
      <sheetName val="0412　ＯＵＣ修正"/>
      <sheetName val="事業ﾎﾟｰ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4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船舶"/>
      <sheetName val="テーマ"/>
      <sheetName val="備忘"/>
      <sheetName val="四半期毎MICﾃﾞｰﾀ転記"/>
      <sheetName val="融資二部修正・04年09月追加・船舶修正"/>
      <sheetName val="９５年３月期～"/>
      <sheetName val="事業ﾏﾄﾘｯｸｽ②"/>
      <sheetName val="200403"/>
      <sheetName val="ogawa ﾃﾞｰﾀﾒﾝﾃ上の注意"/>
      <sheetName val="ogawa用"/>
      <sheetName val="0412　ＯＵＣ修正"/>
      <sheetName val="事業ﾎﾟｰ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ns &amp; aDVANCES (2)"/>
      <sheetName val="Loans &amp; aDVANCES"/>
      <sheetName val="Curr Assets "/>
      <sheetName val="Borrowing Bifurcation"/>
      <sheetName val="PGC"/>
      <sheetName val="B S"/>
      <sheetName val="P L"/>
      <sheetName val="Reserves"/>
      <sheetName val="Invest Break"/>
      <sheetName val="Other Loans "/>
      <sheetName val="Tier II Capital "/>
      <sheetName val="Investments"/>
      <sheetName val="Borrowing Summary"/>
      <sheetName val="Investment Summary"/>
      <sheetName val="Curr Liab Provs "/>
      <sheetName val="DEPOSITS"/>
      <sheetName val="Interest Accrued on Inv"/>
      <sheetName val="Adv Recd"/>
      <sheetName val="Misc Liability"/>
      <sheetName val="Sundry Debtors"/>
      <sheetName val="Interst Accrued on Loans"/>
      <sheetName val="Prepaid Expenses iss"/>
      <sheetName val="Prepaid Expenses"/>
      <sheetName val="Interest Accrued (Liability)"/>
      <sheetName val="Sundry Creditors"/>
      <sheetName val="Gross 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計画室（1-26）"/>
      <sheetName val="変更点"/>
      <sheetName val="投資会社等"/>
      <sheetName val="ｶﾝﾘﾔｸｲﾝ"/>
      <sheetName val="分析1"/>
      <sheetName val="分析2"/>
      <sheetName val="平均人員ｻﾏﾘｰ"/>
      <sheetName val="平均人員明細"/>
      <sheetName val="SGA明細"/>
      <sheetName val="修正後TB"/>
      <sheetName val="単体SGA"/>
      <sheetName val="G配賦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ifuadd"/>
      <sheetName val="四半期毎MICﾃﾞｰﾀ転記"/>
    </sheetNames>
    <definedNames>
      <definedName name="配賦.box2_select"/>
      <definedName name="配賦.OptionChk1"/>
      <definedName name="配賦.OptionChk2"/>
      <definedName name="配賦.OptionChk3"/>
    </definedNames>
    <sheetDataSet>
      <sheetData sheetId="0" refreshError="1"/>
      <sheetData sheetId="1" refreshError="1"/>
    </sheetDataSet>
  </externalBook>
</externalLink>
</file>

<file path=xl/externalLinks/externalLink4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Debt Sch"/>
      <sheetName val="Depreciation Schedule"/>
      <sheetName val="RKA CAPM"/>
      <sheetName val="NRPPL RKA P&amp;L"/>
      <sheetName val="RKA P&amp;L"/>
      <sheetName val="Summary_S1 PSA"/>
    </sheetNames>
    <sheetDataSet>
      <sheetData sheetId="0">
        <row r="3">
          <cell r="M3">
            <v>365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ies"/>
      <sheetName val="Macros"/>
      <sheetName val="Indicators"/>
      <sheetName val="Assum"/>
      <sheetName val="PC"/>
      <sheetName val="Sheet3"/>
      <sheetName val="Capex Phasing &amp; financing"/>
      <sheetName val="LC Drawdown"/>
      <sheetName val="Capex Phasing &amp; Fin-RE"/>
      <sheetName val="Addl Capex &amp; Debt"/>
      <sheetName val="TrafficRev"/>
      <sheetName val="CDM"/>
      <sheetName val="RE-Revenue"/>
      <sheetName val="Sheet2"/>
      <sheetName val="Opex"/>
      <sheetName val="FA Schedule"/>
      <sheetName val="Deprn"/>
      <sheetName val="ITDeprn"/>
      <sheetName val="Tax"/>
      <sheetName val="P&amp;L"/>
      <sheetName val="Cash Flow"/>
      <sheetName val="BS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0708"/>
      <sheetName val="Related Party"/>
      <sheetName val="NOTES"/>
      <sheetName val="Prov schedule"/>
      <sheetName val="SCH -IV OSL-EXPENSES"/>
      <sheetName val="Schedule"/>
      <sheetName val="GRIR"/>
      <sheetName val="Cal of EPS"/>
      <sheetName val="cash flow"/>
      <sheetName val="Final Main  (2)"/>
      <sheetName val="Final Main "/>
      <sheetName val="Grouping Report "/>
      <sheetName val="TB Tracking"/>
      <sheetName val="Sheet4"/>
      <sheetName val="Master TB"/>
      <sheetName val="Final TB"/>
      <sheetName val="vendor as on Mar 31"/>
      <sheetName val="entry"/>
      <sheetName val="master vendor bal 31.03.08"/>
      <sheetName val="FBT Calculation"/>
      <sheetName val="deferred Tax liability"/>
      <sheetName val="ICD int cal"/>
      <sheetName val="TB 4 working 31.03.08 as 22.07"/>
      <sheetName val="TB as on 31.03.08 as on 3.7.08"/>
      <sheetName val="RElated part purchase"/>
      <sheetName val="Sheet1"/>
      <sheetName val="Shareholding pattern 2007-08"/>
      <sheetName val="Tb as of Mar31 as on 22.07.08"/>
      <sheetName val="TB as on 17.07.08 for Mar'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G15">
            <v>81076801.310000002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OVER"/>
      <sheetName val="INDEX"/>
      <sheetName val="BAL"/>
      <sheetName val="P&amp;L"/>
      <sheetName val="NOTES "/>
      <sheetName val="COA-IPCL"/>
      <sheetName val="BKCSTOCKVAL"/>
      <sheetName val="Wimax(13)"/>
      <sheetName val="Wimax_90+(14)"/>
      <sheetName val="oresreqsum"/>
      <sheetName val="Switch"/>
      <sheetName val="RCIL-Conso-details"/>
      <sheetName val="assumptions"/>
      <sheetName val="Consolidated"/>
      <sheetName val="Assump"/>
      <sheetName val="Controls"/>
      <sheetName val="BS"/>
      <sheetName val="NOTES_"/>
      <sheetName val="GlobalVariables"/>
      <sheetName val="ALL-IBANK-BRS"/>
      <sheetName val="Sheet2"/>
      <sheetName val="Calculation_Master"/>
      <sheetName val="Input"/>
      <sheetName val="factors"/>
      <sheetName val="Factor_-local"/>
      <sheetName val="fco"/>
      <sheetName val="Recon"/>
      <sheetName val="Sheet1"/>
      <sheetName val="Factor-_cables"/>
      <sheetName val="Statements"/>
      <sheetName val="Factors-overall"/>
      <sheetName val="IRU_Pivot"/>
      <sheetName val="LEA_Pivot"/>
      <sheetName val="Master_Price_List"/>
      <sheetName val="DMS_Configurator"/>
      <sheetName val="Contract_Value_summary"/>
      <sheetName val="Michael_Magliato"/>
      <sheetName val="Variables"/>
      <sheetName val="DETAIL_SHEET"/>
      <sheetName val="CBS"/>
      <sheetName val="Network_Procurement_Tracker"/>
      <sheetName val="NOTES_1"/>
      <sheetName val="NOTES_2"/>
      <sheetName val="entitlements"/>
      <sheetName val="PLJAN"/>
      <sheetName val="cover for tax"/>
      <sheetName val="FORM-16"/>
      <sheetName val="Summary_Local"/>
      <sheetName val="FX"/>
      <sheetName val="currency (2)"/>
      <sheetName val="Scenarios"/>
      <sheetName val="Sheet2 (2)"/>
      <sheetName val="Input 3"/>
      <sheetName val="Chart of Account"/>
      <sheetName val="NOTES_3"/>
      <sheetName val="Chart_of_Account"/>
      <sheetName val="NOTES_4"/>
      <sheetName val="Chart_of_Account1"/>
      <sheetName val="NOTES_5"/>
      <sheetName val="Chart_of_Account2"/>
      <sheetName val="NOTES_6"/>
      <sheetName val="Chart_of_Account3"/>
      <sheetName val="NOTES_7"/>
      <sheetName val="Chart_of_Account4"/>
      <sheetName val="NOTES_8"/>
      <sheetName val="Chart_of_Account5"/>
      <sheetName val="NOTES_9"/>
      <sheetName val="Chart_of_Account6"/>
      <sheetName val="NOTES_10"/>
      <sheetName val="Chart_of_Account7"/>
      <sheetName val="Excess Calc"/>
      <sheetName val="LS"/>
      <sheetName val="XREF"/>
      <sheetName val="Comp-SVP"/>
      <sheetName val="NOTES_11"/>
      <sheetName val="Chart_of_Account8"/>
      <sheetName val="NOTES_12"/>
      <sheetName val="Chart_of_Account9"/>
      <sheetName val="Sheet14"/>
      <sheetName val="RM-PM"/>
      <sheetName val="Definitions"/>
      <sheetName val="4_Analysis"/>
      <sheetName val="5 Star Hotel"/>
      <sheetName val="Physical(2)"/>
      <sheetName val="S.3.6_GL Dump"/>
      <sheetName val="Excess_Calc"/>
      <sheetName val="cover_for_tax"/>
      <sheetName val="currency_(2)"/>
      <sheetName val="Sheet2_(2)"/>
      <sheetName val="Excess_Calc1"/>
      <sheetName val="InterimFinancial statements3006"/>
      <sheetName val="SPT vs PHI"/>
      <sheetName val="BLK2"/>
      <sheetName val="BLK3"/>
      <sheetName val="E &amp; R"/>
      <sheetName val="radar"/>
      <sheetName val="UG"/>
    </sheetNames>
    <sheetDataSet>
      <sheetData sheetId="0" refreshError="1">
        <row r="2">
          <cell r="B2" t="str">
            <v>RELIANCE INFOCOM B.V., Amsterdam</v>
          </cell>
        </row>
        <row r="4">
          <cell r="B4" t="str">
            <v>June 30, 2003</v>
          </cell>
        </row>
        <row r="5">
          <cell r="B5" t="str">
            <v>March 31, 2003</v>
          </cell>
        </row>
        <row r="11">
          <cell r="B11" t="str">
            <v>Balance Sheet as at June 30, 2003</v>
          </cell>
        </row>
        <row r="13">
          <cell r="B13" t="str">
            <v>April 1, 2003 through June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45">
          <cell r="F45">
            <v>1061673</v>
          </cell>
          <cell r="H45">
            <v>1061673</v>
          </cell>
        </row>
        <row r="61">
          <cell r="H61">
            <v>1112000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5">
          <cell r="F45">
            <v>1061673</v>
          </cell>
        </row>
      </sheetData>
      <sheetData sheetId="34">
        <row r="45">
          <cell r="F45">
            <v>1061673</v>
          </cell>
        </row>
      </sheetData>
      <sheetData sheetId="35"/>
      <sheetData sheetId="36"/>
      <sheetData sheetId="37"/>
      <sheetData sheetId="38">
        <row r="11">
          <cell r="B11" t="str">
            <v>PNS sales/run rate/equipment rental</v>
          </cell>
        </row>
      </sheetData>
      <sheetData sheetId="39">
        <row r="11">
          <cell r="B11" t="str">
            <v>PNS sales/run rate/equipment rental</v>
          </cell>
        </row>
      </sheetData>
      <sheetData sheetId="40">
        <row r="11">
          <cell r="B11" t="str">
            <v>PNS sales/run rate/equipment rental</v>
          </cell>
        </row>
      </sheetData>
      <sheetData sheetId="41">
        <row r="11">
          <cell r="B11" t="str">
            <v>PNS sales/run rate/equipment rental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11">
          <cell r="B11" t="str">
            <v>PNS sales/run rate/equipment rental</v>
          </cell>
        </row>
      </sheetData>
      <sheetData sheetId="56">
        <row r="11">
          <cell r="B11" t="str">
            <v>PNS sales/run rate/equipment rental</v>
          </cell>
        </row>
      </sheetData>
      <sheetData sheetId="57">
        <row r="11">
          <cell r="B11" t="str">
            <v>PNS sales/run rate/equipment rental</v>
          </cell>
        </row>
      </sheetData>
      <sheetData sheetId="58">
        <row r="11">
          <cell r="B11" t="str">
            <v>PNS sales/run rate/equipment rental</v>
          </cell>
        </row>
      </sheetData>
      <sheetData sheetId="59">
        <row r="11">
          <cell r="B11" t="str">
            <v>PNS sales/run rate/equipment rental</v>
          </cell>
        </row>
      </sheetData>
      <sheetData sheetId="60">
        <row r="11">
          <cell r="B11" t="str">
            <v>PNS sales/run rate/equipment rental</v>
          </cell>
        </row>
      </sheetData>
      <sheetData sheetId="61">
        <row r="11">
          <cell r="B11" t="str">
            <v>PNS sales/run rate/equipment rental</v>
          </cell>
        </row>
      </sheetData>
      <sheetData sheetId="62">
        <row r="11">
          <cell r="B11" t="str">
            <v>PNS sales/run rate/equipment rental</v>
          </cell>
        </row>
      </sheetData>
      <sheetData sheetId="63">
        <row r="11">
          <cell r="B11" t="str">
            <v>PNS sales/run rate/equipment rental</v>
          </cell>
        </row>
      </sheetData>
      <sheetData sheetId="64">
        <row r="11">
          <cell r="B11" t="str">
            <v>PNS sales/run rate/equipment rental</v>
          </cell>
        </row>
      </sheetData>
      <sheetData sheetId="65">
        <row r="11">
          <cell r="B11" t="str">
            <v>PNS sales/run rate/equipment rental</v>
          </cell>
        </row>
      </sheetData>
      <sheetData sheetId="66">
        <row r="11">
          <cell r="B11" t="str">
            <v>PNS sales/run rate/equipment rental</v>
          </cell>
        </row>
      </sheetData>
      <sheetData sheetId="67">
        <row r="11">
          <cell r="B11" t="str">
            <v>PNS sales/run rate/equipment rental</v>
          </cell>
        </row>
      </sheetData>
      <sheetData sheetId="68">
        <row r="11">
          <cell r="B11" t="str">
            <v>PNS sales/run rate/equipment rental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1">
          <cell r="B11" t="str">
            <v>PNS sales/run rate/equipment rental</v>
          </cell>
        </row>
      </sheetData>
      <sheetData sheetId="76">
        <row r="11">
          <cell r="B11" t="str">
            <v>PNS sales/run rate/equipment rental</v>
          </cell>
        </row>
      </sheetData>
      <sheetData sheetId="77">
        <row r="11">
          <cell r="B11" t="str">
            <v>PNS sales/run rate/equipment rental</v>
          </cell>
        </row>
      </sheetData>
      <sheetData sheetId="78">
        <row r="11">
          <cell r="B11" t="str">
            <v>PNS sales/run rate/equipment rental</v>
          </cell>
        </row>
      </sheetData>
      <sheetData sheetId="79" refreshError="1"/>
      <sheetData sheetId="80" refreshError="1"/>
      <sheetData sheetId="81" refreshError="1"/>
      <sheetData sheetId="82">
        <row r="11">
          <cell r="B11" t="str">
            <v>PNS sales/run rate/equipment rental</v>
          </cell>
        </row>
      </sheetData>
      <sheetData sheetId="83">
        <row r="11">
          <cell r="B11" t="str">
            <v>PNS sales/run rate/equipment rental</v>
          </cell>
        </row>
      </sheetData>
      <sheetData sheetId="84">
        <row r="11">
          <cell r="B11" t="str">
            <v>PNS sales/run rate/equipment rental</v>
          </cell>
        </row>
      </sheetData>
      <sheetData sheetId="85" refreshError="1"/>
      <sheetData sheetId="86"/>
      <sheetData sheetId="87">
        <row r="11">
          <cell r="B11" t="str">
            <v>PNS sales/run rate/equipment rental</v>
          </cell>
        </row>
      </sheetData>
      <sheetData sheetId="88">
        <row r="11">
          <cell r="B11" t="str">
            <v>PNS sales/run rate/equipment rental</v>
          </cell>
        </row>
      </sheetData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UD"/>
      <sheetName val="10A"/>
      <sheetName val="80G"/>
      <sheetName val="80_"/>
      <sheetName val="SI"/>
      <sheetName val="EI_MAT"/>
      <sheetName val="FRINGE_BENEFIT_INFO"/>
      <sheetName val="IT_DDTP"/>
      <sheetName val="FSI"/>
      <sheetName val="TR_FA"/>
      <sheetName val="DDT_TDS_TCS"/>
      <sheetName val="Instructions"/>
      <sheetName val="Pre_XML"/>
      <sheetName val="Calculator"/>
      <sheetName val="Setoff"/>
      <sheetName val="March 12 - VEL 2012_ITR6_PR8"/>
    </sheetNames>
    <sheetDataSet>
      <sheetData sheetId="0"/>
      <sheetData sheetId="1"/>
      <sheetData sheetId="2">
        <row r="15">
          <cell r="AQ15" t="str">
            <v>Yes</v>
          </cell>
        </row>
        <row r="32">
          <cell r="U32" t="str">
            <v>RES - Resident</v>
          </cell>
        </row>
        <row r="52">
          <cell r="B52" t="str">
            <v>01-ANDAMAN AND NICOBAR ISLANDS</v>
          </cell>
          <cell r="U52" t="str">
            <v>6-Public Company</v>
          </cell>
          <cell r="AJ52" t="str">
            <v>11- u/s 139(1)</v>
          </cell>
          <cell r="DA52" t="str">
            <v>Yes</v>
          </cell>
          <cell r="DH52" t="str">
            <v>Yes</v>
          </cell>
          <cell r="DP52" t="str">
            <v>Yes</v>
          </cell>
          <cell r="DS52" t="str">
            <v>Yes</v>
          </cell>
          <cell r="EB52" t="str">
            <v>O-Original</v>
          </cell>
          <cell r="EM52" t="str">
            <v>RES-Resident</v>
          </cell>
        </row>
        <row r="53">
          <cell r="B53" t="str">
            <v>02-ANDHRA PRADESH</v>
          </cell>
          <cell r="U53" t="str">
            <v>7-Private Company</v>
          </cell>
          <cell r="AJ53" t="str">
            <v>12- u/s 139(4)</v>
          </cell>
          <cell r="DA53" t="str">
            <v>No</v>
          </cell>
          <cell r="DH53" t="str">
            <v>No</v>
          </cell>
          <cell r="DP53" t="str">
            <v>No</v>
          </cell>
          <cell r="DS53" t="str">
            <v>No</v>
          </cell>
          <cell r="EB53" t="str">
            <v>R-Revised</v>
          </cell>
          <cell r="EM53" t="str">
            <v>NRI-Non Resident</v>
          </cell>
        </row>
        <row r="54">
          <cell r="B54" t="str">
            <v>03-ARUNACHAL PRADESH</v>
          </cell>
          <cell r="AJ54" t="str">
            <v>13- u/s 142(1)</v>
          </cell>
        </row>
        <row r="55">
          <cell r="B55" t="str">
            <v>04-ASSAM</v>
          </cell>
          <cell r="AJ55" t="str">
            <v>14- u/s 148</v>
          </cell>
        </row>
        <row r="56">
          <cell r="B56" t="str">
            <v>05-BIHAR</v>
          </cell>
          <cell r="AJ56" t="str">
            <v>15- u/s 153A</v>
          </cell>
        </row>
        <row r="57">
          <cell r="B57" t="str">
            <v>06-CHANDIGARH</v>
          </cell>
          <cell r="AJ57" t="str">
            <v>16 - u/s 153C r/w 153A</v>
          </cell>
        </row>
        <row r="58">
          <cell r="B58" t="str">
            <v>07-DADRA AND NAGAR HAVELI</v>
          </cell>
          <cell r="AJ58" t="str">
            <v>17 - u/s 139(5)</v>
          </cell>
        </row>
        <row r="59">
          <cell r="B59" t="str">
            <v>08-DAMAN AND DIU</v>
          </cell>
          <cell r="AJ59" t="str">
            <v>18 - u/s 139(9)</v>
          </cell>
        </row>
        <row r="60">
          <cell r="B60" t="str">
            <v>09-DELHI</v>
          </cell>
        </row>
        <row r="61">
          <cell r="B61" t="str">
            <v>10-GOA</v>
          </cell>
        </row>
        <row r="62">
          <cell r="B62" t="str">
            <v>11-GUJARAT</v>
          </cell>
        </row>
        <row r="63">
          <cell r="B63" t="str">
            <v>12-HARYANA</v>
          </cell>
        </row>
        <row r="64">
          <cell r="B64" t="str">
            <v>13-HIMACHAL PRADESH</v>
          </cell>
        </row>
        <row r="65">
          <cell r="B65" t="str">
            <v>14-JAMMU AND KASHMIR</v>
          </cell>
        </row>
        <row r="66">
          <cell r="B66" t="str">
            <v>15-KARNATAKA</v>
          </cell>
        </row>
        <row r="67">
          <cell r="B67" t="str">
            <v>16-KERALA</v>
          </cell>
        </row>
        <row r="68">
          <cell r="B68" t="str">
            <v>17-LAKHSWADEEP</v>
          </cell>
        </row>
        <row r="69">
          <cell r="B69" t="str">
            <v>18-MADHYA PRADESH</v>
          </cell>
        </row>
        <row r="70">
          <cell r="B70" t="str">
            <v>19-MAHARASHTRA</v>
          </cell>
        </row>
        <row r="71">
          <cell r="B71" t="str">
            <v>20-MANIPUR</v>
          </cell>
        </row>
        <row r="72">
          <cell r="B72" t="str">
            <v>21-MEGHALAYA</v>
          </cell>
        </row>
        <row r="73">
          <cell r="B73" t="str">
            <v>22-MIZORAM</v>
          </cell>
        </row>
        <row r="74">
          <cell r="B74" t="str">
            <v>23-NAGALAND</v>
          </cell>
        </row>
        <row r="75">
          <cell r="B75" t="str">
            <v>24-ORISSA</v>
          </cell>
        </row>
        <row r="76">
          <cell r="B76" t="str">
            <v>25-PONDICHERRY</v>
          </cell>
        </row>
        <row r="77">
          <cell r="B77" t="str">
            <v>26-PUNJAB</v>
          </cell>
        </row>
        <row r="78">
          <cell r="B78" t="str">
            <v>27-RAJASTHAN</v>
          </cell>
        </row>
        <row r="79">
          <cell r="B79" t="str">
            <v>28-SIKKIM</v>
          </cell>
        </row>
        <row r="80">
          <cell r="B80" t="str">
            <v>29-TAMILNADU</v>
          </cell>
        </row>
        <row r="81">
          <cell r="B81" t="str">
            <v>30-TRIPURA</v>
          </cell>
        </row>
        <row r="82">
          <cell r="B82" t="str">
            <v>31-UTTAR PRADESH</v>
          </cell>
        </row>
        <row r="83">
          <cell r="B83" t="str">
            <v>32-WEST BENGAL</v>
          </cell>
        </row>
        <row r="84">
          <cell r="B84" t="str">
            <v>33-CHHATISHGARH</v>
          </cell>
        </row>
        <row r="85">
          <cell r="B85" t="str">
            <v>34-UTTARANCHAL</v>
          </cell>
        </row>
        <row r="86">
          <cell r="B86" t="str">
            <v>35-JHARKHAND</v>
          </cell>
        </row>
        <row r="87">
          <cell r="B87" t="str">
            <v>99-FOREIGN</v>
          </cell>
        </row>
      </sheetData>
      <sheetData sheetId="3">
        <row r="50">
          <cell r="C50" t="str">
            <v>1 - Holding company</v>
          </cell>
          <cell r="D50" t="str">
            <v>AMALGAMATING</v>
          </cell>
          <cell r="E50" t="str">
            <v>01-ANDAMAN AND NICOBAR ISLANDS</v>
          </cell>
          <cell r="G50" t="str">
            <v>Y</v>
          </cell>
        </row>
        <row r="51">
          <cell r="C51" t="str">
            <v>2 - Subsidiary company</v>
          </cell>
          <cell r="D51" t="str">
            <v>AMALGAMATED</v>
          </cell>
          <cell r="E51" t="str">
            <v>02-ANDHRA PRADESH</v>
          </cell>
          <cell r="G51" t="str">
            <v>N</v>
          </cell>
        </row>
        <row r="52">
          <cell r="C52" t="str">
            <v>3 - Both</v>
          </cell>
          <cell r="D52" t="str">
            <v>DEMERGED</v>
          </cell>
          <cell r="E52" t="str">
            <v>03-ARUNACHAL PRADESH</v>
          </cell>
        </row>
        <row r="53">
          <cell r="C53" t="str">
            <v>4 - Neither</v>
          </cell>
          <cell r="D53" t="str">
            <v>RESULTING</v>
          </cell>
          <cell r="E53" t="str">
            <v>04-ASSAM</v>
          </cell>
        </row>
        <row r="54">
          <cell r="E54" t="str">
            <v>05-BIHAR</v>
          </cell>
        </row>
        <row r="55">
          <cell r="E55" t="str">
            <v>06-CHANDIGARH</v>
          </cell>
        </row>
        <row r="56">
          <cell r="E56" t="str">
            <v>07-DADRA AND NAGAR HAVELI</v>
          </cell>
        </row>
        <row r="57">
          <cell r="E57" t="str">
            <v>08-DAMAN AND DIU</v>
          </cell>
        </row>
        <row r="58">
          <cell r="E58" t="str">
            <v>09-DELHI</v>
          </cell>
        </row>
        <row r="59">
          <cell r="E59" t="str">
            <v>10-GOA</v>
          </cell>
        </row>
        <row r="60">
          <cell r="E60" t="str">
            <v>11-GUJARAT</v>
          </cell>
        </row>
        <row r="61">
          <cell r="E61" t="str">
            <v>12-HARYANA</v>
          </cell>
        </row>
        <row r="62">
          <cell r="E62" t="str">
            <v>13-HIMACHAL PRADESH</v>
          </cell>
        </row>
        <row r="63">
          <cell r="E63" t="str">
            <v>14-JAMMU AND KASHMIR</v>
          </cell>
        </row>
        <row r="64">
          <cell r="E64" t="str">
            <v>15-KARNATAKA</v>
          </cell>
        </row>
        <row r="65">
          <cell r="E65" t="str">
            <v>16-KERALA</v>
          </cell>
        </row>
        <row r="66">
          <cell r="E66" t="str">
            <v>17-LAKHSWADEEP</v>
          </cell>
        </row>
        <row r="67">
          <cell r="E67" t="str">
            <v>18-MADHYA PRADESH</v>
          </cell>
        </row>
        <row r="68">
          <cell r="E68" t="str">
            <v>19-MAHARASHTRA</v>
          </cell>
        </row>
        <row r="69">
          <cell r="E69" t="str">
            <v>20-MANIPUR</v>
          </cell>
        </row>
        <row r="70">
          <cell r="E70" t="str">
            <v>21-MEGHALAYA</v>
          </cell>
        </row>
        <row r="71">
          <cell r="E71" t="str">
            <v>22-MIZORAM</v>
          </cell>
        </row>
        <row r="72">
          <cell r="E72" t="str">
            <v>23-NAGALAND</v>
          </cell>
        </row>
        <row r="73">
          <cell r="E73" t="str">
            <v>24-ORISSA</v>
          </cell>
        </row>
        <row r="74">
          <cell r="E74" t="str">
            <v>25-PONDICHERRY</v>
          </cell>
        </row>
        <row r="75">
          <cell r="E75" t="str">
            <v>26-PUNJAB</v>
          </cell>
        </row>
        <row r="76">
          <cell r="E76" t="str">
            <v>27-RAJASTHAN</v>
          </cell>
        </row>
        <row r="77">
          <cell r="E77" t="str">
            <v>28-SIKKIM</v>
          </cell>
        </row>
        <row r="78">
          <cell r="E78" t="str">
            <v>29-TAMILNADU</v>
          </cell>
        </row>
        <row r="79">
          <cell r="E79" t="str">
            <v>30-TRIPURA</v>
          </cell>
        </row>
        <row r="80">
          <cell r="E80" t="str">
            <v>31-UTTAR PRADESH</v>
          </cell>
        </row>
        <row r="81">
          <cell r="E81" t="str">
            <v>32-WEST BENGAL</v>
          </cell>
        </row>
        <row r="82">
          <cell r="E82" t="str">
            <v>33-CHHATISHGARH</v>
          </cell>
        </row>
        <row r="83">
          <cell r="E83" t="str">
            <v>34-UTTARANCHAL</v>
          </cell>
        </row>
        <row r="84">
          <cell r="E84" t="str">
            <v>35-JHARKHAND</v>
          </cell>
        </row>
        <row r="85">
          <cell r="E85" t="str">
            <v>99-FOREIGN</v>
          </cell>
        </row>
      </sheetData>
      <sheetData sheetId="4">
        <row r="10">
          <cell r="C10" t="str">
            <v>01-ANDAMAN AND NICOBAR ISLANDS</v>
          </cell>
        </row>
        <row r="11">
          <cell r="C11" t="str">
            <v>02-ANDHRA PRADESH</v>
          </cell>
        </row>
        <row r="12">
          <cell r="C12" t="str">
            <v>03-ARUNACHAL PRADESH</v>
          </cell>
        </row>
        <row r="13">
          <cell r="C13" t="str">
            <v>04-ASSAM</v>
          </cell>
        </row>
        <row r="14">
          <cell r="C14" t="str">
            <v>05-BIHAR</v>
          </cell>
        </row>
        <row r="15">
          <cell r="C15" t="str">
            <v>06-CHANDIGARH</v>
          </cell>
        </row>
        <row r="16">
          <cell r="C16" t="str">
            <v>07-DADRA AND NAGAR HAVELI</v>
          </cell>
        </row>
        <row r="17">
          <cell r="C17" t="str">
            <v>08-DAMAN AND DIU</v>
          </cell>
        </row>
        <row r="18">
          <cell r="C18" t="str">
            <v>09-DELHI</v>
          </cell>
        </row>
        <row r="19">
          <cell r="C19" t="str">
            <v>10-GOA</v>
          </cell>
        </row>
        <row r="20">
          <cell r="C20" t="str">
            <v>11-GUJARAT</v>
          </cell>
        </row>
        <row r="21">
          <cell r="C21" t="str">
            <v>12-HARYANA</v>
          </cell>
        </row>
        <row r="22">
          <cell r="C22" t="str">
            <v>13-HIMACHAL PRADESH</v>
          </cell>
        </row>
        <row r="23">
          <cell r="C23" t="str">
            <v>14-JAMMU AND KASHMIR</v>
          </cell>
        </row>
        <row r="24">
          <cell r="C24" t="str">
            <v>15-KARNATAKA</v>
          </cell>
        </row>
        <row r="25">
          <cell r="C25" t="str">
            <v>16-KERALA</v>
          </cell>
        </row>
        <row r="26">
          <cell r="C26" t="str">
            <v>17-LAKHSWADEEP</v>
          </cell>
        </row>
        <row r="27">
          <cell r="C27" t="str">
            <v>18-MADHYA PRADESH</v>
          </cell>
        </row>
        <row r="28">
          <cell r="C28" t="str">
            <v>19-MAHARASHTRA</v>
          </cell>
        </row>
        <row r="29">
          <cell r="C29" t="str">
            <v>20-MANIPUR</v>
          </cell>
        </row>
        <row r="30">
          <cell r="C30" t="str">
            <v>21-MEGHALAYA</v>
          </cell>
        </row>
        <row r="31">
          <cell r="C31" t="str">
            <v>22-MIZORAM</v>
          </cell>
        </row>
        <row r="32">
          <cell r="C32" t="str">
            <v>23-NAGALAND</v>
          </cell>
        </row>
        <row r="33">
          <cell r="C33" t="str">
            <v>24-ORISSA</v>
          </cell>
        </row>
        <row r="34">
          <cell r="C34" t="str">
            <v>25-PONDICHERRY</v>
          </cell>
        </row>
        <row r="35">
          <cell r="C35" t="str">
            <v>26-PUNJAB</v>
          </cell>
        </row>
        <row r="36">
          <cell r="C36" t="str">
            <v>27-RAJASTHAN</v>
          </cell>
        </row>
        <row r="37">
          <cell r="C37" t="str">
            <v>28-SIKKIM</v>
          </cell>
        </row>
        <row r="38">
          <cell r="C38" t="str">
            <v>29-TAMILNADU</v>
          </cell>
        </row>
        <row r="39">
          <cell r="C39" t="str">
            <v>30-TRIPURA</v>
          </cell>
        </row>
        <row r="40">
          <cell r="C40" t="str">
            <v>31-UTTAR PRADESH</v>
          </cell>
        </row>
        <row r="41">
          <cell r="C41" t="str">
            <v>32-WEST BENGAL</v>
          </cell>
        </row>
        <row r="42">
          <cell r="C42" t="str">
            <v>33-CHHATISHGARH</v>
          </cell>
        </row>
        <row r="43">
          <cell r="C43" t="str">
            <v>34-UTTARANCHAL</v>
          </cell>
        </row>
        <row r="44">
          <cell r="C44" t="str">
            <v>35-JHARKHAND</v>
          </cell>
        </row>
        <row r="45">
          <cell r="C45" t="str">
            <v>99-FOREIGN</v>
          </cell>
        </row>
      </sheetData>
      <sheetData sheetId="5">
        <row r="31">
          <cell r="C31" t="str">
            <v>0101-Agro-based industries</v>
          </cell>
          <cell r="E31" t="str">
            <v>Y</v>
          </cell>
          <cell r="I31" t="str">
            <v>01-ANDAMAN AND NICOBAR ISLANDS</v>
          </cell>
        </row>
        <row r="32">
          <cell r="C32" t="str">
            <v>0102-Automobile and Auto parts</v>
          </cell>
          <cell r="E32" t="str">
            <v>N</v>
          </cell>
          <cell r="I32" t="str">
            <v>02-ANDHRA PRADESH</v>
          </cell>
        </row>
        <row r="33">
          <cell r="C33" t="str">
            <v>0103-Cement</v>
          </cell>
          <cell r="I33" t="str">
            <v>03-ARUNACHAL PRADESH</v>
          </cell>
        </row>
        <row r="34">
          <cell r="C34" t="str">
            <v>0104-Diamond cutting</v>
          </cell>
          <cell r="I34" t="str">
            <v>04-ASSAM</v>
          </cell>
        </row>
        <row r="35">
          <cell r="C35" t="str">
            <v>0105-Drugs and Pharmaceuticals</v>
          </cell>
          <cell r="I35" t="str">
            <v>05-BIHAR</v>
          </cell>
        </row>
        <row r="36">
          <cell r="C36" t="str">
            <v>0106-Electronics including Computer Hardware</v>
          </cell>
          <cell r="I36" t="str">
            <v>06-CHANDIGARH</v>
          </cell>
        </row>
        <row r="37">
          <cell r="C37" t="str">
            <v>0107-Engineering goods</v>
          </cell>
          <cell r="I37" t="str">
            <v>07-DADRA AND NAGAR HAVELI</v>
          </cell>
        </row>
        <row r="38">
          <cell r="C38" t="str">
            <v>0108-Fertilizers, Chemicals, Paints</v>
          </cell>
          <cell r="I38" t="str">
            <v>08-DAMAN AND DIU</v>
          </cell>
        </row>
        <row r="39">
          <cell r="C39" t="str">
            <v>0109-Flour &amp; Rice Mills</v>
          </cell>
          <cell r="I39" t="str">
            <v>09-DELHI</v>
          </cell>
        </row>
        <row r="40">
          <cell r="C40" t="str">
            <v>0110-Food Processing units</v>
          </cell>
          <cell r="I40" t="str">
            <v>10-GOA</v>
          </cell>
        </row>
        <row r="41">
          <cell r="C41" t="str">
            <v>0111-Marble &amp; Granite</v>
          </cell>
          <cell r="I41" t="str">
            <v>11-GUJARAT</v>
          </cell>
        </row>
        <row r="42">
          <cell r="C42" t="str">
            <v>0112-Paper</v>
          </cell>
          <cell r="I42" t="str">
            <v>12-HARYANA</v>
          </cell>
        </row>
        <row r="43">
          <cell r="C43" t="str">
            <v>0113-Petroleum and Petrochemicals</v>
          </cell>
          <cell r="I43" t="str">
            <v>13-HIMACHAL PRADESH</v>
          </cell>
        </row>
        <row r="44">
          <cell r="C44" t="str">
            <v>0114-Power and energy</v>
          </cell>
          <cell r="I44" t="str">
            <v>14-JAMMU AND KASHMIR</v>
          </cell>
        </row>
        <row r="45">
          <cell r="C45" t="str">
            <v>0115-Printing &amp; Publishing</v>
          </cell>
          <cell r="I45" t="str">
            <v>15-KARNATAKA</v>
          </cell>
        </row>
        <row r="46">
          <cell r="C46" t="str">
            <v>0116-Rubber</v>
          </cell>
          <cell r="I46" t="str">
            <v>16-KERALA</v>
          </cell>
        </row>
        <row r="47">
          <cell r="C47" t="str">
            <v>0117-Steel</v>
          </cell>
          <cell r="I47" t="str">
            <v>17-LAKHSWADEEP</v>
          </cell>
        </row>
        <row r="48">
          <cell r="C48" t="str">
            <v>0118-Sugar</v>
          </cell>
          <cell r="I48" t="str">
            <v>18-MADHYA PRADESH</v>
          </cell>
        </row>
        <row r="49">
          <cell r="C49" t="str">
            <v>0119-Tea, Coffee</v>
          </cell>
          <cell r="I49" t="str">
            <v>19-MAHARASHTRA</v>
          </cell>
        </row>
        <row r="50">
          <cell r="C50" t="str">
            <v>0120-Textiles, handloom, Power looms</v>
          </cell>
          <cell r="I50" t="str">
            <v>20-MANIPUR</v>
          </cell>
        </row>
        <row r="51">
          <cell r="C51" t="str">
            <v>0121-Tobacco</v>
          </cell>
          <cell r="I51" t="str">
            <v>21-MEGHALAYA</v>
          </cell>
        </row>
        <row r="52">
          <cell r="C52" t="str">
            <v>0122-Tyre</v>
          </cell>
          <cell r="I52" t="str">
            <v>22-MIZORAM</v>
          </cell>
        </row>
        <row r="53">
          <cell r="C53" t="str">
            <v>0123-Vanaspati &amp; Edible Oils</v>
          </cell>
          <cell r="I53" t="str">
            <v>23-NAGALAND</v>
          </cell>
        </row>
        <row r="54">
          <cell r="C54" t="str">
            <v>0124-Others</v>
          </cell>
          <cell r="I54" t="str">
            <v>24-ORISSA</v>
          </cell>
        </row>
        <row r="55">
          <cell r="C55" t="str">
            <v>0201-Chain Stores</v>
          </cell>
          <cell r="I55" t="str">
            <v>25-PONDICHERRY</v>
          </cell>
        </row>
        <row r="56">
          <cell r="C56" t="str">
            <v>0202-Retailers</v>
          </cell>
          <cell r="I56" t="str">
            <v>26-PUNJAB</v>
          </cell>
        </row>
        <row r="57">
          <cell r="C57" t="str">
            <v>0203-Wholesalers</v>
          </cell>
          <cell r="I57" t="str">
            <v>27-RAJASTHAN</v>
          </cell>
        </row>
        <row r="58">
          <cell r="C58" t="str">
            <v>0204-Others</v>
          </cell>
          <cell r="I58" t="str">
            <v>28-SIKKIM</v>
          </cell>
        </row>
        <row r="59">
          <cell r="C59" t="str">
            <v>0301-General Commission Agents</v>
          </cell>
          <cell r="I59" t="str">
            <v>29-TAMILNADU</v>
          </cell>
        </row>
        <row r="60">
          <cell r="C60" t="str">
            <v>0401-Builders</v>
          </cell>
          <cell r="I60" t="str">
            <v>30-TRIPURA</v>
          </cell>
        </row>
        <row r="61">
          <cell r="C61" t="str">
            <v>0402-Estate Agents</v>
          </cell>
          <cell r="I61" t="str">
            <v>31-UTTAR PRADESH</v>
          </cell>
        </row>
        <row r="62">
          <cell r="C62" t="str">
            <v>0403-Property Developers</v>
          </cell>
          <cell r="I62" t="str">
            <v>32-WEST BENGAL</v>
          </cell>
        </row>
        <row r="63">
          <cell r="C63" t="str">
            <v>0404-Others</v>
          </cell>
          <cell r="I63" t="str">
            <v>99-FOREIGN</v>
          </cell>
        </row>
        <row r="64">
          <cell r="C64" t="str">
            <v>0501-Civil Contractors</v>
          </cell>
        </row>
        <row r="65">
          <cell r="C65" t="str">
            <v>0502-Excise Contractors</v>
          </cell>
        </row>
        <row r="66">
          <cell r="C66" t="str">
            <v>0503-Forest Contractors</v>
          </cell>
        </row>
        <row r="67">
          <cell r="C67" t="str">
            <v>0504-Mining Contractors</v>
          </cell>
        </row>
        <row r="68">
          <cell r="C68" t="str">
            <v>0505-Others</v>
          </cell>
        </row>
        <row r="69">
          <cell r="C69" t="str">
            <v>0601-Chartered Accountants, Auditors, etc.</v>
          </cell>
        </row>
        <row r="70">
          <cell r="C70" t="str">
            <v>0602-Fashion designers</v>
          </cell>
        </row>
        <row r="71">
          <cell r="C71" t="str">
            <v>0603-Legal professionals</v>
          </cell>
        </row>
        <row r="72">
          <cell r="C72" t="str">
            <v>0604-Medical professionals</v>
          </cell>
        </row>
        <row r="73">
          <cell r="C73" t="str">
            <v>0605-Nursing Homes</v>
          </cell>
        </row>
        <row r="74">
          <cell r="C74" t="str">
            <v>0606-Specialty hospitals</v>
          </cell>
        </row>
        <row r="75">
          <cell r="C75" t="str">
            <v>0607-Others</v>
          </cell>
        </row>
        <row r="76">
          <cell r="C76" t="str">
            <v>0701-Advertisement agencies</v>
          </cell>
        </row>
        <row r="77">
          <cell r="C77" t="str">
            <v>0702-Beauty Parlours</v>
          </cell>
        </row>
        <row r="78">
          <cell r="C78" t="str">
            <v>0703-Consultancy services</v>
          </cell>
        </row>
        <row r="79">
          <cell r="C79" t="str">
            <v>0704-Courier Agencies</v>
          </cell>
        </row>
        <row r="80">
          <cell r="C80" t="str">
            <v>0705-Computer training/educational and coaching institutes</v>
          </cell>
        </row>
        <row r="81">
          <cell r="C81" t="str">
            <v>0706-Forex Dealers</v>
          </cell>
        </row>
        <row r="82">
          <cell r="C82" t="str">
            <v>0707-Hospitality services</v>
          </cell>
        </row>
        <row r="83">
          <cell r="C83" t="str">
            <v>0708-Hotels</v>
          </cell>
        </row>
        <row r="84">
          <cell r="C84" t="str">
            <v>0709-I.T. enabled services, BPO service providers</v>
          </cell>
        </row>
        <row r="85">
          <cell r="C85" t="str">
            <v>0710-Security agencies</v>
          </cell>
        </row>
        <row r="86">
          <cell r="C86" t="str">
            <v>0711-Software development agencies</v>
          </cell>
        </row>
        <row r="87">
          <cell r="C87" t="str">
            <v>0712-Transporters</v>
          </cell>
        </row>
        <row r="88">
          <cell r="C88" t="str">
            <v>0713-Travel agents, tour operators</v>
          </cell>
        </row>
        <row r="89">
          <cell r="C89" t="str">
            <v>0714-Others</v>
          </cell>
        </row>
        <row r="90">
          <cell r="C90" t="str">
            <v>0801-Banking Companies</v>
          </cell>
        </row>
        <row r="91">
          <cell r="C91" t="str">
            <v>0802-Chit Funds</v>
          </cell>
        </row>
        <row r="92">
          <cell r="C92" t="str">
            <v>0803-Financial Institutions</v>
          </cell>
        </row>
        <row r="93">
          <cell r="C93" t="str">
            <v>0804-Financial service providers</v>
          </cell>
        </row>
        <row r="94">
          <cell r="C94" t="str">
            <v>0805-Leasing Companies</v>
          </cell>
        </row>
        <row r="95">
          <cell r="C95" t="str">
            <v>0806-Money Lenders</v>
          </cell>
        </row>
        <row r="96">
          <cell r="C96" t="str">
            <v>0807-Non-Banking Finance Companies</v>
          </cell>
        </row>
        <row r="97">
          <cell r="C97" t="str">
            <v>0808-Share Brokers, Sub-brokers, etc.</v>
          </cell>
        </row>
        <row r="98">
          <cell r="C98" t="str">
            <v>0809-Others</v>
          </cell>
        </row>
        <row r="99">
          <cell r="C99" t="str">
            <v>0901-Cable T.V. productions</v>
          </cell>
        </row>
        <row r="100">
          <cell r="C100" t="str">
            <v>0902-Film distribution</v>
          </cell>
        </row>
        <row r="101">
          <cell r="C101" t="str">
            <v>0903-Film laboratories</v>
          </cell>
        </row>
        <row r="102">
          <cell r="C102" t="str">
            <v>0904-Motion Picture Producers</v>
          </cell>
        </row>
        <row r="103">
          <cell r="C103" t="str">
            <v>0905-Television Channels</v>
          </cell>
        </row>
        <row r="104">
          <cell r="C104" t="str">
            <v>0906-Others</v>
          </cell>
        </row>
      </sheetData>
      <sheetData sheetId="6">
        <row r="27">
          <cell r="J27">
            <v>921550888</v>
          </cell>
        </row>
        <row r="31">
          <cell r="H31">
            <v>2189143470</v>
          </cell>
        </row>
        <row r="42">
          <cell r="H42">
            <v>2139613621</v>
          </cell>
        </row>
        <row r="43">
          <cell r="H43">
            <v>467727861</v>
          </cell>
        </row>
        <row r="44">
          <cell r="H44">
            <v>1671885760</v>
          </cell>
        </row>
        <row r="45">
          <cell r="H45">
            <v>45251</v>
          </cell>
        </row>
      </sheetData>
      <sheetData sheetId="7">
        <row r="2">
          <cell r="J2">
            <v>7046242373</v>
          </cell>
        </row>
        <row r="8">
          <cell r="J8">
            <v>0</v>
          </cell>
        </row>
        <row r="20">
          <cell r="J20">
            <v>156332501</v>
          </cell>
        </row>
        <row r="21">
          <cell r="J21">
            <v>445820620</v>
          </cell>
        </row>
        <row r="22">
          <cell r="J22">
            <v>7648395494</v>
          </cell>
        </row>
        <row r="88">
          <cell r="J88">
            <v>709746882</v>
          </cell>
        </row>
        <row r="89">
          <cell r="J89">
            <v>279516155</v>
          </cell>
        </row>
        <row r="90">
          <cell r="J90">
            <v>104574567</v>
          </cell>
        </row>
        <row r="91">
          <cell r="J91">
            <v>325656160</v>
          </cell>
        </row>
        <row r="95">
          <cell r="J95">
            <v>223827151</v>
          </cell>
        </row>
        <row r="96">
          <cell r="J96">
            <v>1330076113</v>
          </cell>
        </row>
        <row r="109">
          <cell r="J109">
            <v>0</v>
          </cell>
        </row>
      </sheetData>
      <sheetData sheetId="8">
        <row r="4">
          <cell r="O4" t="str">
            <v>MERC</v>
          </cell>
          <cell r="P4" t="str">
            <v>Y</v>
          </cell>
          <cell r="Q4">
            <v>1</v>
          </cell>
          <cell r="R4">
            <v>1</v>
          </cell>
          <cell r="S4" t="str">
            <v>Y</v>
          </cell>
        </row>
        <row r="5">
          <cell r="O5" t="str">
            <v>CASH</v>
          </cell>
          <cell r="P5" t="str">
            <v>N</v>
          </cell>
          <cell r="Q5">
            <v>2</v>
          </cell>
          <cell r="R5">
            <v>2</v>
          </cell>
          <cell r="S5" t="str">
            <v>N</v>
          </cell>
        </row>
        <row r="6">
          <cell r="Q6">
            <v>3</v>
          </cell>
          <cell r="R6">
            <v>3</v>
          </cell>
        </row>
      </sheetData>
      <sheetData sheetId="9">
        <row r="77">
          <cell r="A77" t="str">
            <v>101-gms</v>
          </cell>
          <cell r="B77" t="str">
            <v>101-gms</v>
          </cell>
          <cell r="C77" t="str">
            <v>101-gms</v>
          </cell>
        </row>
        <row r="78">
          <cell r="A78" t="str">
            <v>102-kilograms</v>
          </cell>
          <cell r="B78" t="str">
            <v>102-kilograms</v>
          </cell>
          <cell r="C78" t="str">
            <v>102-kilograms</v>
          </cell>
        </row>
        <row r="79">
          <cell r="A79" t="str">
            <v>103-litre</v>
          </cell>
          <cell r="B79" t="str">
            <v>103-litre</v>
          </cell>
          <cell r="C79" t="str">
            <v>103-litre</v>
          </cell>
        </row>
        <row r="80">
          <cell r="A80" t="str">
            <v>104-kilolitre</v>
          </cell>
          <cell r="B80" t="str">
            <v>104-kilolitre</v>
          </cell>
          <cell r="C80" t="str">
            <v>104-kilolitre</v>
          </cell>
        </row>
        <row r="81">
          <cell r="A81" t="str">
            <v>105-metre</v>
          </cell>
          <cell r="B81" t="str">
            <v>105-metre</v>
          </cell>
          <cell r="C81" t="str">
            <v>105-metre</v>
          </cell>
        </row>
        <row r="82">
          <cell r="A82" t="str">
            <v>106-kilometre</v>
          </cell>
          <cell r="B82" t="str">
            <v>106-kilometre</v>
          </cell>
          <cell r="C82" t="str">
            <v>106-kilometre</v>
          </cell>
        </row>
        <row r="83">
          <cell r="A83" t="str">
            <v>107-numbers</v>
          </cell>
          <cell r="B83" t="str">
            <v>107-numbers</v>
          </cell>
          <cell r="C83" t="str">
            <v>107-numbers</v>
          </cell>
        </row>
        <row r="84">
          <cell r="A84" t="str">
            <v>108-quintal</v>
          </cell>
          <cell r="B84" t="str">
            <v>108-quintal</v>
          </cell>
          <cell r="C84" t="str">
            <v>108-quintal</v>
          </cell>
        </row>
        <row r="85">
          <cell r="A85" t="str">
            <v>109-ton</v>
          </cell>
          <cell r="B85" t="str">
            <v>109-ton</v>
          </cell>
          <cell r="C85" t="str">
            <v>109-ton</v>
          </cell>
        </row>
        <row r="86">
          <cell r="A86" t="str">
            <v>110-pound</v>
          </cell>
          <cell r="B86" t="str">
            <v>110-pound</v>
          </cell>
          <cell r="C86" t="str">
            <v>110-pound</v>
          </cell>
        </row>
        <row r="87">
          <cell r="A87" t="str">
            <v>111-milligrams</v>
          </cell>
          <cell r="B87" t="str">
            <v>111-milligrams</v>
          </cell>
          <cell r="C87" t="str">
            <v>111-milligrams</v>
          </cell>
        </row>
        <row r="88">
          <cell r="A88" t="str">
            <v>112-carat</v>
          </cell>
          <cell r="B88" t="str">
            <v>112-carat</v>
          </cell>
          <cell r="C88" t="str">
            <v>112-carat</v>
          </cell>
        </row>
        <row r="89">
          <cell r="A89" t="str">
            <v>113-numbers (1000s)</v>
          </cell>
          <cell r="B89" t="str">
            <v>113-numbers (1000s)</v>
          </cell>
          <cell r="C89" t="str">
            <v>113-numbers (1000s)</v>
          </cell>
        </row>
        <row r="90">
          <cell r="A90" t="str">
            <v>114-kwatt</v>
          </cell>
          <cell r="B90" t="str">
            <v>114-kwatt</v>
          </cell>
          <cell r="C90" t="str">
            <v>114-kwatt</v>
          </cell>
        </row>
        <row r="91">
          <cell r="A91" t="str">
            <v>115-mwatt</v>
          </cell>
          <cell r="B91" t="str">
            <v>115-mwatt</v>
          </cell>
          <cell r="C91" t="str">
            <v>115-mwatt</v>
          </cell>
        </row>
        <row r="92">
          <cell r="A92" t="str">
            <v>116-inch</v>
          </cell>
          <cell r="B92" t="str">
            <v>116-inch</v>
          </cell>
          <cell r="C92" t="str">
            <v>116-inch</v>
          </cell>
        </row>
        <row r="93">
          <cell r="A93" t="str">
            <v>117-feet</v>
          </cell>
          <cell r="B93" t="str">
            <v>117-feet</v>
          </cell>
          <cell r="C93" t="str">
            <v>117-feet</v>
          </cell>
        </row>
        <row r="94">
          <cell r="A94" t="str">
            <v>118-sqft</v>
          </cell>
          <cell r="B94" t="str">
            <v>118-sqft</v>
          </cell>
          <cell r="C94" t="str">
            <v>118-sqft</v>
          </cell>
        </row>
        <row r="95">
          <cell r="A95" t="str">
            <v>119-acre</v>
          </cell>
          <cell r="B95" t="str">
            <v>119-acre</v>
          </cell>
          <cell r="C95" t="str">
            <v>119-acre</v>
          </cell>
        </row>
        <row r="96">
          <cell r="A96" t="str">
            <v>120-cubicft</v>
          </cell>
          <cell r="B96" t="str">
            <v>120-cubicft</v>
          </cell>
          <cell r="C96" t="str">
            <v>120-cubicft</v>
          </cell>
        </row>
        <row r="97">
          <cell r="A97" t="str">
            <v>121-sqmetre</v>
          </cell>
          <cell r="B97" t="str">
            <v>121-sqmetre</v>
          </cell>
          <cell r="C97" t="str">
            <v>121-sqmetre</v>
          </cell>
        </row>
        <row r="98">
          <cell r="A98" t="str">
            <v>122-cubicmetre</v>
          </cell>
          <cell r="B98" t="str">
            <v>122-cubicmetre</v>
          </cell>
          <cell r="C98" t="str">
            <v>122-cubicmetre</v>
          </cell>
        </row>
        <row r="99">
          <cell r="A99" t="str">
            <v>999-residual</v>
          </cell>
          <cell r="B99" t="str">
            <v>999-residual</v>
          </cell>
          <cell r="C99" t="str">
            <v>999-residual</v>
          </cell>
        </row>
      </sheetData>
      <sheetData sheetId="10">
        <row r="2">
          <cell r="J2">
            <v>37571409</v>
          </cell>
        </row>
        <row r="7">
          <cell r="J7">
            <v>247656049</v>
          </cell>
        </row>
        <row r="12">
          <cell r="H12">
            <v>0</v>
          </cell>
        </row>
        <row r="15">
          <cell r="H15">
            <v>0</v>
          </cell>
        </row>
        <row r="16">
          <cell r="J16">
            <v>0</v>
          </cell>
        </row>
        <row r="20">
          <cell r="J20">
            <v>0</v>
          </cell>
        </row>
        <row r="21">
          <cell r="J21">
            <v>285227458</v>
          </cell>
        </row>
        <row r="22">
          <cell r="J22">
            <v>0</v>
          </cell>
        </row>
        <row r="25">
          <cell r="J25">
            <v>285227458</v>
          </cell>
        </row>
        <row r="26">
          <cell r="J26">
            <v>262500</v>
          </cell>
        </row>
        <row r="28">
          <cell r="J28">
            <v>0</v>
          </cell>
        </row>
        <row r="34">
          <cell r="J34">
            <v>41408023</v>
          </cell>
        </row>
        <row r="35">
          <cell r="J35">
            <v>2070401</v>
          </cell>
        </row>
        <row r="36">
          <cell r="J36">
            <v>1304353</v>
          </cell>
        </row>
        <row r="37">
          <cell r="J37">
            <v>44782777</v>
          </cell>
        </row>
        <row r="39">
          <cell r="H39">
            <v>85489487</v>
          </cell>
        </row>
        <row r="41">
          <cell r="J41">
            <v>85489487</v>
          </cell>
        </row>
        <row r="42">
          <cell r="J42">
            <v>4274474</v>
          </cell>
        </row>
        <row r="43">
          <cell r="J43">
            <v>2692919</v>
          </cell>
        </row>
        <row r="44">
          <cell r="J44">
            <v>92456880</v>
          </cell>
        </row>
        <row r="45">
          <cell r="J45">
            <v>92456880</v>
          </cell>
        </row>
        <row r="46">
          <cell r="J46">
            <v>0</v>
          </cell>
        </row>
        <row r="48">
          <cell r="J48">
            <v>0</v>
          </cell>
        </row>
        <row r="50">
          <cell r="J50">
            <v>92456880</v>
          </cell>
        </row>
        <row r="52">
          <cell r="H52">
            <v>0</v>
          </cell>
        </row>
        <row r="53">
          <cell r="H53">
            <v>0</v>
          </cell>
        </row>
        <row r="54">
          <cell r="J54">
            <v>0</v>
          </cell>
        </row>
        <row r="55">
          <cell r="J55">
            <v>92456880</v>
          </cell>
        </row>
        <row r="57">
          <cell r="H57">
            <v>0</v>
          </cell>
        </row>
        <row r="58">
          <cell r="H58">
            <v>5547408</v>
          </cell>
        </row>
        <row r="59">
          <cell r="H59">
            <v>0</v>
          </cell>
        </row>
        <row r="60">
          <cell r="J60">
            <v>5547408</v>
          </cell>
        </row>
        <row r="61">
          <cell r="J61">
            <v>98004290</v>
          </cell>
        </row>
        <row r="63">
          <cell r="H63">
            <v>0</v>
          </cell>
        </row>
        <row r="64">
          <cell r="H64">
            <v>103177999</v>
          </cell>
        </row>
        <row r="65">
          <cell r="H65">
            <v>0</v>
          </cell>
        </row>
        <row r="66">
          <cell r="H66">
            <v>0</v>
          </cell>
        </row>
        <row r="67">
          <cell r="J67">
            <v>103177999</v>
          </cell>
        </row>
        <row r="72">
          <cell r="F72" t="str">
            <v xml:space="preserve">JAGDISH K. VALECHA </v>
          </cell>
          <cell r="J72" t="str">
            <v>AAAPV6661L</v>
          </cell>
        </row>
        <row r="73">
          <cell r="F73" t="str">
            <v xml:space="preserve">K. VALECHA </v>
          </cell>
        </row>
        <row r="77">
          <cell r="F77" t="str">
            <v xml:space="preserve">MANAGEING DIRECTOR </v>
          </cell>
        </row>
        <row r="78">
          <cell r="F78" t="str">
            <v>MUMBAI</v>
          </cell>
        </row>
        <row r="79">
          <cell r="F79" t="str">
            <v>24/09/2012</v>
          </cell>
        </row>
      </sheetData>
      <sheetData sheetId="11">
        <row r="8">
          <cell r="J8">
            <v>0</v>
          </cell>
        </row>
        <row r="9">
          <cell r="J9">
            <v>0</v>
          </cell>
          <cell r="IV9" t="str">
            <v>Yes</v>
          </cell>
        </row>
        <row r="10">
          <cell r="J10">
            <v>0</v>
          </cell>
          <cell r="IV10" t="str">
            <v>No</v>
          </cell>
        </row>
        <row r="11">
          <cell r="J11">
            <v>0</v>
          </cell>
        </row>
        <row r="12">
          <cell r="J12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J16">
            <v>0</v>
          </cell>
        </row>
        <row r="17">
          <cell r="J17">
            <v>0</v>
          </cell>
        </row>
        <row r="21">
          <cell r="J21">
            <v>0</v>
          </cell>
        </row>
      </sheetData>
      <sheetData sheetId="12"/>
      <sheetData sheetId="13">
        <row r="4">
          <cell r="P4" t="str">
            <v>N</v>
          </cell>
        </row>
        <row r="6">
          <cell r="P6">
            <v>325656160</v>
          </cell>
        </row>
        <row r="13">
          <cell r="J13">
            <v>325656160</v>
          </cell>
        </row>
        <row r="16">
          <cell r="H16">
            <v>0</v>
          </cell>
        </row>
        <row r="17">
          <cell r="J17">
            <v>325656160</v>
          </cell>
        </row>
        <row r="18">
          <cell r="J18">
            <v>104574567</v>
          </cell>
        </row>
        <row r="22">
          <cell r="J22">
            <v>177317904</v>
          </cell>
        </row>
        <row r="23">
          <cell r="J23">
            <v>252912823</v>
          </cell>
        </row>
        <row r="34">
          <cell r="J34">
            <v>1029097</v>
          </cell>
        </row>
        <row r="44">
          <cell r="J44">
            <v>6285871</v>
          </cell>
        </row>
        <row r="45">
          <cell r="J45">
            <v>247656049</v>
          </cell>
        </row>
        <row r="58">
          <cell r="J58">
            <v>0</v>
          </cell>
        </row>
        <row r="59">
          <cell r="J59">
            <v>247656049</v>
          </cell>
        </row>
        <row r="65">
          <cell r="J65">
            <v>0</v>
          </cell>
        </row>
        <row r="66">
          <cell r="J66">
            <v>247656049</v>
          </cell>
        </row>
        <row r="67">
          <cell r="J67">
            <v>247656049</v>
          </cell>
        </row>
        <row r="69">
          <cell r="J69">
            <v>0</v>
          </cell>
        </row>
        <row r="72">
          <cell r="J72">
            <v>0</v>
          </cell>
        </row>
        <row r="74">
          <cell r="J74">
            <v>0</v>
          </cell>
        </row>
        <row r="77">
          <cell r="J77">
            <v>0</v>
          </cell>
        </row>
        <row r="79">
          <cell r="J79">
            <v>0</v>
          </cell>
        </row>
      </sheetData>
      <sheetData sheetId="14">
        <row r="3">
          <cell r="D3">
            <v>15</v>
          </cell>
          <cell r="E3">
            <v>30</v>
          </cell>
          <cell r="F3">
            <v>40</v>
          </cell>
          <cell r="G3">
            <v>50</v>
          </cell>
          <cell r="H3">
            <v>60</v>
          </cell>
          <cell r="I3">
            <v>80</v>
          </cell>
          <cell r="J3">
            <v>100</v>
          </cell>
        </row>
        <row r="5">
          <cell r="D5">
            <v>987943985</v>
          </cell>
          <cell r="H5">
            <v>4021526</v>
          </cell>
        </row>
        <row r="6">
          <cell r="D6">
            <v>231127726</v>
          </cell>
          <cell r="H6">
            <v>1483573</v>
          </cell>
        </row>
        <row r="7">
          <cell r="D7">
            <v>99183272</v>
          </cell>
          <cell r="H7">
            <v>39600</v>
          </cell>
        </row>
        <row r="8">
          <cell r="D8">
            <v>1119888439</v>
          </cell>
          <cell r="E8">
            <v>0</v>
          </cell>
          <cell r="F8">
            <v>0</v>
          </cell>
          <cell r="G8">
            <v>0</v>
          </cell>
          <cell r="H8">
            <v>5465499</v>
          </cell>
          <cell r="I8">
            <v>0</v>
          </cell>
          <cell r="J8">
            <v>0</v>
          </cell>
        </row>
        <row r="9">
          <cell r="D9">
            <v>56472936</v>
          </cell>
          <cell r="H9">
            <v>966630</v>
          </cell>
        </row>
        <row r="11">
          <cell r="D11">
            <v>56472936</v>
          </cell>
          <cell r="E11">
            <v>0</v>
          </cell>
          <cell r="F11">
            <v>0</v>
          </cell>
          <cell r="G11">
            <v>0</v>
          </cell>
          <cell r="H11">
            <v>966630</v>
          </cell>
          <cell r="I11">
            <v>0</v>
          </cell>
          <cell r="J11">
            <v>0</v>
          </cell>
        </row>
        <row r="12">
          <cell r="D12">
            <v>167983266</v>
          </cell>
          <cell r="E12">
            <v>0</v>
          </cell>
          <cell r="F12">
            <v>0</v>
          </cell>
          <cell r="G12">
            <v>0</v>
          </cell>
          <cell r="H12">
            <v>3279299</v>
          </cell>
          <cell r="I12">
            <v>0</v>
          </cell>
          <cell r="J12">
            <v>0</v>
          </cell>
        </row>
        <row r="13">
          <cell r="D13">
            <v>4235470</v>
          </cell>
          <cell r="E13">
            <v>0</v>
          </cell>
          <cell r="F13">
            <v>0</v>
          </cell>
          <cell r="G13">
            <v>0</v>
          </cell>
          <cell r="H13">
            <v>289989</v>
          </cell>
          <cell r="I13">
            <v>0</v>
          </cell>
          <cell r="J13">
            <v>0</v>
          </cell>
        </row>
        <row r="16">
          <cell r="D16">
            <v>172218736</v>
          </cell>
          <cell r="E16">
            <v>0</v>
          </cell>
          <cell r="F16">
            <v>0</v>
          </cell>
          <cell r="G16">
            <v>0</v>
          </cell>
          <cell r="H16">
            <v>3569288</v>
          </cell>
          <cell r="I16">
            <v>0</v>
          </cell>
          <cell r="J16">
            <v>0</v>
          </cell>
        </row>
        <row r="24">
          <cell r="D24">
            <v>5</v>
          </cell>
          <cell r="E24">
            <v>10</v>
          </cell>
          <cell r="F24">
            <v>100</v>
          </cell>
          <cell r="G24">
            <v>10</v>
          </cell>
          <cell r="H24">
            <v>25</v>
          </cell>
          <cell r="I24">
            <v>20</v>
          </cell>
        </row>
        <row r="26">
          <cell r="G26">
            <v>15152103</v>
          </cell>
        </row>
        <row r="27">
          <cell r="G27">
            <v>96663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15248766</v>
          </cell>
          <cell r="H29">
            <v>0</v>
          </cell>
          <cell r="I29">
            <v>0</v>
          </cell>
        </row>
        <row r="30">
          <cell r="G30">
            <v>100050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100050</v>
          </cell>
          <cell r="H32">
            <v>0</v>
          </cell>
          <cell r="I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1524877</v>
          </cell>
          <cell r="H33">
            <v>0</v>
          </cell>
          <cell r="I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5003</v>
          </cell>
          <cell r="H34">
            <v>0</v>
          </cell>
          <cell r="I34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1529880</v>
          </cell>
          <cell r="H37">
            <v>0</v>
          </cell>
          <cell r="I37">
            <v>0</v>
          </cell>
        </row>
      </sheetData>
      <sheetData sheetId="15">
        <row r="19">
          <cell r="H19">
            <v>177317904</v>
          </cell>
        </row>
        <row r="30">
          <cell r="H30">
            <v>0</v>
          </cell>
        </row>
      </sheetData>
      <sheetData sheetId="16"/>
      <sheetData sheetId="17">
        <row r="6">
          <cell r="H6">
            <v>0</v>
          </cell>
        </row>
        <row r="16">
          <cell r="H16">
            <v>0</v>
          </cell>
        </row>
        <row r="23">
          <cell r="J23">
            <v>0</v>
          </cell>
        </row>
        <row r="25">
          <cell r="J25">
            <v>0</v>
          </cell>
        </row>
        <row r="30">
          <cell r="H30">
            <v>0</v>
          </cell>
        </row>
        <row r="32">
          <cell r="J32">
            <v>0</v>
          </cell>
        </row>
        <row r="40">
          <cell r="H40">
            <v>0</v>
          </cell>
        </row>
        <row r="41">
          <cell r="H41">
            <v>0</v>
          </cell>
        </row>
        <row r="43">
          <cell r="J43">
            <v>0</v>
          </cell>
        </row>
        <row r="50">
          <cell r="H50">
            <v>0</v>
          </cell>
        </row>
        <row r="51">
          <cell r="H51">
            <v>0</v>
          </cell>
        </row>
        <row r="53">
          <cell r="J53">
            <v>0</v>
          </cell>
        </row>
        <row r="55">
          <cell r="J55">
            <v>0</v>
          </cell>
        </row>
        <row r="75">
          <cell r="H75">
            <v>0</v>
          </cell>
        </row>
        <row r="86">
          <cell r="J86">
            <v>0</v>
          </cell>
        </row>
        <row r="90">
          <cell r="H90">
            <v>0</v>
          </cell>
        </row>
        <row r="91">
          <cell r="J91">
            <v>0</v>
          </cell>
        </row>
        <row r="93">
          <cell r="J93">
            <v>0</v>
          </cell>
        </row>
        <row r="97">
          <cell r="J97">
            <v>0</v>
          </cell>
        </row>
      </sheetData>
      <sheetData sheetId="18">
        <row r="4">
          <cell r="E4">
            <v>0</v>
          </cell>
          <cell r="F4">
            <v>0</v>
          </cell>
          <cell r="G4">
            <v>0</v>
          </cell>
        </row>
        <row r="6">
          <cell r="D6">
            <v>37571409</v>
          </cell>
          <cell r="H6">
            <v>37571409</v>
          </cell>
          <cell r="AN6">
            <v>0</v>
          </cell>
          <cell r="AO6">
            <v>0</v>
          </cell>
        </row>
        <row r="7">
          <cell r="H7">
            <v>247656049</v>
          </cell>
        </row>
        <row r="8">
          <cell r="D8">
            <v>0</v>
          </cell>
          <cell r="H8">
            <v>0</v>
          </cell>
        </row>
        <row r="9">
          <cell r="D9">
            <v>0</v>
          </cell>
          <cell r="H9">
            <v>0</v>
          </cell>
        </row>
        <row r="10">
          <cell r="D10">
            <v>0</v>
          </cell>
          <cell r="H10">
            <v>0</v>
          </cell>
          <cell r="AN10">
            <v>0</v>
          </cell>
          <cell r="AO10">
            <v>247656049</v>
          </cell>
        </row>
        <row r="11">
          <cell r="D11">
            <v>0</v>
          </cell>
          <cell r="H11">
            <v>0</v>
          </cell>
          <cell r="O11">
            <v>37571409</v>
          </cell>
          <cell r="P11">
            <v>0</v>
          </cell>
          <cell r="Q11">
            <v>37571409</v>
          </cell>
          <cell r="R11">
            <v>0</v>
          </cell>
          <cell r="T11">
            <v>37571409</v>
          </cell>
          <cell r="V11">
            <v>0</v>
          </cell>
          <cell r="X11">
            <v>37571409</v>
          </cell>
          <cell r="Z11">
            <v>0</v>
          </cell>
          <cell r="AB11">
            <v>37571409</v>
          </cell>
          <cell r="AD11">
            <v>0</v>
          </cell>
          <cell r="AE11">
            <v>0</v>
          </cell>
          <cell r="AF11">
            <v>37571409</v>
          </cell>
          <cell r="AG11">
            <v>0</v>
          </cell>
          <cell r="AH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H12">
            <v>0</v>
          </cell>
          <cell r="O12">
            <v>247656049</v>
          </cell>
          <cell r="P12">
            <v>0</v>
          </cell>
          <cell r="Q12">
            <v>247656049</v>
          </cell>
          <cell r="R12">
            <v>0</v>
          </cell>
          <cell r="T12">
            <v>247656049</v>
          </cell>
          <cell r="V12">
            <v>0</v>
          </cell>
          <cell r="X12">
            <v>247656049</v>
          </cell>
          <cell r="Z12">
            <v>0</v>
          </cell>
          <cell r="AB12">
            <v>247656049</v>
          </cell>
          <cell r="AD12">
            <v>0</v>
          </cell>
          <cell r="AE12">
            <v>0</v>
          </cell>
          <cell r="AF12">
            <v>247656049</v>
          </cell>
          <cell r="AG12">
            <v>0</v>
          </cell>
          <cell r="AH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H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N14">
            <v>0</v>
          </cell>
          <cell r="AO14">
            <v>0</v>
          </cell>
        </row>
        <row r="15">
          <cell r="E15">
            <v>0</v>
          </cell>
          <cell r="F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N15">
            <v>0</v>
          </cell>
          <cell r="AO15">
            <v>37571409</v>
          </cell>
        </row>
        <row r="16"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N16">
            <v>0</v>
          </cell>
          <cell r="AO16">
            <v>0</v>
          </cell>
        </row>
        <row r="17"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G17">
            <v>0</v>
          </cell>
          <cell r="AN17">
            <v>0</v>
          </cell>
          <cell r="AO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N18">
            <v>0</v>
          </cell>
          <cell r="AO18">
            <v>0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G19">
            <v>0</v>
          </cell>
          <cell r="AN19">
            <v>0</v>
          </cell>
          <cell r="AO19">
            <v>0</v>
          </cell>
        </row>
        <row r="20">
          <cell r="AN20">
            <v>0</v>
          </cell>
          <cell r="AO20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7">
          <cell r="D27">
            <v>0</v>
          </cell>
        </row>
        <row r="28">
          <cell r="F28">
            <v>0</v>
          </cell>
          <cell r="G28">
            <v>0</v>
          </cell>
        </row>
        <row r="41">
          <cell r="E41">
            <v>0</v>
          </cell>
          <cell r="F41">
            <v>0</v>
          </cell>
        </row>
        <row r="42">
          <cell r="E42">
            <v>0</v>
          </cell>
          <cell r="F42">
            <v>0</v>
          </cell>
        </row>
        <row r="43">
          <cell r="E43">
            <v>0</v>
          </cell>
          <cell r="F43">
            <v>0</v>
          </cell>
        </row>
        <row r="44">
          <cell r="E44">
            <v>0</v>
          </cell>
          <cell r="F44">
            <v>0</v>
          </cell>
        </row>
        <row r="45">
          <cell r="E45">
            <v>0</v>
          </cell>
          <cell r="F45">
            <v>0</v>
          </cell>
        </row>
        <row r="46">
          <cell r="E46">
            <v>0</v>
          </cell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1">
          <cell r="F61">
            <v>0</v>
          </cell>
        </row>
      </sheetData>
      <sheetData sheetId="19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</row>
        <row r="12">
          <cell r="I12">
            <v>0</v>
          </cell>
        </row>
      </sheetData>
      <sheetData sheetId="20"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</sheetData>
      <sheetData sheetId="21">
        <row r="4">
          <cell r="H4">
            <v>0</v>
          </cell>
        </row>
        <row r="8">
          <cell r="H8">
            <v>0</v>
          </cell>
        </row>
        <row r="12">
          <cell r="H12">
            <v>0</v>
          </cell>
        </row>
        <row r="16">
          <cell r="H16">
            <v>0</v>
          </cell>
        </row>
        <row r="20">
          <cell r="H20">
            <v>0</v>
          </cell>
        </row>
      </sheetData>
      <sheetData sheetId="22">
        <row r="1">
          <cell r="L1">
            <v>0</v>
          </cell>
          <cell r="N1">
            <v>28522746</v>
          </cell>
          <cell r="O1">
            <v>28522746</v>
          </cell>
          <cell r="P1">
            <v>14261373</v>
          </cell>
        </row>
        <row r="4">
          <cell r="J4">
            <v>0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10">
          <cell r="I10">
            <v>0</v>
          </cell>
          <cell r="J10">
            <v>0</v>
          </cell>
        </row>
        <row r="18">
          <cell r="I18">
            <v>500000</v>
          </cell>
          <cell r="O18">
            <v>250000</v>
          </cell>
        </row>
        <row r="19">
          <cell r="I19">
            <v>25000</v>
          </cell>
          <cell r="O19">
            <v>12500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0</v>
          </cell>
        </row>
        <row r="24">
          <cell r="I24">
            <v>525000</v>
          </cell>
          <cell r="J24">
            <v>262500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40">
          <cell r="I40">
            <v>0</v>
          </cell>
          <cell r="J40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6">
          <cell r="I56">
            <v>0</v>
          </cell>
          <cell r="J56">
            <v>0</v>
          </cell>
        </row>
        <row r="61">
          <cell r="J61">
            <v>262500</v>
          </cell>
        </row>
        <row r="79">
          <cell r="B79" t="str">
            <v>01-ANDAMAN AND NICOBAR ISLANDS</v>
          </cell>
        </row>
        <row r="80">
          <cell r="B80" t="str">
            <v>02-ANDHRA PRADESH</v>
          </cell>
        </row>
        <row r="81">
          <cell r="B81" t="str">
            <v>03-ARUNACHAL PRADESH</v>
          </cell>
        </row>
        <row r="82">
          <cell r="B82" t="str">
            <v>04-ASSAM</v>
          </cell>
        </row>
        <row r="83">
          <cell r="B83" t="str">
            <v>05-BIHAR</v>
          </cell>
        </row>
        <row r="84">
          <cell r="B84" t="str">
            <v>06-CHANDIGARH</v>
          </cell>
        </row>
        <row r="85">
          <cell r="B85" t="str">
            <v>07-DADRA AND NAGAR HAVELI</v>
          </cell>
        </row>
        <row r="86">
          <cell r="B86" t="str">
            <v>08-DAMAN AND DIU</v>
          </cell>
        </row>
        <row r="87">
          <cell r="B87" t="str">
            <v>09-DELHI</v>
          </cell>
        </row>
        <row r="88">
          <cell r="B88" t="str">
            <v>10-GOA</v>
          </cell>
        </row>
        <row r="89">
          <cell r="B89" t="str">
            <v>11-GUJARAT</v>
          </cell>
        </row>
        <row r="90">
          <cell r="B90" t="str">
            <v>12-HARYANA</v>
          </cell>
        </row>
        <row r="91">
          <cell r="B91" t="str">
            <v>13-HIMACHAL PRADESH</v>
          </cell>
        </row>
        <row r="92">
          <cell r="B92" t="str">
            <v>14-JAMMU AND KASHMIR</v>
          </cell>
        </row>
        <row r="93">
          <cell r="B93" t="str">
            <v>15-KARNATAKA</v>
          </cell>
        </row>
        <row r="94">
          <cell r="B94" t="str">
            <v>16-KERALA</v>
          </cell>
        </row>
        <row r="95">
          <cell r="B95" t="str">
            <v>17-LAKHSWADEEP</v>
          </cell>
        </row>
        <row r="96">
          <cell r="B96" t="str">
            <v>18-MADHYA PRADESH</v>
          </cell>
        </row>
        <row r="97">
          <cell r="B97" t="str">
            <v>19-MAHARASHTRA</v>
          </cell>
        </row>
        <row r="98">
          <cell r="B98" t="str">
            <v>20-MANIPUR</v>
          </cell>
        </row>
        <row r="99">
          <cell r="B99" t="str">
            <v>21-MEGHALAYA</v>
          </cell>
        </row>
        <row r="100">
          <cell r="B100" t="str">
            <v>22-MIZORAM</v>
          </cell>
        </row>
        <row r="101">
          <cell r="B101" t="str">
            <v>23-NAGALAND</v>
          </cell>
        </row>
        <row r="102">
          <cell r="B102" t="str">
            <v>24-ORISSA</v>
          </cell>
        </row>
        <row r="103">
          <cell r="B103" t="str">
            <v>25-PONDICHERRY</v>
          </cell>
        </row>
        <row r="104">
          <cell r="B104" t="str">
            <v>26-PUNJAB</v>
          </cell>
        </row>
        <row r="105">
          <cell r="B105" t="str">
            <v>27-RAJASTHAN</v>
          </cell>
        </row>
        <row r="106">
          <cell r="B106" t="str">
            <v>28-SIKKIM</v>
          </cell>
        </row>
        <row r="107">
          <cell r="B107" t="str">
            <v>29-TAMILNADU</v>
          </cell>
        </row>
        <row r="108">
          <cell r="B108" t="str">
            <v>30-TRIPURA</v>
          </cell>
        </row>
        <row r="109">
          <cell r="B109" t="str">
            <v>31-UTTAR PRADESH</v>
          </cell>
        </row>
        <row r="110">
          <cell r="B110" t="str">
            <v>32-WEST BENGAL</v>
          </cell>
        </row>
        <row r="111">
          <cell r="B111" t="str">
            <v>33-CHHATISHGARH</v>
          </cell>
        </row>
        <row r="112">
          <cell r="B112" t="str">
            <v>34-UTTARANCHAL</v>
          </cell>
        </row>
        <row r="113">
          <cell r="B113" t="str">
            <v>35-JHARKHAND</v>
          </cell>
        </row>
        <row r="114">
          <cell r="B114" t="str">
            <v>99-FOREIGN</v>
          </cell>
        </row>
      </sheetData>
      <sheetData sheetId="23">
        <row r="8">
          <cell r="I8">
            <v>0</v>
          </cell>
        </row>
        <row r="24">
          <cell r="I24">
            <v>0</v>
          </cell>
        </row>
        <row r="38">
          <cell r="I38">
            <v>0</v>
          </cell>
        </row>
        <row r="39">
          <cell r="I39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5">
          <cell r="G55">
            <v>262500</v>
          </cell>
        </row>
      </sheetData>
      <sheetData sheetId="24">
        <row r="1">
          <cell r="L1">
            <v>0</v>
          </cell>
          <cell r="M1">
            <v>0</v>
          </cell>
        </row>
        <row r="11">
          <cell r="M11">
            <v>0</v>
          </cell>
          <cell r="BC11">
            <v>1</v>
          </cell>
        </row>
        <row r="12">
          <cell r="C12">
            <v>21</v>
          </cell>
          <cell r="E12">
            <v>0</v>
          </cell>
          <cell r="G12">
            <v>0</v>
          </cell>
          <cell r="L12">
            <v>6</v>
          </cell>
          <cell r="O12">
            <v>0</v>
          </cell>
          <cell r="BC12" t="str">
            <v>1A</v>
          </cell>
        </row>
        <row r="13">
          <cell r="C13" t="str">
            <v>1A</v>
          </cell>
          <cell r="E13">
            <v>0</v>
          </cell>
          <cell r="G13">
            <v>0</v>
          </cell>
          <cell r="L13">
            <v>4</v>
          </cell>
          <cell r="O13">
            <v>0</v>
          </cell>
          <cell r="BC13">
            <v>21</v>
          </cell>
        </row>
        <row r="14">
          <cell r="C14">
            <v>22</v>
          </cell>
          <cell r="E14">
            <v>0</v>
          </cell>
          <cell r="G14">
            <v>0</v>
          </cell>
          <cell r="L14">
            <v>3</v>
          </cell>
          <cell r="O14">
            <v>0</v>
          </cell>
          <cell r="BC14">
            <v>22</v>
          </cell>
        </row>
        <row r="15">
          <cell r="C15" t="str">
            <v>5BB</v>
          </cell>
          <cell r="E15">
            <v>0</v>
          </cell>
          <cell r="G15">
            <v>0</v>
          </cell>
          <cell r="L15">
            <v>0</v>
          </cell>
          <cell r="O15">
            <v>0</v>
          </cell>
          <cell r="BC15" t="str">
            <v>5A1a</v>
          </cell>
        </row>
        <row r="16">
          <cell r="C16">
            <v>1</v>
          </cell>
          <cell r="E16">
            <v>0</v>
          </cell>
          <cell r="G16">
            <v>0</v>
          </cell>
          <cell r="L16">
            <v>0</v>
          </cell>
          <cell r="O16">
            <v>0</v>
          </cell>
          <cell r="BC16" t="str">
            <v>FA</v>
          </cell>
        </row>
        <row r="17">
          <cell r="C17" t="str">
            <v>DTAA</v>
          </cell>
          <cell r="E17">
            <v>0</v>
          </cell>
          <cell r="G17">
            <v>0</v>
          </cell>
          <cell r="L17">
            <v>0</v>
          </cell>
          <cell r="O17">
            <v>0</v>
          </cell>
          <cell r="BC17" t="str">
            <v>5A1b1</v>
          </cell>
        </row>
        <row r="18">
          <cell r="C18" t="str">
            <v>4A1</v>
          </cell>
          <cell r="E18">
            <v>0</v>
          </cell>
          <cell r="G18">
            <v>0</v>
          </cell>
          <cell r="L18">
            <v>0</v>
          </cell>
          <cell r="BC18" t="str">
            <v>5A1b2</v>
          </cell>
        </row>
        <row r="19">
          <cell r="C19" t="str">
            <v>5A1b2</v>
          </cell>
          <cell r="E19">
            <v>0</v>
          </cell>
          <cell r="G19">
            <v>0</v>
          </cell>
          <cell r="L19">
            <v>62</v>
          </cell>
          <cell r="BC19" t="str">
            <v>5A1b3</v>
          </cell>
        </row>
        <row r="20">
          <cell r="C20" t="str">
            <v>7A</v>
          </cell>
          <cell r="E20">
            <v>0</v>
          </cell>
          <cell r="G20">
            <v>0</v>
          </cell>
          <cell r="L20">
            <v>0</v>
          </cell>
          <cell r="BC20" t="str">
            <v>5AB1a</v>
          </cell>
        </row>
        <row r="21">
          <cell r="C21" t="str">
            <v>5A1b1</v>
          </cell>
          <cell r="E21">
            <v>0</v>
          </cell>
          <cell r="G21">
            <v>0</v>
          </cell>
          <cell r="L21">
            <v>61</v>
          </cell>
          <cell r="BC21" t="str">
            <v>5AB1b</v>
          </cell>
        </row>
        <row r="22">
          <cell r="G22">
            <v>0</v>
          </cell>
          <cell r="BC22" t="str">
            <v>5AC</v>
          </cell>
        </row>
        <row r="23">
          <cell r="BC23" t="str">
            <v>5ACA</v>
          </cell>
        </row>
        <row r="24">
          <cell r="BC24" t="str">
            <v>5B</v>
          </cell>
        </row>
        <row r="25">
          <cell r="BC25" t="str">
            <v>5BB</v>
          </cell>
        </row>
        <row r="26">
          <cell r="BC26" t="str">
            <v>5BBA</v>
          </cell>
        </row>
        <row r="27">
          <cell r="BC27" t="str">
            <v>5BBB</v>
          </cell>
        </row>
        <row r="28">
          <cell r="BC28" t="str">
            <v>5BBC</v>
          </cell>
        </row>
        <row r="29">
          <cell r="BC29" t="str">
            <v>5Ea</v>
          </cell>
        </row>
        <row r="30">
          <cell r="BC30" t="str">
            <v>5Eb</v>
          </cell>
        </row>
        <row r="31">
          <cell r="BC31" t="str">
            <v>5ACA</v>
          </cell>
        </row>
        <row r="32">
          <cell r="BC32" t="str">
            <v>5A1BA</v>
          </cell>
        </row>
        <row r="33">
          <cell r="BC33" t="str">
            <v>5BBD</v>
          </cell>
        </row>
      </sheetData>
      <sheetData sheetId="25">
        <row r="40">
          <cell r="H40">
            <v>44782777</v>
          </cell>
        </row>
        <row r="41">
          <cell r="H41">
            <v>92456880</v>
          </cell>
        </row>
        <row r="53">
          <cell r="H53">
            <v>0</v>
          </cell>
        </row>
      </sheetData>
      <sheetData sheetId="26">
        <row r="2">
          <cell r="P2">
            <v>1</v>
          </cell>
          <cell r="Q2">
            <v>1</v>
          </cell>
        </row>
        <row r="3">
          <cell r="P3">
            <v>2</v>
          </cell>
          <cell r="Q3">
            <v>2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</sheetData>
      <sheetData sheetId="27">
        <row r="3"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S4" t="e">
            <v>#VALUE!</v>
          </cell>
          <cell r="T4" t="e">
            <v>#VALUE!</v>
          </cell>
          <cell r="U4" t="e">
            <v>#VALUE!</v>
          </cell>
        </row>
        <row r="5">
          <cell r="S5" t="e">
            <v>#VALUE!</v>
          </cell>
          <cell r="T5" t="e">
            <v>#VALUE!</v>
          </cell>
          <cell r="U5" t="e">
            <v>#VALUE!</v>
          </cell>
        </row>
        <row r="6">
          <cell r="S6" t="e">
            <v>#VALUE!</v>
          </cell>
          <cell r="T6" t="e">
            <v>#VALUE!</v>
          </cell>
          <cell r="U6" t="e">
            <v>#VALUE!</v>
          </cell>
        </row>
        <row r="7">
          <cell r="S7" t="e">
            <v>#VALUE!</v>
          </cell>
          <cell r="T7" t="e">
            <v>#VALUE!</v>
          </cell>
          <cell r="U7" t="e">
            <v>#VALUE!</v>
          </cell>
        </row>
        <row r="8">
          <cell r="S8" t="e">
            <v>#VALUE!</v>
          </cell>
          <cell r="T8" t="e">
            <v>#VALUE!</v>
          </cell>
          <cell r="U8" t="e">
            <v>#VALUE!</v>
          </cell>
        </row>
        <row r="9">
          <cell r="S9" t="e">
            <v>#VALUE!</v>
          </cell>
          <cell r="T9" t="e">
            <v>#VALUE!</v>
          </cell>
          <cell r="U9" t="e">
            <v>#VALUE!</v>
          </cell>
        </row>
        <row r="29"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S30" t="e">
            <v>#VALUE!</v>
          </cell>
          <cell r="T30" t="e">
            <v>#VALUE!</v>
          </cell>
          <cell r="U30" t="e">
            <v>#VALUE!</v>
          </cell>
        </row>
        <row r="31">
          <cell r="S31" t="e">
            <v>#VALUE!</v>
          </cell>
          <cell r="T31" t="e">
            <v>#VALUE!</v>
          </cell>
          <cell r="U31" t="e">
            <v>#VALUE!</v>
          </cell>
        </row>
        <row r="32">
          <cell r="S32" t="e">
            <v>#VALUE!</v>
          </cell>
          <cell r="T32" t="e">
            <v>#VALUE!</v>
          </cell>
          <cell r="U32" t="e">
            <v>#VALUE!</v>
          </cell>
        </row>
        <row r="33">
          <cell r="S33" t="e">
            <v>#VALUE!</v>
          </cell>
          <cell r="T33" t="e">
            <v>#VALUE!</v>
          </cell>
          <cell r="U33" t="e">
            <v>#VALUE!</v>
          </cell>
        </row>
        <row r="34">
          <cell r="S34" t="e">
            <v>#VALUE!</v>
          </cell>
          <cell r="T34" t="e">
            <v>#VALUE!</v>
          </cell>
          <cell r="U34" t="e">
            <v>#VALUE!</v>
          </cell>
        </row>
        <row r="35">
          <cell r="S35" t="e">
            <v>#VALUE!</v>
          </cell>
          <cell r="T35" t="e">
            <v>#VALUE!</v>
          </cell>
          <cell r="U35" t="e">
            <v>#VALUE!</v>
          </cell>
        </row>
        <row r="44">
          <cell r="F44">
            <v>5069213</v>
          </cell>
        </row>
      </sheetData>
      <sheetData sheetId="28"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6">
          <cell r="I16">
            <v>0</v>
          </cell>
        </row>
        <row r="17">
          <cell r="I17">
            <v>0</v>
          </cell>
        </row>
        <row r="400">
          <cell r="B400" t="str">
            <v xml:space="preserve"> AFGHANISTAN:93</v>
          </cell>
        </row>
        <row r="401">
          <cell r="B401" t="str">
            <v xml:space="preserve"> ALASKA :1907</v>
          </cell>
        </row>
        <row r="402">
          <cell r="B402" t="str">
            <v xml:space="preserve"> ALBANIA :355</v>
          </cell>
        </row>
        <row r="403">
          <cell r="B403" t="str">
            <v xml:space="preserve"> ALGERIA :213</v>
          </cell>
        </row>
        <row r="404">
          <cell r="B404" t="str">
            <v xml:space="preserve"> ANDORRA :376</v>
          </cell>
        </row>
        <row r="405">
          <cell r="B405" t="str">
            <v xml:space="preserve"> ANGOLA:244</v>
          </cell>
        </row>
        <row r="406">
          <cell r="B406" t="str">
            <v xml:space="preserve"> ANGUILLA:1264</v>
          </cell>
        </row>
        <row r="407">
          <cell r="B407" t="str">
            <v xml:space="preserve"> ANTIGUA :1268</v>
          </cell>
        </row>
        <row r="408">
          <cell r="B408" t="str">
            <v xml:space="preserve"> ARGENTINA :54</v>
          </cell>
        </row>
        <row r="409">
          <cell r="B409" t="str">
            <v xml:space="preserve"> ARMENIA :374</v>
          </cell>
        </row>
        <row r="410">
          <cell r="B410" t="str">
            <v xml:space="preserve"> ARUBA :297</v>
          </cell>
        </row>
        <row r="411">
          <cell r="B411" t="str">
            <v xml:space="preserve"> ASCENSION:247</v>
          </cell>
        </row>
        <row r="412">
          <cell r="B412" t="str">
            <v xml:space="preserve"> AUSTRALIA :61</v>
          </cell>
        </row>
        <row r="413">
          <cell r="B413" t="str">
            <v xml:space="preserve"> AUSTRIA :43</v>
          </cell>
        </row>
        <row r="414">
          <cell r="B414" t="str">
            <v xml:space="preserve"> AZERBAIJAN REPUBLIC:994</v>
          </cell>
        </row>
        <row r="415">
          <cell r="B415" t="str">
            <v xml:space="preserve"> AZORES:351</v>
          </cell>
        </row>
        <row r="416">
          <cell r="B416" t="str">
            <v xml:space="preserve"> BAHAMAS:1242</v>
          </cell>
        </row>
        <row r="417">
          <cell r="B417" t="str">
            <v xml:space="preserve"> BAHARIN :973</v>
          </cell>
        </row>
        <row r="418">
          <cell r="B418" t="str">
            <v xml:space="preserve"> BANGLADESH:880</v>
          </cell>
        </row>
        <row r="419">
          <cell r="B419" t="str">
            <v xml:space="preserve"> BARBADOS :1246</v>
          </cell>
        </row>
        <row r="420">
          <cell r="B420" t="str">
            <v xml:space="preserve"> BELARUS :375</v>
          </cell>
        </row>
        <row r="421">
          <cell r="B421" t="str">
            <v xml:space="preserve"> BELGIUM :32</v>
          </cell>
        </row>
        <row r="422">
          <cell r="B422" t="str">
            <v xml:space="preserve"> BELIZE:501</v>
          </cell>
        </row>
        <row r="423">
          <cell r="B423" t="str">
            <v xml:space="preserve"> BENIN :229</v>
          </cell>
        </row>
        <row r="424">
          <cell r="B424" t="str">
            <v xml:space="preserve"> BHUTAN :975</v>
          </cell>
        </row>
        <row r="425">
          <cell r="B425" t="str">
            <v xml:space="preserve"> BOLIVIA :591</v>
          </cell>
        </row>
        <row r="426">
          <cell r="B426" t="str">
            <v xml:space="preserve"> BOSNIA &amp; HERZEGOVINA :387</v>
          </cell>
        </row>
        <row r="427">
          <cell r="B427" t="str">
            <v xml:space="preserve"> BOTSWANA, REPUBLIC OF:267</v>
          </cell>
        </row>
        <row r="428">
          <cell r="B428" t="str">
            <v xml:space="preserve"> BRAZIL:55</v>
          </cell>
        </row>
        <row r="429">
          <cell r="B429" t="str">
            <v xml:space="preserve"> BRUNEI :673</v>
          </cell>
        </row>
        <row r="430">
          <cell r="B430" t="str">
            <v xml:space="preserve"> BULGARIA :359</v>
          </cell>
        </row>
        <row r="431">
          <cell r="B431" t="str">
            <v xml:space="preserve"> BURKINA FASSO :226</v>
          </cell>
        </row>
        <row r="432">
          <cell r="B432" t="str">
            <v xml:space="preserve"> BURUNDI :257</v>
          </cell>
        </row>
        <row r="433">
          <cell r="B433" t="str">
            <v xml:space="preserve"> CANADA :1</v>
          </cell>
        </row>
        <row r="434">
          <cell r="B434" t="str">
            <v xml:space="preserve"> CANARY ISLAND :34</v>
          </cell>
        </row>
        <row r="435">
          <cell r="B435" t="str">
            <v xml:space="preserve"> CAPE VERDE :238</v>
          </cell>
        </row>
        <row r="436">
          <cell r="B436" t="str">
            <v xml:space="preserve"> CAYMAN ISLAND :1345</v>
          </cell>
        </row>
        <row r="437">
          <cell r="B437" t="str">
            <v xml:space="preserve"> CENTRAL AFRICAN REPUBLIC:236</v>
          </cell>
        </row>
        <row r="438">
          <cell r="B438" t="str">
            <v xml:space="preserve"> CHILE :56</v>
          </cell>
        </row>
        <row r="439">
          <cell r="B439" t="str">
            <v xml:space="preserve"> CHINA:86</v>
          </cell>
        </row>
        <row r="440">
          <cell r="B440" t="str">
            <v xml:space="preserve"> CHRISTMAS ISLAND :61</v>
          </cell>
        </row>
        <row r="441">
          <cell r="B441" t="str">
            <v xml:space="preserve"> CISKEI :27</v>
          </cell>
        </row>
        <row r="442">
          <cell r="B442" t="str">
            <v xml:space="preserve"> COCOSKEELING ISLAND :672</v>
          </cell>
        </row>
        <row r="443">
          <cell r="B443" t="str">
            <v xml:space="preserve"> COLOMBIA:57</v>
          </cell>
        </row>
        <row r="444">
          <cell r="B444" t="str">
            <v xml:space="preserve"> COOK ISLAND :682</v>
          </cell>
        </row>
        <row r="445">
          <cell r="B445" t="str">
            <v xml:space="preserve"> COSTA RICA :506</v>
          </cell>
        </row>
        <row r="446">
          <cell r="B446" t="str">
            <v xml:space="preserve"> CROATIA :385</v>
          </cell>
        </row>
        <row r="447">
          <cell r="B447" t="str">
            <v xml:space="preserve"> CUBA :53</v>
          </cell>
        </row>
        <row r="448">
          <cell r="B448" t="str">
            <v xml:space="preserve"> CYPRUS :357</v>
          </cell>
        </row>
        <row r="449">
          <cell r="B449" t="str">
            <v xml:space="preserve"> CZECH REPUBLIC :420</v>
          </cell>
        </row>
        <row r="450">
          <cell r="B450" t="str">
            <v xml:space="preserve"> DIEGO GARCIA:246</v>
          </cell>
        </row>
        <row r="451">
          <cell r="B451" t="str">
            <v xml:space="preserve"> DJIBOUTI :253</v>
          </cell>
        </row>
        <row r="452">
          <cell r="B452" t="str">
            <v xml:space="preserve"> DOMANICCAN REPUBLIC :1809</v>
          </cell>
        </row>
        <row r="453">
          <cell r="B453" t="str">
            <v xml:space="preserve"> DOMINICA ISLAND:1767</v>
          </cell>
        </row>
        <row r="454">
          <cell r="B454" t="str">
            <v xml:space="preserve"> EAST TIMOR :670</v>
          </cell>
        </row>
        <row r="455">
          <cell r="B455" t="str">
            <v xml:space="preserve"> EGYPT:20</v>
          </cell>
        </row>
        <row r="456">
          <cell r="B456" t="str">
            <v xml:space="preserve"> EL SALVADOR :503</v>
          </cell>
        </row>
        <row r="457">
          <cell r="B457" t="str">
            <v xml:space="preserve"> EQUATORIAL GUINEA:240</v>
          </cell>
        </row>
        <row r="458">
          <cell r="B458" t="str">
            <v xml:space="preserve"> ERITREA :291</v>
          </cell>
        </row>
        <row r="459">
          <cell r="B459" t="str">
            <v xml:space="preserve"> ESTONIA :372</v>
          </cell>
        </row>
        <row r="460">
          <cell r="B460" t="str">
            <v xml:space="preserve"> ETHIOPIA :251</v>
          </cell>
        </row>
        <row r="461">
          <cell r="B461" t="str">
            <v xml:space="preserve"> FALKLAND ISLAND :500</v>
          </cell>
        </row>
        <row r="462">
          <cell r="B462" t="str">
            <v xml:space="preserve"> FAROE ISLAND :298</v>
          </cell>
        </row>
        <row r="463">
          <cell r="B463" t="str">
            <v xml:space="preserve"> FIJI REPUBLIC:679</v>
          </cell>
        </row>
        <row r="464">
          <cell r="B464" t="str">
            <v xml:space="preserve"> FINLAND :358</v>
          </cell>
        </row>
        <row r="465">
          <cell r="B465" t="str">
            <v xml:space="preserve"> FR POLYNESIA :689</v>
          </cell>
        </row>
        <row r="466">
          <cell r="B466" t="str">
            <v xml:space="preserve"> FRANCE:33</v>
          </cell>
        </row>
        <row r="467">
          <cell r="B467" t="str">
            <v xml:space="preserve"> FRENCH GUIANA :594</v>
          </cell>
        </row>
        <row r="468">
          <cell r="B468" t="str">
            <v xml:space="preserve"> GABONESE REPUBLIC :241</v>
          </cell>
        </row>
        <row r="469">
          <cell r="B469" t="str">
            <v xml:space="preserve"> GAMBIA :220</v>
          </cell>
        </row>
        <row r="470">
          <cell r="B470" t="str">
            <v xml:space="preserve"> GEORGIA :995</v>
          </cell>
        </row>
        <row r="471">
          <cell r="B471" t="str">
            <v xml:space="preserve"> GIBRALTOR :350</v>
          </cell>
        </row>
        <row r="472">
          <cell r="B472" t="str">
            <v xml:space="preserve"> GREENLAND:299</v>
          </cell>
        </row>
        <row r="473">
          <cell r="B473" t="str">
            <v xml:space="preserve"> GUADELOPE :590</v>
          </cell>
        </row>
        <row r="474">
          <cell r="B474" t="str">
            <v xml:space="preserve"> GUATEMALA :502</v>
          </cell>
        </row>
        <row r="475">
          <cell r="B475" t="str">
            <v xml:space="preserve"> GUINEA BISSAU :245</v>
          </cell>
        </row>
        <row r="476">
          <cell r="B476" t="str">
            <v xml:space="preserve"> GUINEA REPUBLIC :224</v>
          </cell>
        </row>
        <row r="477">
          <cell r="B477" t="str">
            <v xml:space="preserve"> GUYANA REPUBLIC:592</v>
          </cell>
        </row>
        <row r="478">
          <cell r="B478" t="str">
            <v xml:space="preserve"> HAITI REPUBLIC :509</v>
          </cell>
        </row>
        <row r="479">
          <cell r="B479" t="str">
            <v xml:space="preserve"> HAWAII :1808</v>
          </cell>
        </row>
        <row r="480">
          <cell r="B480" t="str">
            <v xml:space="preserve"> HUNGARY :36</v>
          </cell>
        </row>
        <row r="481">
          <cell r="B481" t="str">
            <v xml:space="preserve"> ICELAND :354</v>
          </cell>
        </row>
        <row r="482">
          <cell r="B482" t="str">
            <v xml:space="preserve"> INDONESIA:62</v>
          </cell>
        </row>
        <row r="483">
          <cell r="B483" t="str">
            <v xml:space="preserve"> IRAN :98</v>
          </cell>
        </row>
        <row r="484">
          <cell r="B484" t="str">
            <v xml:space="preserve"> IRAQ :964</v>
          </cell>
        </row>
        <row r="485">
          <cell r="B485" t="str">
            <v xml:space="preserve"> IRELAND :353</v>
          </cell>
        </row>
        <row r="486">
          <cell r="B486" t="str">
            <v xml:space="preserve"> ISRAEL :972</v>
          </cell>
        </row>
        <row r="487">
          <cell r="B487" t="str">
            <v xml:space="preserve"> ITALY:39</v>
          </cell>
        </row>
        <row r="488">
          <cell r="B488" t="str">
            <v xml:space="preserve"> IVORY COAST (COTE D' IVORIE):225</v>
          </cell>
        </row>
        <row r="489">
          <cell r="B489" t="str">
            <v xml:space="preserve"> JAMAICA :1876</v>
          </cell>
        </row>
        <row r="490">
          <cell r="B490" t="str">
            <v xml:space="preserve"> JAPAN :81</v>
          </cell>
        </row>
        <row r="491">
          <cell r="B491" t="str">
            <v xml:space="preserve"> JORDAN :962</v>
          </cell>
        </row>
        <row r="492">
          <cell r="B492" t="str">
            <v xml:space="preserve"> KAMPUCHEA (CAMBODIA) :855</v>
          </cell>
        </row>
        <row r="493">
          <cell r="B493" t="str">
            <v xml:space="preserve"> KAZAKISTAN :7</v>
          </cell>
        </row>
        <row r="494">
          <cell r="B494" t="str">
            <v xml:space="preserve"> KENYA :254</v>
          </cell>
        </row>
        <row r="495">
          <cell r="B495" t="str">
            <v xml:space="preserve"> KIRGHISTAN:996</v>
          </cell>
        </row>
        <row r="496">
          <cell r="B496" t="str">
            <v xml:space="preserve"> KIRIBATI :686</v>
          </cell>
        </row>
        <row r="497">
          <cell r="B497" t="str">
            <v xml:space="preserve"> KUWAIT :965</v>
          </cell>
        </row>
        <row r="498">
          <cell r="B498" t="str">
            <v xml:space="preserve"> LAOS :856</v>
          </cell>
        </row>
        <row r="499">
          <cell r="B499" t="str">
            <v xml:space="preserve"> LATVIA:371</v>
          </cell>
        </row>
        <row r="500">
          <cell r="B500" t="str">
            <v xml:space="preserve"> LEBANON :961</v>
          </cell>
        </row>
        <row r="501">
          <cell r="B501" t="str">
            <v xml:space="preserve"> LESOTHO :266</v>
          </cell>
        </row>
        <row r="502">
          <cell r="B502" t="str">
            <v xml:space="preserve"> LIBERIA :231</v>
          </cell>
        </row>
        <row r="503">
          <cell r="B503" t="str">
            <v xml:space="preserve"> LIBYA :218</v>
          </cell>
        </row>
        <row r="504">
          <cell r="B504" t="str">
            <v xml:space="preserve"> LIECHTENSTEIN :423</v>
          </cell>
        </row>
        <row r="505">
          <cell r="B505" t="str">
            <v xml:space="preserve"> LITHVANIA:370</v>
          </cell>
        </row>
        <row r="506">
          <cell r="B506" t="str">
            <v xml:space="preserve"> MACEDONIA :389</v>
          </cell>
        </row>
        <row r="507">
          <cell r="B507" t="str">
            <v xml:space="preserve"> MADEIRA ISLAND :351</v>
          </cell>
        </row>
        <row r="508">
          <cell r="B508" t="str">
            <v xml:space="preserve"> MALAWI :265</v>
          </cell>
        </row>
        <row r="509">
          <cell r="B509" t="str">
            <v xml:space="preserve"> MALAYSIA :60</v>
          </cell>
        </row>
        <row r="510">
          <cell r="B510" t="str">
            <v xml:space="preserve"> MALDIVES:960</v>
          </cell>
        </row>
        <row r="511">
          <cell r="B511" t="str">
            <v xml:space="preserve"> MALI :223</v>
          </cell>
        </row>
        <row r="512">
          <cell r="B512" t="str">
            <v xml:space="preserve"> MALTA :356</v>
          </cell>
        </row>
        <row r="513">
          <cell r="B513" t="str">
            <v xml:space="preserve"> MANGOLIA :976</v>
          </cell>
        </row>
        <row r="514">
          <cell r="B514" t="str">
            <v xml:space="preserve"> MARIANA ISLAND :1670</v>
          </cell>
        </row>
        <row r="515">
          <cell r="B515" t="str">
            <v xml:space="preserve"> MARSHALL ISLAND :692</v>
          </cell>
        </row>
        <row r="516">
          <cell r="B516" t="str">
            <v xml:space="preserve"> MARTINIQUE :596</v>
          </cell>
        </row>
        <row r="517">
          <cell r="B517" t="str">
            <v xml:space="preserve"> MAURITANIA :222</v>
          </cell>
        </row>
        <row r="518">
          <cell r="B518" t="str">
            <v xml:space="preserve"> MAURITIUS:230</v>
          </cell>
        </row>
        <row r="519">
          <cell r="B519" t="str">
            <v xml:space="preserve"> MAYOTTE :269</v>
          </cell>
        </row>
        <row r="520">
          <cell r="B520" t="str">
            <v xml:space="preserve"> MEXICO:52</v>
          </cell>
        </row>
        <row r="521">
          <cell r="B521" t="str">
            <v xml:space="preserve"> MICRONESIA :691</v>
          </cell>
        </row>
        <row r="522">
          <cell r="B522" t="str">
            <v xml:space="preserve"> MONTSERRAT :1664</v>
          </cell>
        </row>
        <row r="523">
          <cell r="B523" t="str">
            <v xml:space="preserve"> MOZAMBIQUE :258</v>
          </cell>
        </row>
        <row r="524">
          <cell r="B524" t="str">
            <v xml:space="preserve"> NAMIBIA :264</v>
          </cell>
        </row>
        <row r="525">
          <cell r="B525" t="str">
            <v xml:space="preserve"> NEPAL :977</v>
          </cell>
        </row>
        <row r="526">
          <cell r="B526" t="str">
            <v xml:space="preserve"> NETHERLANDS :31</v>
          </cell>
        </row>
        <row r="527">
          <cell r="B527" t="str">
            <v xml:space="preserve"> NETHERLANDS ANTHILLES :599</v>
          </cell>
        </row>
        <row r="528">
          <cell r="B528" t="str">
            <v xml:space="preserve"> NEW CALEDONIA :687</v>
          </cell>
        </row>
        <row r="529">
          <cell r="B529" t="str">
            <v xml:space="preserve"> NEW ZEALAND:64</v>
          </cell>
        </row>
        <row r="530">
          <cell r="B530" t="str">
            <v xml:space="preserve"> NICARAGUA:505</v>
          </cell>
        </row>
        <row r="531">
          <cell r="B531" t="str">
            <v xml:space="preserve"> NIGER :227</v>
          </cell>
        </row>
        <row r="532">
          <cell r="B532" t="str">
            <v xml:space="preserve"> NIGERIA :234</v>
          </cell>
        </row>
        <row r="533">
          <cell r="B533" t="str">
            <v xml:space="preserve"> NIUE ISLAND :683</v>
          </cell>
        </row>
        <row r="534">
          <cell r="B534" t="str">
            <v xml:space="preserve"> NORFORK ISLAND:672</v>
          </cell>
        </row>
        <row r="535">
          <cell r="B535" t="str">
            <v xml:space="preserve"> NORTH KOREA:850</v>
          </cell>
        </row>
        <row r="536">
          <cell r="B536" t="str">
            <v xml:space="preserve"> PAKISTAN:92</v>
          </cell>
        </row>
        <row r="537">
          <cell r="B537" t="str">
            <v xml:space="preserve"> PALAU :680</v>
          </cell>
        </row>
        <row r="538">
          <cell r="B538" t="str">
            <v xml:space="preserve"> PALESTINE:970</v>
          </cell>
        </row>
        <row r="539">
          <cell r="B539" t="str">
            <v xml:space="preserve"> PANAMA :507</v>
          </cell>
        </row>
        <row r="540">
          <cell r="B540" t="str">
            <v xml:space="preserve"> PAPUA NEW GUINEA :675</v>
          </cell>
        </row>
        <row r="541">
          <cell r="B541" t="str">
            <v xml:space="preserve"> PARAGUAY :595</v>
          </cell>
        </row>
        <row r="542">
          <cell r="B542" t="str">
            <v xml:space="preserve"> PERU :51</v>
          </cell>
        </row>
        <row r="543">
          <cell r="B543" t="str">
            <v xml:space="preserve"> PHILIPPINES:63</v>
          </cell>
        </row>
        <row r="544">
          <cell r="B544" t="str">
            <v xml:space="preserve"> POLAND :48</v>
          </cell>
        </row>
        <row r="545">
          <cell r="B545" t="str">
            <v xml:space="preserve"> PORTUGAL:351</v>
          </cell>
        </row>
        <row r="546">
          <cell r="B546" t="str">
            <v xml:space="preserve"> PUERTO RICO:1787</v>
          </cell>
        </row>
        <row r="547">
          <cell r="B547" t="str">
            <v xml:space="preserve"> QATAR :974</v>
          </cell>
        </row>
        <row r="548">
          <cell r="B548" t="str">
            <v xml:space="preserve"> REUNION :262</v>
          </cell>
        </row>
        <row r="549">
          <cell r="B549" t="str">
            <v xml:space="preserve"> RODRIGUES ISLAND :230</v>
          </cell>
        </row>
        <row r="550">
          <cell r="B550" t="str">
            <v xml:space="preserve"> ROMANIA:40</v>
          </cell>
        </row>
        <row r="551">
          <cell r="B551" t="str">
            <v xml:space="preserve"> RUSSIA:7</v>
          </cell>
        </row>
        <row r="552">
          <cell r="B552" t="str">
            <v xml:space="preserve"> RWANDESE REPUBLIC:250</v>
          </cell>
        </row>
        <row r="553">
          <cell r="B553" t="str">
            <v xml:space="preserve"> SAMOA AMERICAN:684</v>
          </cell>
        </row>
        <row r="554">
          <cell r="B554" t="str">
            <v xml:space="preserve"> SAMOA WESTERN :685</v>
          </cell>
        </row>
        <row r="555">
          <cell r="B555" t="str">
            <v xml:space="preserve"> SAN MARINO:378</v>
          </cell>
        </row>
        <row r="556">
          <cell r="B556" t="str">
            <v xml:space="preserve"> SAUDI ARABIA:966</v>
          </cell>
        </row>
        <row r="557">
          <cell r="B557" t="str">
            <v xml:space="preserve"> SENEGAL:221</v>
          </cell>
        </row>
        <row r="558">
          <cell r="B558" t="str">
            <v xml:space="preserve"> SEYCHELLES :248</v>
          </cell>
        </row>
        <row r="559">
          <cell r="B559" t="str">
            <v xml:space="preserve"> SIERRALEONE:232</v>
          </cell>
        </row>
        <row r="560">
          <cell r="B560" t="str">
            <v xml:space="preserve"> SINGAPORE :65</v>
          </cell>
        </row>
        <row r="561">
          <cell r="B561" t="str">
            <v xml:space="preserve"> SLOVAK REPUBLIC :421</v>
          </cell>
        </row>
        <row r="562">
          <cell r="B562" t="str">
            <v xml:space="preserve"> SLOVENIA:386</v>
          </cell>
        </row>
        <row r="563">
          <cell r="B563" t="str">
            <v xml:space="preserve"> SOLOMAN ISLAND :677</v>
          </cell>
        </row>
        <row r="564">
          <cell r="B564" t="str">
            <v xml:space="preserve"> SOMALIA DEMOCRATIC REPUBLIC :252</v>
          </cell>
        </row>
        <row r="565">
          <cell r="B565" t="str">
            <v xml:space="preserve"> SOUTH AFRICA :27</v>
          </cell>
        </row>
        <row r="566">
          <cell r="B566" t="str">
            <v xml:space="preserve"> SOUTH KOREA :82</v>
          </cell>
        </row>
        <row r="567">
          <cell r="B567" t="str">
            <v xml:space="preserve"> SPAIN :34</v>
          </cell>
        </row>
        <row r="568">
          <cell r="B568" t="str">
            <v xml:space="preserve"> SRILANKA :94</v>
          </cell>
        </row>
        <row r="569">
          <cell r="B569" t="str">
            <v xml:space="preserve"> ST. HELENA :290</v>
          </cell>
        </row>
        <row r="570">
          <cell r="B570" t="str">
            <v xml:space="preserve"> ST. KITTS/NAVIS ISLAND :1869</v>
          </cell>
        </row>
        <row r="571">
          <cell r="B571" t="str">
            <v xml:space="preserve"> ST. LUCIA :1758</v>
          </cell>
        </row>
        <row r="572">
          <cell r="B572" t="str">
            <v xml:space="preserve"> ST. PIERRE &amp; MIQUELIOM:508</v>
          </cell>
        </row>
        <row r="573">
          <cell r="B573" t="str">
            <v xml:space="preserve"> ST. TOME &amp; PRINCEP :239</v>
          </cell>
        </row>
        <row r="574">
          <cell r="B574" t="str">
            <v xml:space="preserve"> ST. VINCENT &amp; THE GRENADIAN:1784</v>
          </cell>
        </row>
        <row r="575">
          <cell r="B575" t="str">
            <v xml:space="preserve"> SUDAN :249</v>
          </cell>
        </row>
        <row r="576">
          <cell r="B576" t="str">
            <v xml:space="preserve"> SURINAM :597</v>
          </cell>
        </row>
        <row r="577">
          <cell r="B577" t="str">
            <v xml:space="preserve"> SWAZILAND :268</v>
          </cell>
        </row>
        <row r="578">
          <cell r="B578" t="str">
            <v xml:space="preserve"> SWITZERLAND:41</v>
          </cell>
        </row>
        <row r="579">
          <cell r="B579" t="str">
            <v xml:space="preserve"> SYRIA :963</v>
          </cell>
        </row>
        <row r="580">
          <cell r="B580" t="str">
            <v xml:space="preserve"> TAIWAN:886</v>
          </cell>
        </row>
        <row r="581">
          <cell r="B581" t="str">
            <v xml:space="preserve"> TANZANIA :255</v>
          </cell>
        </row>
        <row r="582">
          <cell r="B582" t="str">
            <v xml:space="preserve"> TAZAKISTAN :992</v>
          </cell>
        </row>
        <row r="583">
          <cell r="B583" t="str">
            <v xml:space="preserve"> THAILAND :66</v>
          </cell>
        </row>
        <row r="584">
          <cell r="B584" t="str">
            <v xml:space="preserve"> TOGOLESE REPUBLIC :228</v>
          </cell>
        </row>
        <row r="585">
          <cell r="B585" t="str">
            <v xml:space="preserve"> TOKELAU ISLAND :690</v>
          </cell>
        </row>
        <row r="586">
          <cell r="B586" t="str">
            <v xml:space="preserve"> TRANSKEI :27</v>
          </cell>
        </row>
        <row r="587">
          <cell r="B587" t="str">
            <v xml:space="preserve"> TRINIDAD &amp; TOBAGO:1868</v>
          </cell>
        </row>
        <row r="588">
          <cell r="B588" t="str">
            <v xml:space="preserve"> TUNISIA :216</v>
          </cell>
        </row>
        <row r="589">
          <cell r="B589" t="str">
            <v xml:space="preserve"> TURKEY :90</v>
          </cell>
        </row>
        <row r="590">
          <cell r="B590" t="str">
            <v xml:space="preserve"> TURKMENISTAN :993</v>
          </cell>
        </row>
        <row r="591">
          <cell r="B591" t="str">
            <v xml:space="preserve"> TURKS &amp; CAICOS ISLANDS :1649</v>
          </cell>
        </row>
        <row r="592">
          <cell r="B592" t="str">
            <v xml:space="preserve"> TUVALU :688</v>
          </cell>
        </row>
        <row r="593">
          <cell r="B593" t="str">
            <v xml:space="preserve"> UAE :971</v>
          </cell>
        </row>
        <row r="594">
          <cell r="B594" t="str">
            <v xml:space="preserve"> UK :44</v>
          </cell>
        </row>
        <row r="595">
          <cell r="B595" t="str">
            <v xml:space="preserve"> UKRAINE :380</v>
          </cell>
        </row>
        <row r="596">
          <cell r="B596" t="str">
            <v xml:space="preserve"> USA :1</v>
          </cell>
        </row>
        <row r="597">
          <cell r="B597" t="str">
            <v xml:space="preserve"> UZBEKISTAN :998</v>
          </cell>
        </row>
        <row r="598">
          <cell r="B598" t="str">
            <v xml:space="preserve"> VANAUTU :678</v>
          </cell>
        </row>
        <row r="599">
          <cell r="B599" t="str">
            <v xml:space="preserve"> VATICAN CITY :39</v>
          </cell>
        </row>
        <row r="600">
          <cell r="B600" t="str">
            <v xml:space="preserve"> VENDA :27</v>
          </cell>
        </row>
        <row r="601">
          <cell r="B601" t="str">
            <v xml:space="preserve"> VENEZUELA:58</v>
          </cell>
        </row>
        <row r="602">
          <cell r="B602" t="str">
            <v xml:space="preserve"> VIETNAM :84</v>
          </cell>
        </row>
        <row r="603">
          <cell r="B603" t="str">
            <v xml:space="preserve"> VIRGIN ISLAND (BRI) :1284</v>
          </cell>
        </row>
        <row r="604">
          <cell r="B604" t="str">
            <v xml:space="preserve"> VIRGIN ISLAND (USA):1340</v>
          </cell>
        </row>
        <row r="605">
          <cell r="B605" t="str">
            <v xml:space="preserve"> WALLIS &amp; FUTUNA ISLAND :681</v>
          </cell>
        </row>
        <row r="606">
          <cell r="B606" t="str">
            <v xml:space="preserve"> YUGOSLAVIA :381</v>
          </cell>
        </row>
        <row r="607">
          <cell r="B607" t="str">
            <v xml:space="preserve"> ZAIRE :243</v>
          </cell>
        </row>
        <row r="608">
          <cell r="B608" t="str">
            <v xml:space="preserve"> ZAMBIA :260</v>
          </cell>
        </row>
        <row r="609">
          <cell r="B609" t="str">
            <v xml:space="preserve"> ZIMBABWE :263</v>
          </cell>
        </row>
        <row r="610">
          <cell r="B610" t="str">
            <v>BERMUDA :1441</v>
          </cell>
        </row>
        <row r="611">
          <cell r="B611" t="str">
            <v>BOPUPATSWANA:27</v>
          </cell>
        </row>
        <row r="612">
          <cell r="B612" t="str">
            <v>CAMEROON :237</v>
          </cell>
        </row>
        <row r="613">
          <cell r="B613" t="str">
            <v>CHAD :235</v>
          </cell>
        </row>
        <row r="614">
          <cell r="B614" t="str">
            <v>COMOROS :269</v>
          </cell>
        </row>
        <row r="615">
          <cell r="B615" t="str">
            <v>CONGO :242</v>
          </cell>
        </row>
        <row r="616">
          <cell r="B616" t="str">
            <v>DENMARK :45</v>
          </cell>
        </row>
        <row r="617">
          <cell r="B617" t="str">
            <v>ECUADOR :593</v>
          </cell>
        </row>
        <row r="618">
          <cell r="B618" t="str">
            <v>GERMANY :49</v>
          </cell>
        </row>
        <row r="619">
          <cell r="B619" t="str">
            <v>GHANA :233</v>
          </cell>
        </row>
        <row r="620">
          <cell r="B620" t="str">
            <v>GREECE :30</v>
          </cell>
        </row>
        <row r="621">
          <cell r="B621" t="str">
            <v>GRENEDA :1473</v>
          </cell>
        </row>
        <row r="622">
          <cell r="B622" t="str">
            <v>GUAM :1671</v>
          </cell>
        </row>
        <row r="623">
          <cell r="B623" t="str">
            <v>HONDURAS :504</v>
          </cell>
        </row>
        <row r="624">
          <cell r="B624" t="str">
            <v>HONGKONG:852</v>
          </cell>
        </row>
        <row r="625">
          <cell r="B625" t="str">
            <v>LUXUMBURG:352</v>
          </cell>
        </row>
        <row r="626">
          <cell r="B626" t="str">
            <v>MACAO:853</v>
          </cell>
        </row>
        <row r="627">
          <cell r="B627" t="str">
            <v>MADAGASCAR:261</v>
          </cell>
        </row>
        <row r="628">
          <cell r="B628" t="str">
            <v>MOLDOVA :373</v>
          </cell>
        </row>
        <row r="629">
          <cell r="B629" t="str">
            <v>MONACO :377</v>
          </cell>
        </row>
        <row r="630">
          <cell r="B630" t="str">
            <v>MOROCCO :212</v>
          </cell>
        </row>
        <row r="631">
          <cell r="B631" t="str">
            <v>MYANMAR :95</v>
          </cell>
        </row>
        <row r="632">
          <cell r="B632" t="str">
            <v>NAURU :674</v>
          </cell>
        </row>
        <row r="633">
          <cell r="B633" t="str">
            <v>NORWAY :47</v>
          </cell>
        </row>
        <row r="634">
          <cell r="B634" t="str">
            <v>OMAN :968</v>
          </cell>
        </row>
        <row r="635">
          <cell r="B635" t="str">
            <v>SWEDEN :46</v>
          </cell>
        </row>
        <row r="636">
          <cell r="B636" t="str">
            <v>TONGA :676</v>
          </cell>
        </row>
        <row r="637">
          <cell r="B637" t="str">
            <v>UGANDA :256</v>
          </cell>
        </row>
        <row r="638">
          <cell r="B638" t="str">
            <v>URUGUAY:598</v>
          </cell>
        </row>
        <row r="639">
          <cell r="B639" t="str">
            <v>YEMEN :967</v>
          </cell>
        </row>
      </sheetData>
      <sheetData sheetId="29">
        <row r="13">
          <cell r="E13">
            <v>0</v>
          </cell>
          <cell r="F13">
            <v>0</v>
          </cell>
          <cell r="G13">
            <v>0</v>
          </cell>
        </row>
        <row r="16">
          <cell r="G16">
            <v>0</v>
          </cell>
        </row>
        <row r="17">
          <cell r="G17">
            <v>0</v>
          </cell>
        </row>
        <row r="400">
          <cell r="B400" t="str">
            <v xml:space="preserve"> AFGHANISTAN:93</v>
          </cell>
        </row>
        <row r="401">
          <cell r="B401" t="str">
            <v xml:space="preserve"> ALASKA :1907</v>
          </cell>
        </row>
        <row r="402">
          <cell r="B402" t="str">
            <v xml:space="preserve"> ALBANIA :355</v>
          </cell>
        </row>
        <row r="403">
          <cell r="B403" t="str">
            <v xml:space="preserve"> ALGERIA :213</v>
          </cell>
        </row>
        <row r="404">
          <cell r="B404" t="str">
            <v xml:space="preserve"> ANDORRA :376</v>
          </cell>
        </row>
        <row r="405">
          <cell r="B405" t="str">
            <v xml:space="preserve"> ANGOLA:244</v>
          </cell>
        </row>
        <row r="406">
          <cell r="B406" t="str">
            <v xml:space="preserve"> ANGUILLA:1264</v>
          </cell>
        </row>
        <row r="407">
          <cell r="B407" t="str">
            <v xml:space="preserve"> ANTIGUA :1268</v>
          </cell>
        </row>
        <row r="408">
          <cell r="B408" t="str">
            <v xml:space="preserve"> ARGENTINA :54</v>
          </cell>
        </row>
        <row r="409">
          <cell r="B409" t="str">
            <v xml:space="preserve"> ARMENIA :374</v>
          </cell>
        </row>
        <row r="410">
          <cell r="B410" t="str">
            <v xml:space="preserve"> ARUBA :297</v>
          </cell>
        </row>
        <row r="411">
          <cell r="B411" t="str">
            <v xml:space="preserve"> ASCENSION:247</v>
          </cell>
        </row>
        <row r="412">
          <cell r="B412" t="str">
            <v xml:space="preserve"> AUSTRALIA :61</v>
          </cell>
        </row>
        <row r="413">
          <cell r="B413" t="str">
            <v xml:space="preserve"> AUSTRIA :43</v>
          </cell>
        </row>
        <row r="414">
          <cell r="B414" t="str">
            <v xml:space="preserve"> AZERBAIJAN REPUBLIC:994</v>
          </cell>
        </row>
        <row r="415">
          <cell r="B415" t="str">
            <v xml:space="preserve"> AZORES:351</v>
          </cell>
        </row>
        <row r="416">
          <cell r="B416" t="str">
            <v xml:space="preserve"> BAHAMAS:1242</v>
          </cell>
        </row>
        <row r="417">
          <cell r="B417" t="str">
            <v xml:space="preserve"> BAHARIN :973</v>
          </cell>
        </row>
        <row r="418">
          <cell r="B418" t="str">
            <v xml:space="preserve"> BANGLADESH:880</v>
          </cell>
        </row>
        <row r="419">
          <cell r="B419" t="str">
            <v xml:space="preserve"> BARBADOS :1246</v>
          </cell>
        </row>
        <row r="420">
          <cell r="B420" t="str">
            <v xml:space="preserve"> BELARUS :375</v>
          </cell>
        </row>
        <row r="421">
          <cell r="B421" t="str">
            <v xml:space="preserve"> BELGIUM :32</v>
          </cell>
        </row>
        <row r="422">
          <cell r="B422" t="str">
            <v xml:space="preserve"> BELIZE:501</v>
          </cell>
        </row>
        <row r="423">
          <cell r="B423" t="str">
            <v xml:space="preserve"> BENIN :229</v>
          </cell>
        </row>
        <row r="424">
          <cell r="B424" t="str">
            <v xml:space="preserve"> BHUTAN :975</v>
          </cell>
        </row>
        <row r="425">
          <cell r="B425" t="str">
            <v xml:space="preserve"> BOLIVIA :591</v>
          </cell>
        </row>
        <row r="426">
          <cell r="B426" t="str">
            <v xml:space="preserve"> BOSNIA &amp; HERZEGOVINA :387</v>
          </cell>
        </row>
        <row r="427">
          <cell r="B427" t="str">
            <v xml:space="preserve"> BOTSWANA, REPUBLIC OF:267</v>
          </cell>
        </row>
        <row r="428">
          <cell r="B428" t="str">
            <v xml:space="preserve"> BRAZIL:55</v>
          </cell>
        </row>
        <row r="429">
          <cell r="B429" t="str">
            <v xml:space="preserve"> BRUNEI :673</v>
          </cell>
        </row>
        <row r="430">
          <cell r="B430" t="str">
            <v xml:space="preserve"> BULGARIA :359</v>
          </cell>
        </row>
        <row r="431">
          <cell r="B431" t="str">
            <v xml:space="preserve"> BURKINA FASSO :226</v>
          </cell>
        </row>
        <row r="432">
          <cell r="B432" t="str">
            <v xml:space="preserve"> BURUNDI :257</v>
          </cell>
        </row>
        <row r="433">
          <cell r="B433" t="str">
            <v xml:space="preserve"> CANADA :1</v>
          </cell>
        </row>
        <row r="434">
          <cell r="B434" t="str">
            <v xml:space="preserve"> CANARY ISLAND :34</v>
          </cell>
        </row>
        <row r="435">
          <cell r="B435" t="str">
            <v xml:space="preserve"> CAPE VERDE :238</v>
          </cell>
        </row>
        <row r="436">
          <cell r="B436" t="str">
            <v xml:space="preserve"> CAYMAN ISLAND :1345</v>
          </cell>
        </row>
        <row r="437">
          <cell r="B437" t="str">
            <v xml:space="preserve"> CENTRAL AFRICAN REPUBLIC:236</v>
          </cell>
        </row>
        <row r="438">
          <cell r="B438" t="str">
            <v xml:space="preserve"> CHILE :56</v>
          </cell>
        </row>
        <row r="439">
          <cell r="B439" t="str">
            <v xml:space="preserve"> CHINA:86</v>
          </cell>
        </row>
        <row r="440">
          <cell r="B440" t="str">
            <v xml:space="preserve"> CHRISTMAS ISLAND :61</v>
          </cell>
        </row>
        <row r="441">
          <cell r="B441" t="str">
            <v xml:space="preserve"> CISKEI :27</v>
          </cell>
        </row>
        <row r="442">
          <cell r="B442" t="str">
            <v xml:space="preserve"> COCOSKEELING ISLAND :672</v>
          </cell>
        </row>
        <row r="443">
          <cell r="B443" t="str">
            <v xml:space="preserve"> COLOMBIA:57</v>
          </cell>
        </row>
        <row r="444">
          <cell r="B444" t="str">
            <v xml:space="preserve"> COOK ISLAND :682</v>
          </cell>
        </row>
        <row r="445">
          <cell r="B445" t="str">
            <v xml:space="preserve"> COSTA RICA :506</v>
          </cell>
        </row>
        <row r="446">
          <cell r="B446" t="str">
            <v xml:space="preserve"> CROATIA :385</v>
          </cell>
        </row>
        <row r="447">
          <cell r="B447" t="str">
            <v xml:space="preserve"> CUBA :53</v>
          </cell>
        </row>
        <row r="448">
          <cell r="B448" t="str">
            <v xml:space="preserve"> CYPRUS :357</v>
          </cell>
        </row>
        <row r="449">
          <cell r="B449" t="str">
            <v xml:space="preserve"> CZECH REPUBLIC :420</v>
          </cell>
        </row>
        <row r="450">
          <cell r="B450" t="str">
            <v xml:space="preserve"> DIEGO GARCIA:246</v>
          </cell>
        </row>
        <row r="451">
          <cell r="B451" t="str">
            <v xml:space="preserve"> DJIBOUTI :253</v>
          </cell>
        </row>
        <row r="452">
          <cell r="B452" t="str">
            <v xml:space="preserve"> DOMANICCAN REPUBLIC :1809</v>
          </cell>
        </row>
        <row r="453">
          <cell r="B453" t="str">
            <v xml:space="preserve"> DOMINICA ISLAND:1767</v>
          </cell>
        </row>
        <row r="454">
          <cell r="B454" t="str">
            <v xml:space="preserve"> EAST TIMOR :670</v>
          </cell>
        </row>
        <row r="455">
          <cell r="B455" t="str">
            <v xml:space="preserve"> EGYPT:20</v>
          </cell>
        </row>
        <row r="456">
          <cell r="B456" t="str">
            <v xml:space="preserve"> EL SALVADOR :503</v>
          </cell>
        </row>
        <row r="457">
          <cell r="B457" t="str">
            <v xml:space="preserve"> EQUATORIAL GUINEA:240</v>
          </cell>
        </row>
        <row r="458">
          <cell r="B458" t="str">
            <v xml:space="preserve"> ERITREA :291</v>
          </cell>
        </row>
        <row r="459">
          <cell r="B459" t="str">
            <v xml:space="preserve"> ESTONIA :372</v>
          </cell>
        </row>
        <row r="460">
          <cell r="B460" t="str">
            <v xml:space="preserve"> ETHIOPIA :251</v>
          </cell>
        </row>
        <row r="461">
          <cell r="B461" t="str">
            <v xml:space="preserve"> FALKLAND ISLAND :500</v>
          </cell>
        </row>
        <row r="462">
          <cell r="B462" t="str">
            <v xml:space="preserve"> FAROE ISLAND :298</v>
          </cell>
        </row>
        <row r="463">
          <cell r="B463" t="str">
            <v xml:space="preserve"> FIJI REPUBLIC:679</v>
          </cell>
        </row>
        <row r="464">
          <cell r="B464" t="str">
            <v xml:space="preserve"> FINLAND :358</v>
          </cell>
        </row>
        <row r="465">
          <cell r="B465" t="str">
            <v xml:space="preserve"> FR POLYNESIA :689</v>
          </cell>
        </row>
        <row r="466">
          <cell r="B466" t="str">
            <v xml:space="preserve"> FRANCE:33</v>
          </cell>
        </row>
        <row r="467">
          <cell r="B467" t="str">
            <v xml:space="preserve"> FRENCH GUIANA :594</v>
          </cell>
        </row>
        <row r="468">
          <cell r="B468" t="str">
            <v xml:space="preserve"> GABONESE REPUBLIC :241</v>
          </cell>
        </row>
        <row r="469">
          <cell r="B469" t="str">
            <v xml:space="preserve"> GAMBIA :220</v>
          </cell>
        </row>
        <row r="470">
          <cell r="B470" t="str">
            <v xml:space="preserve"> GEORGIA :995</v>
          </cell>
        </row>
        <row r="471">
          <cell r="B471" t="str">
            <v xml:space="preserve"> GIBRALTOR :350</v>
          </cell>
        </row>
        <row r="472">
          <cell r="B472" t="str">
            <v xml:space="preserve"> GREENLAND:299</v>
          </cell>
        </row>
        <row r="473">
          <cell r="B473" t="str">
            <v xml:space="preserve"> GUADELOPE :590</v>
          </cell>
        </row>
        <row r="474">
          <cell r="B474" t="str">
            <v xml:space="preserve"> GUATEMALA :502</v>
          </cell>
        </row>
        <row r="475">
          <cell r="B475" t="str">
            <v xml:space="preserve"> GUINEA BISSAU :245</v>
          </cell>
        </row>
        <row r="476">
          <cell r="B476" t="str">
            <v xml:space="preserve"> GUINEA REPUBLIC :224</v>
          </cell>
        </row>
        <row r="477">
          <cell r="B477" t="str">
            <v xml:space="preserve"> GUYANA REPUBLIC:592</v>
          </cell>
        </row>
        <row r="478">
          <cell r="B478" t="str">
            <v xml:space="preserve"> HAITI REPUBLIC :509</v>
          </cell>
        </row>
        <row r="479">
          <cell r="B479" t="str">
            <v xml:space="preserve"> HAWAII :1808</v>
          </cell>
        </row>
        <row r="480">
          <cell r="B480" t="str">
            <v xml:space="preserve"> HUNGARY :36</v>
          </cell>
        </row>
        <row r="481">
          <cell r="B481" t="str">
            <v xml:space="preserve"> ICELAND :354</v>
          </cell>
        </row>
        <row r="482">
          <cell r="B482" t="str">
            <v xml:space="preserve"> INDONESIA:62</v>
          </cell>
        </row>
        <row r="483">
          <cell r="B483" t="str">
            <v xml:space="preserve"> IRAN :98</v>
          </cell>
        </row>
        <row r="484">
          <cell r="B484" t="str">
            <v xml:space="preserve"> IRAQ :964</v>
          </cell>
        </row>
        <row r="485">
          <cell r="B485" t="str">
            <v xml:space="preserve"> IRELAND :353</v>
          </cell>
        </row>
        <row r="486">
          <cell r="B486" t="str">
            <v xml:space="preserve"> ISRAEL :972</v>
          </cell>
        </row>
        <row r="487">
          <cell r="B487" t="str">
            <v xml:space="preserve"> ITALY:39</v>
          </cell>
        </row>
        <row r="488">
          <cell r="B488" t="str">
            <v xml:space="preserve"> IVORY COAST (COTE D' IVORIE):225</v>
          </cell>
        </row>
        <row r="489">
          <cell r="B489" t="str">
            <v xml:space="preserve"> JAMAICA :1876</v>
          </cell>
        </row>
        <row r="490">
          <cell r="B490" t="str">
            <v xml:space="preserve"> JAPAN :81</v>
          </cell>
        </row>
        <row r="491">
          <cell r="B491" t="str">
            <v xml:space="preserve"> JORDAN :962</v>
          </cell>
        </row>
        <row r="492">
          <cell r="B492" t="str">
            <v xml:space="preserve"> KAMPUCHEA (CAMBODIA) :855</v>
          </cell>
        </row>
        <row r="493">
          <cell r="B493" t="str">
            <v xml:space="preserve"> KAZAKISTAN :7</v>
          </cell>
        </row>
        <row r="494">
          <cell r="B494" t="str">
            <v xml:space="preserve"> KENYA :254</v>
          </cell>
        </row>
        <row r="495">
          <cell r="B495" t="str">
            <v xml:space="preserve"> KIRGHISTAN:996</v>
          </cell>
        </row>
        <row r="496">
          <cell r="B496" t="str">
            <v xml:space="preserve"> KIRIBATI :686</v>
          </cell>
        </row>
        <row r="497">
          <cell r="B497" t="str">
            <v xml:space="preserve"> KUWAIT :965</v>
          </cell>
        </row>
        <row r="498">
          <cell r="B498" t="str">
            <v xml:space="preserve"> LAOS :856</v>
          </cell>
        </row>
        <row r="499">
          <cell r="B499" t="str">
            <v xml:space="preserve"> LATVIA:371</v>
          </cell>
        </row>
        <row r="500">
          <cell r="B500" t="str">
            <v xml:space="preserve"> LEBANON :961</v>
          </cell>
        </row>
        <row r="501">
          <cell r="B501" t="str">
            <v xml:space="preserve"> LESOTHO :266</v>
          </cell>
        </row>
        <row r="502">
          <cell r="B502" t="str">
            <v xml:space="preserve"> LIBERIA :231</v>
          </cell>
        </row>
        <row r="503">
          <cell r="B503" t="str">
            <v xml:space="preserve"> LIBYA :218</v>
          </cell>
        </row>
        <row r="504">
          <cell r="B504" t="str">
            <v xml:space="preserve"> LIECHTENSTEIN :423</v>
          </cell>
        </row>
        <row r="505">
          <cell r="B505" t="str">
            <v xml:space="preserve"> LITHVANIA:370</v>
          </cell>
        </row>
        <row r="506">
          <cell r="B506" t="str">
            <v xml:space="preserve"> MACEDONIA :389</v>
          </cell>
        </row>
        <row r="507">
          <cell r="B507" t="str">
            <v xml:space="preserve"> MADEIRA ISLAND :351</v>
          </cell>
        </row>
        <row r="508">
          <cell r="B508" t="str">
            <v xml:space="preserve"> MALAWI :265</v>
          </cell>
        </row>
        <row r="509">
          <cell r="B509" t="str">
            <v xml:space="preserve"> MALAYSIA :60</v>
          </cell>
        </row>
        <row r="510">
          <cell r="B510" t="str">
            <v xml:space="preserve"> MALDIVES:960</v>
          </cell>
        </row>
        <row r="511">
          <cell r="B511" t="str">
            <v xml:space="preserve"> MALI :223</v>
          </cell>
        </row>
        <row r="512">
          <cell r="B512" t="str">
            <v xml:space="preserve"> MALTA :356</v>
          </cell>
        </row>
        <row r="513">
          <cell r="B513" t="str">
            <v xml:space="preserve"> MANGOLIA :976</v>
          </cell>
        </row>
        <row r="514">
          <cell r="B514" t="str">
            <v xml:space="preserve"> MARIANA ISLAND :1670</v>
          </cell>
        </row>
        <row r="515">
          <cell r="B515" t="str">
            <v xml:space="preserve"> MARSHALL ISLAND :692</v>
          </cell>
        </row>
        <row r="516">
          <cell r="B516" t="str">
            <v xml:space="preserve"> MARTINIQUE :596</v>
          </cell>
        </row>
        <row r="517">
          <cell r="B517" t="str">
            <v xml:space="preserve"> MAURITANIA :222</v>
          </cell>
        </row>
        <row r="518">
          <cell r="B518" t="str">
            <v xml:space="preserve"> MAURITIUS:230</v>
          </cell>
        </row>
        <row r="519">
          <cell r="B519" t="str">
            <v xml:space="preserve"> MAYOTTE :269</v>
          </cell>
        </row>
        <row r="520">
          <cell r="B520" t="str">
            <v xml:space="preserve"> MEXICO:52</v>
          </cell>
        </row>
        <row r="521">
          <cell r="B521" t="str">
            <v xml:space="preserve"> MICRONESIA :691</v>
          </cell>
        </row>
        <row r="522">
          <cell r="B522" t="str">
            <v xml:space="preserve"> MONTSERRAT :1664</v>
          </cell>
        </row>
        <row r="523">
          <cell r="B523" t="str">
            <v xml:space="preserve"> MOZAMBIQUE :258</v>
          </cell>
        </row>
        <row r="524">
          <cell r="B524" t="str">
            <v xml:space="preserve"> NAMIBIA :264</v>
          </cell>
        </row>
        <row r="525">
          <cell r="B525" t="str">
            <v xml:space="preserve"> NEPAL :977</v>
          </cell>
        </row>
        <row r="526">
          <cell r="B526" t="str">
            <v xml:space="preserve"> NETHERLANDS :31</v>
          </cell>
        </row>
        <row r="527">
          <cell r="B527" t="str">
            <v xml:space="preserve"> NETHERLANDS ANTHILLES :599</v>
          </cell>
        </row>
        <row r="528">
          <cell r="B528" t="str">
            <v xml:space="preserve"> NEW CALEDONIA :687</v>
          </cell>
        </row>
        <row r="529">
          <cell r="B529" t="str">
            <v xml:space="preserve"> NEW ZEALAND:64</v>
          </cell>
        </row>
        <row r="530">
          <cell r="B530" t="str">
            <v xml:space="preserve"> NICARAGUA:505</v>
          </cell>
        </row>
        <row r="531">
          <cell r="B531" t="str">
            <v xml:space="preserve"> NIGER :227</v>
          </cell>
        </row>
        <row r="532">
          <cell r="B532" t="str">
            <v xml:space="preserve"> NIGERIA :234</v>
          </cell>
        </row>
        <row r="533">
          <cell r="B533" t="str">
            <v xml:space="preserve"> NIUE ISLAND :683</v>
          </cell>
        </row>
        <row r="534">
          <cell r="B534" t="str">
            <v xml:space="preserve"> NORFORK ISLAND:672</v>
          </cell>
        </row>
        <row r="535">
          <cell r="B535" t="str">
            <v xml:space="preserve"> NORTH KOREA:850</v>
          </cell>
        </row>
        <row r="536">
          <cell r="B536" t="str">
            <v xml:space="preserve"> PAKISTAN:92</v>
          </cell>
        </row>
        <row r="537">
          <cell r="B537" t="str">
            <v xml:space="preserve"> PALAU :680</v>
          </cell>
        </row>
        <row r="538">
          <cell r="B538" t="str">
            <v xml:space="preserve"> PALESTINE:970</v>
          </cell>
        </row>
        <row r="539">
          <cell r="B539" t="str">
            <v xml:space="preserve"> PANAMA :507</v>
          </cell>
        </row>
        <row r="540">
          <cell r="B540" t="str">
            <v xml:space="preserve"> PAPUA NEW GUINEA :675</v>
          </cell>
        </row>
        <row r="541">
          <cell r="B541" t="str">
            <v xml:space="preserve"> PARAGUAY :595</v>
          </cell>
        </row>
        <row r="542">
          <cell r="B542" t="str">
            <v xml:space="preserve"> PERU :51</v>
          </cell>
        </row>
        <row r="543">
          <cell r="B543" t="str">
            <v xml:space="preserve"> PHILIPPINES:63</v>
          </cell>
        </row>
        <row r="544">
          <cell r="B544" t="str">
            <v xml:space="preserve"> POLAND :48</v>
          </cell>
        </row>
        <row r="545">
          <cell r="B545" t="str">
            <v xml:space="preserve"> PORTUGAL:351</v>
          </cell>
        </row>
        <row r="546">
          <cell r="B546" t="str">
            <v xml:space="preserve"> PUERTO RICO:1787</v>
          </cell>
        </row>
        <row r="547">
          <cell r="B547" t="str">
            <v xml:space="preserve"> QATAR :974</v>
          </cell>
        </row>
        <row r="548">
          <cell r="B548" t="str">
            <v xml:space="preserve"> REUNION :262</v>
          </cell>
        </row>
        <row r="549">
          <cell r="B549" t="str">
            <v xml:space="preserve"> RODRIGUES ISLAND :230</v>
          </cell>
        </row>
        <row r="550">
          <cell r="B550" t="str">
            <v xml:space="preserve"> ROMANIA:40</v>
          </cell>
        </row>
        <row r="551">
          <cell r="B551" t="str">
            <v xml:space="preserve"> RUSSIA:7</v>
          </cell>
        </row>
        <row r="552">
          <cell r="B552" t="str">
            <v xml:space="preserve"> RWANDESE REPUBLIC:250</v>
          </cell>
        </row>
        <row r="553">
          <cell r="B553" t="str">
            <v xml:space="preserve"> SAMOA AMERICAN:684</v>
          </cell>
        </row>
        <row r="554">
          <cell r="B554" t="str">
            <v xml:space="preserve"> SAMOA WESTERN :685</v>
          </cell>
        </row>
        <row r="555">
          <cell r="B555" t="str">
            <v xml:space="preserve"> SAN MARINO:378</v>
          </cell>
        </row>
        <row r="556">
          <cell r="B556" t="str">
            <v xml:space="preserve"> SAUDI ARABIA:966</v>
          </cell>
        </row>
        <row r="557">
          <cell r="B557" t="str">
            <v xml:space="preserve"> SENEGAL:221</v>
          </cell>
        </row>
        <row r="558">
          <cell r="B558" t="str">
            <v xml:space="preserve"> SEYCHELLES :248</v>
          </cell>
        </row>
        <row r="559">
          <cell r="B559" t="str">
            <v xml:space="preserve"> SIERRALEONE:232</v>
          </cell>
        </row>
        <row r="560">
          <cell r="B560" t="str">
            <v xml:space="preserve"> SINGAPORE :65</v>
          </cell>
        </row>
        <row r="561">
          <cell r="B561" t="str">
            <v xml:space="preserve"> SLOVAK REPUBLIC :421</v>
          </cell>
        </row>
        <row r="562">
          <cell r="B562" t="str">
            <v xml:space="preserve"> SLOVENIA:386</v>
          </cell>
        </row>
        <row r="563">
          <cell r="B563" t="str">
            <v xml:space="preserve"> SOLOMAN ISLAND :677</v>
          </cell>
        </row>
        <row r="564">
          <cell r="B564" t="str">
            <v xml:space="preserve"> SOMALIA DEMOCRATIC REPUBLIC :252</v>
          </cell>
        </row>
        <row r="565">
          <cell r="B565" t="str">
            <v xml:space="preserve"> SOUTH AFRICA :27</v>
          </cell>
        </row>
        <row r="566">
          <cell r="B566" t="str">
            <v xml:space="preserve"> SOUTH KOREA :82</v>
          </cell>
        </row>
        <row r="567">
          <cell r="B567" t="str">
            <v xml:space="preserve"> SPAIN :34</v>
          </cell>
        </row>
        <row r="568">
          <cell r="B568" t="str">
            <v xml:space="preserve"> SRILANKA :94</v>
          </cell>
        </row>
        <row r="569">
          <cell r="B569" t="str">
            <v xml:space="preserve"> ST. HELENA :290</v>
          </cell>
        </row>
        <row r="570">
          <cell r="B570" t="str">
            <v xml:space="preserve"> ST. KITTS/NAVIS ISLAND :1869</v>
          </cell>
        </row>
        <row r="571">
          <cell r="B571" t="str">
            <v xml:space="preserve"> ST. LUCIA :1758</v>
          </cell>
        </row>
        <row r="572">
          <cell r="B572" t="str">
            <v xml:space="preserve"> ST. PIERRE &amp; MIQUELIOM:508</v>
          </cell>
        </row>
        <row r="573">
          <cell r="B573" t="str">
            <v xml:space="preserve"> ST. TOME &amp; PRINCEP :239</v>
          </cell>
        </row>
        <row r="574">
          <cell r="B574" t="str">
            <v xml:space="preserve"> ST. VINCENT &amp; THE GRENADIAN:1784</v>
          </cell>
        </row>
        <row r="575">
          <cell r="B575" t="str">
            <v xml:space="preserve"> SUDAN :249</v>
          </cell>
        </row>
        <row r="576">
          <cell r="B576" t="str">
            <v xml:space="preserve"> SURINAM :597</v>
          </cell>
        </row>
        <row r="577">
          <cell r="B577" t="str">
            <v xml:space="preserve"> SWAZILAND :268</v>
          </cell>
        </row>
        <row r="578">
          <cell r="B578" t="str">
            <v xml:space="preserve"> SWITZERLAND:41</v>
          </cell>
        </row>
        <row r="579">
          <cell r="B579" t="str">
            <v xml:space="preserve"> SYRIA :963</v>
          </cell>
        </row>
        <row r="580">
          <cell r="B580" t="str">
            <v xml:space="preserve"> TAIWAN:886</v>
          </cell>
        </row>
        <row r="581">
          <cell r="B581" t="str">
            <v xml:space="preserve"> TANZANIA :255</v>
          </cell>
        </row>
        <row r="582">
          <cell r="B582" t="str">
            <v xml:space="preserve"> TAZAKISTAN :992</v>
          </cell>
        </row>
        <row r="583">
          <cell r="B583" t="str">
            <v xml:space="preserve"> THAILAND :66</v>
          </cell>
        </row>
        <row r="584">
          <cell r="B584" t="str">
            <v xml:space="preserve"> TOGOLESE REPUBLIC :228</v>
          </cell>
        </row>
        <row r="585">
          <cell r="B585" t="str">
            <v xml:space="preserve"> TOKELAU ISLAND :690</v>
          </cell>
        </row>
        <row r="586">
          <cell r="B586" t="str">
            <v xml:space="preserve"> TRANSKEI :27</v>
          </cell>
        </row>
        <row r="587">
          <cell r="B587" t="str">
            <v xml:space="preserve"> TRINIDAD &amp; TOBAGO:1868</v>
          </cell>
        </row>
        <row r="588">
          <cell r="B588" t="str">
            <v xml:space="preserve"> TUNISIA :216</v>
          </cell>
        </row>
        <row r="589">
          <cell r="B589" t="str">
            <v xml:space="preserve"> TURKEY :90</v>
          </cell>
        </row>
        <row r="590">
          <cell r="B590" t="str">
            <v xml:space="preserve"> TURKMENISTAN :993</v>
          </cell>
        </row>
        <row r="591">
          <cell r="B591" t="str">
            <v xml:space="preserve"> TURKS &amp; CAICOS ISLANDS :1649</v>
          </cell>
        </row>
        <row r="592">
          <cell r="B592" t="str">
            <v xml:space="preserve"> TUVALU :688</v>
          </cell>
        </row>
        <row r="593">
          <cell r="B593" t="str">
            <v xml:space="preserve"> UAE :971</v>
          </cell>
        </row>
        <row r="594">
          <cell r="B594" t="str">
            <v xml:space="preserve"> UK :44</v>
          </cell>
        </row>
        <row r="595">
          <cell r="B595" t="str">
            <v xml:space="preserve"> UKRAINE :380</v>
          </cell>
        </row>
        <row r="596">
          <cell r="B596" t="str">
            <v xml:space="preserve"> USA :1</v>
          </cell>
        </row>
        <row r="597">
          <cell r="B597" t="str">
            <v xml:space="preserve"> UZBEKISTAN :998</v>
          </cell>
        </row>
        <row r="598">
          <cell r="B598" t="str">
            <v xml:space="preserve"> VANAUTU :678</v>
          </cell>
        </row>
        <row r="599">
          <cell r="B599" t="str">
            <v xml:space="preserve"> VATICAN CITY :39</v>
          </cell>
        </row>
        <row r="600">
          <cell r="B600" t="str">
            <v xml:space="preserve"> VENDA :27</v>
          </cell>
        </row>
        <row r="601">
          <cell r="B601" t="str">
            <v xml:space="preserve"> VENEZUELA:58</v>
          </cell>
        </row>
        <row r="602">
          <cell r="B602" t="str">
            <v xml:space="preserve"> VIETNAM :84</v>
          </cell>
        </row>
        <row r="603">
          <cell r="B603" t="str">
            <v xml:space="preserve"> VIRGIN ISLAND (BRI) :1284</v>
          </cell>
        </row>
        <row r="604">
          <cell r="B604" t="str">
            <v xml:space="preserve"> VIRGIN ISLAND (USA):1340</v>
          </cell>
        </row>
        <row r="605">
          <cell r="B605" t="str">
            <v xml:space="preserve"> WALLIS &amp; FUTUNA ISLAND :681</v>
          </cell>
        </row>
        <row r="606">
          <cell r="B606" t="str">
            <v xml:space="preserve"> YUGOSLAVIA :381</v>
          </cell>
        </row>
        <row r="607">
          <cell r="B607" t="str">
            <v xml:space="preserve"> ZAIRE :243</v>
          </cell>
        </row>
        <row r="608">
          <cell r="B608" t="str">
            <v xml:space="preserve"> ZAMBIA :260</v>
          </cell>
        </row>
        <row r="609">
          <cell r="B609" t="str">
            <v xml:space="preserve"> ZIMBABWE :263</v>
          </cell>
        </row>
        <row r="610">
          <cell r="B610" t="str">
            <v>BERMUDA :1441</v>
          </cell>
        </row>
        <row r="611">
          <cell r="B611" t="str">
            <v>BOPUPATSWANA:27</v>
          </cell>
        </row>
        <row r="612">
          <cell r="B612" t="str">
            <v>CAMEROON :237</v>
          </cell>
        </row>
        <row r="613">
          <cell r="B613" t="str">
            <v>CHAD :235</v>
          </cell>
        </row>
        <row r="614">
          <cell r="B614" t="str">
            <v>COMOROS :269</v>
          </cell>
        </row>
        <row r="615">
          <cell r="B615" t="str">
            <v>CONGO :242</v>
          </cell>
        </row>
        <row r="616">
          <cell r="B616" t="str">
            <v>DENMARK :45</v>
          </cell>
        </row>
        <row r="617">
          <cell r="B617" t="str">
            <v>ECUADOR :593</v>
          </cell>
        </row>
        <row r="618">
          <cell r="B618" t="str">
            <v>GERMANY :49</v>
          </cell>
        </row>
        <row r="619">
          <cell r="B619" t="str">
            <v>GHANA :233</v>
          </cell>
        </row>
        <row r="620">
          <cell r="B620" t="str">
            <v>GREECE :30</v>
          </cell>
        </row>
        <row r="621">
          <cell r="B621" t="str">
            <v>GRENEDA :1473</v>
          </cell>
        </row>
        <row r="622">
          <cell r="B622" t="str">
            <v>GUAM :1671</v>
          </cell>
        </row>
        <row r="623">
          <cell r="B623" t="str">
            <v>HONDURAS :504</v>
          </cell>
        </row>
        <row r="624">
          <cell r="B624" t="str">
            <v>HONGKONG:852</v>
          </cell>
        </row>
        <row r="625">
          <cell r="B625" t="str">
            <v>LUXUMBURG:352</v>
          </cell>
        </row>
        <row r="626">
          <cell r="B626" t="str">
            <v>MACAO:853</v>
          </cell>
        </row>
        <row r="627">
          <cell r="B627" t="str">
            <v>MADAGASCAR:261</v>
          </cell>
        </row>
        <row r="628">
          <cell r="B628" t="str">
            <v>MOLDOVA :373</v>
          </cell>
        </row>
        <row r="629">
          <cell r="B629" t="str">
            <v>MONACO :377</v>
          </cell>
        </row>
        <row r="630">
          <cell r="B630" t="str">
            <v>MOROCCO :212</v>
          </cell>
        </row>
        <row r="631">
          <cell r="B631" t="str">
            <v>MYANMAR :95</v>
          </cell>
        </row>
        <row r="632">
          <cell r="B632" t="str">
            <v>NAURU :674</v>
          </cell>
        </row>
        <row r="633">
          <cell r="B633" t="str">
            <v>NORWAY :47</v>
          </cell>
        </row>
        <row r="634">
          <cell r="B634" t="str">
            <v>OMAN :968</v>
          </cell>
        </row>
        <row r="635">
          <cell r="B635" t="str">
            <v>SWEDEN :46</v>
          </cell>
        </row>
        <row r="636">
          <cell r="B636" t="str">
            <v>TONGA :676</v>
          </cell>
        </row>
        <row r="637">
          <cell r="B637" t="str">
            <v>UGANDA :256</v>
          </cell>
        </row>
        <row r="638">
          <cell r="B638" t="str">
            <v>URUGUAY:598</v>
          </cell>
        </row>
        <row r="639">
          <cell r="B639" t="str">
            <v>YEMEN :967</v>
          </cell>
        </row>
      </sheetData>
      <sheetData sheetId="30">
        <row r="3">
          <cell r="J3">
            <v>5069213</v>
          </cell>
          <cell r="Z3" t="str">
            <v>INTERIM</v>
          </cell>
        </row>
        <row r="4">
          <cell r="J4">
            <v>0</v>
          </cell>
          <cell r="Z4" t="str">
            <v>FINAL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13">
          <cell r="I13">
            <v>5069213</v>
          </cell>
        </row>
        <row r="21">
          <cell r="H21">
            <v>131400</v>
          </cell>
        </row>
        <row r="22">
          <cell r="H22">
            <v>131400</v>
          </cell>
        </row>
        <row r="23">
          <cell r="H23">
            <v>131400</v>
          </cell>
        </row>
        <row r="24">
          <cell r="H24">
            <v>131400</v>
          </cell>
        </row>
        <row r="25">
          <cell r="H25">
            <v>131400</v>
          </cell>
        </row>
        <row r="26">
          <cell r="H26">
            <v>131400</v>
          </cell>
        </row>
        <row r="27">
          <cell r="H27">
            <v>11563</v>
          </cell>
        </row>
        <row r="28">
          <cell r="H28">
            <v>11563</v>
          </cell>
        </row>
        <row r="29">
          <cell r="H29">
            <v>11563</v>
          </cell>
        </row>
        <row r="30">
          <cell r="H30">
            <v>11563</v>
          </cell>
        </row>
        <row r="31">
          <cell r="H31">
            <v>11563</v>
          </cell>
        </row>
        <row r="32">
          <cell r="H32">
            <v>11563</v>
          </cell>
        </row>
        <row r="33">
          <cell r="H33">
            <v>40000</v>
          </cell>
        </row>
        <row r="34">
          <cell r="H34">
            <v>40000</v>
          </cell>
        </row>
        <row r="35">
          <cell r="H35">
            <v>40000</v>
          </cell>
        </row>
        <row r="36">
          <cell r="H36">
            <v>40000</v>
          </cell>
        </row>
        <row r="37">
          <cell r="H37">
            <v>40000</v>
          </cell>
        </row>
        <row r="38">
          <cell r="H38">
            <v>3520</v>
          </cell>
        </row>
        <row r="39">
          <cell r="H39">
            <v>3520</v>
          </cell>
        </row>
        <row r="40">
          <cell r="H40">
            <v>3520</v>
          </cell>
        </row>
        <row r="41">
          <cell r="H41">
            <v>3520</v>
          </cell>
        </row>
        <row r="42">
          <cell r="H42">
            <v>3520</v>
          </cell>
        </row>
        <row r="43">
          <cell r="H43">
            <v>3520</v>
          </cell>
        </row>
        <row r="44">
          <cell r="H44">
            <v>3520</v>
          </cell>
        </row>
        <row r="45">
          <cell r="H45">
            <v>36480</v>
          </cell>
        </row>
        <row r="46">
          <cell r="H46">
            <v>44000</v>
          </cell>
        </row>
        <row r="47">
          <cell r="H47">
            <v>44000</v>
          </cell>
        </row>
        <row r="48">
          <cell r="H48">
            <v>44000</v>
          </cell>
        </row>
        <row r="49">
          <cell r="H49">
            <v>44000</v>
          </cell>
        </row>
        <row r="50">
          <cell r="H50">
            <v>44000</v>
          </cell>
        </row>
        <row r="51">
          <cell r="H51">
            <v>44000</v>
          </cell>
        </row>
        <row r="52">
          <cell r="H52">
            <v>44000</v>
          </cell>
        </row>
        <row r="53">
          <cell r="H53">
            <v>44000</v>
          </cell>
        </row>
        <row r="54">
          <cell r="H54">
            <v>44000</v>
          </cell>
        </row>
        <row r="55">
          <cell r="H55">
            <v>44000</v>
          </cell>
        </row>
        <row r="56">
          <cell r="H56">
            <v>44000</v>
          </cell>
        </row>
        <row r="57">
          <cell r="H57">
            <v>44000</v>
          </cell>
        </row>
        <row r="58">
          <cell r="H58">
            <v>8800</v>
          </cell>
        </row>
        <row r="59">
          <cell r="H59">
            <v>9680</v>
          </cell>
        </row>
        <row r="60">
          <cell r="H60">
            <v>4356</v>
          </cell>
        </row>
        <row r="61">
          <cell r="H61">
            <v>11616</v>
          </cell>
        </row>
        <row r="62">
          <cell r="H62">
            <v>164919</v>
          </cell>
        </row>
        <row r="63">
          <cell r="H63">
            <v>107696</v>
          </cell>
        </row>
        <row r="64">
          <cell r="H64">
            <v>164919</v>
          </cell>
        </row>
        <row r="65">
          <cell r="H65">
            <v>6251</v>
          </cell>
        </row>
        <row r="66">
          <cell r="H66">
            <v>6251</v>
          </cell>
        </row>
        <row r="67">
          <cell r="H67">
            <v>6251</v>
          </cell>
        </row>
        <row r="68">
          <cell r="H68">
            <v>163126</v>
          </cell>
        </row>
        <row r="69">
          <cell r="H69">
            <v>6251</v>
          </cell>
        </row>
        <row r="70">
          <cell r="H70">
            <v>6251</v>
          </cell>
        </row>
        <row r="71">
          <cell r="H71">
            <v>6251</v>
          </cell>
        </row>
        <row r="72">
          <cell r="H72">
            <v>82500</v>
          </cell>
        </row>
        <row r="73">
          <cell r="H73">
            <v>82500</v>
          </cell>
        </row>
        <row r="74">
          <cell r="H74">
            <v>82500</v>
          </cell>
        </row>
        <row r="75">
          <cell r="H75">
            <v>82500</v>
          </cell>
        </row>
        <row r="76">
          <cell r="H76">
            <v>82500</v>
          </cell>
        </row>
        <row r="77">
          <cell r="H77">
            <v>82500</v>
          </cell>
        </row>
        <row r="78">
          <cell r="H78">
            <v>7260</v>
          </cell>
        </row>
        <row r="79">
          <cell r="H79">
            <v>3977</v>
          </cell>
        </row>
        <row r="80">
          <cell r="H80">
            <v>47600</v>
          </cell>
        </row>
        <row r="81">
          <cell r="H81">
            <v>26103</v>
          </cell>
        </row>
        <row r="82">
          <cell r="H82">
            <v>47600</v>
          </cell>
        </row>
        <row r="83">
          <cell r="H83">
            <v>47600</v>
          </cell>
        </row>
        <row r="84">
          <cell r="H84">
            <v>47600</v>
          </cell>
        </row>
        <row r="85">
          <cell r="H85">
            <v>888843</v>
          </cell>
        </row>
        <row r="86">
          <cell r="H86">
            <v>33032</v>
          </cell>
        </row>
        <row r="87">
          <cell r="H87">
            <v>234</v>
          </cell>
        </row>
        <row r="88">
          <cell r="H88">
            <v>893</v>
          </cell>
        </row>
        <row r="89">
          <cell r="H89">
            <v>176</v>
          </cell>
        </row>
        <row r="90">
          <cell r="H90">
            <v>4699</v>
          </cell>
        </row>
        <row r="91">
          <cell r="H91">
            <v>16</v>
          </cell>
        </row>
        <row r="92">
          <cell r="H92">
            <v>197</v>
          </cell>
        </row>
        <row r="93">
          <cell r="H93">
            <v>215</v>
          </cell>
        </row>
        <row r="94">
          <cell r="H94">
            <v>2618</v>
          </cell>
        </row>
        <row r="95">
          <cell r="H95">
            <v>44</v>
          </cell>
        </row>
        <row r="96">
          <cell r="H96">
            <v>107</v>
          </cell>
        </row>
        <row r="97">
          <cell r="H97">
            <v>419</v>
          </cell>
        </row>
        <row r="98">
          <cell r="H98">
            <v>524</v>
          </cell>
        </row>
        <row r="99">
          <cell r="H99">
            <v>61</v>
          </cell>
        </row>
        <row r="100">
          <cell r="H100">
            <v>5139</v>
          </cell>
        </row>
        <row r="101">
          <cell r="H101">
            <v>5</v>
          </cell>
        </row>
        <row r="102">
          <cell r="H102">
            <v>25</v>
          </cell>
        </row>
        <row r="103">
          <cell r="H103">
            <v>27</v>
          </cell>
        </row>
        <row r="104">
          <cell r="H104">
            <v>38</v>
          </cell>
        </row>
        <row r="105">
          <cell r="H105">
            <v>65</v>
          </cell>
        </row>
        <row r="106">
          <cell r="H106">
            <v>70</v>
          </cell>
        </row>
        <row r="107">
          <cell r="H107">
            <v>76</v>
          </cell>
        </row>
        <row r="108">
          <cell r="H108">
            <v>79</v>
          </cell>
        </row>
        <row r="109">
          <cell r="H109">
            <v>98</v>
          </cell>
        </row>
        <row r="110">
          <cell r="H110">
            <v>112</v>
          </cell>
        </row>
        <row r="111">
          <cell r="H111">
            <v>117</v>
          </cell>
        </row>
        <row r="112">
          <cell r="H112">
            <v>117</v>
          </cell>
        </row>
        <row r="113">
          <cell r="H113">
            <v>174</v>
          </cell>
        </row>
        <row r="114">
          <cell r="H114">
            <v>191</v>
          </cell>
        </row>
        <row r="115">
          <cell r="H115">
            <v>221</v>
          </cell>
        </row>
        <row r="116">
          <cell r="H116">
            <v>239</v>
          </cell>
        </row>
        <row r="117">
          <cell r="H117">
            <v>302</v>
          </cell>
        </row>
        <row r="118">
          <cell r="H118">
            <v>312</v>
          </cell>
        </row>
        <row r="119">
          <cell r="H119">
            <v>477</v>
          </cell>
        </row>
        <row r="120">
          <cell r="H120">
            <v>1161</v>
          </cell>
        </row>
        <row r="121">
          <cell r="H121">
            <v>6481</v>
          </cell>
        </row>
        <row r="122">
          <cell r="H122">
            <v>450</v>
          </cell>
        </row>
        <row r="123">
          <cell r="H123">
            <v>379</v>
          </cell>
        </row>
        <row r="124">
          <cell r="H124">
            <v>40</v>
          </cell>
        </row>
        <row r="125">
          <cell r="H125">
            <v>149</v>
          </cell>
        </row>
        <row r="126">
          <cell r="H126">
            <v>320</v>
          </cell>
        </row>
        <row r="127">
          <cell r="H127">
            <v>262</v>
          </cell>
        </row>
        <row r="128">
          <cell r="H128">
            <v>10990</v>
          </cell>
        </row>
        <row r="129">
          <cell r="H129">
            <v>44</v>
          </cell>
        </row>
        <row r="130">
          <cell r="H130">
            <v>1024</v>
          </cell>
        </row>
        <row r="131">
          <cell r="H131">
            <v>11</v>
          </cell>
        </row>
        <row r="132">
          <cell r="H132">
            <v>22</v>
          </cell>
        </row>
        <row r="133">
          <cell r="H133">
            <v>26</v>
          </cell>
        </row>
        <row r="134">
          <cell r="H134">
            <v>36</v>
          </cell>
        </row>
        <row r="135">
          <cell r="H135">
            <v>44</v>
          </cell>
        </row>
        <row r="136">
          <cell r="H136">
            <v>51</v>
          </cell>
        </row>
        <row r="137">
          <cell r="H137">
            <v>56</v>
          </cell>
        </row>
        <row r="138">
          <cell r="H138">
            <v>58</v>
          </cell>
        </row>
        <row r="139">
          <cell r="H139">
            <v>60</v>
          </cell>
        </row>
        <row r="140">
          <cell r="H140">
            <v>66</v>
          </cell>
        </row>
        <row r="141">
          <cell r="H141">
            <v>69</v>
          </cell>
        </row>
        <row r="142">
          <cell r="H142">
            <v>70</v>
          </cell>
        </row>
        <row r="143">
          <cell r="H143">
            <v>88</v>
          </cell>
        </row>
        <row r="144">
          <cell r="H144">
            <v>91</v>
          </cell>
        </row>
        <row r="145">
          <cell r="H145">
            <v>101</v>
          </cell>
        </row>
        <row r="146">
          <cell r="H146">
            <v>103</v>
          </cell>
        </row>
        <row r="147">
          <cell r="H147">
            <v>107</v>
          </cell>
        </row>
        <row r="148">
          <cell r="H148">
            <v>111</v>
          </cell>
        </row>
        <row r="149">
          <cell r="H149">
            <v>119</v>
          </cell>
        </row>
        <row r="150">
          <cell r="H150">
            <v>127</v>
          </cell>
        </row>
        <row r="151">
          <cell r="H151">
            <v>144</v>
          </cell>
        </row>
        <row r="152">
          <cell r="H152">
            <v>169</v>
          </cell>
        </row>
        <row r="153">
          <cell r="H153">
            <v>201</v>
          </cell>
        </row>
        <row r="154">
          <cell r="H154">
            <v>206</v>
          </cell>
        </row>
        <row r="155">
          <cell r="H155">
            <v>227</v>
          </cell>
        </row>
        <row r="156">
          <cell r="H156">
            <v>234</v>
          </cell>
        </row>
        <row r="157">
          <cell r="H157">
            <v>238</v>
          </cell>
        </row>
        <row r="158">
          <cell r="H158">
            <v>244</v>
          </cell>
        </row>
        <row r="159">
          <cell r="H159">
            <v>258</v>
          </cell>
        </row>
        <row r="160">
          <cell r="H160">
            <v>263</v>
          </cell>
        </row>
        <row r="161">
          <cell r="H161">
            <v>275</v>
          </cell>
        </row>
        <row r="162">
          <cell r="H162">
            <v>281</v>
          </cell>
        </row>
        <row r="163">
          <cell r="H163">
            <v>282</v>
          </cell>
        </row>
        <row r="164">
          <cell r="H164">
            <v>312</v>
          </cell>
        </row>
        <row r="165">
          <cell r="H165">
            <v>328</v>
          </cell>
        </row>
        <row r="166">
          <cell r="H166">
            <v>350</v>
          </cell>
        </row>
        <row r="167">
          <cell r="H167">
            <v>353</v>
          </cell>
        </row>
        <row r="168">
          <cell r="H168">
            <v>353</v>
          </cell>
        </row>
        <row r="169">
          <cell r="H169">
            <v>363</v>
          </cell>
        </row>
        <row r="170">
          <cell r="H170">
            <v>398</v>
          </cell>
        </row>
        <row r="171">
          <cell r="H171">
            <v>410</v>
          </cell>
        </row>
        <row r="172">
          <cell r="H172">
            <v>483</v>
          </cell>
        </row>
        <row r="173">
          <cell r="H173">
            <v>508</v>
          </cell>
        </row>
        <row r="174">
          <cell r="H174">
            <v>530</v>
          </cell>
        </row>
        <row r="175">
          <cell r="H175">
            <v>546</v>
          </cell>
        </row>
        <row r="176">
          <cell r="H176">
            <v>636</v>
          </cell>
        </row>
        <row r="177">
          <cell r="H177">
            <v>645</v>
          </cell>
        </row>
        <row r="178">
          <cell r="H178">
            <v>664</v>
          </cell>
        </row>
        <row r="179">
          <cell r="H179">
            <v>784</v>
          </cell>
        </row>
        <row r="180">
          <cell r="H180">
            <v>885</v>
          </cell>
        </row>
        <row r="181">
          <cell r="H181">
            <v>901</v>
          </cell>
        </row>
        <row r="182">
          <cell r="H182">
            <v>906</v>
          </cell>
        </row>
        <row r="183">
          <cell r="H183">
            <v>912</v>
          </cell>
        </row>
        <row r="184">
          <cell r="H184">
            <v>973</v>
          </cell>
        </row>
        <row r="185">
          <cell r="H185">
            <v>1504</v>
          </cell>
        </row>
        <row r="186">
          <cell r="H186">
            <v>1517</v>
          </cell>
        </row>
        <row r="187">
          <cell r="H187">
            <v>1561</v>
          </cell>
        </row>
        <row r="188">
          <cell r="H188">
            <v>1575</v>
          </cell>
        </row>
        <row r="189">
          <cell r="H189">
            <v>1750</v>
          </cell>
        </row>
        <row r="190">
          <cell r="H190">
            <v>1799</v>
          </cell>
        </row>
        <row r="191">
          <cell r="H191">
            <v>1832</v>
          </cell>
        </row>
        <row r="192">
          <cell r="H192">
            <v>2006</v>
          </cell>
        </row>
        <row r="193">
          <cell r="H193">
            <v>2979</v>
          </cell>
        </row>
        <row r="194">
          <cell r="H194">
            <v>3009</v>
          </cell>
        </row>
        <row r="195">
          <cell r="H195">
            <v>3078</v>
          </cell>
        </row>
        <row r="196">
          <cell r="H196">
            <v>3973</v>
          </cell>
        </row>
        <row r="197">
          <cell r="H197">
            <v>6010</v>
          </cell>
        </row>
        <row r="198">
          <cell r="H198">
            <v>6467</v>
          </cell>
        </row>
        <row r="199">
          <cell r="H199">
            <v>6948</v>
          </cell>
        </row>
        <row r="200">
          <cell r="H200">
            <v>4</v>
          </cell>
        </row>
        <row r="201">
          <cell r="H201">
            <v>143</v>
          </cell>
        </row>
        <row r="202">
          <cell r="H202">
            <v>245</v>
          </cell>
        </row>
        <row r="203">
          <cell r="H203">
            <v>310</v>
          </cell>
        </row>
        <row r="204">
          <cell r="H204">
            <v>25</v>
          </cell>
        </row>
        <row r="205">
          <cell r="H205">
            <v>44</v>
          </cell>
        </row>
        <row r="206">
          <cell r="H206">
            <v>46</v>
          </cell>
        </row>
        <row r="207">
          <cell r="H207">
            <v>61</v>
          </cell>
        </row>
        <row r="208">
          <cell r="H208">
            <v>72</v>
          </cell>
        </row>
        <row r="209">
          <cell r="H209">
            <v>42</v>
          </cell>
        </row>
        <row r="210">
          <cell r="H210">
            <v>1576</v>
          </cell>
        </row>
        <row r="211">
          <cell r="H211">
            <v>483</v>
          </cell>
        </row>
        <row r="212">
          <cell r="H212">
            <v>48</v>
          </cell>
        </row>
        <row r="213">
          <cell r="H213">
            <v>130</v>
          </cell>
        </row>
        <row r="214">
          <cell r="H214">
            <v>148</v>
          </cell>
        </row>
        <row r="215">
          <cell r="H215">
            <v>454</v>
          </cell>
        </row>
        <row r="216">
          <cell r="H216">
            <v>3143</v>
          </cell>
        </row>
        <row r="217">
          <cell r="H217">
            <v>72</v>
          </cell>
        </row>
        <row r="218">
          <cell r="H218">
            <v>181</v>
          </cell>
        </row>
        <row r="219">
          <cell r="H219">
            <v>320</v>
          </cell>
        </row>
        <row r="220">
          <cell r="H220">
            <v>402</v>
          </cell>
        </row>
        <row r="221">
          <cell r="H221">
            <v>449</v>
          </cell>
        </row>
        <row r="222">
          <cell r="H222">
            <v>448</v>
          </cell>
        </row>
        <row r="223">
          <cell r="H223">
            <v>457</v>
          </cell>
        </row>
        <row r="224">
          <cell r="H224">
            <v>789</v>
          </cell>
        </row>
        <row r="225">
          <cell r="H225">
            <v>799</v>
          </cell>
        </row>
        <row r="226">
          <cell r="H226">
            <v>231</v>
          </cell>
        </row>
        <row r="227">
          <cell r="H227">
            <v>11</v>
          </cell>
        </row>
        <row r="228">
          <cell r="H228">
            <v>16</v>
          </cell>
        </row>
        <row r="229">
          <cell r="H229">
            <v>19</v>
          </cell>
        </row>
        <row r="230">
          <cell r="H230">
            <v>19</v>
          </cell>
        </row>
        <row r="231">
          <cell r="H231">
            <v>30</v>
          </cell>
        </row>
        <row r="232">
          <cell r="H232">
            <v>38</v>
          </cell>
        </row>
        <row r="233">
          <cell r="H233">
            <v>40</v>
          </cell>
        </row>
        <row r="234">
          <cell r="H234">
            <v>43</v>
          </cell>
        </row>
        <row r="235">
          <cell r="H235">
            <v>45</v>
          </cell>
        </row>
        <row r="236">
          <cell r="H236">
            <v>48</v>
          </cell>
        </row>
        <row r="237">
          <cell r="H237">
            <v>48</v>
          </cell>
        </row>
        <row r="238">
          <cell r="H238">
            <v>51</v>
          </cell>
        </row>
        <row r="239">
          <cell r="H239">
            <v>51</v>
          </cell>
        </row>
        <row r="240">
          <cell r="H240">
            <v>58</v>
          </cell>
        </row>
        <row r="241">
          <cell r="H241">
            <v>62</v>
          </cell>
        </row>
        <row r="242">
          <cell r="H242">
            <v>67</v>
          </cell>
        </row>
        <row r="243">
          <cell r="H243">
            <v>68</v>
          </cell>
        </row>
        <row r="244">
          <cell r="H244">
            <v>70</v>
          </cell>
        </row>
        <row r="245">
          <cell r="H245">
            <v>71</v>
          </cell>
        </row>
        <row r="246">
          <cell r="H246">
            <v>95</v>
          </cell>
        </row>
        <row r="247">
          <cell r="H247">
            <v>103</v>
          </cell>
        </row>
        <row r="248">
          <cell r="H248">
            <v>108</v>
          </cell>
        </row>
        <row r="249">
          <cell r="H249">
            <v>110</v>
          </cell>
        </row>
        <row r="250">
          <cell r="H250">
            <v>111</v>
          </cell>
        </row>
        <row r="251">
          <cell r="H251">
            <v>120</v>
          </cell>
        </row>
        <row r="252">
          <cell r="H252">
            <v>127</v>
          </cell>
        </row>
        <row r="253">
          <cell r="H253">
            <v>133</v>
          </cell>
        </row>
        <row r="254">
          <cell r="H254">
            <v>138</v>
          </cell>
        </row>
        <row r="255">
          <cell r="H255">
            <v>187</v>
          </cell>
        </row>
        <row r="256">
          <cell r="H256">
            <v>207</v>
          </cell>
        </row>
        <row r="257">
          <cell r="H257">
            <v>243</v>
          </cell>
        </row>
        <row r="258">
          <cell r="H258">
            <v>244</v>
          </cell>
        </row>
        <row r="259">
          <cell r="H259">
            <v>262</v>
          </cell>
        </row>
        <row r="260">
          <cell r="H260">
            <v>282</v>
          </cell>
        </row>
        <row r="261">
          <cell r="H261">
            <v>312</v>
          </cell>
        </row>
        <row r="262">
          <cell r="H262">
            <v>350</v>
          </cell>
        </row>
        <row r="263">
          <cell r="H263">
            <v>354</v>
          </cell>
        </row>
        <row r="264">
          <cell r="H264">
            <v>362</v>
          </cell>
        </row>
        <row r="265">
          <cell r="H265">
            <v>362</v>
          </cell>
        </row>
        <row r="266">
          <cell r="H266">
            <v>388</v>
          </cell>
        </row>
        <row r="267">
          <cell r="H267">
            <v>390</v>
          </cell>
        </row>
        <row r="268">
          <cell r="H268">
            <v>409</v>
          </cell>
        </row>
        <row r="269">
          <cell r="H269">
            <v>420</v>
          </cell>
        </row>
        <row r="270">
          <cell r="H270">
            <v>496</v>
          </cell>
        </row>
        <row r="271">
          <cell r="H271">
            <v>497</v>
          </cell>
        </row>
        <row r="272">
          <cell r="H272">
            <v>499</v>
          </cell>
        </row>
        <row r="273">
          <cell r="H273">
            <v>518</v>
          </cell>
        </row>
        <row r="274">
          <cell r="H274">
            <v>530</v>
          </cell>
        </row>
        <row r="275">
          <cell r="H275">
            <v>546</v>
          </cell>
        </row>
        <row r="276">
          <cell r="H276">
            <v>547</v>
          </cell>
        </row>
        <row r="277">
          <cell r="H277">
            <v>600</v>
          </cell>
        </row>
        <row r="278">
          <cell r="H278">
            <v>644</v>
          </cell>
        </row>
        <row r="279">
          <cell r="H279">
            <v>668</v>
          </cell>
        </row>
        <row r="280">
          <cell r="H280">
            <v>709</v>
          </cell>
        </row>
        <row r="281">
          <cell r="H281">
            <v>769</v>
          </cell>
        </row>
        <row r="282">
          <cell r="H282">
            <v>884</v>
          </cell>
        </row>
        <row r="283">
          <cell r="H283">
            <v>901</v>
          </cell>
        </row>
        <row r="284">
          <cell r="H284">
            <v>911</v>
          </cell>
        </row>
        <row r="285">
          <cell r="H285">
            <v>925</v>
          </cell>
        </row>
        <row r="286">
          <cell r="H286">
            <v>969</v>
          </cell>
        </row>
        <row r="287">
          <cell r="H287">
            <v>986</v>
          </cell>
        </row>
        <row r="288">
          <cell r="H288">
            <v>1140</v>
          </cell>
        </row>
        <row r="289">
          <cell r="H289">
            <v>1157</v>
          </cell>
        </row>
        <row r="290">
          <cell r="H290">
            <v>1504</v>
          </cell>
        </row>
        <row r="291">
          <cell r="H291">
            <v>1555</v>
          </cell>
        </row>
        <row r="292">
          <cell r="H292">
            <v>1561</v>
          </cell>
        </row>
        <row r="293">
          <cell r="H293">
            <v>1575</v>
          </cell>
        </row>
        <row r="294">
          <cell r="H294">
            <v>1750</v>
          </cell>
        </row>
        <row r="295">
          <cell r="H295">
            <v>1799</v>
          </cell>
        </row>
        <row r="296">
          <cell r="H296">
            <v>1940</v>
          </cell>
        </row>
        <row r="297">
          <cell r="H297">
            <v>2006</v>
          </cell>
        </row>
        <row r="298">
          <cell r="H298">
            <v>2153</v>
          </cell>
        </row>
        <row r="299">
          <cell r="H299">
            <v>3009</v>
          </cell>
        </row>
        <row r="300">
          <cell r="H300">
            <v>3302</v>
          </cell>
        </row>
        <row r="301">
          <cell r="H301">
            <v>4115</v>
          </cell>
        </row>
        <row r="302">
          <cell r="H302">
            <v>6138</v>
          </cell>
        </row>
        <row r="303">
          <cell r="H303">
            <v>6467</v>
          </cell>
        </row>
        <row r="304">
          <cell r="H304">
            <v>11337</v>
          </cell>
        </row>
        <row r="305">
          <cell r="H305">
            <v>3</v>
          </cell>
        </row>
        <row r="306">
          <cell r="H306">
            <v>29</v>
          </cell>
        </row>
        <row r="307">
          <cell r="H307">
            <v>4</v>
          </cell>
        </row>
        <row r="308">
          <cell r="H308">
            <v>21</v>
          </cell>
        </row>
        <row r="309">
          <cell r="H309">
            <v>131</v>
          </cell>
        </row>
        <row r="310">
          <cell r="H310">
            <v>248</v>
          </cell>
        </row>
        <row r="311">
          <cell r="H311">
            <v>1103</v>
          </cell>
        </row>
        <row r="312">
          <cell r="H312">
            <v>241</v>
          </cell>
        </row>
        <row r="313">
          <cell r="H313">
            <v>264</v>
          </cell>
        </row>
        <row r="314">
          <cell r="H314">
            <v>466</v>
          </cell>
        </row>
        <row r="315">
          <cell r="H315">
            <v>182</v>
          </cell>
        </row>
        <row r="316">
          <cell r="H316">
            <v>259</v>
          </cell>
        </row>
        <row r="317">
          <cell r="H317">
            <v>487</v>
          </cell>
        </row>
        <row r="318">
          <cell r="H318">
            <v>327</v>
          </cell>
        </row>
        <row r="319">
          <cell r="H319">
            <v>84</v>
          </cell>
        </row>
        <row r="320">
          <cell r="H320">
            <v>225</v>
          </cell>
        </row>
        <row r="321">
          <cell r="H321">
            <v>1326</v>
          </cell>
        </row>
        <row r="322">
          <cell r="H322">
            <v>51</v>
          </cell>
        </row>
        <row r="323">
          <cell r="H323">
            <v>1</v>
          </cell>
        </row>
        <row r="324">
          <cell r="H324">
            <v>11</v>
          </cell>
        </row>
        <row r="325">
          <cell r="H325">
            <v>12</v>
          </cell>
        </row>
        <row r="326">
          <cell r="H326">
            <v>23</v>
          </cell>
        </row>
        <row r="327">
          <cell r="H327">
            <v>44</v>
          </cell>
        </row>
        <row r="328">
          <cell r="H328">
            <v>47</v>
          </cell>
        </row>
        <row r="329">
          <cell r="H329">
            <v>55</v>
          </cell>
        </row>
        <row r="330">
          <cell r="H330">
            <v>59</v>
          </cell>
        </row>
        <row r="331">
          <cell r="H331">
            <v>61</v>
          </cell>
        </row>
        <row r="332">
          <cell r="H332">
            <v>67</v>
          </cell>
        </row>
        <row r="333">
          <cell r="H333">
            <v>68</v>
          </cell>
        </row>
        <row r="334">
          <cell r="H334">
            <v>71</v>
          </cell>
        </row>
        <row r="335">
          <cell r="H335">
            <v>97</v>
          </cell>
        </row>
        <row r="336">
          <cell r="H336">
            <v>97</v>
          </cell>
        </row>
        <row r="337">
          <cell r="H337">
            <v>112</v>
          </cell>
        </row>
        <row r="338">
          <cell r="H338">
            <v>119</v>
          </cell>
        </row>
        <row r="339">
          <cell r="H339">
            <v>122</v>
          </cell>
        </row>
        <row r="340">
          <cell r="H340">
            <v>122</v>
          </cell>
        </row>
        <row r="341">
          <cell r="H341">
            <v>123</v>
          </cell>
        </row>
        <row r="342">
          <cell r="H342">
            <v>132</v>
          </cell>
        </row>
        <row r="343">
          <cell r="H343">
            <v>153</v>
          </cell>
        </row>
        <row r="344">
          <cell r="H344">
            <v>165</v>
          </cell>
        </row>
        <row r="345">
          <cell r="H345">
            <v>168</v>
          </cell>
        </row>
        <row r="346">
          <cell r="H346">
            <v>173</v>
          </cell>
        </row>
        <row r="347">
          <cell r="H347">
            <v>194</v>
          </cell>
        </row>
        <row r="348">
          <cell r="H348">
            <v>198</v>
          </cell>
        </row>
        <row r="349">
          <cell r="H349">
            <v>214</v>
          </cell>
        </row>
        <row r="350">
          <cell r="H350">
            <v>242</v>
          </cell>
        </row>
        <row r="351">
          <cell r="H351">
            <v>246</v>
          </cell>
        </row>
        <row r="352">
          <cell r="H352">
            <v>247</v>
          </cell>
        </row>
        <row r="353">
          <cell r="H353">
            <v>261</v>
          </cell>
        </row>
        <row r="354">
          <cell r="H354">
            <v>270</v>
          </cell>
        </row>
        <row r="355">
          <cell r="H355">
            <v>281</v>
          </cell>
        </row>
        <row r="356">
          <cell r="H356">
            <v>293</v>
          </cell>
        </row>
        <row r="357">
          <cell r="H357">
            <v>294</v>
          </cell>
        </row>
        <row r="358">
          <cell r="H358">
            <v>305</v>
          </cell>
        </row>
        <row r="359">
          <cell r="H359">
            <v>308</v>
          </cell>
        </row>
        <row r="360">
          <cell r="H360">
            <v>319</v>
          </cell>
        </row>
        <row r="361">
          <cell r="H361">
            <v>336</v>
          </cell>
        </row>
        <row r="362">
          <cell r="H362">
            <v>350</v>
          </cell>
        </row>
        <row r="363">
          <cell r="H363">
            <v>353</v>
          </cell>
        </row>
        <row r="364">
          <cell r="H364">
            <v>363</v>
          </cell>
        </row>
        <row r="365">
          <cell r="H365">
            <v>369</v>
          </cell>
        </row>
        <row r="366">
          <cell r="H366">
            <v>396</v>
          </cell>
        </row>
        <row r="367">
          <cell r="H367">
            <v>421</v>
          </cell>
        </row>
        <row r="368">
          <cell r="H368">
            <v>434</v>
          </cell>
        </row>
        <row r="369">
          <cell r="H369">
            <v>448</v>
          </cell>
        </row>
        <row r="370">
          <cell r="H370">
            <v>511</v>
          </cell>
        </row>
        <row r="371">
          <cell r="H371">
            <v>536</v>
          </cell>
        </row>
        <row r="372">
          <cell r="H372">
            <v>547</v>
          </cell>
        </row>
        <row r="373">
          <cell r="H373">
            <v>617</v>
          </cell>
        </row>
        <row r="374">
          <cell r="H374">
            <v>645</v>
          </cell>
        </row>
        <row r="375">
          <cell r="H375">
            <v>689</v>
          </cell>
        </row>
        <row r="376">
          <cell r="H376">
            <v>867</v>
          </cell>
        </row>
        <row r="377">
          <cell r="H377">
            <v>869</v>
          </cell>
        </row>
        <row r="378">
          <cell r="H378">
            <v>901</v>
          </cell>
        </row>
        <row r="379">
          <cell r="H379">
            <v>925</v>
          </cell>
        </row>
        <row r="380">
          <cell r="H380">
            <v>968</v>
          </cell>
        </row>
        <row r="381">
          <cell r="H381">
            <v>1010</v>
          </cell>
        </row>
        <row r="382">
          <cell r="H382">
            <v>1055</v>
          </cell>
        </row>
        <row r="383">
          <cell r="H383">
            <v>1123</v>
          </cell>
        </row>
        <row r="384">
          <cell r="H384">
            <v>1125</v>
          </cell>
        </row>
        <row r="385">
          <cell r="H385">
            <v>1156</v>
          </cell>
        </row>
        <row r="386">
          <cell r="H386">
            <v>1504</v>
          </cell>
        </row>
        <row r="387">
          <cell r="H387">
            <v>1561</v>
          </cell>
        </row>
        <row r="388">
          <cell r="H388">
            <v>1575</v>
          </cell>
        </row>
        <row r="389">
          <cell r="H389">
            <v>1593</v>
          </cell>
        </row>
        <row r="390">
          <cell r="H390">
            <v>1750</v>
          </cell>
        </row>
        <row r="391">
          <cell r="H391">
            <v>1774</v>
          </cell>
        </row>
        <row r="392">
          <cell r="H392">
            <v>1799</v>
          </cell>
        </row>
        <row r="393">
          <cell r="H393">
            <v>1895</v>
          </cell>
        </row>
        <row r="394">
          <cell r="H394">
            <v>1939</v>
          </cell>
        </row>
        <row r="395">
          <cell r="H395">
            <v>2006</v>
          </cell>
        </row>
        <row r="396">
          <cell r="H396">
            <v>2657</v>
          </cell>
        </row>
        <row r="397">
          <cell r="H397">
            <v>3009</v>
          </cell>
        </row>
        <row r="398">
          <cell r="H398">
            <v>3177</v>
          </cell>
        </row>
        <row r="399">
          <cell r="H399">
            <v>3361</v>
          </cell>
        </row>
        <row r="400">
          <cell r="H400">
            <v>4261</v>
          </cell>
        </row>
        <row r="401">
          <cell r="H401">
            <v>4458</v>
          </cell>
        </row>
        <row r="402">
          <cell r="H402">
            <v>6271</v>
          </cell>
        </row>
        <row r="403">
          <cell r="H403">
            <v>6467</v>
          </cell>
        </row>
        <row r="404">
          <cell r="H404">
            <v>10318</v>
          </cell>
        </row>
        <row r="405">
          <cell r="H405">
            <v>11336</v>
          </cell>
        </row>
        <row r="406">
          <cell r="H406">
            <v>18224</v>
          </cell>
        </row>
        <row r="407">
          <cell r="H407">
            <v>7</v>
          </cell>
        </row>
        <row r="408">
          <cell r="H408">
            <v>100</v>
          </cell>
        </row>
        <row r="409">
          <cell r="H409">
            <v>68</v>
          </cell>
        </row>
        <row r="410">
          <cell r="H410">
            <v>4</v>
          </cell>
        </row>
        <row r="411">
          <cell r="H411">
            <v>17</v>
          </cell>
        </row>
        <row r="412">
          <cell r="H412">
            <v>72</v>
          </cell>
        </row>
        <row r="413">
          <cell r="H413">
            <v>159</v>
          </cell>
        </row>
        <row r="414">
          <cell r="H414">
            <v>110</v>
          </cell>
        </row>
        <row r="415">
          <cell r="H415">
            <v>61</v>
          </cell>
        </row>
        <row r="416">
          <cell r="H416">
            <v>354</v>
          </cell>
        </row>
        <row r="417">
          <cell r="H417">
            <v>51</v>
          </cell>
        </row>
        <row r="418">
          <cell r="H418">
            <v>51</v>
          </cell>
        </row>
        <row r="419">
          <cell r="H419">
            <v>28</v>
          </cell>
        </row>
        <row r="420">
          <cell r="H420">
            <v>82</v>
          </cell>
        </row>
        <row r="421">
          <cell r="H421">
            <v>69</v>
          </cell>
        </row>
        <row r="422">
          <cell r="H422">
            <v>46</v>
          </cell>
        </row>
        <row r="423">
          <cell r="H423">
            <v>1027</v>
          </cell>
        </row>
        <row r="424">
          <cell r="H424">
            <v>1540</v>
          </cell>
        </row>
        <row r="425">
          <cell r="H425">
            <v>547</v>
          </cell>
        </row>
        <row r="426">
          <cell r="H426">
            <v>168</v>
          </cell>
        </row>
        <row r="427">
          <cell r="H427">
            <v>140</v>
          </cell>
        </row>
        <row r="428">
          <cell r="H428">
            <v>8</v>
          </cell>
        </row>
        <row r="429">
          <cell r="H429">
            <v>3295</v>
          </cell>
        </row>
        <row r="430">
          <cell r="H430">
            <v>77</v>
          </cell>
        </row>
        <row r="431">
          <cell r="H431">
            <v>194</v>
          </cell>
        </row>
        <row r="432">
          <cell r="H432">
            <v>289</v>
          </cell>
        </row>
        <row r="433">
          <cell r="H433">
            <v>93</v>
          </cell>
        </row>
        <row r="434">
          <cell r="H434">
            <v>246</v>
          </cell>
        </row>
        <row r="435">
          <cell r="H435">
            <v>323</v>
          </cell>
        </row>
        <row r="436">
          <cell r="H436">
            <v>861</v>
          </cell>
        </row>
        <row r="437">
          <cell r="H437">
            <v>1524</v>
          </cell>
        </row>
        <row r="438">
          <cell r="H438">
            <v>1287</v>
          </cell>
        </row>
        <row r="439">
          <cell r="H439">
            <v>3</v>
          </cell>
        </row>
        <row r="440">
          <cell r="H440">
            <v>45</v>
          </cell>
        </row>
        <row r="441">
          <cell r="H441">
            <v>66</v>
          </cell>
        </row>
        <row r="442">
          <cell r="H442">
            <v>71</v>
          </cell>
        </row>
        <row r="443">
          <cell r="H443">
            <v>98</v>
          </cell>
        </row>
        <row r="444">
          <cell r="H444">
            <v>140</v>
          </cell>
        </row>
        <row r="445">
          <cell r="H445">
            <v>184</v>
          </cell>
        </row>
        <row r="446">
          <cell r="H446">
            <v>313</v>
          </cell>
        </row>
        <row r="447">
          <cell r="H447">
            <v>378</v>
          </cell>
        </row>
        <row r="448">
          <cell r="H448">
            <v>605</v>
          </cell>
        </row>
        <row r="449">
          <cell r="H449">
            <v>645</v>
          </cell>
        </row>
        <row r="450">
          <cell r="H450">
            <v>687</v>
          </cell>
        </row>
        <row r="451">
          <cell r="H451">
            <v>945</v>
          </cell>
        </row>
        <row r="452">
          <cell r="H452">
            <v>1147</v>
          </cell>
        </row>
        <row r="453">
          <cell r="H453">
            <v>1156</v>
          </cell>
        </row>
        <row r="454">
          <cell r="H454">
            <v>1191</v>
          </cell>
        </row>
        <row r="455">
          <cell r="H455">
            <v>1572</v>
          </cell>
        </row>
        <row r="456">
          <cell r="H456">
            <v>1613</v>
          </cell>
        </row>
        <row r="457">
          <cell r="H457">
            <v>3513</v>
          </cell>
        </row>
        <row r="458">
          <cell r="H458">
            <v>4322</v>
          </cell>
        </row>
        <row r="459">
          <cell r="H459">
            <v>19</v>
          </cell>
        </row>
        <row r="460">
          <cell r="H460">
            <v>38</v>
          </cell>
        </row>
        <row r="461">
          <cell r="H461">
            <v>40</v>
          </cell>
        </row>
        <row r="462">
          <cell r="H462">
            <v>46</v>
          </cell>
        </row>
        <row r="463">
          <cell r="H463">
            <v>48</v>
          </cell>
        </row>
        <row r="464">
          <cell r="H464">
            <v>53</v>
          </cell>
        </row>
        <row r="465">
          <cell r="H465">
            <v>59</v>
          </cell>
        </row>
        <row r="466">
          <cell r="H466">
            <v>59</v>
          </cell>
        </row>
        <row r="467">
          <cell r="H467">
            <v>68</v>
          </cell>
        </row>
        <row r="468">
          <cell r="H468">
            <v>95</v>
          </cell>
        </row>
        <row r="469">
          <cell r="H469">
            <v>180</v>
          </cell>
        </row>
        <row r="470">
          <cell r="H470">
            <v>297</v>
          </cell>
        </row>
        <row r="471">
          <cell r="H471">
            <v>374</v>
          </cell>
        </row>
        <row r="472">
          <cell r="H472">
            <v>375</v>
          </cell>
        </row>
        <row r="473">
          <cell r="H473">
            <v>379</v>
          </cell>
        </row>
        <row r="474">
          <cell r="H474">
            <v>387</v>
          </cell>
        </row>
        <row r="475">
          <cell r="H475">
            <v>405</v>
          </cell>
        </row>
        <row r="476">
          <cell r="H476">
            <v>408</v>
          </cell>
        </row>
        <row r="477">
          <cell r="H477">
            <v>504</v>
          </cell>
        </row>
        <row r="478">
          <cell r="H478">
            <v>528</v>
          </cell>
        </row>
        <row r="479">
          <cell r="H479">
            <v>547</v>
          </cell>
        </row>
        <row r="480">
          <cell r="H480">
            <v>666</v>
          </cell>
        </row>
        <row r="481">
          <cell r="H481">
            <v>758</v>
          </cell>
        </row>
        <row r="482">
          <cell r="H482">
            <v>1092</v>
          </cell>
        </row>
        <row r="483">
          <cell r="H483">
            <v>2124</v>
          </cell>
        </row>
        <row r="484">
          <cell r="H484">
            <v>3241</v>
          </cell>
        </row>
        <row r="485">
          <cell r="H485">
            <v>6356</v>
          </cell>
        </row>
        <row r="486">
          <cell r="H486">
            <v>11336</v>
          </cell>
        </row>
        <row r="487">
          <cell r="H487">
            <v>24</v>
          </cell>
        </row>
        <row r="488">
          <cell r="H488">
            <v>49</v>
          </cell>
        </row>
        <row r="489">
          <cell r="H489">
            <v>99</v>
          </cell>
        </row>
        <row r="490">
          <cell r="H490">
            <v>105</v>
          </cell>
        </row>
        <row r="491">
          <cell r="H491">
            <v>111</v>
          </cell>
        </row>
        <row r="492">
          <cell r="H492">
            <v>111</v>
          </cell>
        </row>
        <row r="493">
          <cell r="H493">
            <v>135</v>
          </cell>
        </row>
        <row r="494">
          <cell r="H494">
            <v>188</v>
          </cell>
        </row>
        <row r="495">
          <cell r="H495">
            <v>243</v>
          </cell>
        </row>
        <row r="496">
          <cell r="H496">
            <v>281</v>
          </cell>
        </row>
        <row r="497">
          <cell r="H497">
            <v>349</v>
          </cell>
        </row>
        <row r="498">
          <cell r="H498">
            <v>435</v>
          </cell>
        </row>
        <row r="499">
          <cell r="H499">
            <v>540</v>
          </cell>
        </row>
        <row r="500">
          <cell r="H500">
            <v>596</v>
          </cell>
        </row>
        <row r="501">
          <cell r="H501">
            <v>601</v>
          </cell>
        </row>
        <row r="502">
          <cell r="H502">
            <v>878</v>
          </cell>
        </row>
        <row r="503">
          <cell r="H503">
            <v>1032</v>
          </cell>
        </row>
        <row r="504">
          <cell r="H504">
            <v>1048</v>
          </cell>
        </row>
        <row r="505">
          <cell r="H505">
            <v>1561</v>
          </cell>
        </row>
        <row r="506">
          <cell r="H506">
            <v>1636</v>
          </cell>
        </row>
        <row r="507">
          <cell r="H507">
            <v>2394</v>
          </cell>
        </row>
        <row r="508">
          <cell r="H508">
            <v>3894</v>
          </cell>
        </row>
        <row r="509">
          <cell r="H509">
            <v>6467</v>
          </cell>
        </row>
        <row r="510">
          <cell r="H510">
            <v>8304</v>
          </cell>
        </row>
        <row r="511">
          <cell r="H511">
            <v>10579</v>
          </cell>
        </row>
        <row r="512">
          <cell r="H512">
            <v>31254</v>
          </cell>
        </row>
        <row r="513">
          <cell r="H513">
            <v>19</v>
          </cell>
        </row>
        <row r="514">
          <cell r="H514">
            <v>50</v>
          </cell>
        </row>
        <row r="515">
          <cell r="H515">
            <v>60</v>
          </cell>
        </row>
        <row r="516">
          <cell r="H516">
            <v>68</v>
          </cell>
        </row>
        <row r="517">
          <cell r="H517">
            <v>71</v>
          </cell>
        </row>
        <row r="518">
          <cell r="H518">
            <v>174</v>
          </cell>
        </row>
        <row r="519">
          <cell r="H519">
            <v>218</v>
          </cell>
        </row>
        <row r="520">
          <cell r="H520">
            <v>350</v>
          </cell>
        </row>
        <row r="521">
          <cell r="H521">
            <v>440</v>
          </cell>
        </row>
        <row r="522">
          <cell r="H522">
            <v>483</v>
          </cell>
        </row>
        <row r="523">
          <cell r="H523">
            <v>925</v>
          </cell>
        </row>
        <row r="524">
          <cell r="H524">
            <v>1750</v>
          </cell>
        </row>
        <row r="525">
          <cell r="H525">
            <v>1799</v>
          </cell>
        </row>
        <row r="526">
          <cell r="H526">
            <v>1939</v>
          </cell>
        </row>
        <row r="527">
          <cell r="H527">
            <v>2153</v>
          </cell>
        </row>
        <row r="528">
          <cell r="H528">
            <v>4262</v>
          </cell>
        </row>
        <row r="529">
          <cell r="H529">
            <v>6151</v>
          </cell>
        </row>
        <row r="530">
          <cell r="H530">
            <v>352</v>
          </cell>
        </row>
        <row r="531">
          <cell r="H531">
            <v>219</v>
          </cell>
        </row>
        <row r="532">
          <cell r="H532">
            <v>56</v>
          </cell>
        </row>
        <row r="533">
          <cell r="H533">
            <v>11</v>
          </cell>
        </row>
        <row r="534">
          <cell r="H534">
            <v>4641</v>
          </cell>
        </row>
        <row r="535">
          <cell r="H535">
            <v>1356</v>
          </cell>
        </row>
        <row r="536">
          <cell r="H536">
            <v>1695</v>
          </cell>
        </row>
        <row r="537">
          <cell r="H537">
            <v>1695</v>
          </cell>
        </row>
        <row r="538">
          <cell r="H538">
            <v>1695</v>
          </cell>
        </row>
        <row r="539">
          <cell r="H539">
            <v>411</v>
          </cell>
        </row>
        <row r="540">
          <cell r="H540">
            <v>67734</v>
          </cell>
        </row>
        <row r="541">
          <cell r="H541">
            <v>67734</v>
          </cell>
        </row>
        <row r="542">
          <cell r="H542">
            <v>67734</v>
          </cell>
        </row>
        <row r="543">
          <cell r="H543">
            <v>976</v>
          </cell>
        </row>
        <row r="544">
          <cell r="H544">
            <v>557</v>
          </cell>
        </row>
        <row r="545">
          <cell r="H545">
            <v>104</v>
          </cell>
        </row>
        <row r="546">
          <cell r="H546">
            <v>20</v>
          </cell>
        </row>
        <row r="547">
          <cell r="H547">
            <v>7002</v>
          </cell>
        </row>
        <row r="548">
          <cell r="H548">
            <v>1835</v>
          </cell>
        </row>
        <row r="549">
          <cell r="H549">
            <v>2294</v>
          </cell>
        </row>
        <row r="550">
          <cell r="H550">
            <v>2294</v>
          </cell>
        </row>
        <row r="551">
          <cell r="H551">
            <v>2294</v>
          </cell>
        </row>
        <row r="552">
          <cell r="H552">
            <v>475</v>
          </cell>
        </row>
        <row r="553">
          <cell r="H553">
            <v>2250</v>
          </cell>
        </row>
        <row r="554">
          <cell r="H554">
            <v>67734</v>
          </cell>
        </row>
        <row r="555">
          <cell r="H555">
            <v>67734</v>
          </cell>
        </row>
        <row r="556">
          <cell r="H556">
            <v>5961</v>
          </cell>
        </row>
        <row r="557">
          <cell r="H557">
            <v>2384</v>
          </cell>
        </row>
        <row r="558">
          <cell r="H558">
            <v>2384</v>
          </cell>
        </row>
        <row r="559">
          <cell r="H559">
            <v>2384</v>
          </cell>
        </row>
        <row r="560">
          <cell r="H560">
            <v>2384</v>
          </cell>
        </row>
        <row r="561">
          <cell r="H561">
            <v>2384</v>
          </cell>
        </row>
        <row r="562">
          <cell r="H562">
            <v>3337</v>
          </cell>
        </row>
        <row r="563">
          <cell r="H563">
            <v>2384</v>
          </cell>
        </row>
        <row r="564">
          <cell r="H564">
            <v>2384</v>
          </cell>
        </row>
        <row r="565">
          <cell r="H565">
            <v>2384</v>
          </cell>
        </row>
        <row r="566">
          <cell r="H566">
            <v>2384</v>
          </cell>
        </row>
        <row r="567">
          <cell r="H567">
            <v>4785</v>
          </cell>
        </row>
        <row r="568">
          <cell r="H568">
            <v>992</v>
          </cell>
        </row>
        <row r="569">
          <cell r="H569">
            <v>569</v>
          </cell>
        </row>
        <row r="570">
          <cell r="H570">
            <v>107</v>
          </cell>
        </row>
        <row r="571">
          <cell r="H571">
            <v>19</v>
          </cell>
        </row>
        <row r="572">
          <cell r="H572">
            <v>2269</v>
          </cell>
        </row>
        <row r="573">
          <cell r="H573">
            <v>2269</v>
          </cell>
        </row>
        <row r="574">
          <cell r="H574">
            <v>1815</v>
          </cell>
        </row>
        <row r="575">
          <cell r="H575">
            <v>2269</v>
          </cell>
        </row>
        <row r="576">
          <cell r="H576">
            <v>9019</v>
          </cell>
        </row>
        <row r="577">
          <cell r="H577">
            <v>1156</v>
          </cell>
        </row>
        <row r="578">
          <cell r="H578">
            <v>2410</v>
          </cell>
        </row>
        <row r="579">
          <cell r="H579">
            <v>506</v>
          </cell>
        </row>
        <row r="580">
          <cell r="H580">
            <v>1721</v>
          </cell>
        </row>
        <row r="581">
          <cell r="H581">
            <v>482</v>
          </cell>
        </row>
        <row r="582">
          <cell r="H582">
            <v>2296</v>
          </cell>
        </row>
        <row r="583">
          <cell r="H583">
            <v>5961</v>
          </cell>
        </row>
        <row r="584">
          <cell r="H584">
            <v>5961</v>
          </cell>
        </row>
        <row r="585">
          <cell r="H585">
            <v>5961</v>
          </cell>
        </row>
        <row r="586">
          <cell r="H586">
            <v>6487</v>
          </cell>
        </row>
        <row r="587">
          <cell r="H587">
            <v>6311</v>
          </cell>
        </row>
        <row r="588">
          <cell r="H588">
            <v>6722</v>
          </cell>
        </row>
        <row r="589">
          <cell r="H589">
            <v>4119</v>
          </cell>
        </row>
        <row r="590">
          <cell r="H590">
            <v>4119</v>
          </cell>
        </row>
        <row r="591">
          <cell r="H591">
            <v>1007</v>
          </cell>
        </row>
        <row r="592">
          <cell r="H592">
            <v>581</v>
          </cell>
        </row>
        <row r="593">
          <cell r="H593">
            <v>911</v>
          </cell>
        </row>
        <row r="594">
          <cell r="H594">
            <v>985</v>
          </cell>
        </row>
        <row r="595">
          <cell r="H595">
            <v>109</v>
          </cell>
        </row>
        <row r="596">
          <cell r="H596">
            <v>599</v>
          </cell>
        </row>
        <row r="597">
          <cell r="H597">
            <v>620</v>
          </cell>
        </row>
        <row r="598">
          <cell r="H598">
            <v>20</v>
          </cell>
        </row>
        <row r="599">
          <cell r="H599">
            <v>3564</v>
          </cell>
        </row>
        <row r="600">
          <cell r="H600">
            <v>509</v>
          </cell>
        </row>
        <row r="601">
          <cell r="H601">
            <v>2269</v>
          </cell>
        </row>
        <row r="602">
          <cell r="H602">
            <v>1815</v>
          </cell>
        </row>
        <row r="603">
          <cell r="H603">
            <v>2269</v>
          </cell>
        </row>
        <row r="604">
          <cell r="H604">
            <v>2269</v>
          </cell>
        </row>
        <row r="605">
          <cell r="H605">
            <v>9206</v>
          </cell>
        </row>
        <row r="606">
          <cell r="H606">
            <v>1181</v>
          </cell>
        </row>
        <row r="607">
          <cell r="H607">
            <v>2454</v>
          </cell>
        </row>
        <row r="608">
          <cell r="H608">
            <v>1753</v>
          </cell>
        </row>
        <row r="609">
          <cell r="H609">
            <v>516</v>
          </cell>
        </row>
        <row r="610">
          <cell r="H610">
            <v>490</v>
          </cell>
        </row>
        <row r="611">
          <cell r="H611">
            <v>3931</v>
          </cell>
        </row>
        <row r="612">
          <cell r="H612">
            <v>5434</v>
          </cell>
        </row>
        <row r="613">
          <cell r="H613">
            <v>2342</v>
          </cell>
        </row>
        <row r="614">
          <cell r="H614">
            <v>241</v>
          </cell>
        </row>
        <row r="615">
          <cell r="H615">
            <v>278</v>
          </cell>
        </row>
        <row r="616">
          <cell r="H616">
            <v>2662</v>
          </cell>
        </row>
        <row r="617">
          <cell r="H617">
            <v>2662</v>
          </cell>
        </row>
        <row r="618">
          <cell r="H618">
            <v>244</v>
          </cell>
        </row>
        <row r="619">
          <cell r="H619">
            <v>189</v>
          </cell>
        </row>
        <row r="620">
          <cell r="H620">
            <v>9</v>
          </cell>
        </row>
        <row r="621">
          <cell r="H621">
            <v>355</v>
          </cell>
        </row>
        <row r="622">
          <cell r="H622">
            <v>598</v>
          </cell>
        </row>
        <row r="623">
          <cell r="H623">
            <v>312</v>
          </cell>
        </row>
        <row r="624">
          <cell r="H624">
            <v>185</v>
          </cell>
        </row>
        <row r="625">
          <cell r="H625">
            <v>416</v>
          </cell>
        </row>
        <row r="626">
          <cell r="H626">
            <v>81</v>
          </cell>
        </row>
        <row r="627">
          <cell r="H627">
            <v>6180</v>
          </cell>
        </row>
        <row r="628">
          <cell r="H628">
            <v>253</v>
          </cell>
        </row>
        <row r="629">
          <cell r="H629">
            <v>4498</v>
          </cell>
        </row>
        <row r="630">
          <cell r="H630">
            <v>648</v>
          </cell>
        </row>
        <row r="631">
          <cell r="H631">
            <v>598</v>
          </cell>
        </row>
        <row r="632">
          <cell r="H632">
            <v>598</v>
          </cell>
        </row>
        <row r="633">
          <cell r="H633">
            <v>479</v>
          </cell>
        </row>
        <row r="634">
          <cell r="H634">
            <v>1880</v>
          </cell>
        </row>
        <row r="635">
          <cell r="H635">
            <v>1319</v>
          </cell>
        </row>
        <row r="636">
          <cell r="H636">
            <v>6010</v>
          </cell>
        </row>
        <row r="637">
          <cell r="H637">
            <v>444</v>
          </cell>
        </row>
        <row r="638">
          <cell r="H638">
            <v>481</v>
          </cell>
        </row>
        <row r="639">
          <cell r="H639">
            <v>79</v>
          </cell>
        </row>
        <row r="640">
          <cell r="H640">
            <v>50</v>
          </cell>
        </row>
        <row r="641">
          <cell r="H641">
            <v>61</v>
          </cell>
        </row>
        <row r="642">
          <cell r="H642">
            <v>5961</v>
          </cell>
        </row>
        <row r="643">
          <cell r="H643">
            <v>5961</v>
          </cell>
        </row>
        <row r="644">
          <cell r="H644">
            <v>5961</v>
          </cell>
        </row>
        <row r="645">
          <cell r="H645">
            <v>2233</v>
          </cell>
        </row>
        <row r="646">
          <cell r="H646">
            <v>2402</v>
          </cell>
        </row>
        <row r="647">
          <cell r="H647">
            <v>2402</v>
          </cell>
        </row>
        <row r="648">
          <cell r="H648">
            <v>2402</v>
          </cell>
        </row>
        <row r="649">
          <cell r="H649">
            <v>24073</v>
          </cell>
        </row>
        <row r="650">
          <cell r="H650">
            <v>24073</v>
          </cell>
        </row>
        <row r="651">
          <cell r="H651">
            <v>1</v>
          </cell>
        </row>
        <row r="652">
          <cell r="H652">
            <v>19</v>
          </cell>
        </row>
        <row r="653">
          <cell r="H653">
            <v>21</v>
          </cell>
        </row>
        <row r="654">
          <cell r="H654">
            <v>25</v>
          </cell>
        </row>
        <row r="655">
          <cell r="H655">
            <v>667</v>
          </cell>
        </row>
        <row r="656">
          <cell r="H656">
            <v>135</v>
          </cell>
        </row>
        <row r="657">
          <cell r="H657">
            <v>250</v>
          </cell>
        </row>
        <row r="658">
          <cell r="H658">
            <v>122</v>
          </cell>
        </row>
        <row r="659">
          <cell r="H659">
            <v>192</v>
          </cell>
        </row>
        <row r="660">
          <cell r="H660">
            <v>2</v>
          </cell>
        </row>
        <row r="661">
          <cell r="H661">
            <v>216</v>
          </cell>
        </row>
        <row r="662">
          <cell r="H662">
            <v>816</v>
          </cell>
        </row>
        <row r="663">
          <cell r="H663">
            <v>217</v>
          </cell>
        </row>
        <row r="664">
          <cell r="H664">
            <v>4</v>
          </cell>
        </row>
        <row r="665">
          <cell r="H665">
            <v>594</v>
          </cell>
        </row>
        <row r="666">
          <cell r="H666">
            <v>430</v>
          </cell>
        </row>
        <row r="667">
          <cell r="H667">
            <v>952</v>
          </cell>
        </row>
        <row r="668">
          <cell r="H668">
            <v>444</v>
          </cell>
        </row>
        <row r="669">
          <cell r="H669">
            <v>25</v>
          </cell>
        </row>
        <row r="670">
          <cell r="H670">
            <v>1948</v>
          </cell>
        </row>
        <row r="671">
          <cell r="H671">
            <v>689</v>
          </cell>
        </row>
        <row r="672">
          <cell r="H672">
            <v>12575</v>
          </cell>
        </row>
        <row r="673">
          <cell r="H673">
            <v>12808</v>
          </cell>
        </row>
        <row r="674">
          <cell r="H674">
            <v>13041</v>
          </cell>
        </row>
        <row r="675">
          <cell r="H675">
            <v>1593</v>
          </cell>
        </row>
        <row r="676">
          <cell r="H676">
            <v>3062</v>
          </cell>
        </row>
        <row r="677">
          <cell r="H677">
            <v>23436</v>
          </cell>
        </row>
        <row r="678">
          <cell r="H678">
            <v>23436</v>
          </cell>
        </row>
        <row r="679">
          <cell r="H679">
            <v>1935</v>
          </cell>
        </row>
        <row r="680">
          <cell r="H680">
            <v>122</v>
          </cell>
        </row>
        <row r="681">
          <cell r="H681">
            <v>559</v>
          </cell>
        </row>
        <row r="682">
          <cell r="H682">
            <v>416</v>
          </cell>
        </row>
        <row r="683">
          <cell r="H683">
            <v>5424</v>
          </cell>
        </row>
        <row r="684">
          <cell r="H684">
            <v>575</v>
          </cell>
        </row>
        <row r="685">
          <cell r="H685">
            <v>575</v>
          </cell>
        </row>
        <row r="686">
          <cell r="H686">
            <v>518</v>
          </cell>
        </row>
        <row r="687">
          <cell r="H687">
            <v>68</v>
          </cell>
        </row>
        <row r="688">
          <cell r="H688">
            <v>208</v>
          </cell>
        </row>
        <row r="689">
          <cell r="H689">
            <v>44</v>
          </cell>
        </row>
        <row r="690">
          <cell r="H690">
            <v>1129</v>
          </cell>
        </row>
        <row r="691">
          <cell r="H691">
            <v>457</v>
          </cell>
        </row>
        <row r="692">
          <cell r="H692">
            <v>639</v>
          </cell>
        </row>
        <row r="693">
          <cell r="H693">
            <v>471</v>
          </cell>
        </row>
        <row r="694">
          <cell r="H694">
            <v>45</v>
          </cell>
        </row>
        <row r="695">
          <cell r="H695">
            <v>281</v>
          </cell>
        </row>
        <row r="696">
          <cell r="H696">
            <v>244</v>
          </cell>
        </row>
        <row r="697">
          <cell r="H697">
            <v>857</v>
          </cell>
        </row>
        <row r="698">
          <cell r="H698">
            <v>281</v>
          </cell>
        </row>
        <row r="699">
          <cell r="H699">
            <v>2700</v>
          </cell>
        </row>
        <row r="700">
          <cell r="H700">
            <v>144</v>
          </cell>
        </row>
        <row r="701">
          <cell r="H701">
            <v>186</v>
          </cell>
        </row>
        <row r="702">
          <cell r="H702">
            <v>2026</v>
          </cell>
        </row>
        <row r="703">
          <cell r="H703">
            <v>11256</v>
          </cell>
        </row>
        <row r="704">
          <cell r="H704">
            <v>3172</v>
          </cell>
        </row>
        <row r="705">
          <cell r="H705">
            <v>4830</v>
          </cell>
        </row>
        <row r="706">
          <cell r="H706">
            <v>2259</v>
          </cell>
        </row>
        <row r="707">
          <cell r="H707">
            <v>21657</v>
          </cell>
        </row>
        <row r="708">
          <cell r="H708">
            <v>11249</v>
          </cell>
        </row>
        <row r="709">
          <cell r="H709">
            <v>21657</v>
          </cell>
        </row>
        <row r="710">
          <cell r="H710">
            <v>2327</v>
          </cell>
        </row>
        <row r="711">
          <cell r="H711">
            <v>15234</v>
          </cell>
        </row>
        <row r="712">
          <cell r="H712">
            <v>21657</v>
          </cell>
        </row>
        <row r="713">
          <cell r="H713">
            <v>458</v>
          </cell>
        </row>
        <row r="714">
          <cell r="H714">
            <v>4342</v>
          </cell>
        </row>
        <row r="715">
          <cell r="H715">
            <v>176</v>
          </cell>
        </row>
        <row r="716">
          <cell r="H716">
            <v>701</v>
          </cell>
        </row>
        <row r="717">
          <cell r="H717">
            <v>177</v>
          </cell>
        </row>
        <row r="718">
          <cell r="H718">
            <v>663</v>
          </cell>
        </row>
        <row r="719">
          <cell r="H719">
            <v>1953</v>
          </cell>
        </row>
        <row r="720">
          <cell r="H720">
            <v>761</v>
          </cell>
        </row>
        <row r="721">
          <cell r="H721">
            <v>150</v>
          </cell>
        </row>
        <row r="722">
          <cell r="H722">
            <v>468</v>
          </cell>
        </row>
        <row r="723">
          <cell r="H723">
            <v>3868</v>
          </cell>
        </row>
        <row r="724">
          <cell r="H724">
            <v>195</v>
          </cell>
        </row>
        <row r="725">
          <cell r="H725">
            <v>13</v>
          </cell>
        </row>
        <row r="726">
          <cell r="H726">
            <v>803</v>
          </cell>
        </row>
        <row r="727">
          <cell r="H727">
            <v>2059</v>
          </cell>
        </row>
        <row r="728">
          <cell r="H728">
            <v>184</v>
          </cell>
        </row>
        <row r="729">
          <cell r="H729">
            <v>2070</v>
          </cell>
        </row>
        <row r="730">
          <cell r="H730">
            <v>240</v>
          </cell>
        </row>
        <row r="731">
          <cell r="H731">
            <v>5448</v>
          </cell>
        </row>
        <row r="732">
          <cell r="H732">
            <v>164</v>
          </cell>
        </row>
        <row r="733">
          <cell r="H733">
            <v>1067</v>
          </cell>
        </row>
        <row r="734">
          <cell r="H734">
            <v>290</v>
          </cell>
        </row>
        <row r="735">
          <cell r="H735">
            <v>8845</v>
          </cell>
        </row>
        <row r="736">
          <cell r="H736">
            <v>5888</v>
          </cell>
        </row>
        <row r="737">
          <cell r="H737">
            <v>11439</v>
          </cell>
        </row>
        <row r="738">
          <cell r="H738">
            <v>4043</v>
          </cell>
        </row>
        <row r="739">
          <cell r="H739">
            <v>576</v>
          </cell>
        </row>
        <row r="740">
          <cell r="H740">
            <v>21657</v>
          </cell>
        </row>
        <row r="741">
          <cell r="H741">
            <v>21657</v>
          </cell>
        </row>
        <row r="742">
          <cell r="H742">
            <v>21657</v>
          </cell>
        </row>
        <row r="743">
          <cell r="H743">
            <v>6583</v>
          </cell>
        </row>
        <row r="744">
          <cell r="H744">
            <v>80</v>
          </cell>
        </row>
        <row r="745">
          <cell r="H745">
            <v>745</v>
          </cell>
        </row>
        <row r="746">
          <cell r="H746">
            <v>14970</v>
          </cell>
        </row>
        <row r="747">
          <cell r="H747">
            <v>7549</v>
          </cell>
        </row>
        <row r="748">
          <cell r="H748">
            <v>685</v>
          </cell>
        </row>
        <row r="749">
          <cell r="H749">
            <v>709</v>
          </cell>
        </row>
        <row r="750">
          <cell r="H750">
            <v>1406</v>
          </cell>
        </row>
        <row r="751">
          <cell r="H751">
            <v>272</v>
          </cell>
        </row>
        <row r="752">
          <cell r="H752">
            <v>3749</v>
          </cell>
        </row>
        <row r="753">
          <cell r="H753">
            <v>3407</v>
          </cell>
        </row>
        <row r="754">
          <cell r="H754">
            <v>14373</v>
          </cell>
        </row>
        <row r="755">
          <cell r="H755">
            <v>3555</v>
          </cell>
        </row>
        <row r="756">
          <cell r="H756">
            <v>189</v>
          </cell>
        </row>
        <row r="757">
          <cell r="H757">
            <v>16850</v>
          </cell>
        </row>
        <row r="758">
          <cell r="H758">
            <v>3448</v>
          </cell>
        </row>
        <row r="759">
          <cell r="H759">
            <v>565</v>
          </cell>
        </row>
        <row r="760">
          <cell r="H760">
            <v>2126</v>
          </cell>
        </row>
        <row r="761">
          <cell r="H761">
            <v>7671</v>
          </cell>
        </row>
        <row r="762">
          <cell r="H762">
            <v>273</v>
          </cell>
        </row>
        <row r="763">
          <cell r="H763">
            <v>2379</v>
          </cell>
        </row>
        <row r="764">
          <cell r="H764">
            <v>27</v>
          </cell>
        </row>
        <row r="765">
          <cell r="H765">
            <v>21657</v>
          </cell>
        </row>
        <row r="766">
          <cell r="H766">
            <v>17681</v>
          </cell>
        </row>
        <row r="767">
          <cell r="H767">
            <v>2701</v>
          </cell>
        </row>
        <row r="768">
          <cell r="H768">
            <v>333</v>
          </cell>
        </row>
        <row r="769">
          <cell r="H769">
            <v>21667</v>
          </cell>
        </row>
        <row r="770">
          <cell r="H770">
            <v>21657</v>
          </cell>
        </row>
        <row r="771">
          <cell r="H771">
            <v>199</v>
          </cell>
        </row>
        <row r="772">
          <cell r="H772">
            <v>297</v>
          </cell>
        </row>
        <row r="773">
          <cell r="H773">
            <v>1969</v>
          </cell>
        </row>
        <row r="774">
          <cell r="H774">
            <v>1266</v>
          </cell>
        </row>
        <row r="775">
          <cell r="H775">
            <v>1471</v>
          </cell>
        </row>
        <row r="776">
          <cell r="H776">
            <v>1470</v>
          </cell>
        </row>
        <row r="777">
          <cell r="H777">
            <v>664</v>
          </cell>
        </row>
        <row r="778">
          <cell r="H778">
            <v>4109</v>
          </cell>
        </row>
        <row r="779">
          <cell r="H779">
            <v>352</v>
          </cell>
        </row>
        <row r="780">
          <cell r="H780">
            <v>257</v>
          </cell>
        </row>
        <row r="781">
          <cell r="H781">
            <v>446</v>
          </cell>
        </row>
        <row r="782">
          <cell r="H782">
            <v>228</v>
          </cell>
        </row>
        <row r="783">
          <cell r="H783">
            <v>8284</v>
          </cell>
        </row>
        <row r="784">
          <cell r="H784">
            <v>9082</v>
          </cell>
        </row>
        <row r="785">
          <cell r="H785">
            <v>1986</v>
          </cell>
        </row>
        <row r="786">
          <cell r="H786">
            <v>5363</v>
          </cell>
        </row>
        <row r="787">
          <cell r="H787">
            <v>3840</v>
          </cell>
        </row>
        <row r="788">
          <cell r="H788">
            <v>8291</v>
          </cell>
        </row>
        <row r="789">
          <cell r="H789">
            <v>4139</v>
          </cell>
        </row>
        <row r="790">
          <cell r="H790">
            <v>352</v>
          </cell>
        </row>
        <row r="791">
          <cell r="H791">
            <v>420</v>
          </cell>
        </row>
        <row r="792">
          <cell r="H792">
            <v>4225</v>
          </cell>
        </row>
        <row r="793">
          <cell r="H793">
            <v>8650</v>
          </cell>
        </row>
        <row r="794">
          <cell r="H794">
            <v>8417</v>
          </cell>
        </row>
        <row r="795">
          <cell r="H795">
            <v>755</v>
          </cell>
        </row>
        <row r="796">
          <cell r="H796">
            <v>3994</v>
          </cell>
        </row>
        <row r="797">
          <cell r="H797">
            <v>6898</v>
          </cell>
        </row>
        <row r="798">
          <cell r="H798">
            <v>4460</v>
          </cell>
        </row>
        <row r="799">
          <cell r="H799">
            <v>13294</v>
          </cell>
        </row>
        <row r="800">
          <cell r="H800">
            <v>13294</v>
          </cell>
        </row>
        <row r="801">
          <cell r="H801">
            <v>12565</v>
          </cell>
        </row>
        <row r="802">
          <cell r="H802">
            <v>1499</v>
          </cell>
        </row>
        <row r="803">
          <cell r="H803">
            <v>339</v>
          </cell>
        </row>
        <row r="804">
          <cell r="H804">
            <v>553</v>
          </cell>
        </row>
        <row r="805">
          <cell r="H805">
            <v>804</v>
          </cell>
        </row>
        <row r="806">
          <cell r="H806">
            <v>1006</v>
          </cell>
        </row>
        <row r="807">
          <cell r="H807">
            <v>437</v>
          </cell>
        </row>
        <row r="808">
          <cell r="H808">
            <v>286</v>
          </cell>
        </row>
        <row r="809">
          <cell r="H809">
            <v>357</v>
          </cell>
        </row>
        <row r="810">
          <cell r="H810">
            <v>374</v>
          </cell>
        </row>
        <row r="811">
          <cell r="H811">
            <v>205</v>
          </cell>
        </row>
        <row r="812">
          <cell r="H812">
            <v>234</v>
          </cell>
        </row>
        <row r="813">
          <cell r="H813">
            <v>202</v>
          </cell>
        </row>
        <row r="814">
          <cell r="H814">
            <v>48</v>
          </cell>
        </row>
        <row r="815">
          <cell r="H815">
            <v>29</v>
          </cell>
        </row>
        <row r="816">
          <cell r="H816">
            <v>44</v>
          </cell>
        </row>
        <row r="817">
          <cell r="H817">
            <v>6986</v>
          </cell>
        </row>
        <row r="818">
          <cell r="H818">
            <v>8849</v>
          </cell>
        </row>
        <row r="819">
          <cell r="H819">
            <v>8616</v>
          </cell>
        </row>
        <row r="820">
          <cell r="H820">
            <v>3716</v>
          </cell>
        </row>
        <row r="821">
          <cell r="H821">
            <v>4210</v>
          </cell>
        </row>
        <row r="822">
          <cell r="H822">
            <v>57015</v>
          </cell>
        </row>
        <row r="823">
          <cell r="H823">
            <v>61329</v>
          </cell>
        </row>
        <row r="824">
          <cell r="H824">
            <v>45978</v>
          </cell>
        </row>
        <row r="825">
          <cell r="H825">
            <v>4792</v>
          </cell>
        </row>
        <row r="826">
          <cell r="H826">
            <v>30706</v>
          </cell>
        </row>
        <row r="827">
          <cell r="H827">
            <v>63687</v>
          </cell>
        </row>
        <row r="828">
          <cell r="H828">
            <v>13294</v>
          </cell>
        </row>
        <row r="829">
          <cell r="H829">
            <v>15529</v>
          </cell>
        </row>
        <row r="830">
          <cell r="H830">
            <v>16772</v>
          </cell>
        </row>
        <row r="831">
          <cell r="H831">
            <v>3</v>
          </cell>
        </row>
        <row r="832">
          <cell r="H832">
            <v>2768</v>
          </cell>
        </row>
        <row r="833">
          <cell r="H833">
            <v>900</v>
          </cell>
        </row>
        <row r="834">
          <cell r="H834">
            <v>775</v>
          </cell>
        </row>
        <row r="835">
          <cell r="H835">
            <v>359</v>
          </cell>
        </row>
        <row r="836">
          <cell r="H836">
            <v>614</v>
          </cell>
        </row>
        <row r="837">
          <cell r="H837">
            <v>887</v>
          </cell>
        </row>
        <row r="838">
          <cell r="H838">
            <v>868</v>
          </cell>
        </row>
        <row r="839">
          <cell r="H839">
            <v>566</v>
          </cell>
        </row>
        <row r="840">
          <cell r="H840">
            <v>485</v>
          </cell>
        </row>
        <row r="841">
          <cell r="H841">
            <v>364</v>
          </cell>
        </row>
        <row r="842">
          <cell r="H842">
            <v>207</v>
          </cell>
        </row>
        <row r="843">
          <cell r="H843">
            <v>206</v>
          </cell>
        </row>
        <row r="844">
          <cell r="H844">
            <v>307</v>
          </cell>
        </row>
        <row r="845">
          <cell r="H845">
            <v>27</v>
          </cell>
        </row>
        <row r="846">
          <cell r="H846">
            <v>8</v>
          </cell>
        </row>
        <row r="847">
          <cell r="H847">
            <v>5</v>
          </cell>
        </row>
        <row r="848">
          <cell r="H848">
            <v>8389</v>
          </cell>
        </row>
        <row r="849">
          <cell r="H849">
            <v>3617</v>
          </cell>
        </row>
        <row r="850">
          <cell r="H850">
            <v>399</v>
          </cell>
        </row>
        <row r="851">
          <cell r="H851">
            <v>2828</v>
          </cell>
        </row>
        <row r="852">
          <cell r="H852">
            <v>4</v>
          </cell>
        </row>
        <row r="853">
          <cell r="H853">
            <v>1014</v>
          </cell>
        </row>
        <row r="854">
          <cell r="H854">
            <v>23113</v>
          </cell>
        </row>
        <row r="855">
          <cell r="H855">
            <v>11158</v>
          </cell>
        </row>
        <row r="856">
          <cell r="H856">
            <v>5175</v>
          </cell>
        </row>
        <row r="857">
          <cell r="H857">
            <v>7562</v>
          </cell>
        </row>
        <row r="858">
          <cell r="H858">
            <v>57015</v>
          </cell>
        </row>
        <row r="859">
          <cell r="H859">
            <v>24303</v>
          </cell>
        </row>
        <row r="860">
          <cell r="H860">
            <v>13294</v>
          </cell>
        </row>
        <row r="861">
          <cell r="H861">
            <v>15529</v>
          </cell>
        </row>
        <row r="862">
          <cell r="H862">
            <v>2374</v>
          </cell>
        </row>
        <row r="863">
          <cell r="H863">
            <v>2299</v>
          </cell>
        </row>
        <row r="864">
          <cell r="H864">
            <v>1354</v>
          </cell>
        </row>
        <row r="865">
          <cell r="H865">
            <v>974</v>
          </cell>
        </row>
        <row r="866">
          <cell r="H866">
            <v>804</v>
          </cell>
        </row>
        <row r="867">
          <cell r="H867">
            <v>208</v>
          </cell>
        </row>
        <row r="868">
          <cell r="H868">
            <v>349</v>
          </cell>
        </row>
        <row r="869">
          <cell r="H869">
            <v>267</v>
          </cell>
        </row>
        <row r="870">
          <cell r="H870">
            <v>205</v>
          </cell>
        </row>
        <row r="871">
          <cell r="H871">
            <v>313</v>
          </cell>
        </row>
        <row r="872">
          <cell r="H872">
            <v>103</v>
          </cell>
        </row>
        <row r="873">
          <cell r="H873">
            <v>59</v>
          </cell>
        </row>
        <row r="874">
          <cell r="H874">
            <v>52</v>
          </cell>
        </row>
        <row r="875">
          <cell r="H875">
            <v>1942</v>
          </cell>
        </row>
        <row r="876">
          <cell r="H876">
            <v>2931</v>
          </cell>
        </row>
        <row r="877">
          <cell r="H877">
            <v>42144</v>
          </cell>
        </row>
        <row r="878">
          <cell r="H878">
            <v>118200</v>
          </cell>
        </row>
        <row r="879">
          <cell r="H879">
            <v>24234</v>
          </cell>
        </row>
        <row r="880">
          <cell r="H880">
            <v>116750</v>
          </cell>
        </row>
        <row r="881">
          <cell r="H881">
            <v>36439</v>
          </cell>
        </row>
        <row r="882">
          <cell r="H882">
            <v>17134</v>
          </cell>
        </row>
        <row r="883">
          <cell r="H883">
            <v>57015</v>
          </cell>
        </row>
        <row r="884">
          <cell r="H884">
            <v>56968</v>
          </cell>
        </row>
        <row r="885">
          <cell r="H885">
            <v>26831</v>
          </cell>
        </row>
        <row r="886">
          <cell r="H886">
            <v>5028</v>
          </cell>
        </row>
        <row r="887">
          <cell r="H887">
            <v>14916</v>
          </cell>
        </row>
        <row r="888">
          <cell r="H888">
            <v>8790</v>
          </cell>
        </row>
        <row r="889">
          <cell r="H889">
            <v>13294</v>
          </cell>
        </row>
        <row r="890">
          <cell r="H890">
            <v>13294</v>
          </cell>
        </row>
        <row r="891">
          <cell r="H891">
            <v>2775</v>
          </cell>
        </row>
        <row r="892">
          <cell r="H892">
            <v>6647</v>
          </cell>
        </row>
        <row r="893">
          <cell r="H893">
            <v>15529</v>
          </cell>
        </row>
        <row r="894">
          <cell r="H894">
            <v>3812</v>
          </cell>
        </row>
        <row r="895">
          <cell r="H895">
            <v>9495</v>
          </cell>
        </row>
        <row r="896">
          <cell r="H896">
            <v>591</v>
          </cell>
        </row>
        <row r="897">
          <cell r="H897">
            <v>1525</v>
          </cell>
        </row>
        <row r="898">
          <cell r="H898">
            <v>1995</v>
          </cell>
        </row>
        <row r="899">
          <cell r="H899">
            <v>743</v>
          </cell>
        </row>
        <row r="900">
          <cell r="H900">
            <v>512</v>
          </cell>
        </row>
        <row r="901">
          <cell r="H901">
            <v>1351</v>
          </cell>
        </row>
        <row r="902">
          <cell r="H902">
            <v>662</v>
          </cell>
        </row>
        <row r="903">
          <cell r="H903">
            <v>735</v>
          </cell>
        </row>
        <row r="904">
          <cell r="H904">
            <v>318</v>
          </cell>
        </row>
        <row r="905">
          <cell r="H905">
            <v>100</v>
          </cell>
        </row>
        <row r="906">
          <cell r="H906">
            <v>72</v>
          </cell>
        </row>
        <row r="907">
          <cell r="H907">
            <v>205</v>
          </cell>
        </row>
        <row r="908">
          <cell r="H908">
            <v>51</v>
          </cell>
        </row>
        <row r="909">
          <cell r="H909">
            <v>33</v>
          </cell>
        </row>
        <row r="910">
          <cell r="H910">
            <v>22</v>
          </cell>
        </row>
        <row r="911">
          <cell r="H911">
            <v>20038</v>
          </cell>
        </row>
        <row r="912">
          <cell r="H912">
            <v>21245</v>
          </cell>
        </row>
        <row r="913">
          <cell r="H913">
            <v>19797</v>
          </cell>
        </row>
        <row r="914">
          <cell r="H914">
            <v>20762</v>
          </cell>
        </row>
        <row r="915">
          <cell r="H915">
            <v>20521</v>
          </cell>
        </row>
        <row r="916">
          <cell r="H916">
            <v>19555</v>
          </cell>
        </row>
        <row r="917">
          <cell r="H917">
            <v>21004</v>
          </cell>
        </row>
        <row r="918">
          <cell r="H918">
            <v>10623</v>
          </cell>
        </row>
        <row r="919">
          <cell r="H919">
            <v>21486</v>
          </cell>
        </row>
        <row r="920">
          <cell r="H920">
            <v>19314</v>
          </cell>
        </row>
        <row r="921">
          <cell r="H921">
            <v>19072</v>
          </cell>
        </row>
        <row r="922">
          <cell r="H922">
            <v>18831</v>
          </cell>
        </row>
        <row r="923">
          <cell r="H923">
            <v>77</v>
          </cell>
        </row>
        <row r="924">
          <cell r="H924">
            <v>5786</v>
          </cell>
        </row>
        <row r="925">
          <cell r="H925">
            <v>5000</v>
          </cell>
        </row>
        <row r="926">
          <cell r="H926">
            <v>16977</v>
          </cell>
        </row>
        <row r="927">
          <cell r="H927">
            <v>25150</v>
          </cell>
        </row>
        <row r="928">
          <cell r="H928">
            <v>24234</v>
          </cell>
        </row>
        <row r="929">
          <cell r="H929">
            <v>3149</v>
          </cell>
        </row>
        <row r="930">
          <cell r="H930">
            <v>1083</v>
          </cell>
        </row>
        <row r="931">
          <cell r="H931">
            <v>1535</v>
          </cell>
        </row>
        <row r="932">
          <cell r="H932">
            <v>20000</v>
          </cell>
        </row>
        <row r="933">
          <cell r="H933">
            <v>20000</v>
          </cell>
        </row>
        <row r="934">
          <cell r="H934">
            <v>20000</v>
          </cell>
        </row>
        <row r="935">
          <cell r="H935">
            <v>40000</v>
          </cell>
        </row>
        <row r="936">
          <cell r="H936">
            <v>30000</v>
          </cell>
        </row>
        <row r="937">
          <cell r="H937">
            <v>24271</v>
          </cell>
        </row>
        <row r="938">
          <cell r="H938">
            <v>5800</v>
          </cell>
        </row>
        <row r="939">
          <cell r="H939">
            <v>44756</v>
          </cell>
        </row>
        <row r="940">
          <cell r="H940">
            <v>12105</v>
          </cell>
        </row>
        <row r="941">
          <cell r="H941">
            <v>9610</v>
          </cell>
        </row>
        <row r="942">
          <cell r="H942">
            <v>23740</v>
          </cell>
        </row>
        <row r="943">
          <cell r="H943">
            <v>11534</v>
          </cell>
        </row>
        <row r="944">
          <cell r="H944">
            <v>23705</v>
          </cell>
        </row>
        <row r="945">
          <cell r="H945">
            <v>596</v>
          </cell>
        </row>
        <row r="946">
          <cell r="H946">
            <v>50054</v>
          </cell>
        </row>
        <row r="947">
          <cell r="H947">
            <v>27686</v>
          </cell>
        </row>
        <row r="948">
          <cell r="H948">
            <v>16370</v>
          </cell>
        </row>
        <row r="949">
          <cell r="H949">
            <v>16024</v>
          </cell>
        </row>
        <row r="950">
          <cell r="H950">
            <v>21780</v>
          </cell>
        </row>
        <row r="951">
          <cell r="H951">
            <v>29021</v>
          </cell>
        </row>
        <row r="952">
          <cell r="H952">
            <v>200000</v>
          </cell>
        </row>
        <row r="953">
          <cell r="H953">
            <v>158000</v>
          </cell>
        </row>
        <row r="954">
          <cell r="H954">
            <v>158000</v>
          </cell>
        </row>
        <row r="955">
          <cell r="H955">
            <v>421505</v>
          </cell>
        </row>
        <row r="956">
          <cell r="H956">
            <v>291342</v>
          </cell>
        </row>
        <row r="957">
          <cell r="H957">
            <v>48643</v>
          </cell>
        </row>
        <row r="958">
          <cell r="H958">
            <v>307131</v>
          </cell>
        </row>
        <row r="959">
          <cell r="H959">
            <v>248153</v>
          </cell>
        </row>
        <row r="960">
          <cell r="H960">
            <v>393945</v>
          </cell>
        </row>
        <row r="961">
          <cell r="H961">
            <v>16072</v>
          </cell>
        </row>
        <row r="962">
          <cell r="H962">
            <v>64287</v>
          </cell>
        </row>
        <row r="963">
          <cell r="H963">
            <v>9511</v>
          </cell>
        </row>
        <row r="964">
          <cell r="H964">
            <v>33367</v>
          </cell>
        </row>
        <row r="965">
          <cell r="H965">
            <v>23689</v>
          </cell>
        </row>
        <row r="966">
          <cell r="H966">
            <v>11005</v>
          </cell>
        </row>
        <row r="967">
          <cell r="H967">
            <v>12422</v>
          </cell>
        </row>
        <row r="968">
          <cell r="H968">
            <v>3170</v>
          </cell>
        </row>
        <row r="969">
          <cell r="H969">
            <v>502993</v>
          </cell>
        </row>
        <row r="970">
          <cell r="H970">
            <v>77273</v>
          </cell>
        </row>
        <row r="971">
          <cell r="H971">
            <v>104269</v>
          </cell>
        </row>
        <row r="972">
          <cell r="H972">
            <v>97788</v>
          </cell>
        </row>
        <row r="973">
          <cell r="H973">
            <v>872604</v>
          </cell>
        </row>
        <row r="974">
          <cell r="H974">
            <v>486261</v>
          </cell>
        </row>
        <row r="975">
          <cell r="H975">
            <v>489058</v>
          </cell>
        </row>
        <row r="976">
          <cell r="H976">
            <v>503139</v>
          </cell>
        </row>
        <row r="977">
          <cell r="H977">
            <v>256692</v>
          </cell>
        </row>
        <row r="978">
          <cell r="H978">
            <v>293550</v>
          </cell>
        </row>
        <row r="979">
          <cell r="H979">
            <v>45026</v>
          </cell>
        </row>
        <row r="980">
          <cell r="H980">
            <v>169865</v>
          </cell>
        </row>
        <row r="981">
          <cell r="H981">
            <v>162638</v>
          </cell>
        </row>
        <row r="982">
          <cell r="H982">
            <v>156343</v>
          </cell>
        </row>
        <row r="983">
          <cell r="H983">
            <v>21505</v>
          </cell>
        </row>
        <row r="984">
          <cell r="H984">
            <v>886</v>
          </cell>
        </row>
        <row r="985">
          <cell r="H985">
            <v>4399</v>
          </cell>
        </row>
        <row r="986">
          <cell r="H986">
            <v>6793</v>
          </cell>
        </row>
        <row r="987">
          <cell r="H987">
            <v>46810</v>
          </cell>
        </row>
        <row r="988">
          <cell r="H988">
            <v>57008</v>
          </cell>
        </row>
        <row r="989">
          <cell r="H989">
            <v>242644</v>
          </cell>
        </row>
        <row r="990">
          <cell r="H990">
            <v>70899</v>
          </cell>
        </row>
        <row r="991">
          <cell r="H991">
            <v>265098</v>
          </cell>
        </row>
        <row r="992">
          <cell r="H992">
            <v>34536</v>
          </cell>
        </row>
        <row r="993">
          <cell r="H993">
            <v>76228</v>
          </cell>
        </row>
        <row r="994">
          <cell r="H994">
            <v>21899</v>
          </cell>
        </row>
        <row r="995">
          <cell r="H995">
            <v>63834</v>
          </cell>
        </row>
        <row r="996">
          <cell r="H996">
            <v>18201</v>
          </cell>
        </row>
        <row r="997">
          <cell r="H997">
            <v>19636</v>
          </cell>
        </row>
        <row r="998">
          <cell r="H998">
            <v>18915</v>
          </cell>
        </row>
        <row r="999">
          <cell r="H999">
            <v>45419</v>
          </cell>
        </row>
        <row r="1000">
          <cell r="H1000">
            <v>1990</v>
          </cell>
        </row>
        <row r="1001">
          <cell r="H1001">
            <v>5945</v>
          </cell>
        </row>
        <row r="1002">
          <cell r="H1002">
            <v>4932</v>
          </cell>
        </row>
        <row r="1003">
          <cell r="H1003">
            <v>19127</v>
          </cell>
        </row>
        <row r="1004">
          <cell r="H1004">
            <v>14731</v>
          </cell>
        </row>
        <row r="1005">
          <cell r="H1005">
            <v>14593</v>
          </cell>
        </row>
        <row r="1006">
          <cell r="H1006">
            <v>4235</v>
          </cell>
        </row>
        <row r="1007">
          <cell r="H1007">
            <v>12691</v>
          </cell>
        </row>
        <row r="1008">
          <cell r="H1008">
            <v>6278</v>
          </cell>
        </row>
        <row r="1009">
          <cell r="H1009">
            <v>7188</v>
          </cell>
        </row>
        <row r="1010">
          <cell r="H1010">
            <v>2216</v>
          </cell>
        </row>
        <row r="1011">
          <cell r="H1011">
            <v>3350</v>
          </cell>
        </row>
        <row r="1012">
          <cell r="H1012">
            <v>5284</v>
          </cell>
        </row>
        <row r="1013">
          <cell r="H1013">
            <v>4781</v>
          </cell>
        </row>
        <row r="1014">
          <cell r="H1014">
            <v>98225</v>
          </cell>
        </row>
        <row r="1015">
          <cell r="H1015">
            <v>194968</v>
          </cell>
        </row>
        <row r="1016">
          <cell r="H1016">
            <v>85375</v>
          </cell>
        </row>
        <row r="1017">
          <cell r="H1017">
            <v>102071</v>
          </cell>
        </row>
        <row r="1018">
          <cell r="H1018">
            <v>3536</v>
          </cell>
        </row>
        <row r="1019">
          <cell r="H1019">
            <v>181113</v>
          </cell>
        </row>
        <row r="1020">
          <cell r="H1020">
            <v>54219</v>
          </cell>
        </row>
        <row r="1021">
          <cell r="H1021">
            <v>555047</v>
          </cell>
        </row>
        <row r="1022">
          <cell r="H1022">
            <v>46700</v>
          </cell>
        </row>
        <row r="1023">
          <cell r="H1023">
            <v>140497</v>
          </cell>
        </row>
        <row r="1024">
          <cell r="H1024">
            <v>193102</v>
          </cell>
        </row>
        <row r="1025">
          <cell r="H1025">
            <v>207359</v>
          </cell>
        </row>
        <row r="1026">
          <cell r="H1026">
            <v>61676</v>
          </cell>
        </row>
        <row r="1027">
          <cell r="H1027">
            <v>131647</v>
          </cell>
        </row>
        <row r="1028">
          <cell r="H1028">
            <v>65252</v>
          </cell>
        </row>
        <row r="1029">
          <cell r="H1029">
            <v>343839</v>
          </cell>
        </row>
        <row r="1030">
          <cell r="H1030">
            <v>236737</v>
          </cell>
        </row>
        <row r="1031">
          <cell r="H1031">
            <v>44441</v>
          </cell>
        </row>
        <row r="1032">
          <cell r="H1032">
            <v>24374</v>
          </cell>
        </row>
        <row r="1033">
          <cell r="H1033">
            <v>24455</v>
          </cell>
        </row>
        <row r="1034">
          <cell r="H1034">
            <v>65997</v>
          </cell>
        </row>
        <row r="1035">
          <cell r="H1035">
            <v>46156</v>
          </cell>
        </row>
        <row r="1036">
          <cell r="H1036">
            <v>50909</v>
          </cell>
        </row>
        <row r="1037">
          <cell r="H1037">
            <v>5073</v>
          </cell>
        </row>
        <row r="1038">
          <cell r="H1038">
            <v>9665</v>
          </cell>
        </row>
        <row r="1039">
          <cell r="H1039">
            <v>73498</v>
          </cell>
        </row>
        <row r="1040">
          <cell r="H1040">
            <v>52492</v>
          </cell>
        </row>
        <row r="1041">
          <cell r="H1041">
            <v>71265</v>
          </cell>
        </row>
        <row r="1042">
          <cell r="H1042">
            <v>49597</v>
          </cell>
        </row>
        <row r="1043">
          <cell r="H1043">
            <v>1087728</v>
          </cell>
        </row>
        <row r="1044">
          <cell r="H1044">
            <v>1571142</v>
          </cell>
        </row>
        <row r="1045">
          <cell r="H1045">
            <v>1596791</v>
          </cell>
        </row>
        <row r="1046">
          <cell r="H1046">
            <v>1807165</v>
          </cell>
        </row>
        <row r="1047">
          <cell r="H1047">
            <v>1523768</v>
          </cell>
        </row>
        <row r="1048">
          <cell r="H1048">
            <v>722039</v>
          </cell>
        </row>
        <row r="1049">
          <cell r="H1049">
            <v>844112</v>
          </cell>
        </row>
        <row r="1050">
          <cell r="H1050">
            <v>2039551</v>
          </cell>
        </row>
        <row r="1051">
          <cell r="H1051">
            <v>952759</v>
          </cell>
        </row>
        <row r="1052">
          <cell r="H1052">
            <v>55104</v>
          </cell>
        </row>
        <row r="1053">
          <cell r="H1053">
            <v>22373</v>
          </cell>
        </row>
        <row r="1054">
          <cell r="H1054">
            <v>5523</v>
          </cell>
        </row>
        <row r="1055">
          <cell r="H1055">
            <v>27139</v>
          </cell>
        </row>
        <row r="1056">
          <cell r="H1056">
            <v>194465</v>
          </cell>
        </row>
        <row r="1057">
          <cell r="H1057">
            <v>500000</v>
          </cell>
        </row>
        <row r="1058">
          <cell r="H1058">
            <v>201696</v>
          </cell>
        </row>
        <row r="1059">
          <cell r="H1059">
            <v>455930</v>
          </cell>
        </row>
        <row r="1060">
          <cell r="H1060">
            <v>131416</v>
          </cell>
        </row>
        <row r="1061">
          <cell r="H1061">
            <v>350000</v>
          </cell>
        </row>
        <row r="1062">
          <cell r="H1062">
            <v>350000</v>
          </cell>
        </row>
        <row r="1063">
          <cell r="H1063">
            <v>447273</v>
          </cell>
        </row>
        <row r="1064">
          <cell r="H1064">
            <v>350000</v>
          </cell>
        </row>
        <row r="1065">
          <cell r="H1065">
            <v>257118</v>
          </cell>
        </row>
        <row r="1066">
          <cell r="H1066">
            <v>500000</v>
          </cell>
        </row>
        <row r="1067">
          <cell r="H1067">
            <v>11650</v>
          </cell>
        </row>
        <row r="1068">
          <cell r="H1068">
            <v>500000</v>
          </cell>
        </row>
        <row r="1069">
          <cell r="H1069">
            <v>500000</v>
          </cell>
        </row>
        <row r="1070">
          <cell r="H1070">
            <v>500000</v>
          </cell>
        </row>
        <row r="1071">
          <cell r="H1071">
            <v>500000</v>
          </cell>
        </row>
        <row r="1072">
          <cell r="H1072">
            <v>39788</v>
          </cell>
        </row>
        <row r="1073">
          <cell r="H1073">
            <v>143192</v>
          </cell>
        </row>
        <row r="1074">
          <cell r="H1074">
            <v>20570</v>
          </cell>
        </row>
        <row r="1075">
          <cell r="H1075">
            <v>60785</v>
          </cell>
        </row>
        <row r="1076">
          <cell r="H1076">
            <v>92225</v>
          </cell>
        </row>
        <row r="1077">
          <cell r="H1077">
            <v>49878</v>
          </cell>
        </row>
        <row r="1078">
          <cell r="H1078">
            <v>33750</v>
          </cell>
        </row>
        <row r="1079">
          <cell r="H1079">
            <v>54565</v>
          </cell>
        </row>
        <row r="1080">
          <cell r="H1080">
            <v>104781</v>
          </cell>
        </row>
        <row r="1081">
          <cell r="H1081">
            <v>73969</v>
          </cell>
        </row>
        <row r="1082">
          <cell r="H1082">
            <v>14704</v>
          </cell>
        </row>
        <row r="1083">
          <cell r="H1083">
            <v>188288</v>
          </cell>
        </row>
        <row r="1084">
          <cell r="H1084">
            <v>97665</v>
          </cell>
        </row>
        <row r="1085">
          <cell r="H1085">
            <v>111940</v>
          </cell>
        </row>
        <row r="1086">
          <cell r="H1086">
            <v>52846</v>
          </cell>
        </row>
        <row r="1087">
          <cell r="H1087">
            <v>538530</v>
          </cell>
        </row>
        <row r="1088">
          <cell r="H1088">
            <v>1386962</v>
          </cell>
        </row>
        <row r="1089">
          <cell r="H1089">
            <v>1234510</v>
          </cell>
        </row>
        <row r="1090">
          <cell r="H1090">
            <v>902000</v>
          </cell>
        </row>
        <row r="1091">
          <cell r="H1091">
            <v>5848373</v>
          </cell>
        </row>
        <row r="1092">
          <cell r="H1092">
            <v>1249867</v>
          </cell>
        </row>
        <row r="1093">
          <cell r="H1093">
            <v>570381</v>
          </cell>
        </row>
        <row r="1094">
          <cell r="H1094">
            <v>360829</v>
          </cell>
        </row>
        <row r="1095">
          <cell r="H1095">
            <v>4005116</v>
          </cell>
        </row>
        <row r="1096">
          <cell r="H1096">
            <v>5646482</v>
          </cell>
        </row>
        <row r="1097">
          <cell r="H1097">
            <v>52134</v>
          </cell>
        </row>
        <row r="1098">
          <cell r="H1098">
            <v>67175</v>
          </cell>
        </row>
        <row r="1099">
          <cell r="H1099">
            <v>105389</v>
          </cell>
        </row>
        <row r="1100">
          <cell r="H1100">
            <v>488069</v>
          </cell>
        </row>
        <row r="1101">
          <cell r="H1101">
            <v>285248</v>
          </cell>
        </row>
        <row r="1102">
          <cell r="H1102">
            <v>285561</v>
          </cell>
        </row>
        <row r="1103">
          <cell r="H1103">
            <v>188581</v>
          </cell>
        </row>
        <row r="1104">
          <cell r="H1104">
            <v>307483</v>
          </cell>
        </row>
        <row r="1105">
          <cell r="H1105">
            <v>408970</v>
          </cell>
        </row>
        <row r="1106">
          <cell r="H1106">
            <v>507494</v>
          </cell>
        </row>
        <row r="1107">
          <cell r="H1107">
            <v>788710</v>
          </cell>
        </row>
        <row r="1108">
          <cell r="H1108">
            <v>85112</v>
          </cell>
        </row>
        <row r="1109">
          <cell r="H1109">
            <v>308141</v>
          </cell>
        </row>
        <row r="1110">
          <cell r="H1110">
            <v>783881</v>
          </cell>
        </row>
        <row r="1111">
          <cell r="H1111">
            <v>71742</v>
          </cell>
        </row>
        <row r="1112">
          <cell r="H1112">
            <v>749957</v>
          </cell>
        </row>
        <row r="1113">
          <cell r="H1113">
            <v>1005153</v>
          </cell>
        </row>
        <row r="1114">
          <cell r="H1114">
            <v>56002</v>
          </cell>
        </row>
        <row r="1115">
          <cell r="H1115">
            <v>980394</v>
          </cell>
        </row>
        <row r="1116">
          <cell r="H1116">
            <v>867300</v>
          </cell>
        </row>
        <row r="1117">
          <cell r="H1117">
            <v>1734600</v>
          </cell>
        </row>
        <row r="1118">
          <cell r="H1118">
            <v>166229</v>
          </cell>
        </row>
        <row r="1119">
          <cell r="H1119">
            <v>259072</v>
          </cell>
        </row>
        <row r="1120">
          <cell r="H1120">
            <v>26400</v>
          </cell>
        </row>
        <row r="1121">
          <cell r="H1121">
            <v>26400</v>
          </cell>
        </row>
        <row r="1122">
          <cell r="H1122">
            <v>206109</v>
          </cell>
        </row>
        <row r="1123">
          <cell r="H1123">
            <v>205211</v>
          </cell>
        </row>
        <row r="1124">
          <cell r="H1124">
            <v>80069</v>
          </cell>
        </row>
        <row r="1125">
          <cell r="H1125">
            <v>91930</v>
          </cell>
        </row>
        <row r="1126">
          <cell r="H1126">
            <v>75957</v>
          </cell>
        </row>
        <row r="1127">
          <cell r="H1127">
            <v>126834</v>
          </cell>
        </row>
        <row r="1128">
          <cell r="H1128">
            <v>91531</v>
          </cell>
        </row>
        <row r="1129">
          <cell r="H1129">
            <v>93923</v>
          </cell>
        </row>
        <row r="1130">
          <cell r="H1130">
            <v>197536</v>
          </cell>
        </row>
        <row r="1131">
          <cell r="H1131">
            <v>197536</v>
          </cell>
        </row>
        <row r="1132">
          <cell r="H1132">
            <v>880000</v>
          </cell>
        </row>
        <row r="1133">
          <cell r="H1133">
            <v>1760000</v>
          </cell>
        </row>
        <row r="1134">
          <cell r="H1134">
            <v>1320000</v>
          </cell>
        </row>
        <row r="1135">
          <cell r="H1135">
            <v>1320000</v>
          </cell>
        </row>
        <row r="1136">
          <cell r="H1136">
            <v>90000</v>
          </cell>
        </row>
        <row r="1137">
          <cell r="H1137">
            <v>156600</v>
          </cell>
        </row>
        <row r="1138">
          <cell r="H1138">
            <v>140000</v>
          </cell>
        </row>
        <row r="1139">
          <cell r="H1139">
            <v>37000</v>
          </cell>
        </row>
        <row r="1140">
          <cell r="H1140">
            <v>46000</v>
          </cell>
        </row>
        <row r="1141">
          <cell r="H1141">
            <v>50000</v>
          </cell>
        </row>
        <row r="1142">
          <cell r="H1142">
            <v>60000</v>
          </cell>
        </row>
        <row r="1143">
          <cell r="H1143">
            <v>40000</v>
          </cell>
        </row>
        <row r="1144">
          <cell r="H1144">
            <v>80000</v>
          </cell>
        </row>
        <row r="1145">
          <cell r="H1145">
            <v>100000</v>
          </cell>
        </row>
        <row r="1146">
          <cell r="H1146">
            <v>190000</v>
          </cell>
        </row>
        <row r="1147">
          <cell r="H1147">
            <v>120000</v>
          </cell>
        </row>
        <row r="1148">
          <cell r="H1148">
            <v>264000</v>
          </cell>
        </row>
        <row r="1149">
          <cell r="H1149">
            <v>187803</v>
          </cell>
        </row>
        <row r="1150">
          <cell r="H1150">
            <v>179873</v>
          </cell>
        </row>
        <row r="1151">
          <cell r="H1151">
            <v>305885</v>
          </cell>
        </row>
        <row r="1152">
          <cell r="H1152">
            <v>789207</v>
          </cell>
        </row>
        <row r="1153">
          <cell r="H1153">
            <v>26654</v>
          </cell>
        </row>
        <row r="1154">
          <cell r="H1154">
            <v>2000000</v>
          </cell>
        </row>
        <row r="1155">
          <cell r="H1155">
            <v>155213</v>
          </cell>
        </row>
        <row r="1156">
          <cell r="H1156">
            <v>7165</v>
          </cell>
        </row>
        <row r="1157">
          <cell r="H1157">
            <v>1571</v>
          </cell>
        </row>
        <row r="1158">
          <cell r="H1158">
            <v>6940</v>
          </cell>
        </row>
        <row r="1159">
          <cell r="H1159">
            <v>12460</v>
          </cell>
        </row>
        <row r="1160">
          <cell r="H1160">
            <v>3789</v>
          </cell>
        </row>
        <row r="1161">
          <cell r="H1161">
            <v>8635</v>
          </cell>
        </row>
        <row r="1162">
          <cell r="H1162">
            <v>45887</v>
          </cell>
        </row>
        <row r="1163">
          <cell r="H1163">
            <v>1091</v>
          </cell>
        </row>
        <row r="1164">
          <cell r="H1164">
            <v>13568</v>
          </cell>
        </row>
        <row r="1165">
          <cell r="H1165">
            <v>21360</v>
          </cell>
        </row>
        <row r="1166">
          <cell r="H1166">
            <v>19337</v>
          </cell>
        </row>
        <row r="1167">
          <cell r="H1167">
            <v>15924</v>
          </cell>
        </row>
        <row r="1168">
          <cell r="H1168">
            <v>5431</v>
          </cell>
        </row>
        <row r="1169">
          <cell r="H1169">
            <v>33980</v>
          </cell>
        </row>
        <row r="1170">
          <cell r="H1170">
            <v>890</v>
          </cell>
        </row>
        <row r="1171">
          <cell r="H1171">
            <v>18636</v>
          </cell>
        </row>
        <row r="1172">
          <cell r="H1172">
            <v>23620</v>
          </cell>
        </row>
        <row r="1173">
          <cell r="H1173">
            <v>5527</v>
          </cell>
        </row>
        <row r="1174">
          <cell r="H1174">
            <v>54000</v>
          </cell>
        </row>
        <row r="1175">
          <cell r="H1175">
            <v>31373</v>
          </cell>
        </row>
        <row r="1176">
          <cell r="H1176">
            <v>42832</v>
          </cell>
        </row>
        <row r="1177">
          <cell r="H1177">
            <v>39808</v>
          </cell>
        </row>
        <row r="1178">
          <cell r="H1178">
            <v>20114</v>
          </cell>
        </row>
        <row r="1179">
          <cell r="H1179">
            <v>5674</v>
          </cell>
        </row>
        <row r="1180">
          <cell r="H1180">
            <v>360000</v>
          </cell>
        </row>
        <row r="1181">
          <cell r="H1181">
            <v>120822</v>
          </cell>
        </row>
        <row r="1182">
          <cell r="H1182">
            <v>251062</v>
          </cell>
        </row>
        <row r="1183">
          <cell r="H1183">
            <v>14000</v>
          </cell>
        </row>
        <row r="1184">
          <cell r="H1184">
            <v>5923</v>
          </cell>
        </row>
        <row r="1185">
          <cell r="H1185">
            <v>4280</v>
          </cell>
        </row>
        <row r="1186">
          <cell r="H1186">
            <v>11931</v>
          </cell>
        </row>
        <row r="1187">
          <cell r="H1187">
            <v>17994</v>
          </cell>
        </row>
        <row r="1188">
          <cell r="H1188">
            <v>17078</v>
          </cell>
        </row>
        <row r="1189">
          <cell r="H1189">
            <v>3937</v>
          </cell>
        </row>
        <row r="1190">
          <cell r="H1190">
            <v>13186</v>
          </cell>
        </row>
        <row r="1191">
          <cell r="H1191">
            <v>10204</v>
          </cell>
        </row>
        <row r="1192">
          <cell r="H1192">
            <v>50000</v>
          </cell>
        </row>
        <row r="1193">
          <cell r="H1193">
            <v>80000</v>
          </cell>
        </row>
        <row r="1194">
          <cell r="H1194">
            <v>32083</v>
          </cell>
        </row>
        <row r="1195">
          <cell r="H1195">
            <v>5992</v>
          </cell>
        </row>
        <row r="1196">
          <cell r="H1196">
            <v>27344</v>
          </cell>
        </row>
        <row r="1197">
          <cell r="H1197">
            <v>43408</v>
          </cell>
        </row>
        <row r="1198">
          <cell r="H1198">
            <v>969</v>
          </cell>
        </row>
        <row r="1199">
          <cell r="H1199">
            <v>21460</v>
          </cell>
        </row>
        <row r="1200">
          <cell r="H1200">
            <v>3714</v>
          </cell>
        </row>
        <row r="1201">
          <cell r="H1201">
            <v>51356</v>
          </cell>
        </row>
        <row r="1202">
          <cell r="H1202">
            <v>32383</v>
          </cell>
        </row>
        <row r="1203">
          <cell r="H1203">
            <v>15361</v>
          </cell>
        </row>
        <row r="1204">
          <cell r="H1204">
            <v>53811</v>
          </cell>
        </row>
        <row r="1205">
          <cell r="H1205">
            <v>11983</v>
          </cell>
        </row>
        <row r="1206">
          <cell r="H1206">
            <v>47002</v>
          </cell>
        </row>
        <row r="1207">
          <cell r="H1207">
            <v>73414</v>
          </cell>
        </row>
        <row r="1208">
          <cell r="H1208">
            <v>82179</v>
          </cell>
        </row>
        <row r="1209">
          <cell r="H1209">
            <v>71285</v>
          </cell>
        </row>
        <row r="1210">
          <cell r="H1210">
            <v>6650</v>
          </cell>
        </row>
        <row r="1211">
          <cell r="H1211">
            <v>30311</v>
          </cell>
        </row>
        <row r="1212">
          <cell r="H1212">
            <v>75080</v>
          </cell>
        </row>
        <row r="1213">
          <cell r="H1213">
            <v>128876</v>
          </cell>
        </row>
        <row r="1214">
          <cell r="H1214">
            <v>74024</v>
          </cell>
        </row>
        <row r="1215">
          <cell r="H1215">
            <v>69402</v>
          </cell>
        </row>
        <row r="1216">
          <cell r="H1216">
            <v>57429</v>
          </cell>
        </row>
        <row r="1217">
          <cell r="H1217">
            <v>15601</v>
          </cell>
        </row>
        <row r="1218">
          <cell r="H1218">
            <v>64138</v>
          </cell>
        </row>
        <row r="1219">
          <cell r="H1219">
            <v>356197</v>
          </cell>
        </row>
        <row r="1220">
          <cell r="H1220">
            <v>32402</v>
          </cell>
        </row>
        <row r="1221">
          <cell r="H1221">
            <v>23498</v>
          </cell>
        </row>
        <row r="1222">
          <cell r="H1222">
            <v>516</v>
          </cell>
        </row>
        <row r="1223">
          <cell r="H1223">
            <v>100200</v>
          </cell>
        </row>
        <row r="1224">
          <cell r="H1224">
            <v>100283</v>
          </cell>
        </row>
        <row r="1225">
          <cell r="H1225">
            <v>68386</v>
          </cell>
        </row>
        <row r="1226">
          <cell r="H1226">
            <v>48652</v>
          </cell>
        </row>
        <row r="1227">
          <cell r="H1227">
            <v>850</v>
          </cell>
        </row>
        <row r="1228">
          <cell r="H1228">
            <v>56149</v>
          </cell>
        </row>
        <row r="1229">
          <cell r="H1229">
            <v>91683</v>
          </cell>
        </row>
        <row r="1230">
          <cell r="H1230">
            <v>33053</v>
          </cell>
        </row>
        <row r="1231">
          <cell r="H1231">
            <v>17760</v>
          </cell>
        </row>
        <row r="1232">
          <cell r="H1232">
            <v>72227</v>
          </cell>
        </row>
        <row r="1233">
          <cell r="H1233">
            <v>19443</v>
          </cell>
        </row>
        <row r="1234">
          <cell r="H1234">
            <v>43694</v>
          </cell>
        </row>
        <row r="1235">
          <cell r="H1235">
            <v>5558</v>
          </cell>
        </row>
        <row r="1236">
          <cell r="H1236">
            <v>43373</v>
          </cell>
        </row>
        <row r="1237">
          <cell r="H1237">
            <v>81425</v>
          </cell>
        </row>
        <row r="1238">
          <cell r="H1238">
            <v>8000</v>
          </cell>
        </row>
        <row r="1239">
          <cell r="H1239">
            <v>12255</v>
          </cell>
        </row>
        <row r="1240">
          <cell r="H1240">
            <v>10000</v>
          </cell>
        </row>
        <row r="1241">
          <cell r="H1241">
            <v>10000</v>
          </cell>
        </row>
        <row r="1242">
          <cell r="H1242">
            <v>16000</v>
          </cell>
        </row>
        <row r="1243">
          <cell r="H1243">
            <v>4646</v>
          </cell>
        </row>
        <row r="1244">
          <cell r="H1244">
            <v>6000</v>
          </cell>
        </row>
        <row r="1245">
          <cell r="H1245">
            <v>4000</v>
          </cell>
        </row>
        <row r="1246">
          <cell r="H1246">
            <v>10000</v>
          </cell>
        </row>
        <row r="1247">
          <cell r="H1247">
            <v>20000</v>
          </cell>
        </row>
        <row r="1248">
          <cell r="H1248">
            <v>2299</v>
          </cell>
        </row>
        <row r="1249">
          <cell r="H1249">
            <v>2788</v>
          </cell>
        </row>
        <row r="1250">
          <cell r="H1250">
            <v>10000</v>
          </cell>
        </row>
        <row r="1251">
          <cell r="H1251">
            <v>46316</v>
          </cell>
        </row>
        <row r="1252">
          <cell r="H1252">
            <v>26000</v>
          </cell>
        </row>
        <row r="1253">
          <cell r="H1253">
            <v>28000</v>
          </cell>
        </row>
        <row r="1254">
          <cell r="H1254">
            <v>80000</v>
          </cell>
        </row>
        <row r="1255">
          <cell r="H1255">
            <v>40000</v>
          </cell>
        </row>
        <row r="1256">
          <cell r="H1256">
            <v>10000</v>
          </cell>
        </row>
        <row r="1257">
          <cell r="H1257">
            <v>20000</v>
          </cell>
        </row>
        <row r="1258">
          <cell r="H1258">
            <v>3820</v>
          </cell>
        </row>
        <row r="1259">
          <cell r="H1259">
            <v>6312</v>
          </cell>
        </row>
        <row r="1260">
          <cell r="H1260">
            <v>7270</v>
          </cell>
        </row>
        <row r="1261">
          <cell r="H1261">
            <v>66360</v>
          </cell>
        </row>
        <row r="1262">
          <cell r="H1262">
            <v>66405</v>
          </cell>
        </row>
        <row r="1263">
          <cell r="H1263">
            <v>39827</v>
          </cell>
        </row>
        <row r="1264">
          <cell r="H1264">
            <v>56395</v>
          </cell>
        </row>
        <row r="1265">
          <cell r="H1265">
            <v>88411</v>
          </cell>
        </row>
        <row r="1266">
          <cell r="H1266">
            <v>4520</v>
          </cell>
        </row>
        <row r="1267">
          <cell r="H1267">
            <v>18523</v>
          </cell>
        </row>
        <row r="1268">
          <cell r="H1268">
            <v>15733</v>
          </cell>
        </row>
        <row r="1269">
          <cell r="H1269">
            <v>76342</v>
          </cell>
        </row>
        <row r="1270">
          <cell r="H1270">
            <v>105133</v>
          </cell>
        </row>
        <row r="1271">
          <cell r="H1271">
            <v>63983</v>
          </cell>
        </row>
        <row r="1272">
          <cell r="H1272">
            <v>111592</v>
          </cell>
        </row>
        <row r="1273">
          <cell r="H1273">
            <v>7468</v>
          </cell>
        </row>
        <row r="1274">
          <cell r="H1274">
            <v>10589</v>
          </cell>
        </row>
        <row r="1275">
          <cell r="H1275">
            <v>18619</v>
          </cell>
        </row>
        <row r="1276">
          <cell r="H1276">
            <v>63367</v>
          </cell>
        </row>
        <row r="1277">
          <cell r="H1277">
            <v>30000</v>
          </cell>
        </row>
        <row r="1278">
          <cell r="H1278">
            <v>3425</v>
          </cell>
        </row>
        <row r="1279">
          <cell r="H1279">
            <v>60000</v>
          </cell>
        </row>
        <row r="1280">
          <cell r="H1280">
            <v>29153</v>
          </cell>
        </row>
        <row r="1281">
          <cell r="H1281">
            <v>550641</v>
          </cell>
        </row>
        <row r="1282">
          <cell r="H1282">
            <v>425518</v>
          </cell>
        </row>
        <row r="1283">
          <cell r="H1283">
            <v>427800</v>
          </cell>
        </row>
        <row r="1284">
          <cell r="H1284">
            <v>251277</v>
          </cell>
        </row>
        <row r="1285">
          <cell r="H1285">
            <v>170007</v>
          </cell>
        </row>
        <row r="1286">
          <cell r="H1286">
            <v>107565</v>
          </cell>
        </row>
        <row r="1287">
          <cell r="H1287">
            <v>244747</v>
          </cell>
        </row>
        <row r="1288">
          <cell r="H1288">
            <v>386100</v>
          </cell>
        </row>
        <row r="1289">
          <cell r="H1289">
            <v>89046</v>
          </cell>
        </row>
        <row r="1290">
          <cell r="H1290">
            <v>363956</v>
          </cell>
        </row>
        <row r="1291">
          <cell r="H1291">
            <v>401716</v>
          </cell>
        </row>
        <row r="1292">
          <cell r="H1292">
            <v>67742</v>
          </cell>
        </row>
        <row r="1293">
          <cell r="H1293">
            <v>80000</v>
          </cell>
        </row>
        <row r="1294">
          <cell r="H1294">
            <v>5515</v>
          </cell>
        </row>
        <row r="1295">
          <cell r="H1295">
            <v>64000</v>
          </cell>
        </row>
        <row r="1296">
          <cell r="H1296">
            <v>97098</v>
          </cell>
        </row>
        <row r="1297">
          <cell r="H1297">
            <v>123196</v>
          </cell>
        </row>
        <row r="1298">
          <cell r="H1298">
            <v>69824</v>
          </cell>
        </row>
        <row r="1299">
          <cell r="H1299">
            <v>110325</v>
          </cell>
        </row>
        <row r="1300">
          <cell r="H1300">
            <v>192018</v>
          </cell>
        </row>
        <row r="1301">
          <cell r="H1301">
            <v>22352</v>
          </cell>
        </row>
        <row r="1302">
          <cell r="H1302">
            <v>49464</v>
          </cell>
        </row>
        <row r="1303">
          <cell r="H1303">
            <v>42745</v>
          </cell>
        </row>
        <row r="1304">
          <cell r="H1304">
            <v>55714</v>
          </cell>
        </row>
        <row r="1305">
          <cell r="H1305">
            <v>68846</v>
          </cell>
        </row>
        <row r="1306">
          <cell r="H1306">
            <v>19137</v>
          </cell>
        </row>
        <row r="1307">
          <cell r="H1307">
            <v>8297</v>
          </cell>
        </row>
        <row r="1308">
          <cell r="H1308">
            <v>6370</v>
          </cell>
        </row>
        <row r="1309">
          <cell r="H1309">
            <v>48444</v>
          </cell>
        </row>
        <row r="1310">
          <cell r="H1310">
            <v>14180</v>
          </cell>
        </row>
        <row r="1311">
          <cell r="H1311">
            <v>47224</v>
          </cell>
        </row>
        <row r="1312">
          <cell r="H1312">
            <v>41653</v>
          </cell>
        </row>
        <row r="1313">
          <cell r="H1313">
            <v>38197</v>
          </cell>
        </row>
        <row r="1314">
          <cell r="H1314">
            <v>46571</v>
          </cell>
        </row>
        <row r="1315">
          <cell r="H1315">
            <v>49315</v>
          </cell>
        </row>
        <row r="1316">
          <cell r="H1316">
            <v>39850</v>
          </cell>
        </row>
        <row r="1317">
          <cell r="H1317">
            <v>44196</v>
          </cell>
        </row>
        <row r="1318">
          <cell r="H1318">
            <v>61784</v>
          </cell>
        </row>
        <row r="1319">
          <cell r="H1319">
            <v>26248</v>
          </cell>
        </row>
        <row r="1320">
          <cell r="H1320">
            <v>36836</v>
          </cell>
        </row>
        <row r="1321">
          <cell r="H1321">
            <v>35233</v>
          </cell>
        </row>
        <row r="1322">
          <cell r="H1322">
            <v>22716</v>
          </cell>
        </row>
        <row r="1323">
          <cell r="H1323">
            <v>15680</v>
          </cell>
        </row>
        <row r="1324">
          <cell r="H1324">
            <v>18074</v>
          </cell>
        </row>
        <row r="1325">
          <cell r="H1325">
            <v>49025</v>
          </cell>
        </row>
        <row r="1326">
          <cell r="H1326">
            <v>31488</v>
          </cell>
        </row>
        <row r="1327">
          <cell r="H1327">
            <v>45182</v>
          </cell>
        </row>
        <row r="1328">
          <cell r="H1328">
            <v>41391</v>
          </cell>
        </row>
        <row r="1329">
          <cell r="H1329">
            <v>13748</v>
          </cell>
        </row>
        <row r="1330">
          <cell r="H1330">
            <v>67205</v>
          </cell>
        </row>
        <row r="1331">
          <cell r="H1331">
            <v>467</v>
          </cell>
        </row>
        <row r="1332">
          <cell r="H1332">
            <v>22014</v>
          </cell>
        </row>
        <row r="1333">
          <cell r="H1333">
            <v>16802</v>
          </cell>
        </row>
        <row r="1334">
          <cell r="H1334">
            <v>5174</v>
          </cell>
        </row>
        <row r="1335">
          <cell r="H1335">
            <v>9100</v>
          </cell>
        </row>
        <row r="1336">
          <cell r="H1336">
            <v>1791</v>
          </cell>
        </row>
        <row r="1337">
          <cell r="H1337">
            <v>19848</v>
          </cell>
        </row>
        <row r="1338">
          <cell r="H1338">
            <v>74586</v>
          </cell>
        </row>
        <row r="1339">
          <cell r="H1339">
            <v>18625</v>
          </cell>
        </row>
        <row r="1340">
          <cell r="H1340">
            <v>42195</v>
          </cell>
        </row>
        <row r="1341">
          <cell r="H1341">
            <v>21251</v>
          </cell>
        </row>
        <row r="1342">
          <cell r="H1342">
            <v>64470</v>
          </cell>
        </row>
        <row r="1343">
          <cell r="H1343">
            <v>6013</v>
          </cell>
        </row>
        <row r="1344">
          <cell r="H1344">
            <v>57447</v>
          </cell>
        </row>
        <row r="1345">
          <cell r="H1345">
            <v>57255</v>
          </cell>
        </row>
        <row r="1346">
          <cell r="H1346">
            <v>26044</v>
          </cell>
        </row>
        <row r="1347">
          <cell r="H1347">
            <v>42547</v>
          </cell>
        </row>
        <row r="1348">
          <cell r="H1348">
            <v>76684</v>
          </cell>
        </row>
        <row r="1349">
          <cell r="H1349">
            <v>106711</v>
          </cell>
        </row>
        <row r="1350">
          <cell r="H1350">
            <v>10043</v>
          </cell>
        </row>
        <row r="1351">
          <cell r="H1351">
            <v>40983</v>
          </cell>
        </row>
        <row r="1352">
          <cell r="H1352">
            <v>94760</v>
          </cell>
        </row>
        <row r="1353">
          <cell r="H1353">
            <v>32969</v>
          </cell>
        </row>
        <row r="1354">
          <cell r="H1354">
            <v>54349</v>
          </cell>
        </row>
        <row r="1355">
          <cell r="H1355">
            <v>16505</v>
          </cell>
        </row>
        <row r="1356">
          <cell r="H1356">
            <v>27958</v>
          </cell>
        </row>
        <row r="1357">
          <cell r="H1357">
            <v>37867</v>
          </cell>
        </row>
        <row r="1358">
          <cell r="H1358">
            <v>19303</v>
          </cell>
        </row>
        <row r="1359">
          <cell r="H1359">
            <v>14060</v>
          </cell>
        </row>
        <row r="1360">
          <cell r="H1360">
            <v>41651</v>
          </cell>
        </row>
        <row r="1361">
          <cell r="H1361">
            <v>68078</v>
          </cell>
        </row>
        <row r="1362">
          <cell r="H1362">
            <v>29584</v>
          </cell>
        </row>
        <row r="1363">
          <cell r="H1363">
            <v>33914</v>
          </cell>
        </row>
        <row r="1364">
          <cell r="H1364">
            <v>25617</v>
          </cell>
        </row>
        <row r="1365">
          <cell r="H1365">
            <v>8597</v>
          </cell>
        </row>
        <row r="1366">
          <cell r="H1366">
            <v>44105</v>
          </cell>
        </row>
        <row r="1367">
          <cell r="H1367">
            <v>7076</v>
          </cell>
        </row>
        <row r="1368">
          <cell r="H1368">
            <v>49763</v>
          </cell>
        </row>
        <row r="1369">
          <cell r="H1369">
            <v>29079</v>
          </cell>
        </row>
        <row r="1370">
          <cell r="H1370">
            <v>11960</v>
          </cell>
        </row>
        <row r="1371">
          <cell r="H1371">
            <v>25410</v>
          </cell>
        </row>
        <row r="1372">
          <cell r="H1372">
            <v>43693</v>
          </cell>
        </row>
        <row r="1373">
          <cell r="H1373">
            <v>43858</v>
          </cell>
        </row>
        <row r="1374">
          <cell r="H1374">
            <v>24441</v>
          </cell>
        </row>
        <row r="1375">
          <cell r="H1375">
            <v>10836</v>
          </cell>
        </row>
        <row r="1376">
          <cell r="H1376">
            <v>51168</v>
          </cell>
        </row>
        <row r="1377">
          <cell r="H1377">
            <v>7748</v>
          </cell>
        </row>
        <row r="1378">
          <cell r="H1378">
            <v>42373</v>
          </cell>
        </row>
        <row r="1379">
          <cell r="H1379">
            <v>31647</v>
          </cell>
        </row>
        <row r="1380">
          <cell r="H1380">
            <v>49788</v>
          </cell>
        </row>
        <row r="1381">
          <cell r="H1381">
            <v>19466</v>
          </cell>
        </row>
        <row r="1382">
          <cell r="H1382">
            <v>49550</v>
          </cell>
        </row>
        <row r="1383">
          <cell r="H1383">
            <v>35103</v>
          </cell>
        </row>
        <row r="1384">
          <cell r="H1384">
            <v>7420</v>
          </cell>
        </row>
        <row r="1385">
          <cell r="H1385">
            <v>53044</v>
          </cell>
        </row>
        <row r="1386">
          <cell r="H1386">
            <v>21199</v>
          </cell>
        </row>
        <row r="1387">
          <cell r="H1387">
            <v>131472</v>
          </cell>
        </row>
        <row r="1388">
          <cell r="H1388">
            <v>32473</v>
          </cell>
        </row>
        <row r="1389">
          <cell r="H1389">
            <v>58107</v>
          </cell>
        </row>
        <row r="1390">
          <cell r="H1390">
            <v>194215</v>
          </cell>
        </row>
        <row r="1391">
          <cell r="H1391">
            <v>79272</v>
          </cell>
        </row>
        <row r="1392">
          <cell r="H1392">
            <v>52589</v>
          </cell>
        </row>
        <row r="1393">
          <cell r="H1393">
            <v>10916</v>
          </cell>
        </row>
        <row r="1394">
          <cell r="H1394">
            <v>58389</v>
          </cell>
        </row>
        <row r="1395">
          <cell r="H1395">
            <v>2819</v>
          </cell>
        </row>
        <row r="1396">
          <cell r="H1396">
            <v>10646</v>
          </cell>
        </row>
        <row r="1397">
          <cell r="H1397">
            <v>39885</v>
          </cell>
        </row>
        <row r="1398">
          <cell r="H1398">
            <v>52132</v>
          </cell>
        </row>
        <row r="1399">
          <cell r="H1399">
            <v>41235</v>
          </cell>
        </row>
        <row r="1400">
          <cell r="H1400">
            <v>19002</v>
          </cell>
        </row>
        <row r="1401">
          <cell r="H1401">
            <v>45323</v>
          </cell>
        </row>
        <row r="1402">
          <cell r="H1402">
            <v>29725</v>
          </cell>
        </row>
        <row r="1403">
          <cell r="H1403">
            <v>10164</v>
          </cell>
        </row>
        <row r="1404">
          <cell r="H1404">
            <v>79827</v>
          </cell>
        </row>
        <row r="1405">
          <cell r="H1405">
            <v>23030</v>
          </cell>
        </row>
        <row r="1406">
          <cell r="H1406">
            <v>1582</v>
          </cell>
        </row>
        <row r="1407">
          <cell r="H1407">
            <v>8113</v>
          </cell>
        </row>
        <row r="1408">
          <cell r="H1408">
            <v>43505</v>
          </cell>
        </row>
        <row r="1409">
          <cell r="H1409">
            <v>1366</v>
          </cell>
        </row>
        <row r="1410">
          <cell r="H1410">
            <v>23839</v>
          </cell>
        </row>
        <row r="1411">
          <cell r="H1411">
            <v>27089</v>
          </cell>
        </row>
        <row r="1412">
          <cell r="H1412">
            <v>1406</v>
          </cell>
        </row>
        <row r="1413">
          <cell r="H1413">
            <v>31947</v>
          </cell>
        </row>
        <row r="1414">
          <cell r="H1414">
            <v>30000</v>
          </cell>
        </row>
        <row r="1415">
          <cell r="H1415">
            <v>37578</v>
          </cell>
        </row>
        <row r="1416">
          <cell r="H1416">
            <v>27547</v>
          </cell>
        </row>
        <row r="1417">
          <cell r="H1417">
            <v>57000</v>
          </cell>
        </row>
        <row r="1418">
          <cell r="H1418">
            <v>36000</v>
          </cell>
        </row>
        <row r="1419">
          <cell r="H1419">
            <v>7200</v>
          </cell>
        </row>
        <row r="1420">
          <cell r="H1420">
            <v>5400</v>
          </cell>
        </row>
        <row r="1421">
          <cell r="H1421">
            <v>65131</v>
          </cell>
        </row>
        <row r="1422">
          <cell r="H1422">
            <v>10</v>
          </cell>
        </row>
        <row r="1423">
          <cell r="H1423">
            <v>42681</v>
          </cell>
        </row>
        <row r="1424">
          <cell r="H1424">
            <v>70479</v>
          </cell>
        </row>
        <row r="1425">
          <cell r="H1425">
            <v>82646</v>
          </cell>
        </row>
        <row r="1426">
          <cell r="H1426">
            <v>2500</v>
          </cell>
        </row>
        <row r="1427">
          <cell r="H1427">
            <v>64542</v>
          </cell>
        </row>
        <row r="1428">
          <cell r="H1428">
            <v>21991</v>
          </cell>
        </row>
        <row r="1429">
          <cell r="H1429">
            <v>13369</v>
          </cell>
        </row>
        <row r="1430">
          <cell r="H1430">
            <v>16509</v>
          </cell>
        </row>
        <row r="1431">
          <cell r="H1431">
            <v>2040</v>
          </cell>
        </row>
        <row r="1432">
          <cell r="H1432">
            <v>20000</v>
          </cell>
        </row>
        <row r="1433">
          <cell r="H1433">
            <v>50000</v>
          </cell>
        </row>
        <row r="1434">
          <cell r="H1434">
            <v>50000</v>
          </cell>
        </row>
        <row r="1435">
          <cell r="H1435">
            <v>40000</v>
          </cell>
        </row>
        <row r="1436">
          <cell r="H1436">
            <v>20000</v>
          </cell>
        </row>
        <row r="1437">
          <cell r="H1437">
            <v>31784</v>
          </cell>
        </row>
        <row r="1438">
          <cell r="H1438">
            <v>34000</v>
          </cell>
        </row>
        <row r="1439">
          <cell r="H1439">
            <v>2758</v>
          </cell>
        </row>
        <row r="1440">
          <cell r="H1440">
            <v>25197</v>
          </cell>
        </row>
        <row r="1441">
          <cell r="H1441">
            <v>39469</v>
          </cell>
        </row>
        <row r="1442">
          <cell r="H1442">
            <v>54004</v>
          </cell>
        </row>
        <row r="1443">
          <cell r="H1443">
            <v>40620</v>
          </cell>
        </row>
        <row r="1444">
          <cell r="H1444">
            <v>77725</v>
          </cell>
        </row>
        <row r="1445">
          <cell r="H1445">
            <v>4204</v>
          </cell>
        </row>
        <row r="1446">
          <cell r="H1446">
            <v>5374</v>
          </cell>
        </row>
        <row r="1447">
          <cell r="H1447">
            <v>7151</v>
          </cell>
        </row>
        <row r="1448">
          <cell r="H1448">
            <v>10577</v>
          </cell>
        </row>
        <row r="1449">
          <cell r="H1449">
            <v>19084</v>
          </cell>
        </row>
        <row r="1450">
          <cell r="H1450">
            <v>44433</v>
          </cell>
        </row>
        <row r="1451">
          <cell r="H1451">
            <v>26637</v>
          </cell>
        </row>
        <row r="1452">
          <cell r="H1452">
            <v>10941</v>
          </cell>
        </row>
        <row r="1453">
          <cell r="H1453">
            <v>25563</v>
          </cell>
        </row>
        <row r="1454">
          <cell r="H1454">
            <v>10280</v>
          </cell>
        </row>
        <row r="1455">
          <cell r="H1455">
            <v>30967</v>
          </cell>
        </row>
        <row r="1456">
          <cell r="H1456">
            <v>29743</v>
          </cell>
        </row>
        <row r="1457">
          <cell r="H1457">
            <v>3277</v>
          </cell>
        </row>
        <row r="1458">
          <cell r="H1458">
            <v>41000</v>
          </cell>
        </row>
        <row r="1459">
          <cell r="H1459">
            <v>9295</v>
          </cell>
        </row>
        <row r="1460">
          <cell r="H1460">
            <v>22486</v>
          </cell>
        </row>
        <row r="1461">
          <cell r="H1461">
            <v>13435</v>
          </cell>
        </row>
        <row r="1462">
          <cell r="H1462">
            <v>1601</v>
          </cell>
        </row>
        <row r="1463">
          <cell r="H1463">
            <v>26965</v>
          </cell>
        </row>
        <row r="1464">
          <cell r="H1464">
            <v>30684</v>
          </cell>
        </row>
        <row r="1465">
          <cell r="H1465">
            <v>16043</v>
          </cell>
        </row>
        <row r="1466">
          <cell r="H1466">
            <v>140415</v>
          </cell>
        </row>
        <row r="1467">
          <cell r="H1467">
            <v>88339</v>
          </cell>
        </row>
        <row r="1468">
          <cell r="H1468">
            <v>144850</v>
          </cell>
        </row>
        <row r="1469">
          <cell r="H1469">
            <v>64428</v>
          </cell>
        </row>
        <row r="1470">
          <cell r="H1470">
            <v>12000</v>
          </cell>
        </row>
        <row r="1471">
          <cell r="H1471">
            <v>53433</v>
          </cell>
        </row>
        <row r="1472">
          <cell r="H1472">
            <v>60872</v>
          </cell>
        </row>
        <row r="1473">
          <cell r="H1473">
            <v>6764</v>
          </cell>
        </row>
        <row r="1474">
          <cell r="H1474">
            <v>6412</v>
          </cell>
        </row>
        <row r="1475">
          <cell r="H1475">
            <v>14004</v>
          </cell>
        </row>
        <row r="1476">
          <cell r="H1476">
            <v>1175</v>
          </cell>
        </row>
        <row r="1477">
          <cell r="H1477">
            <v>3303</v>
          </cell>
        </row>
        <row r="1478">
          <cell r="H1478">
            <v>62979</v>
          </cell>
        </row>
        <row r="1479">
          <cell r="H1479">
            <v>136371</v>
          </cell>
        </row>
        <row r="1480">
          <cell r="H1480">
            <v>48840</v>
          </cell>
        </row>
        <row r="1481">
          <cell r="H1481">
            <v>8575</v>
          </cell>
        </row>
        <row r="1482">
          <cell r="H1482">
            <v>36236</v>
          </cell>
        </row>
        <row r="1483">
          <cell r="H1483">
            <v>63241</v>
          </cell>
        </row>
        <row r="1484">
          <cell r="H1484">
            <v>89737</v>
          </cell>
        </row>
        <row r="1485">
          <cell r="H1485">
            <v>25151</v>
          </cell>
        </row>
        <row r="1486">
          <cell r="H1486">
            <v>310095</v>
          </cell>
        </row>
        <row r="1487">
          <cell r="H1487">
            <v>600000</v>
          </cell>
        </row>
        <row r="1488">
          <cell r="H1488">
            <v>291965</v>
          </cell>
        </row>
        <row r="1489">
          <cell r="H1489">
            <v>676440</v>
          </cell>
        </row>
        <row r="1490">
          <cell r="H1490">
            <v>109333</v>
          </cell>
        </row>
        <row r="1491">
          <cell r="H1491">
            <v>366940</v>
          </cell>
        </row>
        <row r="1492">
          <cell r="H1492">
            <v>500026</v>
          </cell>
        </row>
        <row r="1493">
          <cell r="H1493">
            <v>128630</v>
          </cell>
        </row>
        <row r="1494">
          <cell r="H1494">
            <v>434208</v>
          </cell>
        </row>
        <row r="1495">
          <cell r="H1495">
            <v>264031</v>
          </cell>
        </row>
        <row r="1496">
          <cell r="H1496">
            <v>23899</v>
          </cell>
        </row>
        <row r="1497">
          <cell r="H1497">
            <v>118000</v>
          </cell>
        </row>
        <row r="1498">
          <cell r="H1498">
            <v>58597</v>
          </cell>
        </row>
        <row r="1499">
          <cell r="H1499">
            <v>296750</v>
          </cell>
        </row>
        <row r="1500">
          <cell r="H1500">
            <v>13252</v>
          </cell>
        </row>
        <row r="1501">
          <cell r="H1501">
            <v>9918</v>
          </cell>
        </row>
        <row r="1502">
          <cell r="H1502">
            <v>192000</v>
          </cell>
        </row>
        <row r="1503">
          <cell r="H1503">
            <v>99276</v>
          </cell>
        </row>
        <row r="1504">
          <cell r="H1504">
            <v>2160</v>
          </cell>
        </row>
        <row r="1505">
          <cell r="H1505">
            <v>178000</v>
          </cell>
        </row>
        <row r="1506">
          <cell r="H1506">
            <v>87933</v>
          </cell>
        </row>
        <row r="1507">
          <cell r="H1507">
            <v>30536</v>
          </cell>
        </row>
        <row r="1508">
          <cell r="H1508">
            <v>1721</v>
          </cell>
        </row>
        <row r="1509">
          <cell r="H1509">
            <v>190124</v>
          </cell>
        </row>
        <row r="1510">
          <cell r="H1510">
            <v>6108</v>
          </cell>
        </row>
        <row r="1511">
          <cell r="H1511">
            <v>52000</v>
          </cell>
        </row>
        <row r="1512">
          <cell r="H1512">
            <v>27981</v>
          </cell>
        </row>
        <row r="1513">
          <cell r="H1513">
            <v>296750</v>
          </cell>
        </row>
        <row r="1514">
          <cell r="H1514">
            <v>48739</v>
          </cell>
        </row>
        <row r="1515">
          <cell r="H1515">
            <v>33174</v>
          </cell>
        </row>
        <row r="1516">
          <cell r="H1516">
            <v>32592</v>
          </cell>
        </row>
        <row r="1517">
          <cell r="H1517">
            <v>35210</v>
          </cell>
        </row>
        <row r="1518">
          <cell r="H1518">
            <v>4688</v>
          </cell>
        </row>
        <row r="1519">
          <cell r="H1519">
            <v>4688</v>
          </cell>
        </row>
        <row r="1520">
          <cell r="H1520">
            <v>4688</v>
          </cell>
        </row>
        <row r="1521">
          <cell r="H1521">
            <v>4688</v>
          </cell>
        </row>
        <row r="1522">
          <cell r="H1522">
            <v>4688</v>
          </cell>
        </row>
        <row r="1523">
          <cell r="H1523">
            <v>4688</v>
          </cell>
        </row>
        <row r="1524">
          <cell r="H1524">
            <v>4688</v>
          </cell>
        </row>
        <row r="1525">
          <cell r="H1525">
            <v>4688</v>
          </cell>
        </row>
        <row r="1526">
          <cell r="H1526">
            <v>4688</v>
          </cell>
        </row>
        <row r="1527">
          <cell r="H1527">
            <v>4688</v>
          </cell>
        </row>
        <row r="1528">
          <cell r="H1528">
            <v>4688</v>
          </cell>
        </row>
        <row r="1529">
          <cell r="H1529">
            <v>4688</v>
          </cell>
        </row>
      </sheetData>
      <sheetData sheetId="31"/>
      <sheetData sheetId="32"/>
      <sheetData sheetId="33">
        <row r="1">
          <cell r="P1">
            <v>285227458</v>
          </cell>
        </row>
        <row r="2">
          <cell r="P2">
            <v>0</v>
          </cell>
        </row>
        <row r="3">
          <cell r="M3">
            <v>284964958</v>
          </cell>
          <cell r="N3">
            <v>284964958</v>
          </cell>
          <cell r="O3">
            <v>262500</v>
          </cell>
          <cell r="P3">
            <v>285227458</v>
          </cell>
          <cell r="Q3">
            <v>284964958</v>
          </cell>
          <cell r="R3">
            <v>0</v>
          </cell>
        </row>
        <row r="4">
          <cell r="M4">
            <v>0</v>
          </cell>
          <cell r="N4">
            <v>0</v>
          </cell>
          <cell r="P4">
            <v>0</v>
          </cell>
          <cell r="Q4">
            <v>0</v>
          </cell>
          <cell r="R4">
            <v>0.3</v>
          </cell>
        </row>
        <row r="5">
          <cell r="M5">
            <v>284964958</v>
          </cell>
          <cell r="P5">
            <v>0</v>
          </cell>
          <cell r="Q5">
            <v>0</v>
          </cell>
          <cell r="R5">
            <v>0</v>
          </cell>
        </row>
        <row r="6">
          <cell r="Q6">
            <v>0</v>
          </cell>
          <cell r="R6">
            <v>0</v>
          </cell>
        </row>
        <row r="7">
          <cell r="Q7">
            <v>0</v>
          </cell>
        </row>
        <row r="8">
          <cell r="Q8">
            <v>0</v>
          </cell>
        </row>
        <row r="9">
          <cell r="O9">
            <v>0</v>
          </cell>
          <cell r="Q9">
            <v>0</v>
          </cell>
          <cell r="R9">
            <v>0</v>
          </cell>
        </row>
        <row r="10">
          <cell r="O10">
            <v>0</v>
          </cell>
          <cell r="Q10">
            <v>0</v>
          </cell>
          <cell r="R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Q11">
            <v>0</v>
          </cell>
          <cell r="R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Q12">
            <v>0</v>
          </cell>
          <cell r="R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Q13">
            <v>0</v>
          </cell>
          <cell r="R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Q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D14">
            <v>0</v>
          </cell>
        </row>
        <row r="15">
          <cell r="Q15">
            <v>0</v>
          </cell>
          <cell r="R15">
            <v>0</v>
          </cell>
          <cell r="V15">
            <v>0</v>
          </cell>
          <cell r="W15">
            <v>0</v>
          </cell>
        </row>
        <row r="16">
          <cell r="Q16">
            <v>0</v>
          </cell>
          <cell r="R16">
            <v>0</v>
          </cell>
        </row>
        <row r="17">
          <cell r="D17">
            <v>85489487</v>
          </cell>
          <cell r="Q17">
            <v>0</v>
          </cell>
          <cell r="R17">
            <v>0</v>
          </cell>
        </row>
        <row r="18">
          <cell r="D18">
            <v>0</v>
          </cell>
          <cell r="Q18">
            <v>0</v>
          </cell>
          <cell r="R18">
            <v>0</v>
          </cell>
        </row>
        <row r="19">
          <cell r="Q19">
            <v>0</v>
          </cell>
          <cell r="R19">
            <v>0</v>
          </cell>
        </row>
        <row r="20">
          <cell r="D20">
            <v>0</v>
          </cell>
        </row>
        <row r="22">
          <cell r="D22">
            <v>4274474</v>
          </cell>
        </row>
        <row r="23">
          <cell r="D23">
            <v>0</v>
          </cell>
        </row>
        <row r="24">
          <cell r="D24">
            <v>4274474</v>
          </cell>
        </row>
        <row r="25">
          <cell r="D25">
            <v>2692919</v>
          </cell>
        </row>
        <row r="26">
          <cell r="D26">
            <v>92456880</v>
          </cell>
        </row>
        <row r="30">
          <cell r="Q30">
            <v>10000000</v>
          </cell>
          <cell r="R30">
            <v>0.1</v>
          </cell>
        </row>
        <row r="47">
          <cell r="M47">
            <v>113985983.2</v>
          </cell>
          <cell r="AJ47">
            <v>0</v>
          </cell>
        </row>
        <row r="48">
          <cell r="M48">
            <v>85489487.399999991</v>
          </cell>
          <cell r="AJ48">
            <v>0</v>
          </cell>
          <cell r="AK48">
            <v>85489487.399999991</v>
          </cell>
        </row>
        <row r="49">
          <cell r="AJ49">
            <v>0</v>
          </cell>
        </row>
        <row r="50">
          <cell r="AJ50">
            <v>0</v>
          </cell>
          <cell r="AK50">
            <v>85489487.399999991</v>
          </cell>
        </row>
        <row r="51">
          <cell r="AJ51">
            <v>0</v>
          </cell>
          <cell r="AK51">
            <v>85489487.399999991</v>
          </cell>
        </row>
        <row r="52">
          <cell r="AK52">
            <v>85489487.399999991</v>
          </cell>
        </row>
      </sheetData>
      <sheetData sheetId="34"/>
      <sheetData sheetId="3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-AY05-06"/>
      <sheetName val="Oth income (2)"/>
      <sheetName val="Computation as per AO (2)"/>
      <sheetName val="Computation as per AO (3)"/>
      <sheetName val="Tax Liability"/>
      <sheetName val="Computation as per AO"/>
      <sheetName val="MAT (AO)"/>
      <sheetName val="Computation AY05-06 (Revised)"/>
      <sheetName val="MAT (Revised)"/>
      <sheetName val="AdjAs per return-80IA (Revised)"/>
      <sheetName val="Oth income"/>
      <sheetName val="Computation AY05-06"/>
      <sheetName val="MAT"/>
      <sheetName val="Adj As per return-80IA"/>
      <sheetName val="units generated and sold"/>
      <sheetName val="Book Profit"/>
      <sheetName val="Support working"/>
      <sheetName val="FA Addidions Summery"/>
      <sheetName val="IT Depn-Supply-GEN"/>
      <sheetName val="IT Other Div"/>
      <sheetName val=" Dep Samalkot"/>
      <sheetName val="Depn Rspl"/>
      <sheetName val="Exchange Fluctuation"/>
      <sheetName val="tax-free-2004-2005"/>
      <sheetName val="Clause 21(i) Corporate"/>
      <sheetName val="Clause21(i) Supply"/>
      <sheetName val="21(i)-Contract"/>
      <sheetName val="Clause 21(i) DTPS"/>
      <sheetName val="21 (i)RSPL"/>
      <sheetName val="Donation"/>
      <sheetName val="BSPL"/>
      <sheetName val="RRT"/>
      <sheetName val="TDS "/>
      <sheetName val="Indian_client"/>
      <sheetName val="Bhutan_Client"/>
      <sheetName val="working other income"/>
      <sheetName val="Revised Tax Free income"/>
      <sheetName val="LOT 1"/>
      <sheetName val="80IA working &amp; Computation TOR-"/>
      <sheetName val="AssetsDataBase"/>
      <sheetName val="Computation AY04-05"/>
      <sheetName val="Computation AY04-05 (Revised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2">
          <cell r="A2" t="str">
            <v>RELIANCE ENERGY LIMITED</v>
          </cell>
        </row>
        <row r="113">
          <cell r="A113" t="str">
            <v>RELIANCE ENERGY LIMITED</v>
          </cell>
        </row>
        <row r="114">
          <cell r="A114" t="str">
            <v xml:space="preserve">SCHEDULES ANNEXED TO AND FORMING PART OF THE ACCOUNTS                            </v>
          </cell>
        </row>
        <row r="117">
          <cell r="A117" t="str">
            <v>SCHEDULE 1 - SHARE CAPITAL</v>
          </cell>
        </row>
        <row r="118">
          <cell r="A118" t="str">
            <v xml:space="preserve"> (a) Authorised -</v>
          </cell>
        </row>
        <row r="119">
          <cell r="A119" t="str">
            <v>25,00,00,000  Equity Shares of Rs.10 each</v>
          </cell>
          <cell r="D119">
            <v>2500000000</v>
          </cell>
        </row>
        <row r="120">
          <cell r="A120" t="str">
            <v xml:space="preserve">       80,00,000 Equity Shares of Rs.10 each with differential rights</v>
          </cell>
          <cell r="D120">
            <v>80000000</v>
          </cell>
        </row>
        <row r="121">
          <cell r="A121" t="str">
            <v xml:space="preserve"> 155,00,00,000 (5,00,00,000)  Cumulative Redeemable </v>
          </cell>
        </row>
        <row r="122">
          <cell r="A122" t="str">
            <v xml:space="preserve">                     Preference Shares of Rs 10 each</v>
          </cell>
          <cell r="D122">
            <v>15500000000</v>
          </cell>
        </row>
        <row r="123">
          <cell r="A123" t="str">
            <v xml:space="preserve"> 4,20,00,000  Unclassified Shares of Rs.10  each</v>
          </cell>
          <cell r="D123">
            <v>420000000</v>
          </cell>
        </row>
        <row r="124">
          <cell r="D124">
            <v>18500000000</v>
          </cell>
        </row>
        <row r="125">
          <cell r="A125" t="str">
            <v xml:space="preserve"> (b) Issued -</v>
          </cell>
        </row>
        <row r="126">
          <cell r="A126" t="str">
            <v xml:space="preserve">       (i ) 15,08,87,630   Equity Shares of Rs.10 each</v>
          </cell>
          <cell r="D126">
            <v>1508876300</v>
          </cell>
        </row>
        <row r="127">
          <cell r="A127" t="str">
            <v xml:space="preserve">       (ii)   4,72,39,706 (4,62,40,697)  Equity Shares of Rs.10 each</v>
          </cell>
        </row>
        <row r="128">
          <cell r="A128" t="str">
            <v xml:space="preserve">                               by way of Global Depository Receipts</v>
          </cell>
          <cell r="D128">
            <v>472397060</v>
          </cell>
        </row>
        <row r="129">
          <cell r="D129">
            <v>1981273360</v>
          </cell>
        </row>
        <row r="130">
          <cell r="A130" t="str">
            <v xml:space="preserve"> (c) Subscribed  -</v>
          </cell>
        </row>
        <row r="131">
          <cell r="A131" t="str">
            <v xml:space="preserve">            18,55,72,799 (17,51,54,713) Equity Shares of Rs.10 each </v>
          </cell>
        </row>
        <row r="132">
          <cell r="A132" t="str">
            <v xml:space="preserve">                                                      fully paid up</v>
          </cell>
          <cell r="D132">
            <v>1855727990</v>
          </cell>
        </row>
        <row r="133">
          <cell r="A133" t="str">
            <v xml:space="preserve">   Add: Forfeited Shares- Amounts Originally paid up</v>
          </cell>
          <cell r="D133">
            <v>354479.25</v>
          </cell>
        </row>
        <row r="136">
          <cell r="D136">
            <v>1856082469.25</v>
          </cell>
        </row>
        <row r="137">
          <cell r="A137" t="str">
            <v xml:space="preserve">    Of the above Equity Shares -</v>
          </cell>
        </row>
        <row r="138">
          <cell r="A138" t="str">
            <v>(i) 1,38,400  Shares were allotted as fully paid up pursuant to a contract</v>
          </cell>
        </row>
        <row r="139">
          <cell r="A139" t="str">
            <v xml:space="preserve">  without payment being received in cash</v>
          </cell>
        </row>
        <row r="141">
          <cell r="A141" t="str">
            <v xml:space="preserve">(ii) 80,96,070  Shares were allotted as fully paid up Bonus Shares by </v>
          </cell>
        </row>
        <row r="142">
          <cell r="A142" t="str">
            <v>capitalisation of Rs.1,70,020 from Share Premium</v>
          </cell>
        </row>
        <row r="143">
          <cell r="A143" t="str">
            <v>Account and Rs.8,07,90,680 from General Reserve</v>
          </cell>
        </row>
        <row r="145">
          <cell r="A145" t="str">
            <v xml:space="preserve">(iii) 8,36,790  Shares were allotted on conversion of 7% </v>
          </cell>
        </row>
        <row r="146">
          <cell r="A146" t="str">
            <v>`B'Class Convertible Debentures</v>
          </cell>
        </row>
        <row r="148">
          <cell r="A148" t="str">
            <v xml:space="preserve">(iv)      56,100 Shares were allotted on conversion of 8.5% </v>
          </cell>
        </row>
        <row r="149">
          <cell r="A149" t="str">
            <v>`F'Class Convertible Debentures</v>
          </cell>
        </row>
        <row r="151">
          <cell r="A151" t="str">
            <v xml:space="preserve">(v)  4,59,92,760  Shares were allotted on conversion of 12.5% </v>
          </cell>
        </row>
        <row r="152">
          <cell r="A152" t="str">
            <v>Fully Convertible Debentures</v>
          </cell>
        </row>
        <row r="154">
          <cell r="A154" t="str">
            <v xml:space="preserve">(vi)  5,39,87,736  Shares were allotted on conversion of 15% </v>
          </cell>
        </row>
        <row r="155">
          <cell r="A155" t="str">
            <v xml:space="preserve"> Fully Convertible Debentures</v>
          </cell>
        </row>
        <row r="157">
          <cell r="A157" t="str">
            <v>(vii)  2,60,41,650  Shares were issued by way of Global Depository</v>
          </cell>
        </row>
        <row r="158">
          <cell r="A158" t="str">
            <v xml:space="preserve"> Receipts (GDR) through an international offering in  U.S.Dollars.</v>
          </cell>
        </row>
        <row r="159">
          <cell r="A159" t="str">
            <v xml:space="preserve"> [Out of which outstanding GDRs as at 31st March,2005 - 8,28,952 (8,28,952)]</v>
          </cell>
        </row>
        <row r="655">
          <cell r="A655" t="str">
            <v>RELIANCE ENERGY LIMITED</v>
          </cell>
        </row>
        <row r="656">
          <cell r="A656" t="str">
            <v xml:space="preserve">SCHEDULES ANNEXED TO AND FORMING PART OF THE ACCOUNTS                            </v>
          </cell>
        </row>
        <row r="659">
          <cell r="A659" t="str">
            <v>SCHEDULE 13 - EXPENDITURE OF EPC, CONTRACTS AND ELASTIMOLD DIVISIONS</v>
          </cell>
        </row>
        <row r="660">
          <cell r="A660" t="str">
            <v>(Other than Common Expenditure)</v>
          </cell>
        </row>
        <row r="661">
          <cell r="A661" t="str">
            <v>Cost of Materials and Sub-contract Charges</v>
          </cell>
          <cell r="D661">
            <v>10862739190.07</v>
          </cell>
        </row>
        <row r="663">
          <cell r="A663" t="str">
            <v>Cost of Elastimold</v>
          </cell>
          <cell r="D663">
            <v>12957933</v>
          </cell>
        </row>
        <row r="665">
          <cell r="A665" t="str">
            <v>Rent</v>
          </cell>
          <cell r="D665">
            <v>15926267.24</v>
          </cell>
        </row>
        <row r="666">
          <cell r="A666" t="str">
            <v>Repairs and Maintenance:</v>
          </cell>
        </row>
        <row r="667">
          <cell r="A667" t="str">
            <v>- Buildings</v>
          </cell>
          <cell r="D667">
            <v>5363222.6399999997</v>
          </cell>
        </row>
        <row r="668">
          <cell r="A668" t="str">
            <v xml:space="preserve">- Plant and Machinery </v>
          </cell>
          <cell r="D668">
            <v>11711088.52</v>
          </cell>
        </row>
        <row r="669">
          <cell r="A669" t="str">
            <v>-Other Assets</v>
          </cell>
          <cell r="D669">
            <v>3963988.48</v>
          </cell>
        </row>
        <row r="671">
          <cell r="A671" t="str">
            <v>Salaries, Wages and Bonus</v>
          </cell>
          <cell r="D671">
            <v>124049735.94</v>
          </cell>
        </row>
        <row r="673">
          <cell r="A673" t="str">
            <v>Contribution to Provident Fund and Other Funds</v>
          </cell>
          <cell r="D673">
            <v>14265147.9</v>
          </cell>
        </row>
        <row r="675">
          <cell r="A675" t="str">
            <v>Contribution To Gratuity Fund</v>
          </cell>
          <cell r="D675">
            <v>14076535.84</v>
          </cell>
        </row>
        <row r="677">
          <cell r="A677" t="str">
            <v>Workmen and Staff Welfare Expenses</v>
          </cell>
          <cell r="D677">
            <v>28789179.879999999</v>
          </cell>
        </row>
        <row r="679">
          <cell r="A679" t="str">
            <v>Insurance</v>
          </cell>
          <cell r="D679">
            <v>40813955.270000003</v>
          </cell>
        </row>
        <row r="681">
          <cell r="A681" t="str">
            <v>Rates and Taxes</v>
          </cell>
          <cell r="D681">
            <v>56160235.869999997</v>
          </cell>
        </row>
        <row r="683">
          <cell r="A683" t="str">
            <v xml:space="preserve">Miscellaneous Expenses </v>
          </cell>
          <cell r="D683">
            <v>329244578.82999998</v>
          </cell>
        </row>
        <row r="684">
          <cell r="A684" t="str">
            <v>[Includes Exchange Fluctuation Profit/(Loss) Rs.0.22 lacs (Rs.1.05 crore)]</v>
          </cell>
        </row>
        <row r="685">
          <cell r="A685" t="str">
            <v>Legal and Professional Charges</v>
          </cell>
          <cell r="D685">
            <v>554105</v>
          </cell>
        </row>
        <row r="687">
          <cell r="A687" t="str">
            <v>Loss on sale of assets</v>
          </cell>
          <cell r="D687">
            <v>681995.51</v>
          </cell>
        </row>
        <row r="689">
          <cell r="A689" t="str">
            <v>Bad Debts</v>
          </cell>
          <cell r="D689">
            <v>860216.46</v>
          </cell>
        </row>
        <row r="691">
          <cell r="A691" t="str">
            <v>Provision for Doubtful Debts</v>
          </cell>
          <cell r="D691">
            <v>123311620.01000001</v>
          </cell>
        </row>
        <row r="692">
          <cell r="D692">
            <v>11645468996.459999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 &amp; L"/>
      <sheetName val="BS SCH"/>
      <sheetName val="PL SCH"/>
      <sheetName val="F Asset"/>
      <sheetName val="TB"/>
      <sheetName val="abstract"/>
      <sheetName val="Point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F Area"/>
      <sheetName val="Transfer_Valuation (2)"/>
      <sheetName val="DOT_Summary"/>
      <sheetName val="Assumptions"/>
      <sheetName val="Workings Case (A)"/>
      <sheetName val="Working case (B)"/>
      <sheetName val="__FDSCACHE__"/>
      <sheetName val="Debt Sch"/>
      <sheetName val="Q_BS"/>
      <sheetName val="M_BS"/>
      <sheetName val="Q_PL"/>
      <sheetName val="M_PL"/>
      <sheetName val="Q_CF"/>
      <sheetName val="M_CF"/>
      <sheetName val="Land Lease Payments"/>
      <sheetName val="Deferred Tax "/>
      <sheetName val="Depreciation"/>
      <sheetName val="Tenant Data"/>
      <sheetName val="W Block"/>
      <sheetName val="Hyderabad"/>
      <sheetName val="Silokhera"/>
      <sheetName val="Chennai"/>
      <sheetName val="Rental Guarantee and Transf Chg"/>
      <sheetName val="Asset_Assump"/>
      <sheetName val="Asset_ Prj Data"/>
      <sheetName val="Asset Buildout"/>
      <sheetName val="Transfer_Project"/>
      <sheetName val="Transfer_Valuation"/>
      <sheetName val="SIEL-Delhi "/>
      <sheetName val="Infocity Chennai"/>
      <sheetName val="DAL Company DCF"/>
      <sheetName val="BS Adjustments"/>
      <sheetName val="CC Memo Output Page"/>
      <sheetName val="Cheat Sheet for Cornerstone"/>
      <sheetName val="Implied Yield"/>
      <sheetName val="S&amp;U CPres"/>
      <sheetName val="BS CPres"/>
      <sheetName val="NPI CPres"/>
      <sheetName val="P&amp;L CPres"/>
      <sheetName val="Sheet1"/>
      <sheetName val="Transfer_Project (2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  <sheetName val="A 3.7"/>
      <sheetName val="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F Area"/>
      <sheetName val="Transfer_Valuation (2)"/>
      <sheetName val="DOT_Summary"/>
      <sheetName val="Assumptions"/>
      <sheetName val="Workings Case (A)"/>
      <sheetName val="Working case (B)"/>
      <sheetName val="__FDSCACHE__"/>
      <sheetName val="Debt Sch"/>
      <sheetName val="Q_BS"/>
      <sheetName val="M_BS"/>
      <sheetName val="Q_PL"/>
      <sheetName val="M_PL"/>
      <sheetName val="Q_CF"/>
      <sheetName val="M_CF"/>
      <sheetName val="Land Lease Payments"/>
      <sheetName val="Deferred Tax "/>
      <sheetName val="Depreciation"/>
      <sheetName val="Tenant Data"/>
      <sheetName val="W Block"/>
      <sheetName val="Hyderabad"/>
      <sheetName val="Silokhera"/>
      <sheetName val="Chennai"/>
      <sheetName val="Rental Guarantee and Transf Chg"/>
      <sheetName val="Asset_Assump"/>
      <sheetName val="Asset_ Prj Data"/>
      <sheetName val="Asset Buildout"/>
      <sheetName val="Transfer_Project"/>
      <sheetName val="Transfer_Valuation"/>
      <sheetName val="SIEL-Delhi "/>
      <sheetName val="Infocity Chennai"/>
      <sheetName val="DAL Company DCF"/>
      <sheetName val="BS Adjustments"/>
      <sheetName val="CC Memo Output Page"/>
      <sheetName val="Cheat Sheet for Cornerstone"/>
      <sheetName val="Implied Yield"/>
      <sheetName val="S&amp;U CPres"/>
      <sheetName val="BS CPres"/>
      <sheetName val="NPI CPres"/>
      <sheetName val="P&amp;L CPres"/>
      <sheetName val="Sheet1"/>
      <sheetName val="Transfer_Project (2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99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U3 - 1"/>
      <sheetName val="U3 - 2"/>
      <sheetName val="U3 -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2000-2001"/>
    </sheetNames>
    <sheetDataSet>
      <sheetData sheetId="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trial (2)"/>
      <sheetName val="Bechem return FY99-2000"/>
    </sheetNames>
    <sheetDataSet>
      <sheetData sheetId="0">
        <row r="10">
          <cell r="A10" t="str">
            <v>STATEMENT OF COMPUTATION OF TOTAL INCOME AND TAX LIABILITY FOR THE PREVIOUS YEAR ENDED MARCH 31, 2000</v>
          </cell>
        </row>
        <row r="12">
          <cell r="A12" t="str">
            <v>PARTICULARS</v>
          </cell>
        </row>
        <row r="14">
          <cell r="A14" t="str">
            <v>TAXABLE INCOME AS PER THE INCOME-TAX ACT, 1961 ("ACT")  ("A")</v>
          </cell>
          <cell r="B14" t="str">
            <v>(ANNEXURE 1)</v>
          </cell>
        </row>
        <row r="16">
          <cell r="A16" t="str">
            <v>30% OF THE BOOK PROFITS AS PER SECTION 115JA  OF THE ACT ("B")</v>
          </cell>
          <cell r="B16" t="str">
            <v>(ANNEXURE 2)</v>
          </cell>
        </row>
        <row r="18">
          <cell r="A18" t="str">
            <v>TAXABLE INCOME</v>
          </cell>
          <cell r="B18" t="str">
            <v>(HIGHER OF (A) AND (B))</v>
          </cell>
        </row>
        <row r="20">
          <cell r="A20" t="str">
            <v>TAXABLE INCOME (ROUNDED OFF)</v>
          </cell>
        </row>
        <row r="22">
          <cell r="A22" t="str">
            <v>TOTAL TAX PAYABLE</v>
          </cell>
        </row>
        <row r="24">
          <cell r="A24" t="str">
            <v>LESS:  ADVANCE TAX PAID</v>
          </cell>
        </row>
        <row r="26">
          <cell r="A26" t="str">
            <v xml:space="preserve">LESS:   SELF ASSESSMENT TAX PAID </v>
          </cell>
        </row>
        <row r="28">
          <cell r="A28" t="str">
            <v>BALANCE TAX PAYABLE/(REFUND DUE)</v>
          </cell>
        </row>
        <row r="32">
          <cell r="I32" t="str">
            <v>Date</v>
          </cell>
          <cell r="J32" t="str">
            <v>Instalment</v>
          </cell>
          <cell r="K32" t="str">
            <v>Cumulative tax payable</v>
          </cell>
          <cell r="L32" t="str">
            <v>Cumulative tax paid</v>
          </cell>
          <cell r="M32" t="str">
            <v>Shortfall</v>
          </cell>
          <cell r="N32" t="str">
            <v>Interest</v>
          </cell>
        </row>
        <row r="34">
          <cell r="I34">
            <v>36326</v>
          </cell>
          <cell r="J34">
            <v>0.15</v>
          </cell>
          <cell r="K34">
            <v>35833</v>
          </cell>
          <cell r="L34">
            <v>0</v>
          </cell>
          <cell r="M34">
            <v>35800</v>
          </cell>
          <cell r="N34">
            <v>1611</v>
          </cell>
        </row>
        <row r="36">
          <cell r="I36">
            <v>36418</v>
          </cell>
          <cell r="J36">
            <v>0.45</v>
          </cell>
          <cell r="K36">
            <v>107500</v>
          </cell>
          <cell r="L36">
            <v>105000</v>
          </cell>
          <cell r="M36">
            <v>2500</v>
          </cell>
          <cell r="N36">
            <v>113</v>
          </cell>
        </row>
        <row r="38">
          <cell r="I38">
            <v>36509</v>
          </cell>
          <cell r="J38">
            <v>0.75</v>
          </cell>
          <cell r="K38">
            <v>179167</v>
          </cell>
          <cell r="L38">
            <v>805000</v>
          </cell>
          <cell r="M38">
            <v>0</v>
          </cell>
          <cell r="N38">
            <v>0</v>
          </cell>
        </row>
        <row r="40">
          <cell r="I40">
            <v>36600</v>
          </cell>
          <cell r="J40">
            <v>1</v>
          </cell>
          <cell r="K40">
            <v>238889</v>
          </cell>
          <cell r="L40">
            <v>1165000</v>
          </cell>
          <cell r="M40">
            <v>0</v>
          </cell>
          <cell r="N40">
            <v>0</v>
          </cell>
        </row>
        <row r="42">
          <cell r="I42" t="str">
            <v>Total</v>
          </cell>
          <cell r="J42">
            <v>1</v>
          </cell>
          <cell r="K42">
            <v>561389</v>
          </cell>
          <cell r="L42">
            <v>1165000</v>
          </cell>
          <cell r="N42">
            <v>1724</v>
          </cell>
        </row>
        <row r="45">
          <cell r="I45" t="str">
            <v>TOTAL INTEREST PAYABLE UNDER SECTION 234C OF THE ACT</v>
          </cell>
          <cell r="N45">
            <v>1724</v>
          </cell>
        </row>
      </sheetData>
      <sheetData sheetId="1" refreshError="1"/>
      <sheetData sheetId="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03-06"/>
      <sheetName val="Sheet1"/>
      <sheetName val="TB-12-06"/>
      <sheetName val="Sheet2"/>
      <sheetName val="Sheet3"/>
      <sheetName val="TB_03_06"/>
    </sheetNames>
    <sheetDataSet>
      <sheetData sheetId="0" refreshError="1">
        <row r="7">
          <cell r="A7">
            <v>2100</v>
          </cell>
          <cell r="B7" t="str">
            <v>Goodwill</v>
          </cell>
          <cell r="C7">
            <v>692040.34</v>
          </cell>
          <cell r="D7">
            <v>0</v>
          </cell>
          <cell r="E7">
            <v>0</v>
          </cell>
          <cell r="F7">
            <v>692040.34</v>
          </cell>
        </row>
        <row r="8">
          <cell r="A8">
            <v>2101</v>
          </cell>
          <cell r="B8" t="str">
            <v>Amortization of Goodwill</v>
          </cell>
          <cell r="C8">
            <v>-692040.34</v>
          </cell>
          <cell r="D8">
            <v>0</v>
          </cell>
          <cell r="E8">
            <v>0</v>
          </cell>
          <cell r="G8">
            <v>692040.34</v>
          </cell>
        </row>
        <row r="9">
          <cell r="A9">
            <v>10120</v>
          </cell>
          <cell r="B9" t="str">
            <v>Leashold Land-Bhandup</v>
          </cell>
          <cell r="C9">
            <v>15454815.09</v>
          </cell>
          <cell r="D9">
            <v>0</v>
          </cell>
          <cell r="E9">
            <v>0</v>
          </cell>
          <cell r="F9">
            <v>15454815.09</v>
          </cell>
        </row>
        <row r="10">
          <cell r="A10">
            <v>10310</v>
          </cell>
          <cell r="B10" t="str">
            <v>Land with Factory Buildings-Bhandup</v>
          </cell>
          <cell r="C10">
            <v>26886840.52</v>
          </cell>
          <cell r="D10">
            <v>0</v>
          </cell>
          <cell r="E10">
            <v>0</v>
          </cell>
          <cell r="F10">
            <v>26886840.52</v>
          </cell>
        </row>
        <row r="11">
          <cell r="A11">
            <v>10311</v>
          </cell>
          <cell r="B11" t="str">
            <v>Accum.Depreciation - Bldgs- Factory,Office-BHP</v>
          </cell>
          <cell r="C11">
            <v>-8024095.8700000001</v>
          </cell>
          <cell r="D11">
            <v>0</v>
          </cell>
          <cell r="E11">
            <v>0</v>
          </cell>
          <cell r="G11">
            <v>8024095.8700000001</v>
          </cell>
        </row>
        <row r="12">
          <cell r="A12">
            <v>20210</v>
          </cell>
          <cell r="B12" t="str">
            <v>Apparatus &amp; Machines-Bhandup</v>
          </cell>
          <cell r="C12">
            <v>46220036.289999999</v>
          </cell>
          <cell r="D12">
            <v>0</v>
          </cell>
          <cell r="E12">
            <v>0</v>
          </cell>
          <cell r="F12">
            <v>46220036.289999999</v>
          </cell>
        </row>
        <row r="13">
          <cell r="A13">
            <v>20211</v>
          </cell>
          <cell r="B13" t="str">
            <v>Accum Deprn Machinery &amp; Technical Equipmt-Bhandup</v>
          </cell>
          <cell r="C13">
            <v>-21565188.550000001</v>
          </cell>
          <cell r="D13">
            <v>0</v>
          </cell>
          <cell r="E13">
            <v>0</v>
          </cell>
          <cell r="G13">
            <v>21565188.550000001</v>
          </cell>
        </row>
        <row r="14">
          <cell r="A14">
            <v>30100</v>
          </cell>
          <cell r="B14" t="str">
            <v>Furniture &amp; Fixtures</v>
          </cell>
          <cell r="C14">
            <v>3050</v>
          </cell>
          <cell r="D14">
            <v>9300</v>
          </cell>
          <cell r="E14">
            <v>0</v>
          </cell>
          <cell r="F14">
            <v>12350</v>
          </cell>
        </row>
        <row r="15">
          <cell r="A15">
            <v>30110</v>
          </cell>
          <cell r="B15" t="str">
            <v>Furniture &amp; Fixtures-Bhandup</v>
          </cell>
          <cell r="C15">
            <v>651249.38</v>
          </cell>
          <cell r="D15">
            <v>0</v>
          </cell>
          <cell r="E15">
            <v>0</v>
          </cell>
          <cell r="F15">
            <v>651249.38</v>
          </cell>
        </row>
        <row r="16">
          <cell r="A16">
            <v>30111</v>
          </cell>
          <cell r="B16" t="str">
            <v>Accum Depn-Office Furniture &amp; Fixtures-Bhandup</v>
          </cell>
          <cell r="C16">
            <v>-611208.82999999996</v>
          </cell>
          <cell r="D16">
            <v>0</v>
          </cell>
          <cell r="E16">
            <v>0</v>
          </cell>
          <cell r="G16">
            <v>611208.82999999996</v>
          </cell>
        </row>
        <row r="17">
          <cell r="A17">
            <v>30310</v>
          </cell>
          <cell r="B17" t="str">
            <v>Office , Machines and Equipment-Bhandup</v>
          </cell>
          <cell r="C17">
            <v>172027.09</v>
          </cell>
          <cell r="D17">
            <v>0</v>
          </cell>
          <cell r="E17">
            <v>0</v>
          </cell>
          <cell r="F17">
            <v>172027.09</v>
          </cell>
        </row>
        <row r="18">
          <cell r="A18">
            <v>30311</v>
          </cell>
          <cell r="B18" t="str">
            <v>Accum Deprecn - Office Equipment-Bhandup</v>
          </cell>
          <cell r="C18">
            <v>-120131.1</v>
          </cell>
          <cell r="D18">
            <v>0</v>
          </cell>
          <cell r="E18">
            <v>0</v>
          </cell>
          <cell r="G18">
            <v>120131.1</v>
          </cell>
        </row>
        <row r="19">
          <cell r="A19">
            <v>30510</v>
          </cell>
          <cell r="B19" t="str">
            <v>Vehicles-Bhandup</v>
          </cell>
          <cell r="C19">
            <v>621133</v>
          </cell>
          <cell r="D19">
            <v>0</v>
          </cell>
          <cell r="E19">
            <v>0</v>
          </cell>
          <cell r="F19">
            <v>621133</v>
          </cell>
        </row>
        <row r="20">
          <cell r="A20">
            <v>30511</v>
          </cell>
          <cell r="B20" t="str">
            <v>Accum Depreciation - Motor Vehicles-Bhandup</v>
          </cell>
          <cell r="C20">
            <v>-621133</v>
          </cell>
          <cell r="D20">
            <v>0</v>
          </cell>
          <cell r="E20">
            <v>0</v>
          </cell>
          <cell r="G20">
            <v>621133</v>
          </cell>
        </row>
        <row r="21">
          <cell r="A21">
            <v>40010</v>
          </cell>
          <cell r="B21" t="str">
            <v>Provn for Depreciation - Temporary a/c-Bhandup</v>
          </cell>
          <cell r="C21">
            <v>-3555000</v>
          </cell>
          <cell r="D21">
            <v>0</v>
          </cell>
          <cell r="E21">
            <v>790000</v>
          </cell>
          <cell r="G21">
            <v>4345000</v>
          </cell>
        </row>
        <row r="22">
          <cell r="A22">
            <v>75520</v>
          </cell>
          <cell r="B22" t="str">
            <v>Valuation reserve on bad debts - customers-Bhandup</v>
          </cell>
          <cell r="C22">
            <v>-26350880.079999998</v>
          </cell>
          <cell r="D22">
            <v>0</v>
          </cell>
          <cell r="E22">
            <v>0</v>
          </cell>
          <cell r="G22">
            <v>26350880.079999998</v>
          </cell>
        </row>
        <row r="23">
          <cell r="A23">
            <v>80000</v>
          </cell>
          <cell r="B23" t="str">
            <v>Equity Share Capital</v>
          </cell>
          <cell r="C23">
            <v>-94000000</v>
          </cell>
          <cell r="D23">
            <v>0</v>
          </cell>
          <cell r="E23">
            <v>0</v>
          </cell>
          <cell r="G23">
            <v>94000000</v>
          </cell>
        </row>
        <row r="24">
          <cell r="A24">
            <v>84000</v>
          </cell>
          <cell r="B24" t="str">
            <v>Profit and Loss Account</v>
          </cell>
          <cell r="C24">
            <v>71788763.900000006</v>
          </cell>
          <cell r="D24">
            <v>0</v>
          </cell>
          <cell r="E24">
            <v>0</v>
          </cell>
          <cell r="F24">
            <v>71788763.900000006</v>
          </cell>
        </row>
        <row r="25">
          <cell r="A25">
            <v>92000</v>
          </cell>
          <cell r="B25" t="str">
            <v>Provisions for taxes</v>
          </cell>
          <cell r="C25">
            <v>-1930000</v>
          </cell>
          <cell r="D25">
            <v>0</v>
          </cell>
          <cell r="E25">
            <v>0</v>
          </cell>
          <cell r="G25">
            <v>1930000</v>
          </cell>
        </row>
        <row r="26">
          <cell r="A26">
            <v>94511</v>
          </cell>
          <cell r="B26" t="str">
            <v>Provision for Bonus-Bhandup</v>
          </cell>
          <cell r="C26">
            <v>0</v>
          </cell>
          <cell r="D26">
            <v>190000</v>
          </cell>
          <cell r="E26">
            <v>190000</v>
          </cell>
          <cell r="F26">
            <v>0</v>
          </cell>
        </row>
        <row r="27">
          <cell r="A27">
            <v>94611</v>
          </cell>
          <cell r="B27" t="str">
            <v>Accrual a/c-Bonus Calculated Current Year-Bhandup</v>
          </cell>
          <cell r="C27">
            <v>-404000</v>
          </cell>
          <cell r="D27">
            <v>442000</v>
          </cell>
          <cell r="E27">
            <v>38000</v>
          </cell>
          <cell r="F27">
            <v>0</v>
          </cell>
        </row>
        <row r="28">
          <cell r="A28">
            <v>94621</v>
          </cell>
          <cell r="B28" t="str">
            <v>Accrual Account - LTA - Current Year-Bhandup</v>
          </cell>
          <cell r="C28">
            <v>-431294</v>
          </cell>
          <cell r="D28">
            <v>527094</v>
          </cell>
          <cell r="E28">
            <v>146300</v>
          </cell>
          <cell r="G28">
            <v>50500</v>
          </cell>
        </row>
        <row r="29">
          <cell r="A29">
            <v>94631</v>
          </cell>
          <cell r="B29" t="str">
            <v>Accrual A/C-Superannuation - Current Year-Bhandup</v>
          </cell>
          <cell r="C29">
            <v>0</v>
          </cell>
          <cell r="D29">
            <v>146341</v>
          </cell>
          <cell r="E29">
            <v>146341</v>
          </cell>
          <cell r="F29">
            <v>0</v>
          </cell>
        </row>
        <row r="30">
          <cell r="A30">
            <v>94651</v>
          </cell>
          <cell r="B30" t="str">
            <v>Accrual Account - LTA - Prior Year-Bhandup</v>
          </cell>
          <cell r="C30">
            <v>84223.2</v>
          </cell>
          <cell r="D30">
            <v>392591.79</v>
          </cell>
          <cell r="E30">
            <v>678814.99</v>
          </cell>
          <cell r="G30">
            <v>202000</v>
          </cell>
        </row>
        <row r="31">
          <cell r="A31">
            <v>94671</v>
          </cell>
          <cell r="B31" t="str">
            <v>Clearing A/C- Salaries &amp; Wages - Unpaid-Bhandup</v>
          </cell>
          <cell r="C31">
            <v>0</v>
          </cell>
          <cell r="D31">
            <v>0</v>
          </cell>
          <cell r="E31">
            <v>207861</v>
          </cell>
          <cell r="G31">
            <v>207861</v>
          </cell>
        </row>
        <row r="32">
          <cell r="A32">
            <v>94690</v>
          </cell>
          <cell r="B32" t="str">
            <v>Accrual Account - Others - MOG</v>
          </cell>
          <cell r="C32">
            <v>-3538189</v>
          </cell>
          <cell r="D32">
            <v>3841475.86</v>
          </cell>
          <cell r="E32">
            <v>2150371.86</v>
          </cell>
          <cell r="G32">
            <v>1847085</v>
          </cell>
        </row>
        <row r="33">
          <cell r="A33">
            <v>94741</v>
          </cell>
          <cell r="B33" t="str">
            <v>Accrual Account - Medical- Current Year-Bhandup</v>
          </cell>
          <cell r="C33">
            <v>-23733.86</v>
          </cell>
          <cell r="D33">
            <v>108124.13</v>
          </cell>
          <cell r="E33">
            <v>116640.27</v>
          </cell>
          <cell r="G33">
            <v>32250</v>
          </cell>
        </row>
        <row r="34">
          <cell r="A34">
            <v>94801</v>
          </cell>
          <cell r="B34" t="str">
            <v>Accrual Account - Services</v>
          </cell>
          <cell r="C34">
            <v>-992527.91</v>
          </cell>
          <cell r="D34">
            <v>0</v>
          </cell>
          <cell r="E34">
            <v>0</v>
          </cell>
          <cell r="G34">
            <v>992527.91</v>
          </cell>
        </row>
        <row r="35">
          <cell r="A35">
            <v>94814</v>
          </cell>
          <cell r="B35" t="str">
            <v>Accrual Account -  Sundry Material</v>
          </cell>
          <cell r="C35">
            <v>-1485182</v>
          </cell>
          <cell r="D35">
            <v>0</v>
          </cell>
          <cell r="E35">
            <v>0</v>
          </cell>
          <cell r="G35">
            <v>1485182</v>
          </cell>
        </row>
        <row r="36">
          <cell r="A36">
            <v>94861</v>
          </cell>
          <cell r="B36" t="str">
            <v>Accrual Account - Services-Bhandup</v>
          </cell>
          <cell r="C36">
            <v>-3060538.18</v>
          </cell>
          <cell r="D36">
            <v>2202750</v>
          </cell>
          <cell r="E36">
            <v>2743566.82</v>
          </cell>
          <cell r="G36">
            <v>3601355</v>
          </cell>
        </row>
        <row r="37">
          <cell r="A37">
            <v>94870</v>
          </cell>
          <cell r="B37" t="str">
            <v>Accrual A/c - Sourcing</v>
          </cell>
          <cell r="C37">
            <v>-2719714.78</v>
          </cell>
          <cell r="D37">
            <v>0</v>
          </cell>
          <cell r="E37">
            <v>600000</v>
          </cell>
          <cell r="G37">
            <v>3319714.78</v>
          </cell>
        </row>
        <row r="38">
          <cell r="A38">
            <v>98100</v>
          </cell>
          <cell r="B38" t="str">
            <v>Prepaid expenses - Not chargeable to C.Y.-Bhandup</v>
          </cell>
          <cell r="C38">
            <v>51037</v>
          </cell>
          <cell r="D38">
            <v>0</v>
          </cell>
          <cell r="E38">
            <v>0</v>
          </cell>
          <cell r="F38">
            <v>51037</v>
          </cell>
        </row>
        <row r="39">
          <cell r="A39">
            <v>98130</v>
          </cell>
          <cell r="B39" t="str">
            <v>Prepaid expenses - Other Insurance Exps-Bhandup</v>
          </cell>
          <cell r="C39">
            <v>31721</v>
          </cell>
          <cell r="D39">
            <v>0</v>
          </cell>
          <cell r="E39">
            <v>31721</v>
          </cell>
          <cell r="F39">
            <v>0</v>
          </cell>
        </row>
        <row r="40">
          <cell r="A40">
            <v>98140</v>
          </cell>
          <cell r="B40" t="str">
            <v>Prepaid expenses- Others chargeable to C.Y-Bhandup</v>
          </cell>
          <cell r="C40">
            <v>39914.5</v>
          </cell>
          <cell r="D40">
            <v>23167</v>
          </cell>
          <cell r="E40">
            <v>63081.5</v>
          </cell>
          <cell r="F40">
            <v>0</v>
          </cell>
        </row>
        <row r="41">
          <cell r="A41">
            <v>101000</v>
          </cell>
          <cell r="B41" t="str">
            <v>Petty Cash Imprest - Bhandup Factory</v>
          </cell>
          <cell r="C41">
            <v>12042.2</v>
          </cell>
          <cell r="D41">
            <v>1046096</v>
          </cell>
          <cell r="E41">
            <v>983426.2</v>
          </cell>
          <cell r="F41">
            <v>74712</v>
          </cell>
        </row>
        <row r="42">
          <cell r="A42">
            <v>101400</v>
          </cell>
          <cell r="B42" t="str">
            <v>Petty Cash Imprest - Bhandup Branches</v>
          </cell>
          <cell r="C42">
            <v>46500</v>
          </cell>
          <cell r="D42">
            <v>0</v>
          </cell>
          <cell r="E42">
            <v>4000</v>
          </cell>
          <cell r="F42">
            <v>42500</v>
          </cell>
        </row>
        <row r="43">
          <cell r="A43">
            <v>110701</v>
          </cell>
          <cell r="B43" t="str">
            <v>DB - STDeposit Account</v>
          </cell>
          <cell r="C43">
            <v>12582068</v>
          </cell>
          <cell r="D43">
            <v>9000000</v>
          </cell>
          <cell r="E43">
            <v>17582068</v>
          </cell>
          <cell r="F43">
            <v>4000000</v>
          </cell>
        </row>
        <row r="44">
          <cell r="A44">
            <v>112530</v>
          </cell>
          <cell r="B44" t="str">
            <v>HSBC - MUMBAI INR</v>
          </cell>
          <cell r="C44">
            <v>1225173.6499999999</v>
          </cell>
          <cell r="D44">
            <v>0</v>
          </cell>
          <cell r="E44">
            <v>0</v>
          </cell>
          <cell r="F44">
            <v>1225173.6499999999</v>
          </cell>
        </row>
        <row r="45">
          <cell r="A45">
            <v>112540</v>
          </cell>
          <cell r="B45" t="str">
            <v>CITI Bank INR Mumbai</v>
          </cell>
          <cell r="C45">
            <v>71494.36</v>
          </cell>
          <cell r="D45">
            <v>0</v>
          </cell>
          <cell r="E45">
            <v>0</v>
          </cell>
          <cell r="F45">
            <v>71494.36</v>
          </cell>
        </row>
        <row r="46">
          <cell r="A46">
            <v>112600</v>
          </cell>
          <cell r="B46" t="str">
            <v>BANK OF MAHARASHTRA - BHANDUP INR CENTRAL EXCISE</v>
          </cell>
          <cell r="C46">
            <v>8491.64</v>
          </cell>
          <cell r="D46">
            <v>0</v>
          </cell>
          <cell r="E46">
            <v>0</v>
          </cell>
          <cell r="F46">
            <v>8491.64</v>
          </cell>
        </row>
        <row r="47">
          <cell r="A47">
            <v>112610</v>
          </cell>
          <cell r="B47" t="str">
            <v>Deutsche Bank</v>
          </cell>
          <cell r="C47">
            <v>8579912.6600000001</v>
          </cell>
          <cell r="D47">
            <v>35867170.009999998</v>
          </cell>
          <cell r="E47">
            <v>40816716.009999998</v>
          </cell>
          <cell r="F47">
            <v>3630366.66</v>
          </cell>
        </row>
        <row r="48">
          <cell r="A48">
            <v>112620</v>
          </cell>
          <cell r="B48" t="str">
            <v>UBI - INR BHANDUP</v>
          </cell>
          <cell r="C48">
            <v>233206.72</v>
          </cell>
          <cell r="D48">
            <v>1300000</v>
          </cell>
          <cell r="E48">
            <v>1040670</v>
          </cell>
          <cell r="F48">
            <v>492536.72</v>
          </cell>
        </row>
        <row r="49">
          <cell r="A49">
            <v>112700</v>
          </cell>
          <cell r="B49" t="str">
            <v>UBI - Prabhadevi - Salaries A/c</v>
          </cell>
          <cell r="C49">
            <v>7816.51</v>
          </cell>
          <cell r="D49">
            <v>0</v>
          </cell>
          <cell r="E49">
            <v>0</v>
          </cell>
          <cell r="F49">
            <v>7816.51</v>
          </cell>
        </row>
        <row r="50">
          <cell r="A50">
            <v>112710</v>
          </cell>
          <cell r="B50" t="str">
            <v>BOI - DUTY DEBIT</v>
          </cell>
          <cell r="C50">
            <v>11721</v>
          </cell>
          <cell r="D50">
            <v>0</v>
          </cell>
          <cell r="E50">
            <v>110</v>
          </cell>
          <cell r="F50">
            <v>11611</v>
          </cell>
        </row>
        <row r="51">
          <cell r="A51">
            <v>112720</v>
          </cell>
          <cell r="B51" t="str">
            <v>BOI - Mulund Branch</v>
          </cell>
          <cell r="C51">
            <v>8925</v>
          </cell>
          <cell r="D51">
            <v>0</v>
          </cell>
          <cell r="E51">
            <v>390</v>
          </cell>
          <cell r="F51">
            <v>8535</v>
          </cell>
        </row>
        <row r="52">
          <cell r="A52">
            <v>140000</v>
          </cell>
          <cell r="B52" t="str">
            <v>Acc. receivable/domestic/Non Group</v>
          </cell>
          <cell r="C52">
            <v>38558188.880000003</v>
          </cell>
          <cell r="D52">
            <v>7274051.0300000003</v>
          </cell>
          <cell r="E52">
            <v>13522399.939999999</v>
          </cell>
          <cell r="F52">
            <v>32309839.969999999</v>
          </cell>
        </row>
        <row r="53">
          <cell r="A53">
            <v>140200</v>
          </cell>
          <cell r="B53" t="str">
            <v>Acc. receivable/domestic/BASF Group</v>
          </cell>
          <cell r="C53">
            <v>640623.49</v>
          </cell>
          <cell r="D53">
            <v>1121208</v>
          </cell>
          <cell r="E53">
            <v>1465597</v>
          </cell>
          <cell r="F53">
            <v>296234.49</v>
          </cell>
        </row>
        <row r="54">
          <cell r="A54">
            <v>142000</v>
          </cell>
          <cell r="B54" t="str">
            <v>Acc. receivable/foreign/Non Group</v>
          </cell>
          <cell r="C54">
            <v>8131972.2199999997</v>
          </cell>
          <cell r="D54">
            <v>484905.12</v>
          </cell>
          <cell r="E54">
            <v>5383721.1799999997</v>
          </cell>
          <cell r="F54">
            <v>3233156.16</v>
          </cell>
        </row>
        <row r="55">
          <cell r="A55">
            <v>142200</v>
          </cell>
          <cell r="B55" t="str">
            <v>Acc. receivable/foreign/BASF Group</v>
          </cell>
          <cell r="C55">
            <v>1413422.51</v>
          </cell>
          <cell r="D55">
            <v>317453.28999999998</v>
          </cell>
          <cell r="E55">
            <v>318232.86</v>
          </cell>
          <cell r="F55">
            <v>1412642.94</v>
          </cell>
        </row>
        <row r="56">
          <cell r="A56">
            <v>144000</v>
          </cell>
          <cell r="B56" t="str">
            <v>Down Payment to Suppliers</v>
          </cell>
          <cell r="C56">
            <v>21318.03</v>
          </cell>
          <cell r="D56">
            <v>97092</v>
          </cell>
          <cell r="E56">
            <v>84948</v>
          </cell>
          <cell r="F56">
            <v>33462.03</v>
          </cell>
        </row>
        <row r="57">
          <cell r="A57">
            <v>160000</v>
          </cell>
          <cell r="B57" t="str">
            <v>Accounts payable/domestic/Non Group</v>
          </cell>
          <cell r="C57">
            <v>-6126217.7199999997</v>
          </cell>
          <cell r="D57">
            <v>4810746.2699999996</v>
          </cell>
          <cell r="E57">
            <v>3877113.22</v>
          </cell>
          <cell r="G57">
            <v>5192584.67</v>
          </cell>
        </row>
        <row r="58">
          <cell r="A58">
            <v>160200</v>
          </cell>
          <cell r="B58" t="str">
            <v>Accounts payable/domestic/BASF Group</v>
          </cell>
          <cell r="C58">
            <v>-1217316.32</v>
          </cell>
          <cell r="D58">
            <v>123937.51</v>
          </cell>
          <cell r="E58">
            <v>10056</v>
          </cell>
          <cell r="G58">
            <v>1103434.81</v>
          </cell>
        </row>
        <row r="59">
          <cell r="A59">
            <v>162000</v>
          </cell>
          <cell r="B59" t="str">
            <v>Accounts payable/foreign/Non Group</v>
          </cell>
          <cell r="C59">
            <v>-21552.400000000001</v>
          </cell>
          <cell r="D59">
            <v>909951.81</v>
          </cell>
          <cell r="E59">
            <v>1576194.91</v>
          </cell>
          <cell r="G59">
            <v>687795.5</v>
          </cell>
        </row>
        <row r="60">
          <cell r="A60">
            <v>162200</v>
          </cell>
          <cell r="B60" t="str">
            <v>Accounts payable/foreign/BASF Group</v>
          </cell>
          <cell r="C60">
            <v>-278575.61</v>
          </cell>
          <cell r="D60">
            <v>0</v>
          </cell>
          <cell r="E60">
            <v>0</v>
          </cell>
          <cell r="G60">
            <v>278575.61</v>
          </cell>
        </row>
        <row r="61">
          <cell r="A61">
            <v>171571</v>
          </cell>
          <cell r="B61" t="str">
            <v>ED On closing A/L</v>
          </cell>
          <cell r="C61">
            <v>326443.86</v>
          </cell>
          <cell r="D61">
            <v>0</v>
          </cell>
          <cell r="E61">
            <v>0</v>
          </cell>
          <cell r="F61">
            <v>326443.86</v>
          </cell>
        </row>
        <row r="62">
          <cell r="A62">
            <v>171771</v>
          </cell>
          <cell r="B62" t="str">
            <v>Education Cess on A/L stock</v>
          </cell>
          <cell r="C62">
            <v>-6801.48</v>
          </cell>
          <cell r="D62">
            <v>0</v>
          </cell>
          <cell r="E62">
            <v>0</v>
          </cell>
          <cell r="G62">
            <v>6801.48</v>
          </cell>
        </row>
        <row r="63">
          <cell r="A63">
            <v>180000</v>
          </cell>
          <cell r="B63" t="str">
            <v>Other Receivables</v>
          </cell>
          <cell r="C63">
            <v>1762778.79</v>
          </cell>
          <cell r="D63">
            <v>32775</v>
          </cell>
          <cell r="E63">
            <v>32775</v>
          </cell>
          <cell r="F63">
            <v>1762778.79</v>
          </cell>
        </row>
        <row r="64">
          <cell r="A64">
            <v>180010</v>
          </cell>
          <cell r="B64" t="str">
            <v>Other Receivables-Bhandup</v>
          </cell>
          <cell r="C64">
            <v>128410</v>
          </cell>
          <cell r="D64">
            <v>9375</v>
          </cell>
          <cell r="E64">
            <v>9375</v>
          </cell>
          <cell r="F64">
            <v>128410</v>
          </cell>
        </row>
        <row r="65">
          <cell r="A65">
            <v>180088</v>
          </cell>
          <cell r="B65" t="str">
            <v>Other Receivables</v>
          </cell>
          <cell r="C65">
            <v>2343376.2400000002</v>
          </cell>
          <cell r="D65">
            <v>35479.4</v>
          </cell>
          <cell r="E65">
            <v>154582.75</v>
          </cell>
          <cell r="F65">
            <v>2224272.89</v>
          </cell>
        </row>
        <row r="66">
          <cell r="A66">
            <v>180100</v>
          </cell>
          <cell r="B66" t="str">
            <v>Exc Dep-PLA A/c-Bhandup</v>
          </cell>
          <cell r="C66">
            <v>17670.73</v>
          </cell>
          <cell r="D66">
            <v>195000</v>
          </cell>
          <cell r="E66">
            <v>208201.1</v>
          </cell>
          <cell r="F66">
            <v>4469.63</v>
          </cell>
        </row>
        <row r="67">
          <cell r="A67">
            <v>180101</v>
          </cell>
          <cell r="B67" t="str">
            <v>Exc Modvat RG23A-Bhandup</v>
          </cell>
          <cell r="C67">
            <v>243379.04</v>
          </cell>
          <cell r="D67">
            <v>136714.68</v>
          </cell>
          <cell r="E67">
            <v>373054.62</v>
          </cell>
          <cell r="F67">
            <v>7039.1</v>
          </cell>
        </row>
        <row r="68">
          <cell r="A68">
            <v>180102</v>
          </cell>
          <cell r="B68" t="str">
            <v>Excise Modvat RG23C-Bhandup</v>
          </cell>
          <cell r="C68">
            <v>5190.8999999999996</v>
          </cell>
          <cell r="D68">
            <v>0</v>
          </cell>
          <cell r="E68">
            <v>0</v>
          </cell>
          <cell r="F68">
            <v>5190.8999999999996</v>
          </cell>
        </row>
        <row r="69">
          <cell r="A69">
            <v>180104</v>
          </cell>
          <cell r="B69" t="str">
            <v>Excise  RG 23D - Taloja</v>
          </cell>
          <cell r="C69">
            <v>3760.13</v>
          </cell>
          <cell r="D69">
            <v>0</v>
          </cell>
          <cell r="E69">
            <v>0</v>
          </cell>
          <cell r="F69">
            <v>3760.13</v>
          </cell>
        </row>
        <row r="70">
          <cell r="A70">
            <v>180105</v>
          </cell>
          <cell r="B70" t="str">
            <v>Excise  RG 23D - Hindson</v>
          </cell>
          <cell r="C70">
            <v>-2950420.68</v>
          </cell>
          <cell r="D70">
            <v>0</v>
          </cell>
          <cell r="E70">
            <v>80323.69</v>
          </cell>
          <cell r="G70">
            <v>3030744.37</v>
          </cell>
        </row>
        <row r="71">
          <cell r="A71">
            <v>180106</v>
          </cell>
          <cell r="B71" t="str">
            <v>Edu.Cess RG23A-Bhandup</v>
          </cell>
          <cell r="C71">
            <v>8856.31</v>
          </cell>
          <cell r="D71">
            <v>2733.38</v>
          </cell>
          <cell r="E71">
            <v>6470.29</v>
          </cell>
          <cell r="F71">
            <v>5119.3999999999996</v>
          </cell>
        </row>
        <row r="72">
          <cell r="A72">
            <v>180151</v>
          </cell>
          <cell r="B72" t="str">
            <v>Exc Mod RG23A Clg - Bhandup</v>
          </cell>
          <cell r="C72">
            <v>621828.43999999994</v>
          </cell>
          <cell r="D72">
            <v>67411.61</v>
          </cell>
          <cell r="E72">
            <v>83130.009999999995</v>
          </cell>
          <cell r="F72">
            <v>606110.04</v>
          </cell>
        </row>
        <row r="73">
          <cell r="A73">
            <v>180153</v>
          </cell>
          <cell r="B73" t="str">
            <v>CVD Clearing-Bhandup</v>
          </cell>
          <cell r="C73">
            <v>0</v>
          </cell>
          <cell r="D73">
            <v>300924</v>
          </cell>
          <cell r="E73">
            <v>0</v>
          </cell>
          <cell r="F73">
            <v>300924</v>
          </cell>
        </row>
        <row r="74">
          <cell r="A74">
            <v>180154</v>
          </cell>
          <cell r="B74" t="str">
            <v>Excise Duty Payable - Bhandup</v>
          </cell>
          <cell r="C74">
            <v>-304712.78000000003</v>
          </cell>
          <cell r="D74">
            <v>554435.49</v>
          </cell>
          <cell r="E74">
            <v>250126.77</v>
          </cell>
          <cell r="G74">
            <v>404.06</v>
          </cell>
        </row>
        <row r="75">
          <cell r="A75">
            <v>180155</v>
          </cell>
          <cell r="B75" t="str">
            <v>CVD Clg -E.Cess Bhandup</v>
          </cell>
          <cell r="C75">
            <v>16763</v>
          </cell>
          <cell r="D75">
            <v>6018</v>
          </cell>
          <cell r="E75">
            <v>0</v>
          </cell>
          <cell r="F75">
            <v>22781</v>
          </cell>
        </row>
        <row r="76">
          <cell r="A76">
            <v>180604</v>
          </cell>
          <cell r="B76" t="str">
            <v>Excise  RG 23D -Clearing- Taloja</v>
          </cell>
          <cell r="C76">
            <v>-7520.26</v>
          </cell>
          <cell r="D76">
            <v>0</v>
          </cell>
          <cell r="E76">
            <v>0</v>
          </cell>
          <cell r="G76">
            <v>7520.26</v>
          </cell>
        </row>
        <row r="77">
          <cell r="A77">
            <v>180605</v>
          </cell>
          <cell r="B77" t="str">
            <v>Excise  RG 23D -Clearing- HIndson</v>
          </cell>
          <cell r="C77">
            <v>1912046.4</v>
          </cell>
          <cell r="D77">
            <v>19143.36</v>
          </cell>
          <cell r="E77">
            <v>0</v>
          </cell>
          <cell r="F77">
            <v>1931189.76</v>
          </cell>
        </row>
        <row r="78">
          <cell r="A78">
            <v>180606</v>
          </cell>
          <cell r="B78" t="str">
            <v>Edu.Cess Clg. RG23A Clg - Bhandup</v>
          </cell>
          <cell r="C78">
            <v>667.4</v>
          </cell>
          <cell r="D78">
            <v>1348.95</v>
          </cell>
          <cell r="E78">
            <v>1663.32</v>
          </cell>
          <cell r="F78">
            <v>353.03</v>
          </cell>
        </row>
        <row r="79">
          <cell r="A79">
            <v>180754</v>
          </cell>
          <cell r="B79" t="str">
            <v>Excise Duty Payable - Bhandup</v>
          </cell>
          <cell r="C79">
            <v>-6094.29</v>
          </cell>
          <cell r="D79">
            <v>10501.17</v>
          </cell>
          <cell r="E79">
            <v>5002.53</v>
          </cell>
          <cell r="G79">
            <v>595.65</v>
          </cell>
        </row>
        <row r="80">
          <cell r="A80">
            <v>180881</v>
          </cell>
          <cell r="B80" t="str">
            <v>Service Tax - Clg -Bhandup</v>
          </cell>
          <cell r="C80">
            <v>6786.86</v>
          </cell>
          <cell r="D80">
            <v>7685.2</v>
          </cell>
          <cell r="E80">
            <v>12746.86</v>
          </cell>
          <cell r="F80">
            <v>1725.2</v>
          </cell>
        </row>
        <row r="81">
          <cell r="A81">
            <v>180882</v>
          </cell>
          <cell r="B81" t="str">
            <v>Edu. Cess  on Ser Tax - Clg -Bhandup</v>
          </cell>
          <cell r="C81">
            <v>135.5</v>
          </cell>
          <cell r="D81">
            <v>154.24</v>
          </cell>
          <cell r="E81">
            <v>254.5</v>
          </cell>
          <cell r="F81">
            <v>35.24</v>
          </cell>
        </row>
        <row r="82">
          <cell r="A82">
            <v>180891</v>
          </cell>
          <cell r="B82" t="str">
            <v>Service Tax  -Bhandup</v>
          </cell>
          <cell r="C82">
            <v>35140.730000000003</v>
          </cell>
          <cell r="D82">
            <v>30136.080000000002</v>
          </cell>
          <cell r="E82">
            <v>53584.67</v>
          </cell>
          <cell r="F82">
            <v>11692.14</v>
          </cell>
        </row>
        <row r="83">
          <cell r="A83">
            <v>180892</v>
          </cell>
          <cell r="B83" t="str">
            <v>Edu. Cess  on Ser Tax -Bhandup</v>
          </cell>
          <cell r="C83">
            <v>700.4</v>
          </cell>
          <cell r="D83">
            <v>601.39</v>
          </cell>
          <cell r="E83">
            <v>1070.06</v>
          </cell>
          <cell r="F83">
            <v>231.73</v>
          </cell>
        </row>
        <row r="84">
          <cell r="A84">
            <v>180957</v>
          </cell>
          <cell r="B84" t="str">
            <v>Service Tax - Freight Setoff Bhandup</v>
          </cell>
          <cell r="C84">
            <v>1447.03</v>
          </cell>
          <cell r="D84">
            <v>349.59</v>
          </cell>
          <cell r="E84">
            <v>0</v>
          </cell>
          <cell r="F84">
            <v>1796.62</v>
          </cell>
        </row>
        <row r="85">
          <cell r="A85">
            <v>180967</v>
          </cell>
          <cell r="B85" t="str">
            <v>ECess on Service Tax - Freight Bhandup</v>
          </cell>
          <cell r="C85">
            <v>28.88</v>
          </cell>
          <cell r="D85">
            <v>6.97</v>
          </cell>
          <cell r="E85">
            <v>0</v>
          </cell>
          <cell r="F85">
            <v>35.85</v>
          </cell>
        </row>
        <row r="86">
          <cell r="A86">
            <v>180977</v>
          </cell>
          <cell r="B86" t="str">
            <v>Service Tax Payable - Freight Bhandup</v>
          </cell>
          <cell r="C86">
            <v>-127.5</v>
          </cell>
          <cell r="D86">
            <v>3438.96</v>
          </cell>
          <cell r="E86">
            <v>3419.21</v>
          </cell>
          <cell r="G86">
            <v>107.75</v>
          </cell>
        </row>
        <row r="87">
          <cell r="A87">
            <v>180987</v>
          </cell>
          <cell r="B87" t="str">
            <v>E Cess on Service Tax Payable - Freight Bhandup</v>
          </cell>
          <cell r="C87">
            <v>-2.5</v>
          </cell>
          <cell r="D87">
            <v>68.510000000000005</v>
          </cell>
          <cell r="E87">
            <v>68.17</v>
          </cell>
          <cell r="G87">
            <v>2.16</v>
          </cell>
        </row>
        <row r="88">
          <cell r="A88">
            <v>181000</v>
          </cell>
          <cell r="B88" t="str">
            <v>Income Tax</v>
          </cell>
          <cell r="C88">
            <v>2200925.42</v>
          </cell>
          <cell r="D88">
            <v>75509</v>
          </cell>
          <cell r="F88">
            <v>2276434.42</v>
          </cell>
        </row>
        <row r="89">
          <cell r="A89">
            <v>181010</v>
          </cell>
          <cell r="B89" t="str">
            <v>Wealth Tax</v>
          </cell>
          <cell r="C89">
            <v>16950</v>
          </cell>
          <cell r="D89">
            <v>0</v>
          </cell>
          <cell r="E89">
            <v>0</v>
          </cell>
          <cell r="F89">
            <v>16950</v>
          </cell>
        </row>
        <row r="90">
          <cell r="A90">
            <v>181025</v>
          </cell>
          <cell r="B90" t="str">
            <v>MAH./TAMIL NADU LABOUR WELFARE BOARD-BHANDUP</v>
          </cell>
          <cell r="C90">
            <v>0</v>
          </cell>
          <cell r="D90">
            <v>1824</v>
          </cell>
          <cell r="E90">
            <v>1824</v>
          </cell>
          <cell r="F90">
            <v>0</v>
          </cell>
        </row>
        <row r="91">
          <cell r="A91">
            <v>181093</v>
          </cell>
          <cell r="B91" t="str">
            <v>ICICI Lombard Gen Insurance Co Ltd</v>
          </cell>
          <cell r="C91">
            <v>-561</v>
          </cell>
          <cell r="D91">
            <v>0</v>
          </cell>
          <cell r="E91">
            <v>0</v>
          </cell>
          <cell r="G91">
            <v>561</v>
          </cell>
        </row>
        <row r="92">
          <cell r="A92">
            <v>181200</v>
          </cell>
          <cell r="B92" t="str">
            <v>Sales Tax Payable</v>
          </cell>
          <cell r="C92">
            <v>0</v>
          </cell>
          <cell r="D92">
            <v>183829.94</v>
          </cell>
          <cell r="E92">
            <v>183829.94</v>
          </cell>
        </row>
        <row r="93">
          <cell r="A93">
            <v>181268</v>
          </cell>
          <cell r="B93" t="str">
            <v>Reimb -Sales Tax M/S Hindson Warehousing-Delhi</v>
          </cell>
          <cell r="C93">
            <v>-127376.19</v>
          </cell>
          <cell r="D93">
            <v>0</v>
          </cell>
          <cell r="E93">
            <v>27149.5</v>
          </cell>
          <cell r="G93">
            <v>154525.69</v>
          </cell>
        </row>
        <row r="94">
          <cell r="A94">
            <v>181289</v>
          </cell>
          <cell r="B94" t="str">
            <v>UNADJUSTABLE SET OFF BRANCH TRANSFERS</v>
          </cell>
          <cell r="C94">
            <v>-75000</v>
          </cell>
          <cell r="D94">
            <v>0</v>
          </cell>
          <cell r="E94">
            <v>0</v>
          </cell>
          <cell r="G94">
            <v>75000</v>
          </cell>
        </row>
        <row r="95">
          <cell r="A95">
            <v>181301</v>
          </cell>
          <cell r="B95" t="str">
            <v>Mah. Sales Tax - Bhandup</v>
          </cell>
          <cell r="C95">
            <v>-506898.14</v>
          </cell>
          <cell r="D95">
            <v>622899</v>
          </cell>
          <cell r="E95">
            <v>105344.72</v>
          </cell>
          <cell r="G95">
            <v>34343.86</v>
          </cell>
        </row>
        <row r="96">
          <cell r="A96">
            <v>181302</v>
          </cell>
          <cell r="B96" t="str">
            <v>Surcharge on LST - Bhandup</v>
          </cell>
          <cell r="C96">
            <v>3624.55</v>
          </cell>
          <cell r="D96">
            <v>0</v>
          </cell>
          <cell r="E96">
            <v>0</v>
          </cell>
          <cell r="F96">
            <v>3624.55</v>
          </cell>
        </row>
        <row r="97">
          <cell r="A97">
            <v>181303</v>
          </cell>
          <cell r="B97" t="str">
            <v>Turnover Tax -Sales Bhandup</v>
          </cell>
          <cell r="C97">
            <v>-137498.37</v>
          </cell>
          <cell r="D97">
            <v>0</v>
          </cell>
          <cell r="E97">
            <v>0</v>
          </cell>
          <cell r="G97">
            <v>137498.37</v>
          </cell>
        </row>
        <row r="98">
          <cell r="A98">
            <v>181304</v>
          </cell>
          <cell r="B98" t="str">
            <v>Resale Tax - Bhandup</v>
          </cell>
          <cell r="C98">
            <v>-1292</v>
          </cell>
          <cell r="D98">
            <v>0</v>
          </cell>
          <cell r="E98">
            <v>0</v>
          </cell>
          <cell r="G98">
            <v>1292</v>
          </cell>
        </row>
        <row r="99">
          <cell r="A99">
            <v>181310</v>
          </cell>
          <cell r="B99" t="str">
            <v>TDS - Contractors</v>
          </cell>
          <cell r="C99">
            <v>-38170</v>
          </cell>
          <cell r="D99">
            <v>72920</v>
          </cell>
          <cell r="E99">
            <v>83375</v>
          </cell>
          <cell r="G99">
            <v>48625</v>
          </cell>
        </row>
        <row r="100">
          <cell r="A100">
            <v>181375</v>
          </cell>
          <cell r="B100" t="str">
            <v>SaleTax-TDS- Works contract-Bhandup</v>
          </cell>
          <cell r="C100">
            <v>-7387</v>
          </cell>
          <cell r="D100">
            <v>0</v>
          </cell>
          <cell r="E100">
            <v>0</v>
          </cell>
          <cell r="G100">
            <v>7387</v>
          </cell>
        </row>
        <row r="101">
          <cell r="A101">
            <v>183295</v>
          </cell>
          <cell r="B101" t="str">
            <v>LIC Group Insurance Scheme</v>
          </cell>
          <cell r="C101">
            <v>8436</v>
          </cell>
          <cell r="D101">
            <v>0</v>
          </cell>
          <cell r="E101">
            <v>4446</v>
          </cell>
          <cell r="F101">
            <v>3990</v>
          </cell>
        </row>
        <row r="102">
          <cell r="A102">
            <v>183310</v>
          </cell>
          <cell r="B102" t="str">
            <v>Rounding off Adjustment-Bhandup</v>
          </cell>
          <cell r="C102">
            <v>-1.62</v>
          </cell>
          <cell r="D102">
            <v>110.13</v>
          </cell>
          <cell r="E102">
            <v>108.51</v>
          </cell>
          <cell r="F102">
            <v>0</v>
          </cell>
        </row>
        <row r="103">
          <cell r="A103">
            <v>183320</v>
          </cell>
          <cell r="B103" t="str">
            <v>PF Loan Recovery-Bhandup</v>
          </cell>
          <cell r="C103">
            <v>-3561.76</v>
          </cell>
          <cell r="D103">
            <v>5186.74</v>
          </cell>
          <cell r="E103">
            <v>1624.98</v>
          </cell>
          <cell r="F103">
            <v>0</v>
          </cell>
        </row>
        <row r="104">
          <cell r="A104">
            <v>183330</v>
          </cell>
          <cell r="B104" t="str">
            <v>Other Recoveries - Employees-Bhandup</v>
          </cell>
          <cell r="C104">
            <v>-12795</v>
          </cell>
          <cell r="D104">
            <v>1509741</v>
          </cell>
          <cell r="E104">
            <v>1496946</v>
          </cell>
          <cell r="F104">
            <v>0</v>
          </cell>
        </row>
        <row r="105">
          <cell r="A105">
            <v>183350</v>
          </cell>
          <cell r="B105" t="str">
            <v>Trustees - Provident Fund-Bhandup</v>
          </cell>
          <cell r="C105">
            <v>21961</v>
          </cell>
          <cell r="D105">
            <v>671624</v>
          </cell>
          <cell r="E105">
            <v>752802</v>
          </cell>
          <cell r="G105">
            <v>59217</v>
          </cell>
        </row>
        <row r="106">
          <cell r="A106">
            <v>183360</v>
          </cell>
          <cell r="B106" t="str">
            <v>Income Tax - Salary Recovery-Bhandup</v>
          </cell>
          <cell r="C106">
            <v>-311</v>
          </cell>
          <cell r="D106">
            <v>387306</v>
          </cell>
          <cell r="E106">
            <v>517777</v>
          </cell>
          <cell r="G106">
            <v>130782</v>
          </cell>
        </row>
        <row r="107">
          <cell r="A107">
            <v>183370</v>
          </cell>
          <cell r="B107" t="str">
            <v>Recovery - Credit Society-Bhandup</v>
          </cell>
          <cell r="C107">
            <v>-4857</v>
          </cell>
          <cell r="D107">
            <v>1650152.1</v>
          </cell>
          <cell r="E107">
            <v>1645295.1</v>
          </cell>
          <cell r="F107">
            <v>0</v>
          </cell>
        </row>
        <row r="108">
          <cell r="A108">
            <v>183380</v>
          </cell>
          <cell r="B108" t="str">
            <v>LIC SSS Recovery-Bhandup</v>
          </cell>
          <cell r="C108">
            <v>-2728.1</v>
          </cell>
          <cell r="D108">
            <v>54297.9</v>
          </cell>
          <cell r="E108">
            <v>51569.8</v>
          </cell>
          <cell r="F108">
            <v>0</v>
          </cell>
        </row>
        <row r="109">
          <cell r="A109">
            <v>183381</v>
          </cell>
          <cell r="B109" t="str">
            <v>ESI - Contractors-Bhandup</v>
          </cell>
          <cell r="C109">
            <v>-30</v>
          </cell>
          <cell r="D109">
            <v>479</v>
          </cell>
          <cell r="E109">
            <v>449</v>
          </cell>
          <cell r="F109">
            <v>0</v>
          </cell>
        </row>
        <row r="110">
          <cell r="A110">
            <v>183388</v>
          </cell>
          <cell r="B110" t="str">
            <v>Employees Pension Scheme 1995-Bhandup</v>
          </cell>
          <cell r="C110">
            <v>-145060</v>
          </cell>
          <cell r="D110">
            <v>235112</v>
          </cell>
          <cell r="E110">
            <v>100954</v>
          </cell>
          <cell r="G110">
            <v>10902</v>
          </cell>
        </row>
        <row r="111">
          <cell r="A111">
            <v>183392</v>
          </cell>
          <cell r="B111" t="str">
            <v>Professional Tax-Bhandup</v>
          </cell>
          <cell r="C111">
            <v>245</v>
          </cell>
          <cell r="D111">
            <v>38985</v>
          </cell>
          <cell r="E111">
            <v>43060</v>
          </cell>
          <cell r="G111">
            <v>3830</v>
          </cell>
        </row>
        <row r="112">
          <cell r="A112">
            <v>183393</v>
          </cell>
          <cell r="B112" t="str">
            <v>Contribution to EGF-Bhandup</v>
          </cell>
          <cell r="C112">
            <v>-875700</v>
          </cell>
          <cell r="D112">
            <v>1263566</v>
          </cell>
          <cell r="E112">
            <v>387866</v>
          </cell>
          <cell r="F112">
            <v>0</v>
          </cell>
        </row>
        <row r="113">
          <cell r="A113">
            <v>183396</v>
          </cell>
          <cell r="B113" t="str">
            <v>PF Administration Charges-Bhandup</v>
          </cell>
          <cell r="C113">
            <v>-5650</v>
          </cell>
          <cell r="D113">
            <v>11848</v>
          </cell>
          <cell r="E113">
            <v>8168</v>
          </cell>
          <cell r="G113">
            <v>1970</v>
          </cell>
        </row>
        <row r="114">
          <cell r="A114">
            <v>184100</v>
          </cell>
          <cell r="B114" t="str">
            <v>Deposits received-Bhandup</v>
          </cell>
          <cell r="C114">
            <v>-760000</v>
          </cell>
          <cell r="D114">
            <v>0</v>
          </cell>
          <cell r="E114">
            <v>0</v>
          </cell>
          <cell r="G114">
            <v>760000</v>
          </cell>
        </row>
        <row r="115">
          <cell r="A115">
            <v>184210</v>
          </cell>
          <cell r="B115" t="str">
            <v>Deutsche Bank - FCNR(B)</v>
          </cell>
          <cell r="C115">
            <v>-70000000</v>
          </cell>
          <cell r="D115">
            <v>0</v>
          </cell>
          <cell r="E115">
            <v>0</v>
          </cell>
          <cell r="G115">
            <v>70000000</v>
          </cell>
        </row>
        <row r="116">
          <cell r="A116">
            <v>185010</v>
          </cell>
          <cell r="B116" t="str">
            <v>Deposits paid-Bhandup</v>
          </cell>
          <cell r="C116">
            <v>798770</v>
          </cell>
          <cell r="D116">
            <v>89001</v>
          </cell>
          <cell r="E116">
            <v>92840</v>
          </cell>
          <cell r="F116">
            <v>794931</v>
          </cell>
        </row>
        <row r="117">
          <cell r="A117">
            <v>186100</v>
          </cell>
          <cell r="B117" t="str">
            <v>Loans to Employees-Bhandup</v>
          </cell>
          <cell r="C117">
            <v>48750</v>
          </cell>
          <cell r="D117">
            <v>1250</v>
          </cell>
          <cell r="E117">
            <v>5000</v>
          </cell>
          <cell r="F117">
            <v>45000</v>
          </cell>
        </row>
        <row r="118">
          <cell r="A118">
            <v>187100</v>
          </cell>
          <cell r="B118" t="str">
            <v>Salary Advance</v>
          </cell>
          <cell r="C118">
            <v>0</v>
          </cell>
          <cell r="D118">
            <v>228577</v>
          </cell>
          <cell r="E118">
            <v>228577</v>
          </cell>
          <cell r="F118">
            <v>0</v>
          </cell>
        </row>
        <row r="119">
          <cell r="A119">
            <v>187110</v>
          </cell>
          <cell r="B119" t="str">
            <v>Salary Advance-Bhandup</v>
          </cell>
          <cell r="C119">
            <v>36995</v>
          </cell>
          <cell r="D119">
            <v>13826015</v>
          </cell>
          <cell r="E119">
            <v>13863010</v>
          </cell>
          <cell r="F119">
            <v>0</v>
          </cell>
        </row>
        <row r="120">
          <cell r="A120">
            <v>187300</v>
          </cell>
          <cell r="B120" t="str">
            <v>Travel Advance - Employees-Bhandup</v>
          </cell>
          <cell r="C120">
            <v>-45253.26</v>
          </cell>
          <cell r="D120">
            <v>109028.59</v>
          </cell>
          <cell r="E120">
            <v>85866.59</v>
          </cell>
          <cell r="G120">
            <v>22091.26</v>
          </cell>
        </row>
        <row r="121">
          <cell r="A121">
            <v>188100</v>
          </cell>
          <cell r="B121" t="str">
            <v>Employees Bank Loan-Bhandup</v>
          </cell>
          <cell r="C121">
            <v>0</v>
          </cell>
          <cell r="D121">
            <v>729004</v>
          </cell>
          <cell r="E121">
            <v>729004</v>
          </cell>
          <cell r="F121">
            <v>0</v>
          </cell>
        </row>
        <row r="122">
          <cell r="A122">
            <v>188110</v>
          </cell>
          <cell r="B122" t="str">
            <v>Employees - HDFC Bhandup</v>
          </cell>
          <cell r="C122">
            <v>3325</v>
          </cell>
          <cell r="D122">
            <v>6650</v>
          </cell>
          <cell r="E122">
            <v>9975</v>
          </cell>
          <cell r="F122">
            <v>0</v>
          </cell>
        </row>
        <row r="123">
          <cell r="A123">
            <v>190000</v>
          </cell>
          <cell r="B123" t="str">
            <v>Goods received/Invoices received</v>
          </cell>
          <cell r="C123">
            <v>-238952.74</v>
          </cell>
          <cell r="D123">
            <v>2526383.0299999998</v>
          </cell>
          <cell r="E123">
            <v>2379528.0299999998</v>
          </cell>
          <cell r="G123">
            <v>92097.74</v>
          </cell>
        </row>
        <row r="124">
          <cell r="A124">
            <v>191300</v>
          </cell>
          <cell r="B124" t="str">
            <v>Sales Tax Setoff Maharashtra State</v>
          </cell>
          <cell r="C124">
            <v>25450.41</v>
          </cell>
          <cell r="D124">
            <v>33.270000000000003</v>
          </cell>
          <cell r="E124">
            <v>699.49</v>
          </cell>
          <cell r="F124">
            <v>24784.19</v>
          </cell>
        </row>
        <row r="125">
          <cell r="A125">
            <v>191301</v>
          </cell>
          <cell r="B125" t="str">
            <v>VAT Setoff Maharashtra State</v>
          </cell>
          <cell r="C125">
            <v>554505.5</v>
          </cell>
          <cell r="D125">
            <v>42827.12</v>
          </cell>
          <cell r="E125">
            <v>604613.44999999995</v>
          </cell>
          <cell r="G125">
            <v>7280.83</v>
          </cell>
        </row>
        <row r="126">
          <cell r="A126">
            <v>191400</v>
          </cell>
          <cell r="B126" t="str">
            <v>Excise Duty - clearing a/c</v>
          </cell>
          <cell r="C126">
            <v>-207068.62</v>
          </cell>
          <cell r="D126">
            <v>656539.84</v>
          </cell>
          <cell r="E126">
            <v>649736.5</v>
          </cell>
          <cell r="G126">
            <v>200265.28</v>
          </cell>
        </row>
        <row r="127">
          <cell r="A127">
            <v>191440</v>
          </cell>
          <cell r="B127" t="str">
            <v>ED Cess on Exc  clg account</v>
          </cell>
          <cell r="C127">
            <v>-16306.01</v>
          </cell>
          <cell r="D127">
            <v>29018.52</v>
          </cell>
          <cell r="E127">
            <v>12683.3</v>
          </cell>
          <cell r="F127">
            <v>29.21</v>
          </cell>
        </row>
        <row r="128">
          <cell r="A128">
            <v>191800</v>
          </cell>
          <cell r="B128" t="str">
            <v>FI-ED Clg -Bhandup Factory</v>
          </cell>
          <cell r="C128">
            <v>-7807.92</v>
          </cell>
          <cell r="D128">
            <v>1390329.24</v>
          </cell>
          <cell r="E128">
            <v>1390964.18</v>
          </cell>
          <cell r="G128">
            <v>8442.86</v>
          </cell>
        </row>
        <row r="129">
          <cell r="A129">
            <v>192100</v>
          </cell>
          <cell r="B129" t="str">
            <v>Payroll (Wages and Salaries) Clearing-Bhandup</v>
          </cell>
          <cell r="C129">
            <v>21882</v>
          </cell>
          <cell r="D129">
            <v>6947458</v>
          </cell>
          <cell r="E129">
            <v>6969340</v>
          </cell>
          <cell r="F129">
            <v>0</v>
          </cell>
        </row>
        <row r="130">
          <cell r="A130">
            <v>192503</v>
          </cell>
          <cell r="B130" t="str">
            <v>Excise Duty on F.G.</v>
          </cell>
          <cell r="C130">
            <v>1178443.54</v>
          </cell>
          <cell r="D130">
            <v>0</v>
          </cell>
          <cell r="E130">
            <v>0</v>
          </cell>
          <cell r="F130">
            <v>1178443.54</v>
          </cell>
        </row>
        <row r="131">
          <cell r="A131">
            <v>192550</v>
          </cell>
          <cell r="B131" t="str">
            <v>Other Clearing Account-Bhandup</v>
          </cell>
          <cell r="C131">
            <v>-7900</v>
          </cell>
          <cell r="D131">
            <v>4480</v>
          </cell>
          <cell r="E131">
            <v>4480</v>
          </cell>
          <cell r="G131">
            <v>7900</v>
          </cell>
        </row>
        <row r="132">
          <cell r="A132">
            <v>192600</v>
          </cell>
          <cell r="B132" t="str">
            <v>Cess/Octroi Payable</v>
          </cell>
          <cell r="C132">
            <v>-526717.16</v>
          </cell>
          <cell r="D132">
            <v>81198.33</v>
          </cell>
          <cell r="E132">
            <v>43274.21</v>
          </cell>
          <cell r="G132">
            <v>488793.04</v>
          </cell>
        </row>
        <row r="133">
          <cell r="A133">
            <v>193000</v>
          </cell>
          <cell r="B133" t="str">
            <v>Freight/Customs/Clearing Charges</v>
          </cell>
          <cell r="C133">
            <v>62705.73</v>
          </cell>
          <cell r="D133">
            <v>131170.35</v>
          </cell>
          <cell r="E133">
            <v>137276.35</v>
          </cell>
          <cell r="F133">
            <v>56599.73</v>
          </cell>
        </row>
        <row r="134">
          <cell r="A134">
            <v>193300</v>
          </cell>
          <cell r="B134" t="str">
            <v>Freight/Customs/Clearing Charges</v>
          </cell>
          <cell r="C134">
            <v>318.60000000000002</v>
          </cell>
          <cell r="D134">
            <v>260419.86</v>
          </cell>
          <cell r="E134">
            <v>260738.46</v>
          </cell>
          <cell r="F134">
            <v>0</v>
          </cell>
        </row>
        <row r="135">
          <cell r="A135">
            <v>195000</v>
          </cell>
          <cell r="B135" t="str">
            <v>Interim Posting - Inventory Price Difference &amp; Rev</v>
          </cell>
          <cell r="C135">
            <v>565235</v>
          </cell>
          <cell r="D135">
            <v>0</v>
          </cell>
          <cell r="E135">
            <v>0</v>
          </cell>
          <cell r="F135">
            <v>565235</v>
          </cell>
        </row>
        <row r="136">
          <cell r="A136">
            <v>195300</v>
          </cell>
          <cell r="B136" t="str">
            <v>Interim Posting - Price diff. Invoice Verification</v>
          </cell>
          <cell r="C136">
            <v>-7020.14</v>
          </cell>
          <cell r="D136">
            <v>0</v>
          </cell>
          <cell r="E136">
            <v>0</v>
          </cell>
          <cell r="G136">
            <v>7020.14</v>
          </cell>
        </row>
        <row r="137">
          <cell r="A137">
            <v>195400</v>
          </cell>
          <cell r="B137" t="str">
            <v>Interim Posting - Samples</v>
          </cell>
          <cell r="C137">
            <v>4295.07</v>
          </cell>
          <cell r="D137">
            <v>12452.14</v>
          </cell>
          <cell r="E137">
            <v>0</v>
          </cell>
          <cell r="F137">
            <v>16747.21</v>
          </cell>
        </row>
        <row r="138">
          <cell r="A138">
            <v>195892</v>
          </cell>
          <cell r="B138" t="str">
            <v>Interim Posting - D3 Operations - Bhandup</v>
          </cell>
          <cell r="C138">
            <v>140601.51999999999</v>
          </cell>
          <cell r="D138">
            <v>0</v>
          </cell>
          <cell r="E138">
            <v>0</v>
          </cell>
          <cell r="F138">
            <v>140601.51999999999</v>
          </cell>
        </row>
        <row r="139">
          <cell r="A139">
            <v>195894</v>
          </cell>
          <cell r="B139" t="str">
            <v>Interim Posting - B1 Operations - Bhandup</v>
          </cell>
          <cell r="C139">
            <v>-1174375.3899999999</v>
          </cell>
          <cell r="D139">
            <v>0</v>
          </cell>
          <cell r="E139">
            <v>0</v>
          </cell>
          <cell r="G139">
            <v>1174375.3899999999</v>
          </cell>
        </row>
        <row r="140">
          <cell r="A140">
            <v>195992</v>
          </cell>
          <cell r="B140" t="str">
            <v>Interim Offset - D3 Operations - Bhandup</v>
          </cell>
          <cell r="C140">
            <v>-140601.51999999999</v>
          </cell>
          <cell r="D140">
            <v>0</v>
          </cell>
          <cell r="E140">
            <v>0</v>
          </cell>
          <cell r="G140">
            <v>140601.51999999999</v>
          </cell>
        </row>
        <row r="141">
          <cell r="A141">
            <v>195994</v>
          </cell>
          <cell r="B141" t="str">
            <v>Interim Offset - B1 Operations - Bhandup</v>
          </cell>
          <cell r="C141">
            <v>1174375.3899999999</v>
          </cell>
          <cell r="D141">
            <v>0</v>
          </cell>
          <cell r="E141">
            <v>0</v>
          </cell>
          <cell r="F141">
            <v>1174375.3899999999</v>
          </cell>
        </row>
        <row r="142">
          <cell r="A142">
            <v>202030</v>
          </cell>
          <cell r="B142" t="str">
            <v>REALISED Exchange Loss on sales activities</v>
          </cell>
          <cell r="C142">
            <v>0</v>
          </cell>
          <cell r="D142">
            <v>166737.89000000001</v>
          </cell>
          <cell r="E142">
            <v>0</v>
          </cell>
          <cell r="F142">
            <v>166737.89000000001</v>
          </cell>
        </row>
        <row r="143">
          <cell r="A143">
            <v>208050</v>
          </cell>
          <cell r="B143" t="str">
            <v>Non-periodical expenditure</v>
          </cell>
          <cell r="C143">
            <v>0</v>
          </cell>
          <cell r="D143">
            <v>365614</v>
          </cell>
          <cell r="E143">
            <v>0</v>
          </cell>
          <cell r="F143">
            <v>365614</v>
          </cell>
        </row>
        <row r="144">
          <cell r="A144">
            <v>209800</v>
          </cell>
          <cell r="B144" t="str">
            <v>Small Payment Differences - Losses</v>
          </cell>
          <cell r="C144">
            <v>0</v>
          </cell>
          <cell r="D144">
            <v>244.06</v>
          </cell>
          <cell r="E144">
            <v>8.3699999999999992</v>
          </cell>
          <cell r="F144">
            <v>235.69</v>
          </cell>
        </row>
        <row r="145">
          <cell r="A145">
            <v>212010</v>
          </cell>
          <cell r="B145" t="str">
            <v>Exchange gain - Other than sales</v>
          </cell>
          <cell r="C145">
            <v>0</v>
          </cell>
          <cell r="D145">
            <v>0</v>
          </cell>
          <cell r="E145">
            <v>704.6</v>
          </cell>
          <cell r="G145">
            <v>704.6</v>
          </cell>
        </row>
        <row r="146">
          <cell r="A146">
            <v>215050</v>
          </cell>
          <cell r="B146" t="str">
            <v>Duty Drawback</v>
          </cell>
          <cell r="C146">
            <v>0</v>
          </cell>
          <cell r="D146">
            <v>0</v>
          </cell>
          <cell r="E146">
            <v>25000</v>
          </cell>
          <cell r="G146">
            <v>25000</v>
          </cell>
        </row>
        <row r="147">
          <cell r="A147">
            <v>215060</v>
          </cell>
          <cell r="B147" t="str">
            <v>Recovery - Canteen</v>
          </cell>
          <cell r="C147">
            <v>0</v>
          </cell>
          <cell r="D147">
            <v>2720</v>
          </cell>
          <cell r="E147">
            <v>2720</v>
          </cell>
          <cell r="F147">
            <v>0</v>
          </cell>
        </row>
        <row r="148">
          <cell r="A148">
            <v>218050</v>
          </cell>
          <cell r="B148" t="str">
            <v>Non-periodical income</v>
          </cell>
          <cell r="C148">
            <v>0</v>
          </cell>
          <cell r="D148">
            <v>0</v>
          </cell>
          <cell r="E148">
            <v>103030</v>
          </cell>
          <cell r="G148">
            <v>103030</v>
          </cell>
        </row>
        <row r="149">
          <cell r="A149">
            <v>219700</v>
          </cell>
          <cell r="B149" t="str">
            <v>Non - operating Sales</v>
          </cell>
          <cell r="C149">
            <v>0</v>
          </cell>
          <cell r="D149">
            <v>0</v>
          </cell>
          <cell r="E149">
            <v>402041.04</v>
          </cell>
          <cell r="G149">
            <v>402041.04</v>
          </cell>
        </row>
        <row r="150">
          <cell r="A150">
            <v>219800</v>
          </cell>
          <cell r="B150" t="str">
            <v>Small Payment Differences / Gains</v>
          </cell>
          <cell r="C150">
            <v>0</v>
          </cell>
          <cell r="D150">
            <v>0.34</v>
          </cell>
          <cell r="E150">
            <v>100.11</v>
          </cell>
          <cell r="G150">
            <v>99.77</v>
          </cell>
        </row>
        <row r="151">
          <cell r="A151">
            <v>219830</v>
          </cell>
          <cell r="B151" t="str">
            <v>Suppliers Discount</v>
          </cell>
          <cell r="C151">
            <v>0</v>
          </cell>
          <cell r="D151">
            <v>0</v>
          </cell>
          <cell r="E151">
            <v>37334.1</v>
          </cell>
          <cell r="G151">
            <v>37334.1</v>
          </cell>
        </row>
        <row r="152">
          <cell r="A152">
            <v>220080</v>
          </cell>
          <cell r="B152" t="str">
            <v>INTEREST - OTHERS</v>
          </cell>
          <cell r="C152">
            <v>0</v>
          </cell>
          <cell r="D152">
            <v>1655547.95</v>
          </cell>
          <cell r="E152">
            <v>0</v>
          </cell>
          <cell r="F152">
            <v>1655547.95</v>
          </cell>
        </row>
        <row r="153">
          <cell r="A153">
            <v>220160</v>
          </cell>
          <cell r="B153" t="str">
            <v>INTEREST - CUSTOMERS- SECURITY DEPOSIT/ADVANCES</v>
          </cell>
          <cell r="C153">
            <v>0</v>
          </cell>
          <cell r="D153">
            <v>38500</v>
          </cell>
          <cell r="E153">
            <v>0</v>
          </cell>
          <cell r="F153">
            <v>38500</v>
          </cell>
        </row>
        <row r="154">
          <cell r="A154">
            <v>223010</v>
          </cell>
          <cell r="B154" t="str">
            <v>DISCOUNT PAID TO CUSTOMERS</v>
          </cell>
          <cell r="C154">
            <v>0</v>
          </cell>
          <cell r="D154">
            <v>33463.360000000001</v>
          </cell>
          <cell r="E154">
            <v>0</v>
          </cell>
          <cell r="F154">
            <v>33463.360000000001</v>
          </cell>
        </row>
        <row r="155">
          <cell r="A155">
            <v>223030</v>
          </cell>
          <cell r="B155" t="str">
            <v>BANK CHARGES</v>
          </cell>
          <cell r="C155">
            <v>0</v>
          </cell>
          <cell r="D155">
            <v>109068.33</v>
          </cell>
          <cell r="E155">
            <v>90</v>
          </cell>
          <cell r="F155">
            <v>108978.33</v>
          </cell>
        </row>
        <row r="156">
          <cell r="A156">
            <v>230000</v>
          </cell>
          <cell r="B156" t="str">
            <v>Interest Income / Bank Account</v>
          </cell>
          <cell r="C156">
            <v>0</v>
          </cell>
          <cell r="D156">
            <v>26836</v>
          </cell>
          <cell r="E156">
            <v>281282</v>
          </cell>
          <cell r="G156">
            <v>254446</v>
          </cell>
        </row>
        <row r="157">
          <cell r="A157">
            <v>230200</v>
          </cell>
          <cell r="B157" t="str">
            <v>Other Interest Income</v>
          </cell>
          <cell r="C157">
            <v>0</v>
          </cell>
          <cell r="D157">
            <v>237.5</v>
          </cell>
          <cell r="E157">
            <v>950.02</v>
          </cell>
          <cell r="G157">
            <v>712.52</v>
          </cell>
        </row>
        <row r="158">
          <cell r="A158">
            <v>250000</v>
          </cell>
          <cell r="B158" t="str">
            <v>Financial Depreciation - Tang. Asset</v>
          </cell>
          <cell r="C158">
            <v>0</v>
          </cell>
          <cell r="D158">
            <v>790000</v>
          </cell>
          <cell r="E158">
            <v>790000</v>
          </cell>
          <cell r="F158">
            <v>0</v>
          </cell>
        </row>
        <row r="159">
          <cell r="A159">
            <v>250090</v>
          </cell>
          <cell r="B159" t="str">
            <v>Costed Depreciation (Off set account )-Tang. Asset</v>
          </cell>
          <cell r="C159">
            <v>0</v>
          </cell>
          <cell r="D159">
            <v>790000</v>
          </cell>
          <cell r="E159">
            <v>790000</v>
          </cell>
          <cell r="F159">
            <v>0</v>
          </cell>
        </row>
        <row r="160">
          <cell r="A160">
            <v>256000</v>
          </cell>
          <cell r="B160" t="str">
            <v>Stock valuation allo./raw mat,pack and supplies</v>
          </cell>
          <cell r="C160">
            <v>0</v>
          </cell>
          <cell r="D160">
            <v>417532</v>
          </cell>
          <cell r="E160">
            <v>650621.71</v>
          </cell>
          <cell r="G160">
            <v>233089.71</v>
          </cell>
        </row>
        <row r="161">
          <cell r="A161">
            <v>300000</v>
          </cell>
          <cell r="B161" t="str">
            <v>Raw materials</v>
          </cell>
          <cell r="C161">
            <v>3951895.51</v>
          </cell>
          <cell r="D161">
            <v>500138.31</v>
          </cell>
          <cell r="E161">
            <v>1282878.27</v>
          </cell>
          <cell r="F161">
            <v>3169155.55</v>
          </cell>
        </row>
        <row r="162">
          <cell r="A162">
            <v>301000</v>
          </cell>
          <cell r="B162" t="str">
            <v>Raw Materials</v>
          </cell>
          <cell r="C162">
            <v>-2167691.54</v>
          </cell>
          <cell r="D162">
            <v>0</v>
          </cell>
          <cell r="E162">
            <v>0</v>
          </cell>
          <cell r="G162">
            <v>2167691.54</v>
          </cell>
        </row>
        <row r="163">
          <cell r="A163">
            <v>321000</v>
          </cell>
          <cell r="B163" t="str">
            <v>Packaging materials</v>
          </cell>
          <cell r="C163">
            <v>1234740.6000000001</v>
          </cell>
          <cell r="D163">
            <v>30159.26</v>
          </cell>
          <cell r="E163">
            <v>329839.01</v>
          </cell>
          <cell r="F163">
            <v>935060.85</v>
          </cell>
        </row>
        <row r="164">
          <cell r="A164">
            <v>340000</v>
          </cell>
          <cell r="B164" t="str">
            <v>Products</v>
          </cell>
          <cell r="C164">
            <v>5737519.5199999996</v>
          </cell>
          <cell r="D164">
            <v>1678325.25</v>
          </cell>
          <cell r="E164">
            <v>2168338.8199999998</v>
          </cell>
          <cell r="F164">
            <v>5247505.95</v>
          </cell>
        </row>
        <row r="165">
          <cell r="A165">
            <v>341000</v>
          </cell>
          <cell r="B165" t="str">
            <v>Intermediate Products</v>
          </cell>
          <cell r="C165">
            <v>-4091250.2</v>
          </cell>
          <cell r="D165">
            <v>650621.71</v>
          </cell>
          <cell r="E165">
            <v>417532</v>
          </cell>
          <cell r="G165">
            <v>3858160.49</v>
          </cell>
        </row>
        <row r="166">
          <cell r="A166">
            <v>350000</v>
          </cell>
          <cell r="B166" t="str">
            <v>Merchandise</v>
          </cell>
          <cell r="C166">
            <v>4057197.39</v>
          </cell>
          <cell r="D166">
            <v>2033986.27</v>
          </cell>
          <cell r="E166">
            <v>1700230.74</v>
          </cell>
          <cell r="F166">
            <v>4390952.92</v>
          </cell>
        </row>
        <row r="167">
          <cell r="A167">
            <v>351000</v>
          </cell>
          <cell r="B167" t="str">
            <v>Mer Products</v>
          </cell>
          <cell r="C167">
            <v>-1154265.8500000001</v>
          </cell>
          <cell r="D167">
            <v>0</v>
          </cell>
          <cell r="E167">
            <v>0</v>
          </cell>
          <cell r="G167">
            <v>1154265.8500000001</v>
          </cell>
        </row>
        <row r="168">
          <cell r="A168">
            <v>400000</v>
          </cell>
          <cell r="B168" t="str">
            <v>Raw Materials consumed in production</v>
          </cell>
          <cell r="C168">
            <v>0</v>
          </cell>
          <cell r="D168">
            <v>1119179.95</v>
          </cell>
          <cell r="E168">
            <v>496.39</v>
          </cell>
          <cell r="F168">
            <v>1118683.56</v>
          </cell>
        </row>
        <row r="169">
          <cell r="A169">
            <v>400500</v>
          </cell>
          <cell r="B169" t="str">
            <v>Packaging Materials consumed</v>
          </cell>
          <cell r="C169">
            <v>0</v>
          </cell>
          <cell r="D169">
            <v>102124.2</v>
          </cell>
          <cell r="E169">
            <v>0</v>
          </cell>
          <cell r="F169">
            <v>102124.2</v>
          </cell>
        </row>
        <row r="170">
          <cell r="A170">
            <v>401401</v>
          </cell>
          <cell r="B170" t="str">
            <v>Excise Duty on Sales</v>
          </cell>
          <cell r="C170">
            <v>0</v>
          </cell>
          <cell r="D170">
            <v>310151.44</v>
          </cell>
          <cell r="E170">
            <v>0</v>
          </cell>
          <cell r="F170">
            <v>310151.44</v>
          </cell>
        </row>
        <row r="171">
          <cell r="A171">
            <v>402000</v>
          </cell>
          <cell r="B171" t="str">
            <v>Veh.Own-Oil / Fuel</v>
          </cell>
          <cell r="C171">
            <v>0</v>
          </cell>
          <cell r="D171">
            <v>48456</v>
          </cell>
          <cell r="E171">
            <v>21000</v>
          </cell>
          <cell r="F171">
            <v>27456</v>
          </cell>
        </row>
        <row r="172">
          <cell r="A172">
            <v>402401</v>
          </cell>
          <cell r="B172" t="str">
            <v>Education Cess on Excise Duty on Sales</v>
          </cell>
          <cell r="C172">
            <v>0</v>
          </cell>
          <cell r="D172">
            <v>6158.19</v>
          </cell>
          <cell r="E172">
            <v>0</v>
          </cell>
          <cell r="F172">
            <v>6158.19</v>
          </cell>
        </row>
        <row r="173">
          <cell r="A173">
            <v>403000</v>
          </cell>
          <cell r="B173" t="str">
            <v>Sundry materials (lubricants, clean. mat.) cons</v>
          </cell>
          <cell r="C173">
            <v>0</v>
          </cell>
          <cell r="D173">
            <v>3152</v>
          </cell>
          <cell r="E173">
            <v>0</v>
          </cell>
          <cell r="F173">
            <v>3152</v>
          </cell>
        </row>
        <row r="174">
          <cell r="A174">
            <v>403100</v>
          </cell>
          <cell r="B174" t="str">
            <v>Indirect materials - Repairs and Maintenance</v>
          </cell>
          <cell r="C174">
            <v>0</v>
          </cell>
          <cell r="D174">
            <v>4500</v>
          </cell>
          <cell r="E174">
            <v>0</v>
          </cell>
          <cell r="F174">
            <v>4500</v>
          </cell>
        </row>
        <row r="175">
          <cell r="A175">
            <v>403810</v>
          </cell>
          <cell r="B175" t="str">
            <v>Office Stationery</v>
          </cell>
          <cell r="C175">
            <v>0</v>
          </cell>
          <cell r="D175">
            <v>2941</v>
          </cell>
          <cell r="E175">
            <v>0</v>
          </cell>
          <cell r="F175">
            <v>2941</v>
          </cell>
        </row>
        <row r="176">
          <cell r="A176">
            <v>403851</v>
          </cell>
          <cell r="B176" t="str">
            <v>Cost of Uniforms</v>
          </cell>
          <cell r="C176">
            <v>0</v>
          </cell>
          <cell r="D176">
            <v>13870</v>
          </cell>
          <cell r="E176">
            <v>0</v>
          </cell>
          <cell r="F176">
            <v>13870</v>
          </cell>
        </row>
        <row r="177">
          <cell r="A177">
            <v>403852</v>
          </cell>
          <cell r="B177" t="str">
            <v>Packing Materials - others</v>
          </cell>
          <cell r="C177">
            <v>0</v>
          </cell>
          <cell r="D177">
            <v>57183.25</v>
          </cell>
          <cell r="E177">
            <v>3000</v>
          </cell>
          <cell r="F177">
            <v>54183.25</v>
          </cell>
        </row>
        <row r="178">
          <cell r="A178">
            <v>403900</v>
          </cell>
          <cell r="B178" t="str">
            <v>Canteen Expenses</v>
          </cell>
          <cell r="C178">
            <v>0</v>
          </cell>
          <cell r="D178">
            <v>333481</v>
          </cell>
          <cell r="E178">
            <v>195114</v>
          </cell>
          <cell r="F178">
            <v>138367</v>
          </cell>
        </row>
        <row r="179">
          <cell r="A179">
            <v>409100</v>
          </cell>
          <cell r="B179" t="str">
            <v>INVENTORY PRICE &amp; REVALUATION DIFFERENCES</v>
          </cell>
          <cell r="C179">
            <v>0</v>
          </cell>
          <cell r="D179">
            <v>17150</v>
          </cell>
          <cell r="E179">
            <v>17150</v>
          </cell>
          <cell r="F179">
            <v>0</v>
          </cell>
        </row>
        <row r="180">
          <cell r="A180">
            <v>409400</v>
          </cell>
          <cell r="B180" t="str">
            <v>INVENTORY DUMPED</v>
          </cell>
          <cell r="C180">
            <v>0</v>
          </cell>
          <cell r="D180">
            <v>322113.83</v>
          </cell>
          <cell r="E180">
            <v>0</v>
          </cell>
          <cell r="F180">
            <v>322113.83</v>
          </cell>
        </row>
        <row r="181">
          <cell r="A181">
            <v>410010</v>
          </cell>
          <cell r="B181" t="str">
            <v>Basic - Unionised</v>
          </cell>
          <cell r="C181">
            <v>0</v>
          </cell>
          <cell r="D181">
            <v>410259</v>
          </cell>
          <cell r="E181">
            <v>0</v>
          </cell>
          <cell r="F181">
            <v>410259</v>
          </cell>
        </row>
        <row r="182">
          <cell r="A182">
            <v>410020</v>
          </cell>
          <cell r="B182" t="str">
            <v>Dearness Allowance - Unionised</v>
          </cell>
          <cell r="C182">
            <v>0</v>
          </cell>
          <cell r="D182">
            <v>545825.34</v>
          </cell>
          <cell r="E182">
            <v>0</v>
          </cell>
          <cell r="F182">
            <v>545825.34</v>
          </cell>
        </row>
        <row r="183">
          <cell r="A183">
            <v>410040</v>
          </cell>
          <cell r="B183" t="str">
            <v>Bonus - Unionised</v>
          </cell>
          <cell r="C183">
            <v>0</v>
          </cell>
          <cell r="D183">
            <v>38000</v>
          </cell>
          <cell r="E183">
            <v>0</v>
          </cell>
          <cell r="F183">
            <v>38000</v>
          </cell>
        </row>
        <row r="184">
          <cell r="A184">
            <v>410060</v>
          </cell>
          <cell r="B184" t="str">
            <v>Leave Travel Allowance - Unionised</v>
          </cell>
          <cell r="C184">
            <v>0</v>
          </cell>
          <cell r="D184">
            <v>19000</v>
          </cell>
          <cell r="E184">
            <v>0</v>
          </cell>
          <cell r="F184">
            <v>19000</v>
          </cell>
        </row>
        <row r="185">
          <cell r="A185">
            <v>410100</v>
          </cell>
          <cell r="B185" t="str">
            <v>All Other Earnings - Unionised</v>
          </cell>
          <cell r="C185">
            <v>0</v>
          </cell>
          <cell r="D185">
            <v>5363161.59</v>
          </cell>
          <cell r="E185">
            <v>687324</v>
          </cell>
          <cell r="F185">
            <v>4675837.59</v>
          </cell>
        </row>
        <row r="186">
          <cell r="A186">
            <v>410300</v>
          </cell>
          <cell r="B186" t="str">
            <v>Payment to Trainees/Apprentices</v>
          </cell>
          <cell r="C186">
            <v>0</v>
          </cell>
          <cell r="D186">
            <v>3114</v>
          </cell>
          <cell r="E186">
            <v>0</v>
          </cell>
          <cell r="F186">
            <v>3114</v>
          </cell>
        </row>
        <row r="187">
          <cell r="A187">
            <v>410510</v>
          </cell>
          <cell r="B187" t="str">
            <v>Basic Salary</v>
          </cell>
          <cell r="C187">
            <v>0</v>
          </cell>
          <cell r="D187">
            <v>808033.38</v>
          </cell>
          <cell r="E187">
            <v>201015.72</v>
          </cell>
          <cell r="F187">
            <v>607017.66</v>
          </cell>
        </row>
        <row r="188">
          <cell r="A188">
            <v>410560</v>
          </cell>
          <cell r="B188" t="str">
            <v>Leave Travel Allowance</v>
          </cell>
          <cell r="C188">
            <v>0</v>
          </cell>
          <cell r="D188">
            <v>76800</v>
          </cell>
          <cell r="E188">
            <v>0</v>
          </cell>
          <cell r="F188">
            <v>76800</v>
          </cell>
        </row>
        <row r="189">
          <cell r="A189">
            <v>410590</v>
          </cell>
          <cell r="B189" t="str">
            <v>Productivity Linked Incentive</v>
          </cell>
          <cell r="C189">
            <v>0</v>
          </cell>
          <cell r="D189">
            <v>91518</v>
          </cell>
          <cell r="E189">
            <v>0</v>
          </cell>
          <cell r="F189">
            <v>91518</v>
          </cell>
        </row>
        <row r="190">
          <cell r="A190">
            <v>410600</v>
          </cell>
          <cell r="B190" t="str">
            <v>All Other Earnings</v>
          </cell>
          <cell r="C190">
            <v>0</v>
          </cell>
          <cell r="D190">
            <v>1079878.44</v>
          </cell>
          <cell r="E190">
            <v>685112.93</v>
          </cell>
          <cell r="F190">
            <v>394765.51</v>
          </cell>
        </row>
        <row r="191">
          <cell r="A191">
            <v>415920</v>
          </cell>
          <cell r="B191" t="str">
            <v>Telephone Rent - Residences - Others</v>
          </cell>
          <cell r="C191">
            <v>0</v>
          </cell>
          <cell r="D191">
            <v>2500</v>
          </cell>
          <cell r="E191">
            <v>0</v>
          </cell>
          <cell r="F191">
            <v>2500</v>
          </cell>
        </row>
        <row r="192">
          <cell r="A192">
            <v>415940</v>
          </cell>
          <cell r="B192" t="str">
            <v>Rent - Residences - Others</v>
          </cell>
          <cell r="C192">
            <v>0</v>
          </cell>
          <cell r="D192">
            <v>79200</v>
          </cell>
          <cell r="E192">
            <v>19800</v>
          </cell>
          <cell r="F192">
            <v>59400</v>
          </cell>
        </row>
        <row r="193">
          <cell r="A193">
            <v>416010</v>
          </cell>
          <cell r="B193" t="str">
            <v>Provident Fund / Family Pension Fund - Unionised</v>
          </cell>
          <cell r="C193">
            <v>0</v>
          </cell>
          <cell r="D193">
            <v>188456</v>
          </cell>
          <cell r="E193">
            <v>0</v>
          </cell>
          <cell r="F193">
            <v>188456</v>
          </cell>
        </row>
        <row r="194">
          <cell r="A194">
            <v>416030</v>
          </cell>
          <cell r="B194" t="str">
            <v>Employees State Insurance Corporation - Unionised</v>
          </cell>
          <cell r="C194">
            <v>0</v>
          </cell>
          <cell r="D194">
            <v>1368</v>
          </cell>
          <cell r="E194">
            <v>0</v>
          </cell>
          <cell r="F194">
            <v>1368</v>
          </cell>
        </row>
        <row r="195">
          <cell r="A195">
            <v>416040</v>
          </cell>
          <cell r="B195" t="str">
            <v>Contribution to Gratuity Fund - Unionised</v>
          </cell>
          <cell r="C195">
            <v>0</v>
          </cell>
          <cell r="D195">
            <v>113800</v>
          </cell>
          <cell r="E195">
            <v>446526</v>
          </cell>
          <cell r="G195">
            <v>332726</v>
          </cell>
        </row>
        <row r="196">
          <cell r="A196">
            <v>417010</v>
          </cell>
          <cell r="B196" t="str">
            <v>Provident Fund / Family Pension Fund</v>
          </cell>
          <cell r="C196">
            <v>0</v>
          </cell>
          <cell r="D196">
            <v>118836</v>
          </cell>
          <cell r="E196">
            <v>24121</v>
          </cell>
          <cell r="F196">
            <v>94715</v>
          </cell>
        </row>
        <row r="197">
          <cell r="A197">
            <v>417025</v>
          </cell>
          <cell r="B197" t="str">
            <v>PF Admin Charges</v>
          </cell>
          <cell r="C197">
            <v>0</v>
          </cell>
          <cell r="D197">
            <v>6198</v>
          </cell>
          <cell r="E197">
            <v>1725.92</v>
          </cell>
          <cell r="F197">
            <v>4472.08</v>
          </cell>
        </row>
        <row r="198">
          <cell r="A198">
            <v>417040</v>
          </cell>
          <cell r="B198" t="str">
            <v>Contribution to Gratuity Fund</v>
          </cell>
          <cell r="C198">
            <v>0</v>
          </cell>
          <cell r="D198">
            <v>121200</v>
          </cell>
          <cell r="E198">
            <v>317042</v>
          </cell>
          <cell r="G198">
            <v>195842</v>
          </cell>
        </row>
        <row r="199">
          <cell r="A199">
            <v>417050</v>
          </cell>
          <cell r="B199" t="str">
            <v>Contribution to Superannuation Scheme</v>
          </cell>
          <cell r="C199">
            <v>0</v>
          </cell>
          <cell r="D199">
            <v>150584</v>
          </cell>
          <cell r="E199">
            <v>72514</v>
          </cell>
          <cell r="F199">
            <v>78070</v>
          </cell>
        </row>
        <row r="200">
          <cell r="A200">
            <v>417060</v>
          </cell>
          <cell r="B200" t="str">
            <v>Group Insurance Scheme</v>
          </cell>
          <cell r="C200">
            <v>0</v>
          </cell>
          <cell r="D200">
            <v>4446</v>
          </cell>
          <cell r="E200">
            <v>0</v>
          </cell>
          <cell r="F200">
            <v>4446</v>
          </cell>
        </row>
        <row r="201">
          <cell r="A201">
            <v>419100</v>
          </cell>
          <cell r="B201" t="str">
            <v>Refreshment Expenses to Staff</v>
          </cell>
          <cell r="C201">
            <v>0</v>
          </cell>
          <cell r="D201">
            <v>8513</v>
          </cell>
          <cell r="E201">
            <v>0</v>
          </cell>
          <cell r="F201">
            <v>8513</v>
          </cell>
        </row>
        <row r="202">
          <cell r="A202">
            <v>419110</v>
          </cell>
          <cell r="B202" t="str">
            <v>Lunch Expenses</v>
          </cell>
          <cell r="C202">
            <v>0</v>
          </cell>
          <cell r="D202">
            <v>8793</v>
          </cell>
          <cell r="E202">
            <v>0</v>
          </cell>
          <cell r="F202">
            <v>8793</v>
          </cell>
        </row>
        <row r="203">
          <cell r="A203">
            <v>419140</v>
          </cell>
          <cell r="B203" t="str">
            <v>Medical expenses - other employees</v>
          </cell>
          <cell r="C203">
            <v>0</v>
          </cell>
          <cell r="D203">
            <v>78930</v>
          </cell>
          <cell r="E203">
            <v>0</v>
          </cell>
          <cell r="F203">
            <v>78930</v>
          </cell>
        </row>
        <row r="204">
          <cell r="A204">
            <v>419200</v>
          </cell>
          <cell r="B204" t="str">
            <v>Picnic, Pooja Recreation</v>
          </cell>
          <cell r="C204">
            <v>0</v>
          </cell>
          <cell r="D204">
            <v>20000</v>
          </cell>
          <cell r="E204">
            <v>0</v>
          </cell>
          <cell r="F204">
            <v>20000</v>
          </cell>
        </row>
        <row r="205">
          <cell r="A205">
            <v>419500</v>
          </cell>
          <cell r="B205" t="str">
            <v>Co. Voluntary Charges - Others</v>
          </cell>
          <cell r="C205">
            <v>0</v>
          </cell>
          <cell r="D205">
            <v>28243.5</v>
          </cell>
          <cell r="E205">
            <v>0</v>
          </cell>
          <cell r="F205">
            <v>28243.5</v>
          </cell>
        </row>
        <row r="206">
          <cell r="A206">
            <v>419810</v>
          </cell>
          <cell r="B206" t="str">
            <v>Compensation</v>
          </cell>
          <cell r="C206">
            <v>0</v>
          </cell>
          <cell r="D206">
            <v>10907957</v>
          </cell>
          <cell r="E206">
            <v>0</v>
          </cell>
          <cell r="F206">
            <v>10907957</v>
          </cell>
        </row>
        <row r="207">
          <cell r="A207">
            <v>419900</v>
          </cell>
          <cell r="B207" t="str">
            <v>Charges for seminar / courses</v>
          </cell>
          <cell r="C207">
            <v>0</v>
          </cell>
          <cell r="D207">
            <v>4500</v>
          </cell>
          <cell r="E207">
            <v>0</v>
          </cell>
          <cell r="F207">
            <v>4500</v>
          </cell>
        </row>
        <row r="208">
          <cell r="A208">
            <v>420000</v>
          </cell>
          <cell r="B208" t="str">
            <v>Water</v>
          </cell>
          <cell r="C208">
            <v>0</v>
          </cell>
          <cell r="D208">
            <v>7920</v>
          </cell>
          <cell r="E208">
            <v>0</v>
          </cell>
          <cell r="F208">
            <v>7920</v>
          </cell>
        </row>
        <row r="209">
          <cell r="A209">
            <v>422000</v>
          </cell>
          <cell r="B209" t="str">
            <v>Electricity</v>
          </cell>
          <cell r="C209">
            <v>0</v>
          </cell>
          <cell r="D209">
            <v>626550</v>
          </cell>
          <cell r="E209">
            <v>390000</v>
          </cell>
          <cell r="F209">
            <v>236550</v>
          </cell>
        </row>
        <row r="210">
          <cell r="A210">
            <v>430000</v>
          </cell>
          <cell r="B210" t="str">
            <v>Costed Depreciation  - Buildings</v>
          </cell>
          <cell r="C210">
            <v>0</v>
          </cell>
          <cell r="D210">
            <v>254800</v>
          </cell>
          <cell r="E210">
            <v>0</v>
          </cell>
          <cell r="F210">
            <v>254800</v>
          </cell>
        </row>
        <row r="211">
          <cell r="A211">
            <v>430100</v>
          </cell>
          <cell r="B211" t="str">
            <v>Costed Depreciation on Machinery a.Techn.Equipmee</v>
          </cell>
          <cell r="C211">
            <v>0</v>
          </cell>
          <cell r="D211">
            <v>509672</v>
          </cell>
          <cell r="E211">
            <v>0</v>
          </cell>
          <cell r="F211">
            <v>509672</v>
          </cell>
        </row>
        <row r="212">
          <cell r="A212">
            <v>430110</v>
          </cell>
          <cell r="B212" t="str">
            <v>Costed Depreciation on Vehicles</v>
          </cell>
          <cell r="C212">
            <v>0</v>
          </cell>
          <cell r="D212">
            <v>25528</v>
          </cell>
          <cell r="E212">
            <v>0</v>
          </cell>
          <cell r="F212">
            <v>25528</v>
          </cell>
        </row>
        <row r="213">
          <cell r="A213">
            <v>435120</v>
          </cell>
          <cell r="B213" t="str">
            <v>Property Taxes and Rates</v>
          </cell>
          <cell r="C213">
            <v>0</v>
          </cell>
          <cell r="D213">
            <v>20242.5</v>
          </cell>
          <cell r="E213">
            <v>0</v>
          </cell>
          <cell r="F213">
            <v>20242.5</v>
          </cell>
        </row>
        <row r="214">
          <cell r="A214">
            <v>435300</v>
          </cell>
          <cell r="B214" t="str">
            <v>Fringe Benefits Tax</v>
          </cell>
          <cell r="C214">
            <v>0</v>
          </cell>
          <cell r="D214">
            <v>99392</v>
          </cell>
          <cell r="E214">
            <v>218</v>
          </cell>
          <cell r="F214">
            <v>99174</v>
          </cell>
        </row>
        <row r="215">
          <cell r="A215">
            <v>435500</v>
          </cell>
          <cell r="B215" t="str">
            <v>Purchase Tax</v>
          </cell>
          <cell r="C215">
            <v>0</v>
          </cell>
          <cell r="D215">
            <v>77580</v>
          </cell>
          <cell r="E215">
            <v>0</v>
          </cell>
          <cell r="F215">
            <v>77580</v>
          </cell>
        </row>
        <row r="216">
          <cell r="A216">
            <v>440200</v>
          </cell>
          <cell r="B216" t="str">
            <v>Toll Manufacturing charges</v>
          </cell>
          <cell r="C216">
            <v>0</v>
          </cell>
          <cell r="D216">
            <v>63489.66</v>
          </cell>
          <cell r="E216">
            <v>63489.66</v>
          </cell>
          <cell r="F216">
            <v>0</v>
          </cell>
        </row>
        <row r="217">
          <cell r="A217">
            <v>444100</v>
          </cell>
          <cell r="B217" t="str">
            <v>Rep.+Maintenance - Own non-residential buildings</v>
          </cell>
          <cell r="C217">
            <v>0</v>
          </cell>
          <cell r="D217">
            <v>309070</v>
          </cell>
          <cell r="E217">
            <v>75000</v>
          </cell>
          <cell r="F217">
            <v>234070</v>
          </cell>
        </row>
        <row r="218">
          <cell r="A218">
            <v>444200</v>
          </cell>
          <cell r="B218" t="str">
            <v>Rep.+Maintenance - Plant &amp; Machinery</v>
          </cell>
          <cell r="C218">
            <v>0</v>
          </cell>
          <cell r="D218">
            <v>12050</v>
          </cell>
          <cell r="E218">
            <v>0</v>
          </cell>
          <cell r="F218">
            <v>12050</v>
          </cell>
        </row>
        <row r="219">
          <cell r="A219">
            <v>444300</v>
          </cell>
          <cell r="B219" t="str">
            <v>Vehicles own - repairs &amp; maintenance</v>
          </cell>
          <cell r="C219">
            <v>0</v>
          </cell>
          <cell r="D219">
            <v>5285</v>
          </cell>
          <cell r="E219">
            <v>0</v>
          </cell>
          <cell r="F219">
            <v>5285</v>
          </cell>
        </row>
        <row r="220">
          <cell r="A220">
            <v>444360</v>
          </cell>
          <cell r="B220" t="str">
            <v>Rep.+Maintenance - Office Equipments</v>
          </cell>
          <cell r="C220">
            <v>0</v>
          </cell>
          <cell r="D220">
            <v>8957.82</v>
          </cell>
          <cell r="E220">
            <v>0</v>
          </cell>
          <cell r="F220">
            <v>8957.82</v>
          </cell>
        </row>
        <row r="221">
          <cell r="A221">
            <v>445140</v>
          </cell>
          <cell r="B221" t="str">
            <v>Laundry &amp; Dry Cleaning</v>
          </cell>
          <cell r="C221">
            <v>0</v>
          </cell>
          <cell r="D221">
            <v>2375</v>
          </cell>
          <cell r="E221">
            <v>0</v>
          </cell>
          <cell r="F221">
            <v>2375</v>
          </cell>
        </row>
        <row r="222">
          <cell r="A222">
            <v>445160</v>
          </cell>
          <cell r="B222" t="str">
            <v>Photocopying/duplicating charges</v>
          </cell>
          <cell r="C222">
            <v>0</v>
          </cell>
          <cell r="D222">
            <v>2601.5</v>
          </cell>
          <cell r="E222">
            <v>0</v>
          </cell>
          <cell r="F222">
            <v>2601.5</v>
          </cell>
        </row>
        <row r="223">
          <cell r="A223">
            <v>445300</v>
          </cell>
          <cell r="B223" t="str">
            <v>Security services</v>
          </cell>
          <cell r="C223">
            <v>0</v>
          </cell>
          <cell r="D223">
            <v>197258.78</v>
          </cell>
          <cell r="E223">
            <v>90000</v>
          </cell>
          <cell r="F223">
            <v>107258.78</v>
          </cell>
        </row>
        <row r="224">
          <cell r="A224">
            <v>450000</v>
          </cell>
          <cell r="B224" t="str">
            <v>Postage</v>
          </cell>
          <cell r="C224">
            <v>0</v>
          </cell>
          <cell r="D224">
            <v>20</v>
          </cell>
          <cell r="E224">
            <v>0</v>
          </cell>
          <cell r="F224">
            <v>20</v>
          </cell>
        </row>
        <row r="225">
          <cell r="A225">
            <v>450010</v>
          </cell>
          <cell r="B225" t="str">
            <v>Courier Services</v>
          </cell>
          <cell r="C225">
            <v>0</v>
          </cell>
          <cell r="D225">
            <v>40901</v>
          </cell>
          <cell r="E225">
            <v>24400</v>
          </cell>
          <cell r="F225">
            <v>16501</v>
          </cell>
        </row>
        <row r="226">
          <cell r="A226">
            <v>450100</v>
          </cell>
          <cell r="B226" t="str">
            <v>Telephone - General</v>
          </cell>
          <cell r="C226">
            <v>0</v>
          </cell>
          <cell r="D226">
            <v>137695.48000000001</v>
          </cell>
          <cell r="E226">
            <v>87600</v>
          </cell>
          <cell r="F226">
            <v>50095.48</v>
          </cell>
        </row>
        <row r="227">
          <cell r="A227">
            <v>450110</v>
          </cell>
          <cell r="B227" t="str">
            <v>Fax Expenses</v>
          </cell>
          <cell r="C227">
            <v>0</v>
          </cell>
          <cell r="D227">
            <v>4867.84</v>
          </cell>
          <cell r="E227">
            <v>3000</v>
          </cell>
          <cell r="F227">
            <v>1867.84</v>
          </cell>
        </row>
        <row r="228">
          <cell r="A228">
            <v>450600</v>
          </cell>
          <cell r="B228" t="str">
            <v>Telephone Charges - Mobile Phones</v>
          </cell>
          <cell r="C228">
            <v>0</v>
          </cell>
          <cell r="D228">
            <v>35160.75</v>
          </cell>
          <cell r="E228">
            <v>6000</v>
          </cell>
          <cell r="F228">
            <v>29160.75</v>
          </cell>
        </row>
        <row r="229">
          <cell r="A229">
            <v>451060</v>
          </cell>
          <cell r="B229" t="str">
            <v>Local Travel - Fare - others</v>
          </cell>
          <cell r="C229">
            <v>0</v>
          </cell>
          <cell r="D229">
            <v>9190</v>
          </cell>
          <cell r="E229">
            <v>16333</v>
          </cell>
          <cell r="G229">
            <v>7143</v>
          </cell>
        </row>
        <row r="230">
          <cell r="A230">
            <v>451070</v>
          </cell>
          <cell r="B230" t="str">
            <v>Local Travel - other than fare - others</v>
          </cell>
          <cell r="C230">
            <v>0</v>
          </cell>
          <cell r="D230">
            <v>5529</v>
          </cell>
          <cell r="E230">
            <v>0</v>
          </cell>
          <cell r="F230">
            <v>5529</v>
          </cell>
        </row>
        <row r="231">
          <cell r="A231">
            <v>452000</v>
          </cell>
          <cell r="B231" t="str">
            <v>Freight Out - Customers</v>
          </cell>
          <cell r="C231">
            <v>0</v>
          </cell>
          <cell r="D231">
            <v>292814.5</v>
          </cell>
          <cell r="E231">
            <v>193000</v>
          </cell>
          <cell r="F231">
            <v>99814.5</v>
          </cell>
        </row>
        <row r="232">
          <cell r="A232">
            <v>452001</v>
          </cell>
          <cell r="B232" t="str">
            <v>Freight on Stock Transfers</v>
          </cell>
          <cell r="C232">
            <v>0</v>
          </cell>
          <cell r="D232">
            <v>15550</v>
          </cell>
          <cell r="E232">
            <v>0</v>
          </cell>
          <cell r="F232">
            <v>15550</v>
          </cell>
        </row>
        <row r="233">
          <cell r="A233">
            <v>452003</v>
          </cell>
          <cell r="B233" t="str">
            <v>Freight In</v>
          </cell>
          <cell r="C233">
            <v>0</v>
          </cell>
          <cell r="D233">
            <v>17445</v>
          </cell>
          <cell r="E233">
            <v>0</v>
          </cell>
          <cell r="F233">
            <v>17445</v>
          </cell>
        </row>
        <row r="234">
          <cell r="A234">
            <v>452050</v>
          </cell>
          <cell r="B234" t="str">
            <v>Service Tax - Freight</v>
          </cell>
          <cell r="C234">
            <v>0</v>
          </cell>
          <cell r="D234">
            <v>3130.82</v>
          </cell>
          <cell r="E234">
            <v>0</v>
          </cell>
          <cell r="F234">
            <v>3130.82</v>
          </cell>
        </row>
        <row r="235">
          <cell r="A235">
            <v>452070</v>
          </cell>
          <cell r="B235" t="str">
            <v>Freight Out - Exports</v>
          </cell>
          <cell r="C235">
            <v>0</v>
          </cell>
          <cell r="D235">
            <v>95916.56</v>
          </cell>
          <cell r="E235">
            <v>66250</v>
          </cell>
          <cell r="F235">
            <v>29666.560000000001</v>
          </cell>
        </row>
        <row r="236">
          <cell r="A236">
            <v>452091</v>
          </cell>
          <cell r="B236" t="str">
            <v>Internal Shifting Charges</v>
          </cell>
          <cell r="C236">
            <v>0</v>
          </cell>
          <cell r="D236">
            <v>52600</v>
          </cell>
          <cell r="E236">
            <v>0</v>
          </cell>
          <cell r="F236">
            <v>52600</v>
          </cell>
        </row>
        <row r="237">
          <cell r="A237">
            <v>452100</v>
          </cell>
          <cell r="B237" t="str">
            <v>Freight out - Others</v>
          </cell>
          <cell r="C237">
            <v>0</v>
          </cell>
          <cell r="D237">
            <v>27249.4</v>
          </cell>
          <cell r="E237">
            <v>13274.7</v>
          </cell>
          <cell r="F237">
            <v>13974.7</v>
          </cell>
        </row>
        <row r="238">
          <cell r="A238">
            <v>453900</v>
          </cell>
          <cell r="B238" t="str">
            <v>Conveyance Expenses</v>
          </cell>
          <cell r="C238">
            <v>0</v>
          </cell>
          <cell r="D238">
            <v>132330</v>
          </cell>
          <cell r="E238">
            <v>75030</v>
          </cell>
          <cell r="F238">
            <v>57300</v>
          </cell>
        </row>
        <row r="239">
          <cell r="A239">
            <v>470000</v>
          </cell>
          <cell r="B239" t="str">
            <v>Insurance Premiums - Personal Accident</v>
          </cell>
          <cell r="C239">
            <v>0</v>
          </cell>
          <cell r="D239">
            <v>3363</v>
          </cell>
          <cell r="E239">
            <v>0</v>
          </cell>
          <cell r="F239">
            <v>3363</v>
          </cell>
        </row>
        <row r="240">
          <cell r="A240">
            <v>470800</v>
          </cell>
          <cell r="B240" t="str">
            <v>Insurance Premiums / Others</v>
          </cell>
          <cell r="C240">
            <v>0</v>
          </cell>
          <cell r="D240">
            <v>31721</v>
          </cell>
          <cell r="E240">
            <v>0</v>
          </cell>
          <cell r="F240">
            <v>31721</v>
          </cell>
        </row>
        <row r="241">
          <cell r="A241">
            <v>471030</v>
          </cell>
          <cell r="B241" t="str">
            <v>Stamps - other than postage</v>
          </cell>
          <cell r="C241">
            <v>0</v>
          </cell>
          <cell r="D241">
            <v>34</v>
          </cell>
          <cell r="E241">
            <v>0</v>
          </cell>
          <cell r="F241">
            <v>34</v>
          </cell>
        </row>
        <row r="242">
          <cell r="A242">
            <v>471070</v>
          </cell>
          <cell r="B242" t="str">
            <v>Octroi Duty</v>
          </cell>
          <cell r="C242">
            <v>0</v>
          </cell>
          <cell r="D242">
            <v>13785.99</v>
          </cell>
          <cell r="E242">
            <v>0</v>
          </cell>
          <cell r="F242">
            <v>13785.99</v>
          </cell>
        </row>
        <row r="243">
          <cell r="A243">
            <v>471090</v>
          </cell>
          <cell r="B243" t="str">
            <v>Filing, Tender,  Licence fees</v>
          </cell>
          <cell r="C243">
            <v>0</v>
          </cell>
          <cell r="D243">
            <v>23413</v>
          </cell>
          <cell r="E243">
            <v>0</v>
          </cell>
          <cell r="F243">
            <v>23413</v>
          </cell>
        </row>
        <row r="244">
          <cell r="A244">
            <v>472000</v>
          </cell>
          <cell r="B244" t="str">
            <v>Membership Fees (Association )</v>
          </cell>
          <cell r="C244">
            <v>0</v>
          </cell>
          <cell r="D244">
            <v>2503</v>
          </cell>
          <cell r="E244">
            <v>0</v>
          </cell>
          <cell r="F244">
            <v>2503</v>
          </cell>
        </row>
        <row r="245">
          <cell r="A245">
            <v>473100</v>
          </cell>
          <cell r="B245" t="str">
            <v>Donations - Public Relations</v>
          </cell>
          <cell r="C245">
            <v>0</v>
          </cell>
          <cell r="D245">
            <v>1500000</v>
          </cell>
          <cell r="E245">
            <v>0</v>
          </cell>
          <cell r="F245">
            <v>1500000</v>
          </cell>
        </row>
        <row r="246">
          <cell r="A246">
            <v>475100</v>
          </cell>
          <cell r="B246" t="str">
            <v>Books, Newspapers, Journal</v>
          </cell>
          <cell r="C246">
            <v>0</v>
          </cell>
          <cell r="D246">
            <v>539</v>
          </cell>
          <cell r="E246">
            <v>0</v>
          </cell>
          <cell r="F246">
            <v>539</v>
          </cell>
        </row>
        <row r="247">
          <cell r="A247">
            <v>475120</v>
          </cell>
          <cell r="B247" t="str">
            <v>Printing Costs</v>
          </cell>
          <cell r="C247">
            <v>0</v>
          </cell>
          <cell r="D247">
            <v>2330</v>
          </cell>
          <cell r="E247">
            <v>0</v>
          </cell>
          <cell r="F247">
            <v>2330</v>
          </cell>
        </row>
        <row r="248">
          <cell r="A248">
            <v>475350</v>
          </cell>
          <cell r="B248" t="str">
            <v>Business Development Expenses</v>
          </cell>
          <cell r="C248">
            <v>0</v>
          </cell>
          <cell r="D248">
            <v>2921</v>
          </cell>
          <cell r="E248">
            <v>0</v>
          </cell>
          <cell r="F248">
            <v>2921</v>
          </cell>
        </row>
        <row r="249">
          <cell r="A249">
            <v>476020</v>
          </cell>
          <cell r="B249" t="str">
            <v>Service Fees - Payable</v>
          </cell>
          <cell r="C249">
            <v>0</v>
          </cell>
          <cell r="D249">
            <v>48181</v>
          </cell>
          <cell r="E249">
            <v>13187</v>
          </cell>
          <cell r="F249">
            <v>34994</v>
          </cell>
        </row>
        <row r="250">
          <cell r="A250">
            <v>477100</v>
          </cell>
          <cell r="B250" t="str">
            <v>Rent and Leases -  Warehouses</v>
          </cell>
          <cell r="C250">
            <v>0</v>
          </cell>
          <cell r="D250">
            <v>335200</v>
          </cell>
          <cell r="E250">
            <v>287200</v>
          </cell>
          <cell r="F250">
            <v>48000</v>
          </cell>
        </row>
        <row r="251">
          <cell r="A251">
            <v>477500</v>
          </cell>
          <cell r="B251" t="str">
            <v>Vehicles - Toll / Parking charges</v>
          </cell>
          <cell r="C251">
            <v>0</v>
          </cell>
          <cell r="D251">
            <v>838</v>
          </cell>
          <cell r="E251">
            <v>0</v>
          </cell>
          <cell r="F251">
            <v>838</v>
          </cell>
        </row>
        <row r="252">
          <cell r="A252">
            <v>477700</v>
          </cell>
          <cell r="B252" t="str">
            <v>Aircondition Charges</v>
          </cell>
          <cell r="C252">
            <v>0</v>
          </cell>
          <cell r="D252">
            <v>1051</v>
          </cell>
          <cell r="E252">
            <v>0</v>
          </cell>
          <cell r="F252">
            <v>1051</v>
          </cell>
        </row>
        <row r="253">
          <cell r="A253">
            <v>478100</v>
          </cell>
          <cell r="B253" t="str">
            <v>Refreshment during business discussions</v>
          </cell>
          <cell r="C253">
            <v>0</v>
          </cell>
          <cell r="D253">
            <v>18117.25</v>
          </cell>
          <cell r="E253">
            <v>0</v>
          </cell>
          <cell r="F253">
            <v>18117.25</v>
          </cell>
        </row>
        <row r="254">
          <cell r="A254">
            <v>479400</v>
          </cell>
          <cell r="B254" t="str">
            <v>SAP Cost - Tr from Def Rev Expenditure</v>
          </cell>
          <cell r="C254">
            <v>0</v>
          </cell>
          <cell r="D254">
            <v>600000</v>
          </cell>
          <cell r="E254">
            <v>0</v>
          </cell>
          <cell r="F254">
            <v>600000</v>
          </cell>
        </row>
        <row r="255">
          <cell r="A255">
            <v>479415</v>
          </cell>
          <cell r="B255" t="str">
            <v>Income Tax Consultants</v>
          </cell>
          <cell r="C255">
            <v>0</v>
          </cell>
          <cell r="D255">
            <v>20000</v>
          </cell>
          <cell r="E255">
            <v>0</v>
          </cell>
          <cell r="F255">
            <v>20000</v>
          </cell>
        </row>
        <row r="256">
          <cell r="A256">
            <v>479490</v>
          </cell>
          <cell r="B256" t="str">
            <v>Other Consultants</v>
          </cell>
          <cell r="C256">
            <v>0</v>
          </cell>
          <cell r="D256">
            <v>133986</v>
          </cell>
          <cell r="E256">
            <v>61800</v>
          </cell>
          <cell r="F256">
            <v>72186</v>
          </cell>
        </row>
        <row r="257">
          <cell r="A257">
            <v>479510</v>
          </cell>
          <cell r="B257" t="str">
            <v>Professional Fees - Marketing</v>
          </cell>
          <cell r="C257">
            <v>0</v>
          </cell>
          <cell r="D257">
            <v>120200</v>
          </cell>
          <cell r="E257">
            <v>67500</v>
          </cell>
          <cell r="F257">
            <v>52700</v>
          </cell>
        </row>
        <row r="258">
          <cell r="A258">
            <v>479520</v>
          </cell>
          <cell r="B258" t="str">
            <v>Professional Fees - Industrial</v>
          </cell>
          <cell r="C258">
            <v>0</v>
          </cell>
          <cell r="D258">
            <v>1391500</v>
          </cell>
          <cell r="E258">
            <v>500000</v>
          </cell>
          <cell r="F258">
            <v>891500</v>
          </cell>
        </row>
        <row r="259">
          <cell r="A259">
            <v>479530</v>
          </cell>
          <cell r="B259" t="str">
            <v>Professional Fees - Management</v>
          </cell>
          <cell r="C259">
            <v>0</v>
          </cell>
          <cell r="D259">
            <v>506500</v>
          </cell>
          <cell r="E259">
            <v>0</v>
          </cell>
          <cell r="F259">
            <v>506500</v>
          </cell>
        </row>
        <row r="260">
          <cell r="A260">
            <v>479900</v>
          </cell>
          <cell r="B260" t="str">
            <v>MISCELLANEOUS EXPENSES</v>
          </cell>
          <cell r="C260">
            <v>0</v>
          </cell>
          <cell r="D260">
            <v>1148</v>
          </cell>
          <cell r="E260">
            <v>60000</v>
          </cell>
          <cell r="G260">
            <v>58852</v>
          </cell>
        </row>
        <row r="261">
          <cell r="A261">
            <v>700000</v>
          </cell>
          <cell r="B261" t="str">
            <v>OMP - Produced</v>
          </cell>
          <cell r="C261">
            <v>0</v>
          </cell>
          <cell r="D261">
            <v>85386.38</v>
          </cell>
          <cell r="E261">
            <v>1492625</v>
          </cell>
          <cell r="G261">
            <v>1407238.62</v>
          </cell>
        </row>
        <row r="262">
          <cell r="A262">
            <v>700300</v>
          </cell>
          <cell r="B262" t="str">
            <v>CONTRA - IDLE COST / COST DIFFERENCE</v>
          </cell>
          <cell r="C262">
            <v>0</v>
          </cell>
          <cell r="D262">
            <v>0</v>
          </cell>
          <cell r="E262">
            <v>19209763.940000001</v>
          </cell>
          <cell r="G262">
            <v>19209763.940000001</v>
          </cell>
        </row>
        <row r="263">
          <cell r="A263">
            <v>700400</v>
          </cell>
          <cell r="B263" t="str">
            <v>COST DIFFERENCE (ACTUAL AND PCC)</v>
          </cell>
          <cell r="C263">
            <v>0</v>
          </cell>
          <cell r="D263">
            <v>1734.77</v>
          </cell>
          <cell r="E263">
            <v>86141.53</v>
          </cell>
          <cell r="G263">
            <v>84406.76</v>
          </cell>
        </row>
        <row r="264">
          <cell r="A264">
            <v>700500</v>
          </cell>
          <cell r="B264" t="str">
            <v>IDLE COST (UNDER UTILIZED PRODUCTION CAPACITY)</v>
          </cell>
          <cell r="C264">
            <v>0</v>
          </cell>
          <cell r="D264">
            <v>19294170.699999999</v>
          </cell>
          <cell r="E264">
            <v>0</v>
          </cell>
          <cell r="F264">
            <v>19294170.699999999</v>
          </cell>
        </row>
        <row r="265">
          <cell r="A265">
            <v>800000</v>
          </cell>
          <cell r="B265" t="str">
            <v>Cost of Sales - Products(OMP)</v>
          </cell>
          <cell r="C265">
            <v>0</v>
          </cell>
          <cell r="D265">
            <v>1834599.15</v>
          </cell>
          <cell r="E265">
            <v>195643.26</v>
          </cell>
          <cell r="F265">
            <v>1638955.89</v>
          </cell>
        </row>
        <row r="266">
          <cell r="A266">
            <v>810000</v>
          </cell>
          <cell r="B266" t="str">
            <v>Cost of Sales - Merchandise</v>
          </cell>
          <cell r="C266">
            <v>0</v>
          </cell>
          <cell r="D266">
            <v>1647247.64</v>
          </cell>
          <cell r="E266">
            <v>51088.07</v>
          </cell>
          <cell r="F266">
            <v>1596159.57</v>
          </cell>
        </row>
        <row r="267">
          <cell r="A267">
            <v>815000</v>
          </cell>
          <cell r="B267" t="str">
            <v>Price Differences on COS- from Acct Payable -OMP</v>
          </cell>
          <cell r="C267">
            <v>0</v>
          </cell>
          <cell r="D267">
            <v>12214.73</v>
          </cell>
          <cell r="E267">
            <v>12002.14</v>
          </cell>
          <cell r="F267">
            <v>212.59</v>
          </cell>
        </row>
        <row r="268">
          <cell r="A268">
            <v>815010</v>
          </cell>
          <cell r="B268" t="str">
            <v>Price Differences on COS-from Acct Pay-Merchandise</v>
          </cell>
          <cell r="C268">
            <v>0</v>
          </cell>
          <cell r="D268">
            <v>3819.96</v>
          </cell>
          <cell r="E268">
            <v>5299.66</v>
          </cell>
          <cell r="G268">
            <v>1479.7</v>
          </cell>
        </row>
        <row r="269">
          <cell r="A269">
            <v>900000</v>
          </cell>
          <cell r="B269" t="str">
            <v>Sales Products</v>
          </cell>
          <cell r="C269">
            <v>0</v>
          </cell>
          <cell r="D269">
            <v>260779.34</v>
          </cell>
          <cell r="E269">
            <v>2397185.52</v>
          </cell>
          <cell r="G269">
            <v>2136406.1800000002</v>
          </cell>
        </row>
        <row r="270">
          <cell r="A270">
            <v>900100</v>
          </cell>
          <cell r="B270" t="str">
            <v>Excise Duty - Sales</v>
          </cell>
          <cell r="C270">
            <v>0</v>
          </cell>
          <cell r="D270">
            <v>32354.94</v>
          </cell>
          <cell r="E270">
            <v>316309.63</v>
          </cell>
          <cell r="G270">
            <v>283954.69</v>
          </cell>
        </row>
        <row r="271">
          <cell r="A271">
            <v>910000</v>
          </cell>
          <cell r="B271" t="str">
            <v>Sales Merchandise</v>
          </cell>
          <cell r="C271">
            <v>0</v>
          </cell>
          <cell r="D271">
            <v>74401</v>
          </cell>
          <cell r="E271">
            <v>2511491.54</v>
          </cell>
          <cell r="G271">
            <v>2437090.54</v>
          </cell>
        </row>
        <row r="272">
          <cell r="A272">
            <v>943070</v>
          </cell>
          <cell r="B272" t="str">
            <v>Allowances on Products</v>
          </cell>
          <cell r="C272">
            <v>0</v>
          </cell>
          <cell r="D272">
            <v>216373.68</v>
          </cell>
          <cell r="E272">
            <v>46896.959999999999</v>
          </cell>
          <cell r="F272">
            <v>169476.72</v>
          </cell>
        </row>
        <row r="273">
          <cell r="A273">
            <v>944070</v>
          </cell>
          <cell r="B273" t="str">
            <v>Allowances on Merchandise</v>
          </cell>
          <cell r="C273">
            <v>0</v>
          </cell>
          <cell r="D273">
            <v>131884.4</v>
          </cell>
          <cell r="E273">
            <v>0</v>
          </cell>
          <cell r="F273">
            <v>131884.4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Inv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Variance"/>
      <sheetName val="vari-1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8">
          <cell r="B48">
            <v>0</v>
          </cell>
        </row>
        <row r="109">
          <cell r="B109">
            <v>-100000</v>
          </cell>
        </row>
        <row r="125">
          <cell r="B125">
            <v>0</v>
          </cell>
        </row>
        <row r="131">
          <cell r="B131">
            <v>-37516</v>
          </cell>
        </row>
      </sheetData>
      <sheetData sheetId="17" refreshError="1"/>
      <sheetData sheetId="18" refreshError="1"/>
      <sheetData sheetId="19">
        <row r="8">
          <cell r="B8">
            <v>-21000</v>
          </cell>
        </row>
        <row r="18">
          <cell r="B18">
            <v>0</v>
          </cell>
        </row>
        <row r="22">
          <cell r="B22">
            <v>0</v>
          </cell>
        </row>
        <row r="23">
          <cell r="B23">
            <v>0</v>
          </cell>
        </row>
        <row r="33">
          <cell r="B33">
            <v>158708</v>
          </cell>
        </row>
        <row r="43">
          <cell r="B43">
            <v>-71843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K-ACTS"/>
      <sheetName val="EMPCOST"/>
      <sheetName val="BRANCH"/>
      <sheetName val="CARRY-FORW"/>
      <sheetName val="INCO_HOUS"/>
      <sheetName val="COST_ACQ"/>
      <sheetName val="CAP_WRK"/>
      <sheetName val="GRAT"/>
      <sheetName val="WBACK_PRV"/>
      <sheetName val="SALES-TX"/>
      <sheetName val="DIVD-INC"/>
      <sheetName val="DISALL 43B"/>
      <sheetName val="AGRI_INC"/>
      <sheetName val="MAIN-COMP"/>
      <sheetName val="INDEX"/>
      <sheetName val="MAIN_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K-ACTS"/>
      <sheetName val="EMPCOST"/>
      <sheetName val="BRANCH"/>
      <sheetName val="CARRY-FORW"/>
      <sheetName val="INCO_HOUS"/>
      <sheetName val="COST_ACQ"/>
      <sheetName val="CAP_WRK"/>
      <sheetName val="GRAT"/>
      <sheetName val="WBACK_PRV"/>
      <sheetName val="SALES-TX"/>
      <sheetName val="DIVD-INC"/>
      <sheetName val="DISALL 43B"/>
      <sheetName val="AGRI_INC"/>
      <sheetName val="MAIN-COMP"/>
      <sheetName val="INDEX"/>
      <sheetName val="MAIN_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1"/>
      <sheetName val="__FDSCACHE__"/>
      <sheetName val="C Sum"/>
      <sheetName val="A Sum"/>
      <sheetName val="S Sum"/>
      <sheetName val="C CF Y"/>
      <sheetName val="A CF Y"/>
      <sheetName val="S CF Y"/>
      <sheetName val="A CF M"/>
      <sheetName val="S CF M"/>
      <sheetName val="A Cap&amp;Debt M"/>
      <sheetName val="S Cap&amp;Debt M"/>
      <sheetName val="Fees"/>
      <sheetName val="BKCSTOCKVAL"/>
      <sheetName val="MAHSTOCKVAL"/>
      <sheetName val="C_Sum"/>
      <sheetName val="A_Sum"/>
      <sheetName val="S_Sum"/>
      <sheetName val="C_CF_Y"/>
      <sheetName val="A_CF_Y"/>
      <sheetName val="S_CF_Y"/>
      <sheetName val="A_CF_M"/>
      <sheetName val="S_CF_M"/>
      <sheetName val="A_Cap&amp;Debt_M"/>
      <sheetName val="S_Cap&amp;Debt_M"/>
      <sheetName val="Detail"/>
      <sheetName val="COST"/>
      <sheetName val="DATA"/>
      <sheetName val="C_Sum1"/>
      <sheetName val="A_Sum1"/>
      <sheetName val="S_Sum1"/>
      <sheetName val="C_CF_Y1"/>
      <sheetName val="A_CF_Y1"/>
      <sheetName val="S_CF_Y1"/>
      <sheetName val="A_CF_M1"/>
      <sheetName val="S_CF_M1"/>
      <sheetName val="A_Cap&amp;Debt_M1"/>
      <sheetName val="S_Cap&amp;Debt_M1"/>
      <sheetName val="MN_T_B_"/>
    </sheetNames>
    <sheetDataSet>
      <sheetData sheetId="0">
        <row r="91">
          <cell r="C91" t="str">
            <v>PROJECT MINUTEMAN</v>
          </cell>
        </row>
      </sheetData>
      <sheetData sheetId="1">
        <row r="10">
          <cell r="B10" t="str">
            <v>Andover</v>
          </cell>
        </row>
      </sheetData>
      <sheetData sheetId="2" refreshError="1">
        <row r="91">
          <cell r="C91" t="str">
            <v>PROJECT MINUTEMAN</v>
          </cell>
        </row>
        <row r="126">
          <cell r="C126" t="str">
            <v>Andover is Leased to Multiple Tenants</v>
          </cell>
        </row>
      </sheetData>
      <sheetData sheetId="3" refreshError="1">
        <row r="10">
          <cell r="B10" t="str">
            <v>Andover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>
            <v>223033</v>
          </cell>
        </row>
        <row r="8">
          <cell r="B8">
            <v>-14075776</v>
          </cell>
        </row>
        <row r="9">
          <cell r="B9">
            <v>-3626817</v>
          </cell>
        </row>
        <row r="10">
          <cell r="B10">
            <v>1</v>
          </cell>
        </row>
        <row r="11">
          <cell r="B11">
            <v>1024285</v>
          </cell>
        </row>
        <row r="12">
          <cell r="B12">
            <v>-1187413</v>
          </cell>
        </row>
        <row r="13">
          <cell r="B13">
            <v>16168</v>
          </cell>
        </row>
        <row r="16">
          <cell r="B16">
            <v>34700058</v>
          </cell>
        </row>
        <row r="17">
          <cell r="B17">
            <v>5266138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100</v>
          </cell>
        </row>
        <row r="23">
          <cell r="B23">
            <v>29874</v>
          </cell>
        </row>
        <row r="25">
          <cell r="B25">
            <v>16450</v>
          </cell>
        </row>
        <row r="26">
          <cell r="B26">
            <v>12371</v>
          </cell>
        </row>
        <row r="27">
          <cell r="B27">
            <v>0</v>
          </cell>
        </row>
        <row r="28">
          <cell r="B28">
            <v>41076</v>
          </cell>
        </row>
        <row r="29">
          <cell r="B29">
            <v>4060</v>
          </cell>
        </row>
        <row r="31">
          <cell r="B31">
            <v>3619772</v>
          </cell>
        </row>
        <row r="32">
          <cell r="B32">
            <v>97</v>
          </cell>
        </row>
        <row r="34">
          <cell r="B34">
            <v>6193912</v>
          </cell>
        </row>
        <row r="36">
          <cell r="B36">
            <v>-131</v>
          </cell>
        </row>
        <row r="37">
          <cell r="B37">
            <v>0</v>
          </cell>
        </row>
        <row r="38">
          <cell r="B38">
            <v>65277</v>
          </cell>
        </row>
        <row r="39">
          <cell r="B39">
            <v>-7184</v>
          </cell>
        </row>
        <row r="40">
          <cell r="B40">
            <v>90000</v>
          </cell>
        </row>
        <row r="41">
          <cell r="B41">
            <v>7688110</v>
          </cell>
        </row>
        <row r="42">
          <cell r="B42">
            <v>60119</v>
          </cell>
        </row>
        <row r="43">
          <cell r="B43">
            <v>0</v>
          </cell>
        </row>
        <row r="44">
          <cell r="B44">
            <v>1701</v>
          </cell>
        </row>
        <row r="45">
          <cell r="B45">
            <v>4000</v>
          </cell>
        </row>
        <row r="46">
          <cell r="B46">
            <v>22478</v>
          </cell>
        </row>
        <row r="47">
          <cell r="B47">
            <v>642021383</v>
          </cell>
        </row>
        <row r="48">
          <cell r="B48">
            <v>98610542</v>
          </cell>
        </row>
        <row r="49">
          <cell r="B49">
            <v>555957</v>
          </cell>
        </row>
        <row r="50">
          <cell r="B50">
            <v>158887121</v>
          </cell>
        </row>
        <row r="51">
          <cell r="B51">
            <v>24487685</v>
          </cell>
        </row>
        <row r="52">
          <cell r="B52">
            <v>1407218</v>
          </cell>
        </row>
        <row r="53">
          <cell r="B53">
            <v>60153</v>
          </cell>
        </row>
        <row r="54">
          <cell r="B54">
            <v>89830</v>
          </cell>
        </row>
        <row r="55">
          <cell r="B55">
            <v>82901</v>
          </cell>
        </row>
        <row r="56">
          <cell r="B56">
            <v>25245532</v>
          </cell>
        </row>
        <row r="57">
          <cell r="B57">
            <v>0</v>
          </cell>
        </row>
        <row r="58">
          <cell r="B58">
            <v>15000000</v>
          </cell>
        </row>
        <row r="59">
          <cell r="B59">
            <v>7549</v>
          </cell>
        </row>
        <row r="60">
          <cell r="B60">
            <v>0</v>
          </cell>
        </row>
        <row r="61">
          <cell r="B61">
            <v>7133</v>
          </cell>
        </row>
        <row r="63">
          <cell r="B63">
            <v>0</v>
          </cell>
        </row>
        <row r="64">
          <cell r="B64">
            <v>58788</v>
          </cell>
        </row>
        <row r="65">
          <cell r="B65">
            <v>863466</v>
          </cell>
        </row>
        <row r="67">
          <cell r="B67">
            <v>524581</v>
          </cell>
        </row>
        <row r="68">
          <cell r="B68">
            <v>1748476</v>
          </cell>
        </row>
        <row r="69">
          <cell r="B69">
            <v>9222968</v>
          </cell>
        </row>
        <row r="70">
          <cell r="B70">
            <v>18292</v>
          </cell>
        </row>
        <row r="71">
          <cell r="B71">
            <v>185709</v>
          </cell>
        </row>
        <row r="72">
          <cell r="B72">
            <v>280000</v>
          </cell>
        </row>
        <row r="73">
          <cell r="B73">
            <v>95861</v>
          </cell>
        </row>
        <row r="74">
          <cell r="B74">
            <v>2767500</v>
          </cell>
        </row>
        <row r="75">
          <cell r="B75">
            <v>990216</v>
          </cell>
        </row>
        <row r="76">
          <cell r="B76">
            <v>73089853</v>
          </cell>
        </row>
        <row r="77">
          <cell r="B77">
            <v>215507</v>
          </cell>
        </row>
        <row r="78">
          <cell r="B78">
            <v>12443423</v>
          </cell>
        </row>
        <row r="79">
          <cell r="B79">
            <v>307410</v>
          </cell>
        </row>
        <row r="80">
          <cell r="B80">
            <v>11896</v>
          </cell>
        </row>
        <row r="81">
          <cell r="B81">
            <v>2056613</v>
          </cell>
        </row>
        <row r="83">
          <cell r="B83">
            <v>13844</v>
          </cell>
        </row>
        <row r="84">
          <cell r="B84">
            <v>2500</v>
          </cell>
        </row>
        <row r="85">
          <cell r="B85">
            <v>819146</v>
          </cell>
        </row>
        <row r="86">
          <cell r="B86">
            <v>105832</v>
          </cell>
        </row>
        <row r="87">
          <cell r="B87">
            <v>75314592</v>
          </cell>
        </row>
        <row r="88">
          <cell r="B88">
            <v>7784730</v>
          </cell>
        </row>
        <row r="89">
          <cell r="B89">
            <v>70000</v>
          </cell>
        </row>
        <row r="90">
          <cell r="B90">
            <v>2312914</v>
          </cell>
        </row>
        <row r="91">
          <cell r="B91">
            <v>463966</v>
          </cell>
        </row>
        <row r="92">
          <cell r="B92">
            <v>829235</v>
          </cell>
        </row>
        <row r="93">
          <cell r="B93">
            <v>663771</v>
          </cell>
        </row>
        <row r="94">
          <cell r="B94">
            <v>427226</v>
          </cell>
        </row>
        <row r="95">
          <cell r="B95">
            <v>59205</v>
          </cell>
        </row>
        <row r="96">
          <cell r="B96">
            <v>55228</v>
          </cell>
        </row>
        <row r="97">
          <cell r="B97">
            <v>1095106</v>
          </cell>
        </row>
        <row r="98">
          <cell r="B98">
            <v>19715</v>
          </cell>
        </row>
        <row r="99">
          <cell r="B99">
            <v>733246</v>
          </cell>
        </row>
        <row r="100">
          <cell r="B100">
            <v>12221</v>
          </cell>
        </row>
        <row r="101">
          <cell r="B101">
            <v>2180155</v>
          </cell>
        </row>
        <row r="102">
          <cell r="B102">
            <v>1282947</v>
          </cell>
        </row>
        <row r="103">
          <cell r="B103">
            <v>1207633</v>
          </cell>
        </row>
        <row r="104">
          <cell r="B104">
            <v>67847</v>
          </cell>
        </row>
        <row r="105">
          <cell r="B105">
            <v>5134259</v>
          </cell>
        </row>
        <row r="106">
          <cell r="B106">
            <v>118000</v>
          </cell>
        </row>
        <row r="107">
          <cell r="B107">
            <v>2500000</v>
          </cell>
        </row>
        <row r="108">
          <cell r="B108">
            <v>51871</v>
          </cell>
        </row>
        <row r="109">
          <cell r="B109">
            <v>1021478</v>
          </cell>
        </row>
        <row r="110">
          <cell r="B110">
            <v>1599610</v>
          </cell>
        </row>
        <row r="111">
          <cell r="B111">
            <v>1428403</v>
          </cell>
        </row>
        <row r="112">
          <cell r="B112">
            <v>860</v>
          </cell>
        </row>
        <row r="113">
          <cell r="B113">
            <v>2069</v>
          </cell>
        </row>
        <row r="114">
          <cell r="B114">
            <v>1437125</v>
          </cell>
        </row>
        <row r="115">
          <cell r="B115">
            <v>143406</v>
          </cell>
        </row>
        <row r="116">
          <cell r="B116">
            <v>0</v>
          </cell>
        </row>
        <row r="117">
          <cell r="B117">
            <v>2354001</v>
          </cell>
        </row>
        <row r="118">
          <cell r="B118">
            <v>322353</v>
          </cell>
        </row>
        <row r="119">
          <cell r="B119">
            <v>27695497</v>
          </cell>
        </row>
        <row r="120">
          <cell r="B120">
            <v>3462703</v>
          </cell>
        </row>
        <row r="121">
          <cell r="B121">
            <v>1063728</v>
          </cell>
        </row>
        <row r="122">
          <cell r="B122">
            <v>698981</v>
          </cell>
        </row>
        <row r="123">
          <cell r="B123">
            <v>5946304</v>
          </cell>
        </row>
        <row r="124">
          <cell r="B124">
            <v>86375</v>
          </cell>
        </row>
        <row r="125">
          <cell r="B125">
            <v>178221</v>
          </cell>
        </row>
        <row r="126">
          <cell r="B126">
            <v>42477</v>
          </cell>
        </row>
        <row r="127">
          <cell r="B127">
            <v>16044</v>
          </cell>
        </row>
        <row r="128">
          <cell r="B128">
            <v>991671</v>
          </cell>
        </row>
        <row r="129">
          <cell r="B129">
            <v>49625</v>
          </cell>
        </row>
        <row r="130">
          <cell r="B130">
            <v>71929</v>
          </cell>
        </row>
        <row r="131">
          <cell r="B131">
            <v>500000</v>
          </cell>
        </row>
        <row r="132">
          <cell r="B132">
            <v>14372</v>
          </cell>
        </row>
        <row r="133">
          <cell r="B133">
            <v>159378</v>
          </cell>
        </row>
        <row r="134">
          <cell r="B134">
            <v>1234528</v>
          </cell>
        </row>
        <row r="135">
          <cell r="B135">
            <v>118222</v>
          </cell>
        </row>
        <row r="136">
          <cell r="B136">
            <v>843583</v>
          </cell>
        </row>
        <row r="137">
          <cell r="B137">
            <v>1012608</v>
          </cell>
        </row>
        <row r="138">
          <cell r="B138">
            <v>11495433</v>
          </cell>
        </row>
        <row r="139">
          <cell r="B139">
            <v>76450</v>
          </cell>
        </row>
        <row r="140">
          <cell r="B140">
            <v>3411</v>
          </cell>
        </row>
        <row r="141">
          <cell r="B141">
            <v>600396</v>
          </cell>
        </row>
        <row r="142">
          <cell r="B142">
            <v>1799691</v>
          </cell>
        </row>
        <row r="143">
          <cell r="B143">
            <v>3885</v>
          </cell>
        </row>
        <row r="144">
          <cell r="B144">
            <v>1148942</v>
          </cell>
        </row>
        <row r="145">
          <cell r="B145">
            <v>0</v>
          </cell>
        </row>
        <row r="146">
          <cell r="B146">
            <v>13475</v>
          </cell>
        </row>
        <row r="147">
          <cell r="B147">
            <v>-118615</v>
          </cell>
        </row>
        <row r="148">
          <cell r="B148">
            <v>-2159187</v>
          </cell>
        </row>
        <row r="149">
          <cell r="B149">
            <v>-632184</v>
          </cell>
        </row>
        <row r="150">
          <cell r="B150">
            <v>-2250000</v>
          </cell>
        </row>
        <row r="151">
          <cell r="B151">
            <v>-11967</v>
          </cell>
        </row>
        <row r="152">
          <cell r="B152">
            <v>-361641</v>
          </cell>
        </row>
        <row r="153">
          <cell r="B153">
            <v>-6446036</v>
          </cell>
        </row>
        <row r="154">
          <cell r="B154">
            <v>-761774</v>
          </cell>
        </row>
        <row r="155">
          <cell r="B155">
            <v>-22500431</v>
          </cell>
        </row>
        <row r="156">
          <cell r="B156">
            <v>-8570</v>
          </cell>
        </row>
        <row r="157">
          <cell r="B157">
            <v>-148856</v>
          </cell>
        </row>
        <row r="158">
          <cell r="B158">
            <v>-4864844</v>
          </cell>
        </row>
        <row r="159">
          <cell r="B159">
            <v>-61792</v>
          </cell>
        </row>
        <row r="160">
          <cell r="B160">
            <v>-41825000</v>
          </cell>
        </row>
        <row r="161">
          <cell r="B161">
            <v>-392910</v>
          </cell>
        </row>
        <row r="162">
          <cell r="B162">
            <v>-37828192</v>
          </cell>
        </row>
        <row r="163">
          <cell r="B163">
            <v>-30311</v>
          </cell>
        </row>
        <row r="164">
          <cell r="B164">
            <v>-1610112</v>
          </cell>
        </row>
        <row r="165">
          <cell r="B165">
            <v>-116726</v>
          </cell>
        </row>
        <row r="166">
          <cell r="B166">
            <v>-9278071</v>
          </cell>
        </row>
        <row r="167">
          <cell r="B167">
            <v>0</v>
          </cell>
        </row>
        <row r="168">
          <cell r="B168">
            <v>-197037552</v>
          </cell>
        </row>
        <row r="169">
          <cell r="B169">
            <v>-3218707</v>
          </cell>
        </row>
        <row r="170">
          <cell r="B170">
            <v>-8447</v>
          </cell>
        </row>
        <row r="171">
          <cell r="B171">
            <v>-2311023</v>
          </cell>
        </row>
        <row r="172">
          <cell r="B172">
            <v>296941</v>
          </cell>
        </row>
        <row r="173">
          <cell r="B173">
            <v>-675162</v>
          </cell>
        </row>
        <row r="174">
          <cell r="B174">
            <v>-601334</v>
          </cell>
        </row>
        <row r="175">
          <cell r="B175">
            <v>-143386</v>
          </cell>
        </row>
        <row r="176">
          <cell r="B176">
            <v>0</v>
          </cell>
        </row>
        <row r="177">
          <cell r="B177">
            <v>-18170540</v>
          </cell>
        </row>
        <row r="178">
          <cell r="B178">
            <v>0</v>
          </cell>
        </row>
        <row r="179">
          <cell r="B179">
            <v>-220120</v>
          </cell>
        </row>
        <row r="180">
          <cell r="B180">
            <v>116</v>
          </cell>
        </row>
        <row r="181">
          <cell r="B181">
            <v>-3500</v>
          </cell>
        </row>
        <row r="182">
          <cell r="B182">
            <v>-169978</v>
          </cell>
        </row>
        <row r="183">
          <cell r="B183">
            <v>-250000</v>
          </cell>
        </row>
        <row r="184">
          <cell r="B184">
            <v>-524634</v>
          </cell>
        </row>
        <row r="185">
          <cell r="B185">
            <v>-188932</v>
          </cell>
        </row>
        <row r="188">
          <cell r="B188">
            <v>-12715</v>
          </cell>
        </row>
        <row r="189">
          <cell r="B189">
            <v>-2970</v>
          </cell>
        </row>
        <row r="192">
          <cell r="B192">
            <v>0</v>
          </cell>
        </row>
        <row r="194">
          <cell r="B194">
            <v>-1437819</v>
          </cell>
        </row>
        <row r="195">
          <cell r="B195">
            <v>-7396</v>
          </cell>
        </row>
        <row r="199">
          <cell r="B199">
            <v>-9788065</v>
          </cell>
        </row>
        <row r="200">
          <cell r="B200">
            <v>712093462</v>
          </cell>
        </row>
        <row r="201">
          <cell r="B201">
            <v>-792759031</v>
          </cell>
        </row>
        <row r="202">
          <cell r="B202">
            <v>-750000000</v>
          </cell>
        </row>
        <row r="204">
          <cell r="B204">
            <v>54397</v>
          </cell>
        </row>
        <row r="205">
          <cell r="B205">
            <v>-3086589</v>
          </cell>
        </row>
        <row r="207">
          <cell r="B207">
            <v>17241</v>
          </cell>
        </row>
        <row r="208">
          <cell r="B208">
            <v>-31816</v>
          </cell>
        </row>
        <row r="209">
          <cell r="B209">
            <v>-5991</v>
          </cell>
        </row>
        <row r="210">
          <cell r="B210">
            <v>-62117</v>
          </cell>
        </row>
        <row r="211">
          <cell r="B211">
            <v>-194704</v>
          </cell>
        </row>
        <row r="212">
          <cell r="B212">
            <v>-6</v>
          </cell>
        </row>
        <row r="213">
          <cell r="B213">
            <v>-2158985</v>
          </cell>
        </row>
        <row r="214">
          <cell r="B214">
            <v>-80807</v>
          </cell>
        </row>
        <row r="215">
          <cell r="B215">
            <v>-746107</v>
          </cell>
        </row>
        <row r="216">
          <cell r="B216">
            <v>-15072000</v>
          </cell>
        </row>
        <row r="217">
          <cell r="B217">
            <v>-924996</v>
          </cell>
        </row>
        <row r="218">
          <cell r="B218">
            <v>-9047964</v>
          </cell>
        </row>
        <row r="219">
          <cell r="B219">
            <v>-400</v>
          </cell>
        </row>
        <row r="220">
          <cell r="B220">
            <v>-50552718</v>
          </cell>
        </row>
        <row r="221">
          <cell r="B221">
            <v>-3065277</v>
          </cell>
        </row>
        <row r="222">
          <cell r="B222">
            <v>0</v>
          </cell>
        </row>
        <row r="223">
          <cell r="B223">
            <v>-1135</v>
          </cell>
        </row>
        <row r="225">
          <cell r="B225">
            <v>-979763</v>
          </cell>
        </row>
      </sheetData>
      <sheetData sheetId="16" refreshError="1">
        <row r="5">
          <cell r="B5">
            <v>-63013</v>
          </cell>
        </row>
        <row r="6">
          <cell r="B6">
            <v>256892</v>
          </cell>
        </row>
        <row r="8">
          <cell r="B8">
            <v>89596</v>
          </cell>
        </row>
        <row r="10">
          <cell r="B10">
            <v>0</v>
          </cell>
        </row>
        <row r="13">
          <cell r="B13">
            <v>79876</v>
          </cell>
        </row>
        <row r="16">
          <cell r="B16">
            <v>56087</v>
          </cell>
        </row>
        <row r="23">
          <cell r="B23">
            <v>35000</v>
          </cell>
        </row>
        <row r="24">
          <cell r="B24">
            <v>9475</v>
          </cell>
        </row>
        <row r="25">
          <cell r="B25">
            <v>45948</v>
          </cell>
        </row>
        <row r="26">
          <cell r="B26">
            <v>8259</v>
          </cell>
        </row>
        <row r="32">
          <cell r="B32">
            <v>122291</v>
          </cell>
        </row>
        <row r="45">
          <cell r="B45">
            <v>23104</v>
          </cell>
        </row>
        <row r="46">
          <cell r="B46">
            <v>-48558</v>
          </cell>
        </row>
        <row r="47">
          <cell r="B47">
            <v>100000</v>
          </cell>
        </row>
        <row r="49">
          <cell r="B49">
            <v>41400</v>
          </cell>
        </row>
        <row r="54">
          <cell r="B54">
            <v>19896</v>
          </cell>
        </row>
        <row r="78">
          <cell r="B78">
            <v>12680</v>
          </cell>
        </row>
        <row r="79">
          <cell r="B79">
            <v>52491</v>
          </cell>
        </row>
        <row r="82">
          <cell r="B82">
            <v>37000</v>
          </cell>
        </row>
        <row r="85">
          <cell r="B85">
            <v>175005</v>
          </cell>
        </row>
        <row r="86">
          <cell r="B86">
            <v>8905</v>
          </cell>
        </row>
        <row r="91">
          <cell r="B91">
            <v>8012</v>
          </cell>
        </row>
        <row r="92">
          <cell r="B92">
            <v>301270</v>
          </cell>
        </row>
        <row r="97">
          <cell r="B97">
            <v>-70979</v>
          </cell>
        </row>
        <row r="98">
          <cell r="B98">
            <v>-149634</v>
          </cell>
        </row>
        <row r="100">
          <cell r="B100">
            <v>120000</v>
          </cell>
        </row>
        <row r="101">
          <cell r="B101">
            <v>127904</v>
          </cell>
        </row>
        <row r="103">
          <cell r="B103">
            <v>29000</v>
          </cell>
        </row>
        <row r="105">
          <cell r="B105">
            <v>-428502</v>
          </cell>
        </row>
        <row r="109">
          <cell r="B109">
            <v>2930</v>
          </cell>
        </row>
        <row r="110">
          <cell r="B110">
            <v>2012</v>
          </cell>
        </row>
        <row r="111">
          <cell r="B111">
            <v>14285</v>
          </cell>
        </row>
        <row r="113">
          <cell r="B113">
            <v>476256</v>
          </cell>
        </row>
        <row r="114">
          <cell r="B114">
            <v>196138</v>
          </cell>
        </row>
        <row r="115">
          <cell r="B115">
            <v>-20560</v>
          </cell>
        </row>
        <row r="116">
          <cell r="B116">
            <v>1749</v>
          </cell>
        </row>
        <row r="119">
          <cell r="B119">
            <v>-9467</v>
          </cell>
        </row>
        <row r="120">
          <cell r="B120">
            <v>-619594</v>
          </cell>
        </row>
        <row r="121">
          <cell r="B121">
            <v>-148</v>
          </cell>
        </row>
        <row r="122">
          <cell r="B122">
            <v>-17993</v>
          </cell>
        </row>
        <row r="123">
          <cell r="B123">
            <v>-7820</v>
          </cell>
        </row>
        <row r="124">
          <cell r="B124">
            <v>-488363</v>
          </cell>
        </row>
        <row r="125">
          <cell r="B125">
            <v>-14369357</v>
          </cell>
        </row>
        <row r="126">
          <cell r="B126">
            <v>-578725</v>
          </cell>
        </row>
        <row r="128">
          <cell r="B128">
            <v>-10528</v>
          </cell>
        </row>
        <row r="129">
          <cell r="B129">
            <v>-1392</v>
          </cell>
        </row>
        <row r="130">
          <cell r="B130">
            <v>-1178258</v>
          </cell>
        </row>
        <row r="131">
          <cell r="B131">
            <v>18170543</v>
          </cell>
        </row>
        <row r="133">
          <cell r="B133">
            <v>-15746</v>
          </cell>
        </row>
        <row r="135">
          <cell r="B135">
            <v>-1250000</v>
          </cell>
        </row>
        <row r="137">
          <cell r="B137">
            <v>-60297</v>
          </cell>
        </row>
        <row r="138">
          <cell r="B138">
            <v>-42857</v>
          </cell>
        </row>
        <row r="139">
          <cell r="B139">
            <v>-987719</v>
          </cell>
        </row>
        <row r="140">
          <cell r="B140">
            <v>-169070</v>
          </cell>
        </row>
        <row r="141">
          <cell r="B141">
            <v>-35420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DKPL9811"/>
      <sheetName val="summ"/>
      <sheetName val="sheet1"/>
      <sheetName val="sheet2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3 (2)"/>
      <sheetName val="#REF"/>
      <sheetName val="Partic"/>
      <sheetName val="extra"/>
      <sheetName val="Monthly"/>
      <sheetName val="FINDRDEC"/>
      <sheetName val="Earnings model"/>
      <sheetName val="C"/>
      <sheetName val="02"/>
      <sheetName val="03"/>
      <sheetName val="04"/>
      <sheetName val="01"/>
      <sheetName val="girder"/>
      <sheetName val="Rocker"/>
      <sheetName val="FitOutConfCentre"/>
      <sheetName val="CASHFLOWS"/>
      <sheetName val="SUMMARY"/>
      <sheetName val="Estimate for approval"/>
      <sheetName val="LBO"/>
      <sheetName val="Main"/>
      <sheetName val="Lab"/>
      <sheetName val="Rate Analysis"/>
      <sheetName val="Grand"/>
      <sheetName val="A-D"/>
      <sheetName val="H"/>
      <sheetName val="BWR"/>
      <sheetName val="pldt"/>
      <sheetName val="results"/>
      <sheetName val="P&amp;LDEC99"/>
      <sheetName val="Sheet18"/>
      <sheetName val="Sheet17"/>
      <sheetName val="SUMM1"/>
      <sheetName val="Sheet3"/>
      <sheetName val="Sheet31"/>
      <sheetName val="Sheet30"/>
      <sheetName val="Sheet29"/>
      <sheetName val="Sheet28"/>
      <sheetName val="Sheet27"/>
      <sheetName val="Sheet26"/>
      <sheetName val="Sheet25"/>
      <sheetName val="Sheet24"/>
      <sheetName val="Sheet23"/>
      <sheetName val="Sheet22"/>
      <sheetName val="Sheet21"/>
      <sheetName val="Sheet20"/>
      <sheetName val="Sheet19"/>
      <sheetName val="Hot"/>
      <sheetName val="INI"/>
      <sheetName val="Assumptions"/>
      <sheetName val="Output"/>
      <sheetName val="CRITERIA3"/>
      <sheetName val="CRITERIA1"/>
      <sheetName val="BLK2"/>
      <sheetName val="BLK3"/>
      <sheetName val="E &amp; R"/>
      <sheetName val="radar"/>
      <sheetName val="UG"/>
      <sheetName val="BKCSTOCKVAL"/>
      <sheetName val="Sheet3_(2)"/>
      <sheetName val="Sheet3_(2)1"/>
      <sheetName val="Excess Calc"/>
      <sheetName val="BHANDUP"/>
      <sheetName val="% Collection Schedule"/>
      <sheetName val="Design"/>
      <sheetName val="98Price"/>
      <sheetName val="Estimate_for_approval"/>
      <sheetName val="Estimate_for_approval1"/>
      <sheetName val="Sheet3_(2)2"/>
      <sheetName val="Estimate_for_approval2"/>
      <sheetName val="Sheet3_(2)3"/>
      <sheetName val="Estimate_for_approval3"/>
      <sheetName val="Sheet3_(2)4"/>
      <sheetName val="Estimate_for_approval4"/>
      <sheetName val="Materials Cost(PCC)"/>
      <sheetName val="Set"/>
      <sheetName val="A5.201 Consol Profit &amp; Loss "/>
      <sheetName val="Consolidated Monthly"/>
      <sheetName val="Balance Sheet"/>
      <sheetName val="A5.202 Consol Balance Sheet "/>
      <sheetName val="BS"/>
      <sheetName val="Consolidated"/>
      <sheetName val="PB"/>
      <sheetName val="Fixed Assets"/>
      <sheetName val="Receivables"/>
      <sheetName val="Sheet 2"/>
      <sheetName val="Commission and Volume MOM(Chart"/>
      <sheetName val="Earnings_model"/>
      <sheetName val="Stacking Plan &amp; LEP"/>
      <sheetName val="Schedules"/>
      <sheetName val="B S-31-3-2006"/>
      <sheetName val="132417"/>
      <sheetName val="35 D Annex2"/>
      <sheetName val="CMA_Calculations"/>
      <sheetName val="H.O"/>
      <sheetName val="営業収益"/>
      <sheetName val="TRIAL BALANCE"/>
      <sheetName val="Keyratios"/>
      <sheetName val="Card nos."/>
      <sheetName val="YE-SW2"/>
      <sheetName val="Statistics {pbc}"/>
      <sheetName val="関係会社貸付金データ"/>
      <sheetName val="末残計画(四半期ベース)"/>
      <sheetName val="MISBS"/>
      <sheetName val="BOD PL NEW"/>
      <sheetName val="AFFI内訳"/>
      <sheetName val="Assumptions (2)"/>
      <sheetName val="Cntrl Sheet"/>
      <sheetName val="B S"/>
      <sheetName val="Project Cost"/>
      <sheetName val="CAS P"/>
      <sheetName val="194C"/>
      <sheetName val="ﾏﾁｭﾘﾃｨﾗﾀﾞｰ（月次ベース）"/>
      <sheetName val="ﾏﾁｭﾘﾃｨﾗﾀﾞｰ（四半期ベース）"/>
      <sheetName val="EXPENDITURE CYCLE"/>
      <sheetName val="Inputs"/>
      <sheetName val="海外WORK"/>
      <sheetName val="Facility"/>
      <sheetName val="Lrnet_Inftch"/>
      <sheetName val="Input"/>
      <sheetName val="deb"/>
      <sheetName val="FIN_EXPENSE"/>
      <sheetName val="43B"/>
      <sheetName val="DTPL"/>
      <sheetName val="Fixed Assets Top Sheet- Consol"/>
      <sheetName val="VIR CG"/>
      <sheetName val="業種小分類"/>
      <sheetName val="業種大分類"/>
      <sheetName val="Weighted Avg"/>
      <sheetName val="Interest"/>
      <sheetName val="Links"/>
      <sheetName val="m3&amp;4"/>
      <sheetName val="Assumptions (W)"/>
      <sheetName val="Misc"/>
      <sheetName val="PAP"/>
      <sheetName val="Masters"/>
      <sheetName val="P L"/>
      <sheetName val="総括（1～3Q）"/>
      <sheetName val="NKEL O&amp;M"/>
      <sheetName val="Data"/>
      <sheetName val="192"/>
      <sheetName val="GLED"/>
      <sheetName val="IRR"/>
      <sheetName val="CAPEX"/>
      <sheetName val="国内work"/>
      <sheetName val="その他"/>
      <sheetName val="SPR"/>
      <sheetName val="COMPUTATION"/>
      <sheetName val="ASSUMPTIONS 2"/>
      <sheetName val=" TARIFFS POST PCOD"/>
      <sheetName val="Valuation"/>
      <sheetName val="Workings"/>
      <sheetName val="TAX"/>
      <sheetName val="DCF Valuation - FCFF"/>
      <sheetName val="FAR"/>
      <sheetName val="FA Leadsheet &amp; Movement"/>
      <sheetName val="Profit &amp; Loss"/>
      <sheetName val="Summary - USD"/>
      <sheetName val="Yield-COB"/>
      <sheetName val="全体"/>
      <sheetName val="NFF"/>
      <sheetName val="1"/>
      <sheetName val="再ﾘｰｽ収益"/>
      <sheetName val="利息連結"/>
      <sheetName val="受取手数料"/>
      <sheetName val="有価証券残高（仮提出）"/>
      <sheetName val="発生連結"/>
      <sheetName val="関連会社明細"/>
      <sheetName val="売却可能公債"/>
      <sheetName val="3部提出用累計"/>
      <sheetName val="繰入連結"/>
      <sheetName val="諸原価連結"/>
      <sheetName val="四半期毎MICﾃﾞｰﾀ転記"/>
      <sheetName val="単体SGA"/>
      <sheetName val="販管連結"/>
      <sheetName val="平残連結"/>
      <sheetName val="Grouping Master"/>
      <sheetName val="1 Market"/>
      <sheetName val="concrete"/>
      <sheetName val="office"/>
      <sheetName val="Key assumption"/>
      <sheetName val="Code"/>
      <sheetName val="Legend"/>
      <sheetName val="beam-reinft-IIInd floor"/>
      <sheetName val="SPT vs PHI"/>
      <sheetName val="Materials Cost"/>
      <sheetName val="beam-reinft-machine rm"/>
      <sheetName val="jobhist"/>
      <sheetName val="R20_R30_work"/>
      <sheetName val="KG-DWN"/>
      <sheetName val="Occ"/>
      <sheetName val="Demand"/>
      <sheetName val="MN T.B."/>
      <sheetName val="INDIGINEOUS ITEMS 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Material List "/>
      <sheetName val="STAFFSCHED "/>
      <sheetName val="upa"/>
      <sheetName val="CGOI"/>
      <sheetName val="Apartments - 1st Mar"/>
      <sheetName val="Roster"/>
      <sheetName val="SC"/>
      <sheetName val="Rate_Analysis"/>
      <sheetName val="E_&amp;_R"/>
      <sheetName val="11-hsd"/>
      <sheetName val="13-septic"/>
      <sheetName val="7-ug"/>
      <sheetName val="2-utility"/>
      <sheetName val="Bin"/>
      <sheetName val="Main School Building"/>
      <sheetName val="vb 9&amp;10"/>
      <sheetName val="tngst1"/>
      <sheetName val="Costcal"/>
      <sheetName val="TB"/>
      <sheetName val="Fee Rate Summary"/>
      <sheetName val="Labour Rate "/>
      <sheetName val="(M+L)"/>
      <sheetName val="DPR"/>
      <sheetName val="hist&amp;proj"/>
      <sheetName val="BQMPALOC"/>
      <sheetName val="VARIABLE"/>
      <sheetName val="입찰내역 발주처 양식"/>
      <sheetName val="Chembur 1"/>
      <sheetName val="Summary_Local"/>
      <sheetName val="BOQ-1"/>
      <sheetName val="JCF"/>
      <sheetName val="Multiple output"/>
      <sheetName val="유통망계획"/>
      <sheetName val="EXPENSES"/>
      <sheetName val="Currency"/>
      <sheetName val="MAHSTOCKVAL"/>
      <sheetName val="Index"/>
      <sheetName val="JE10310X"/>
      <sheetName val="FOIL"/>
      <sheetName val="Accounts"/>
      <sheetName val="sdrs_mar"/>
      <sheetName val="FY16-17 Cashflow"/>
      <sheetName val="List"/>
      <sheetName val="RR"/>
      <sheetName val="Ten"/>
      <sheetName val="ES"/>
      <sheetName val="segment_topsheet"/>
      <sheetName val="Felix Street Summary"/>
      <sheetName val="Newspapers"/>
      <sheetName val="AccDil"/>
      <sheetName val="Sukuki CDR"/>
      <sheetName val="For_Trav-01"/>
      <sheetName val="Rent -01"/>
      <sheetName val="AV"/>
      <sheetName val="priority analysis"/>
      <sheetName val="standards trend"/>
      <sheetName val="service timing"/>
      <sheetName val="Product Problems"/>
      <sheetName val="Parts"/>
      <sheetName val="score trends"/>
      <sheetName val="Fix it First Time"/>
      <sheetName val="dashboard"/>
      <sheetName val="TOC"/>
      <sheetName val="Range"/>
      <sheetName val="Sample India"/>
      <sheetName val="Sample Indo"/>
      <sheetName val="Sample MY"/>
      <sheetName val="Sample PH"/>
      <sheetName val="Sample TH"/>
      <sheetName val="Wall"/>
      <sheetName val="Bs_dft"/>
      <sheetName val="P&amp;l_dft"/>
      <sheetName val="Sch_dft"/>
      <sheetName val="FINAL"/>
      <sheetName val="Mar-06"/>
      <sheetName val="Jul-05"/>
      <sheetName val="SCHE-MARCH'04"/>
      <sheetName val="Income Statements"/>
      <sheetName val="B-SHEET"/>
      <sheetName val="GrossMgn 98"/>
      <sheetName val="TRX ADDITION"/>
      <sheetName val="Customize Your Purchase Order"/>
      <sheetName val="ESCON"/>
      <sheetName val="NPV"/>
      <sheetName val="Settings"/>
      <sheetName val="fixd1"/>
      <sheetName val="fixd2"/>
      <sheetName val="Note 9-13"/>
      <sheetName val="RATE ANALYSIS."/>
      <sheetName val="RA 1"/>
      <sheetName val="MFG"/>
      <sheetName val="Current Bill MB ref"/>
      <sheetName val="Ins &amp; Bonds"/>
      <sheetName val="Source Ref."/>
      <sheetName val="Mix Design"/>
      <sheetName val="std-rates"/>
      <sheetName val="COLUMN"/>
      <sheetName val="dyes"/>
      <sheetName val="Costing"/>
      <sheetName val=" Vivante MAIN  INFRA  MAR 18"/>
      <sheetName val="col-reinft1"/>
      <sheetName val="Outline Cost - Five star Hotel"/>
      <sheetName val="Form 6"/>
      <sheetName val="M-Book for Conc"/>
      <sheetName val="M-Book for FW"/>
      <sheetName val="COMPLEXALL"/>
      <sheetName val="CC APR04"/>
      <sheetName val="CC MAY04"/>
      <sheetName val="CC JUNE04"/>
      <sheetName val="Rates"/>
      <sheetName val="Kontensalden"/>
      <sheetName val="CTbe tong"/>
      <sheetName val="CTDZ 0.4+cto"/>
      <sheetName val=" "/>
      <sheetName val="450 x 350"/>
      <sheetName val="Fill this out first..."/>
      <sheetName val="Approved MTD Proj #'s"/>
      <sheetName val="C1C2"/>
      <sheetName val="LIFE &amp; REP PROVN"/>
      <sheetName val="O&amp;M CREW"/>
      <sheetName val="A"/>
      <sheetName val="Intro"/>
      <sheetName val="Exp"/>
      <sheetName val="18-misc"/>
      <sheetName val="5-pipe"/>
      <sheetName val="Direct cost shed A-2 "/>
      <sheetName val="Raw DCF"/>
      <sheetName val="DCF_PPS"/>
      <sheetName val="DCF"/>
      <sheetName val="Sch 1,2,3"/>
      <sheetName val="Sch 14,15,16"/>
      <sheetName val="profit &amp; loss account"/>
      <sheetName val="Movement of Mutual Funds"/>
      <sheetName val="References"/>
      <sheetName val="TDS Certificate-Format"/>
      <sheetName val="Sheet3_(2)5"/>
      <sheetName val="%_Collection_Schedule"/>
      <sheetName val="Rate_Analysis1"/>
      <sheetName val="Estimate_for_approval5"/>
      <sheetName val="E_&amp;_R1"/>
      <sheetName val="Earnings_model1"/>
      <sheetName val="Stacking_Plan_&amp;_LEP"/>
      <sheetName val="Materials_Cost(PCC)"/>
      <sheetName val="Excess_Calc"/>
      <sheetName val="beam-reinft-IIInd_floor"/>
      <sheetName val="SPT_vs_PHI"/>
      <sheetName val="Materials_Cost"/>
      <sheetName val="beam-reinft-machine_rm"/>
      <sheetName val="Grouping_Master"/>
      <sheetName val="Commission_and_Volume_MOM(Chart"/>
      <sheetName val="A5_201_Consol_Profit_&amp;_Loss_"/>
      <sheetName val="Consolidated_Monthly"/>
      <sheetName val="Balance_Sheet"/>
      <sheetName val="A5_202_Consol_Balance_Sheet_"/>
      <sheetName val="Fixed_Assets"/>
      <sheetName val="Sheet_2"/>
      <sheetName val="Key_assumption"/>
      <sheetName val="MN_T_B_"/>
      <sheetName val="INDIGINEOUS_ITEMS_"/>
      <sheetName val="Apartments_-_1st_Mar"/>
      <sheetName val="1_Market"/>
      <sheetName val="Material_List_"/>
      <sheetName val="STAFFSCHED_"/>
      <sheetName val="Fee_Rate_Summary"/>
      <sheetName val="Main_School_Building"/>
      <sheetName val="Pur"/>
      <sheetName val="B_S-31-3-2006"/>
      <sheetName val="35_D_Annex2"/>
      <sheetName val="H_O"/>
      <sheetName val="TRIAL_BALANCE"/>
      <sheetName val="Card_nos_"/>
      <sheetName val="Statistics_{pbc}"/>
      <sheetName val="BOD_PL_NEW"/>
      <sheetName val="Assumptions_(2)"/>
      <sheetName val="Cntrl_Sheet"/>
      <sheetName val="B_S"/>
      <sheetName val="Project_Cost"/>
      <sheetName val="CAS_P"/>
      <sheetName val="EXPENDITURE_CYCLE"/>
      <sheetName val="Fixed_Assets_Top_Sheet-_Consol"/>
      <sheetName val="VIR_CG"/>
      <sheetName val="Weighted_Avg"/>
      <sheetName val="Assumptions_(W)"/>
      <sheetName val="P_L"/>
      <sheetName val="NKEL_O&amp;M"/>
      <sheetName val="ASSUMPTIONS_2"/>
      <sheetName val="_TARIFFS_POST_PCOD"/>
      <sheetName val="DCF_Valuation_-_FCFF"/>
      <sheetName val="FA_Leadsheet_&amp;_Movement"/>
      <sheetName val="Profit_&amp;_Loss"/>
      <sheetName val="Summary_-_USD"/>
      <sheetName val="Rent_-01"/>
      <sheetName val="2007-01"/>
      <sheetName val="BS SCH A-D"/>
      <sheetName val="Dep - SAP"/>
      <sheetName val="Schedules PL"/>
      <sheetName val="Schedules BS"/>
      <sheetName val="Reconciliation of GL &amp; FAR"/>
      <sheetName val="Instructions"/>
      <sheetName val="Elect."/>
      <sheetName val="glsrpt129909e"/>
      <sheetName val="RF Vol"/>
      <sheetName val="ASP"/>
      <sheetName val="Ins_&amp;_Bonds"/>
      <sheetName val="Labour_Rate_"/>
      <sheetName val="Source_Ref_"/>
      <sheetName val="vb_9&amp;10"/>
      <sheetName val="입찰내역_발주처_양식"/>
      <sheetName val="Direct_cost_shed_A-2_"/>
      <sheetName val="Preside"/>
      <sheetName val="SP Break Up"/>
      <sheetName val="Control"/>
      <sheetName val="Blore"/>
      <sheetName val="factors"/>
      <sheetName val="VCH-SLC"/>
      <sheetName val="Supplier"/>
      <sheetName val="Sheet3_(2)7"/>
      <sheetName val="%_Collection_Schedule2"/>
      <sheetName val="Rate_Analysis3"/>
      <sheetName val="Estimate_for_approval7"/>
      <sheetName val="E_&amp;_R3"/>
      <sheetName val="Earnings_model3"/>
      <sheetName val="Stacking_Plan_&amp;_LEP2"/>
      <sheetName val="Materials_Cost(PCC)2"/>
      <sheetName val="Excess_Calc2"/>
      <sheetName val="beam-reinft-IIInd_floor2"/>
      <sheetName val="SPT_vs_PHI2"/>
      <sheetName val="Materials_Cost2"/>
      <sheetName val="beam-reinft-machine_rm2"/>
      <sheetName val="Grouping_Master2"/>
      <sheetName val="Commission_and_Volume_MOM(Char2"/>
      <sheetName val="A5_201_Consol_Profit_&amp;_Loss_2"/>
      <sheetName val="Consolidated_Monthly2"/>
      <sheetName val="Balance_Sheet2"/>
      <sheetName val="A5_202_Consol_Balance_Sheet_2"/>
      <sheetName val="Fixed_Assets2"/>
      <sheetName val="Sheet_22"/>
      <sheetName val="Key_assumption2"/>
      <sheetName val="MN_T_B_2"/>
      <sheetName val="INDIGINEOUS_ITEMS_2"/>
      <sheetName val="Apartments_-_1st_Mar2"/>
      <sheetName val="1_Market2"/>
      <sheetName val="Material_List_2"/>
      <sheetName val="STAFFSCHED_2"/>
      <sheetName val="Fee_Rate_Summary2"/>
      <sheetName val="Main_School_Building2"/>
      <sheetName val="Sheet3_(2)6"/>
      <sheetName val="%_Collection_Schedule1"/>
      <sheetName val="Rate_Analysis2"/>
      <sheetName val="Estimate_for_approval6"/>
      <sheetName val="E_&amp;_R2"/>
      <sheetName val="Earnings_model2"/>
      <sheetName val="Stacking_Plan_&amp;_LEP1"/>
      <sheetName val="Materials_Cost(PCC)1"/>
      <sheetName val="Excess_Calc1"/>
      <sheetName val="beam-reinft-IIInd_floor1"/>
      <sheetName val="SPT_vs_PHI1"/>
      <sheetName val="Materials_Cost1"/>
      <sheetName val="beam-reinft-machine_rm1"/>
      <sheetName val="Grouping_Master1"/>
      <sheetName val="Commission_and_Volume_MOM(Char1"/>
      <sheetName val="A5_201_Consol_Profit_&amp;_Loss_1"/>
      <sheetName val="Consolidated_Monthly1"/>
      <sheetName val="Balance_Sheet1"/>
      <sheetName val="A5_202_Consol_Balance_Sheet_1"/>
      <sheetName val="Fixed_Assets1"/>
      <sheetName val="Sheet_21"/>
      <sheetName val="Key_assumption1"/>
      <sheetName val="MN_T_B_1"/>
      <sheetName val="INDIGINEOUS_ITEMS_1"/>
      <sheetName val="Apartments_-_1st_Mar1"/>
      <sheetName val="1_Market1"/>
      <sheetName val="Material_List_1"/>
      <sheetName val="STAFFSCHED_1"/>
      <sheetName val="Fee_Rate_Summary1"/>
      <sheetName val="Main_School_Building1"/>
      <sheetName val="Sheet3_(2)8"/>
      <sheetName val="%_Collection_Schedule3"/>
      <sheetName val="Rate_Analysis4"/>
      <sheetName val="Estimate_for_approval8"/>
      <sheetName val="E_&amp;_R4"/>
      <sheetName val="Earnings_model4"/>
      <sheetName val="Stacking_Plan_&amp;_LEP3"/>
      <sheetName val="Materials_Cost(PCC)3"/>
      <sheetName val="Excess_Calc3"/>
      <sheetName val="beam-reinft-IIInd_floor3"/>
      <sheetName val="SPT_vs_PHI3"/>
      <sheetName val="Materials_Cost3"/>
      <sheetName val="beam-reinft-machine_rm3"/>
      <sheetName val="Grouping_Master3"/>
      <sheetName val="Commission_and_Volume_MOM(Char3"/>
      <sheetName val="A5_201_Consol_Profit_&amp;_Loss_3"/>
      <sheetName val="Consolidated_Monthly3"/>
      <sheetName val="Balance_Sheet3"/>
      <sheetName val="A5_202_Consol_Balance_Sheet_3"/>
      <sheetName val="Fixed_Assets3"/>
      <sheetName val="Sheet_23"/>
      <sheetName val="Key_assumption3"/>
      <sheetName val="MN_T_B_3"/>
      <sheetName val="INDIGINEOUS_ITEMS_3"/>
      <sheetName val="Apartments_-_1st_Mar3"/>
      <sheetName val="1_Market3"/>
      <sheetName val="Material_List_3"/>
      <sheetName val="STAFFSCHED_3"/>
      <sheetName val="Fee_Rate_Summary3"/>
      <sheetName val="Main_School_Building3"/>
      <sheetName val="final abstract"/>
      <sheetName val="Product Details"/>
      <sheetName val="Cash2"/>
      <sheetName val="Z"/>
      <sheetName val="costing_ESDV"/>
      <sheetName val="costing_FE"/>
      <sheetName val="costing_Misc"/>
      <sheetName val="costing_MOV"/>
      <sheetName val="costing_Press"/>
      <sheetName val="Price Comparison"/>
      <sheetName val="Cover"/>
      <sheetName val="Leg 1-1"/>
      <sheetName val="Config"/>
      <sheetName val="Rate analysis civil"/>
      <sheetName val="Database"/>
      <sheetName val="SCHEDULE"/>
      <sheetName val="schedule nos"/>
      <sheetName val="validation"/>
      <sheetName val="Div"/>
      <sheetName val="ER10_Old"/>
      <sheetName val="Sukuki_CDR"/>
      <sheetName val="Multiple_output"/>
      <sheetName val="priority_analysis"/>
      <sheetName val="standards_trend"/>
      <sheetName val="service_timing"/>
      <sheetName val="Product_Problems"/>
      <sheetName val="score_trends"/>
      <sheetName val="Fix_it_First_Time"/>
      <sheetName val="Sample_India"/>
      <sheetName val="Sample_Indo"/>
      <sheetName val="Sample_MY"/>
      <sheetName val="Sample_PH"/>
      <sheetName val="Sample_TH"/>
      <sheetName val="D.D"/>
      <sheetName val="Assmp"/>
      <sheetName val="BS-R"/>
      <sheetName val="Billing"/>
      <sheetName val="MNP"/>
      <sheetName val="ITT-R"/>
      <sheetName val="BSSchedules"/>
      <sheetName val="gen ledger data"/>
      <sheetName val="RA-markate"/>
      <sheetName val="opstat"/>
      <sheetName val="costs"/>
      <sheetName val="Basic Rate"/>
      <sheetName val="INFLUENCES ON GM"/>
      <sheetName val="PROCTOR"/>
      <sheetName val="ANAL"/>
      <sheetName val="TBEAM"/>
      <sheetName val="Groupings "/>
      <sheetName val="DIVBUD99"/>
      <sheetName val="pcQueryData"/>
      <sheetName val="_pcSlicerSheet1"/>
      <sheetName val="P&amp;L"/>
      <sheetName val="BALANCE-SHEET"/>
      <sheetName val="csd1"/>
      <sheetName val="csd2"/>
      <sheetName val="SAP EMP"/>
      <sheetName val="ADD092001_Final"/>
      <sheetName val="Annex - 8"/>
      <sheetName val="6 TRS"/>
      <sheetName val="DF"/>
      <sheetName val="PM"/>
      <sheetName val="Names&amp;Cases"/>
      <sheetName val="Headings"/>
      <sheetName val="WBS"/>
      <sheetName val="Recovered_Sheet4"/>
      <sheetName val="Recovered_Sheet36"/>
      <sheetName val="Recovered_Sheet37"/>
      <sheetName val="Recovered_Sheet30"/>
      <sheetName val="Recovered_Sheet10"/>
      <sheetName val="Recovered_Sheet13"/>
      <sheetName val="Recovered_Sheet19"/>
      <sheetName val="Recovered_Sheet28"/>
      <sheetName val="Recovered_Sheet20"/>
      <sheetName val="Recovered_Sheet21"/>
      <sheetName val="Recovered_Sheet22"/>
      <sheetName val="Recovered_Sheet17"/>
      <sheetName val="Recovered_Sheet39"/>
      <sheetName val="Recovered_Sheet35"/>
      <sheetName val="Recovered_Sheet40"/>
      <sheetName val="Recovered_Sheet1"/>
      <sheetName val="Recovered_Sheet31"/>
      <sheetName val="Recovered_Sheet14"/>
      <sheetName val="Recovered_Sheet38"/>
      <sheetName val="Recovered_Sheet27"/>
      <sheetName val="Recovered_Sheet32"/>
      <sheetName val="Recovered_Sheet6"/>
      <sheetName val="Recovered_Sheet5"/>
      <sheetName val="Recovered_Sheet3"/>
      <sheetName val="Recovered_Sheet18"/>
      <sheetName val="2nd "/>
      <sheetName val="RF_Vol"/>
      <sheetName val="A.O.R."/>
      <sheetName val="Boq"/>
      <sheetName val="TBAL9697 -group wise  sdpl"/>
      <sheetName val="Project Budget Worksheet"/>
      <sheetName val="Builtup Area"/>
      <sheetName val="Chembur_1"/>
      <sheetName val="Felix_Street_Summary"/>
      <sheetName val="FY16-17_Cashflow"/>
      <sheetName val="GrossMgn_98"/>
      <sheetName val="TRX_ADDITION"/>
      <sheetName val="TDS_Certificate-Format"/>
      <sheetName val="Income_Statements"/>
      <sheetName val="CTbe_tong"/>
      <sheetName val="CTDZ_0_4+cto"/>
      <sheetName val="_"/>
      <sheetName val="450_x_350"/>
      <sheetName val="Fill_this_out_first___"/>
      <sheetName val="Approved_MTD_Proj_#'s"/>
      <sheetName val="Customize_Your_Purchase_Order"/>
      <sheetName val="RATE_ANALYSIS_"/>
      <sheetName val="Raw_DCF"/>
      <sheetName val="Sch_1,2,3"/>
      <sheetName val="Sch_14,15,16"/>
      <sheetName val="profit_&amp;_loss_account"/>
      <sheetName val="Movement_of_Mutual_Funds"/>
      <sheetName val="Mix_Design"/>
      <sheetName val="_Vivante_MAIN__INFRA__MAR_18"/>
      <sheetName val="Current_Bill_MB_ref"/>
      <sheetName val="Form_6"/>
      <sheetName val="M-Book_for_Conc"/>
      <sheetName val="M-Book_for_FW"/>
      <sheetName val="Schedules_PL"/>
      <sheetName val="Schedules_BS"/>
      <sheetName val="RA_1"/>
      <sheetName val="Outline_Cost_-_Five_star_Hotel"/>
      <sheetName val="CC_APR04"/>
      <sheetName val="CC_MAY04"/>
      <sheetName val="CC_JUNE04"/>
      <sheetName val="LIFE_&amp;_REP_PROVN"/>
      <sheetName val="O&amp;M_CREW"/>
      <sheetName val="All Components Report"/>
      <sheetName val="Severity"/>
      <sheetName val="BUDLDD"/>
      <sheetName val="ICB"/>
      <sheetName val="rent paid details"/>
      <sheetName val="DGP-2002"/>
      <sheetName val="Item Master"/>
      <sheetName val="Oct'19-Feb'20 base file"/>
      <sheetName val="Mar'20-base file"/>
      <sheetName val="April'20-Dec'20 Base File"/>
      <sheetName val="April'00"/>
      <sheetName val="TB WORLI"/>
      <sheetName val="TB APJ"/>
      <sheetName val="H.O."/>
      <sheetName val="Assum"/>
      <sheetName val="B"/>
      <sheetName val="check"/>
      <sheetName val="main1"/>
      <sheetName val="Labor abs-NMR"/>
      <sheetName val="_REF"/>
      <sheetName val="MASTER_RATE ANALYSIS"/>
      <sheetName val="A1-Continuous"/>
      <sheetName val="Data Summary"/>
      <sheetName val="bank-int"/>
      <sheetName val="Admin "/>
      <sheetName val="Internal Finishes (Unit types)"/>
      <sheetName val="pri-com"/>
      <sheetName val="10. &amp; 11. Rate Code &amp; BQ"/>
      <sheetName val="sept-plan"/>
      <sheetName val="Detail In Door Stad"/>
      <sheetName val="200205C"/>
      <sheetName val="Data sheet"/>
      <sheetName val="Per Unit"/>
      <sheetName val="CFForecast detail"/>
      <sheetName val="WORK TABLE"/>
      <sheetName val="Door"/>
      <sheetName val="wacc"/>
      <sheetName val="wdr bldg"/>
      <sheetName val="OCT 06"/>
      <sheetName val="RA_markate"/>
      <sheetName val="Cap"/>
      <sheetName val="C_flow 95"/>
      <sheetName val="1201"/>
      <sheetName val="Capital leases"/>
      <sheetName val="FA TB 28-2-2006"/>
      <sheetName val="data 3A|6A"/>
      <sheetName val="CAM- Airoli"/>
      <sheetName val="AMC- Airoli"/>
      <sheetName val="CAM - Poch"/>
      <sheetName val="AMC - Poch"/>
      <sheetName val="Complex - Poch"/>
      <sheetName val="CAM - Trion"/>
      <sheetName val="AMC - Trion"/>
      <sheetName val="Complex - Trion"/>
      <sheetName val="IO"/>
      <sheetName val="SCH4"/>
      <sheetName val="31 July 2005"/>
      <sheetName val="Dep"/>
      <sheetName val="Provision base"/>
      <sheetName val="Changes to be made"/>
      <sheetName val="Master - Inventory"/>
      <sheetName val="adp-budget"/>
      <sheetName val="Sheet3_(2)9"/>
      <sheetName val="Estimate_for_approval9"/>
      <sheetName val="Rate_Analysis5"/>
      <sheetName val="Earnings_model5"/>
      <sheetName val="E_&amp;_R5"/>
      <sheetName val="Material_List_4"/>
      <sheetName val="STAFFSCHED_4"/>
      <sheetName val="SPT_vs_PHI4"/>
      <sheetName val="beam-reinft-IIInd_floor4"/>
      <sheetName val="Materials_Cost4"/>
      <sheetName val="MN_T_B_4"/>
      <sheetName val="INDIGINEOUS_ITEMS_4"/>
      <sheetName val="Fee_Rate_Summary4"/>
      <sheetName val="Main_School_Building4"/>
      <sheetName val="Materials_Cost(PCC)4"/>
      <sheetName val="Excess_Calc4"/>
      <sheetName val="Grouping_Master4"/>
      <sheetName val="Commission_and_Volume_MOM(Char4"/>
      <sheetName val="%_Collection_Schedule4"/>
      <sheetName val="Stacking_Plan_&amp;_LEP4"/>
      <sheetName val="beam-reinft-machine_rm4"/>
      <sheetName val="A5_201_Consol_Profit_&amp;_Loss_4"/>
      <sheetName val="Consolidated_Monthly4"/>
      <sheetName val="Balance_Sheet4"/>
      <sheetName val="A5_202_Consol_Balance_Sheet_4"/>
      <sheetName val="Fixed_Assets4"/>
      <sheetName val="Key_assumption4"/>
      <sheetName val="Labour_Rate_1"/>
      <sheetName val="입찰내역_발주처_양식1"/>
      <sheetName val="Customize_Your_Purchase_Order1"/>
      <sheetName val="1_Market4"/>
      <sheetName val="Apartments_-_1st_Mar4"/>
      <sheetName val="Sheet_24"/>
      <sheetName val="schedule_nos"/>
      <sheetName val="Multiple_output1"/>
      <sheetName val="Chembur_11"/>
      <sheetName val="vb_9&amp;101"/>
      <sheetName val="Felix_Street_Summary1"/>
      <sheetName val="B_S-31-3-20061"/>
      <sheetName val="35_D_Annex21"/>
      <sheetName val="H_O1"/>
      <sheetName val="TRIAL_BALANCE1"/>
      <sheetName val="Card_nos_1"/>
      <sheetName val="Statistics_{pbc}1"/>
      <sheetName val="BOD_PL_NEW1"/>
      <sheetName val="Assumptions_(2)1"/>
      <sheetName val="Cntrl_Sheet1"/>
      <sheetName val="B_S1"/>
      <sheetName val="Project_Cost1"/>
      <sheetName val="CAS_P1"/>
      <sheetName val="EXPENDITURE_CYCLE1"/>
      <sheetName val="Fixed_Assets_Top_Sheet-_Consol1"/>
      <sheetName val="VIR_CG1"/>
      <sheetName val="Weighted_Avg1"/>
      <sheetName val="Assumptions_(W)1"/>
      <sheetName val="P_L1"/>
      <sheetName val="NKEL_O&amp;M1"/>
      <sheetName val="ASSUMPTIONS_21"/>
      <sheetName val="_TARIFFS_POST_PCOD1"/>
      <sheetName val="DCF_Valuation_-_FCFF1"/>
      <sheetName val="FA_Leadsheet_&amp;_Movement1"/>
      <sheetName val="Profit_&amp;_Loss1"/>
      <sheetName val="Summary_-_USD1"/>
      <sheetName val="FY16-17_Cashflow1"/>
      <sheetName val="GrossMgn_981"/>
      <sheetName val="Rent_-011"/>
      <sheetName val="Sukuki_CDR1"/>
      <sheetName val="TRX_ADDITION1"/>
      <sheetName val="TDS_Certificate-Format1"/>
      <sheetName val="priority_analysis1"/>
      <sheetName val="standards_trend1"/>
      <sheetName val="service_timing1"/>
      <sheetName val="Product_Problems1"/>
      <sheetName val="score_trends1"/>
      <sheetName val="Fix_it_First_Time1"/>
      <sheetName val="Sample_India1"/>
      <sheetName val="Sample_Indo1"/>
      <sheetName val="Sample_MY1"/>
      <sheetName val="Sample_PH1"/>
      <sheetName val="Sample_TH1"/>
      <sheetName val="Income_Statements1"/>
      <sheetName val="CTbe_tong1"/>
      <sheetName val="CTDZ_0_4+cto1"/>
      <sheetName val="_1"/>
      <sheetName val="450_x_3501"/>
      <sheetName val="Fill_this_out_first___1"/>
      <sheetName val="Approved_MTD_Proj_#'s1"/>
      <sheetName val="RATE_ANALYSIS_1"/>
      <sheetName val="Raw_DCF1"/>
      <sheetName val="Sch_1,2,31"/>
      <sheetName val="Sch_14,15,161"/>
      <sheetName val="profit_&amp;_loss_account1"/>
      <sheetName val="Movement_of_Mutual_Funds1"/>
      <sheetName val="Mix_Design1"/>
      <sheetName val="Ins_&amp;_Bonds1"/>
      <sheetName val="_Vivante_MAIN__INFRA__MAR_181"/>
      <sheetName val="Current_Bill_MB_ref1"/>
      <sheetName val="Form_61"/>
      <sheetName val="M-Book_for_Conc1"/>
      <sheetName val="M-Book_for_FW1"/>
      <sheetName val="Source_Ref_1"/>
      <sheetName val="Schedules_PL1"/>
      <sheetName val="Schedules_BS1"/>
      <sheetName val="RA_11"/>
      <sheetName val="Outline_Cost_-_Five_star_Hotel1"/>
      <sheetName val="CC_APR041"/>
      <sheetName val="CC_MAY041"/>
      <sheetName val="CC_JUNE041"/>
      <sheetName val="LIFE_&amp;_REP_PROVN1"/>
      <sheetName val="O&amp;M_CREW1"/>
      <sheetName val="Direct_cost_shed_A-2_1"/>
      <sheetName val="gen_ledger_data"/>
      <sheetName val="Annex_-_8"/>
      <sheetName val="6_TRS"/>
      <sheetName val="BS_SCH_A-D"/>
      <sheetName val="Elect_"/>
      <sheetName val="Note_9-13"/>
      <sheetName val="Basic_Rate"/>
      <sheetName val="INFLUENCES_ON_GM"/>
      <sheetName val="2nd_"/>
      <sheetName val="final_abstract"/>
      <sheetName val="Product_Details"/>
      <sheetName val="SP_Break_Up"/>
      <sheetName val="Reconciliation_of_GL_&amp;_FAR"/>
      <sheetName val="Price_Comparison"/>
      <sheetName val="Leg_1-1"/>
      <sheetName val="All_Components_Report"/>
      <sheetName val="Rate_analysis_civil"/>
      <sheetName val="A_O_R_"/>
      <sheetName val="FORM-16"/>
      <sheetName val="depit"/>
      <sheetName val="ABB"/>
      <sheetName val="GE"/>
      <sheetName val="Material "/>
      <sheetName val="Labour &amp; Plant"/>
      <sheetName val="Steel-Circular"/>
      <sheetName val="analysis"/>
      <sheetName val="ECP II Cashflow INR"/>
      <sheetName val="ECP II Cashflow USD"/>
      <sheetName val="Monthly Checklist"/>
      <sheetName val="Corp Svc fee"/>
      <sheetName val="PL"/>
      <sheetName val="BANK"/>
      <sheetName val="GL"/>
      <sheetName val="GJ"/>
      <sheetName val="AR SUM (SGD) "/>
      <sheetName val="AR SUM (RM)"/>
      <sheetName val="AR DETAIL (RM)"/>
      <sheetName val="AR DETAIL (SGD) "/>
      <sheetName val="AP SUM (SGD)"/>
      <sheetName val="AP DETAIL (SGD) "/>
      <sheetName val="Revenue Schedule "/>
      <sheetName val="Sch"/>
      <sheetName val="FA"/>
      <sheetName val="Under paid GST Working"/>
      <sheetName val="Bonus com"/>
      <sheetName val="Exchange Rates_2019"/>
      <sheetName val="CCS"/>
      <sheetName val="ERL"/>
      <sheetName val="SSR"/>
      <sheetName val="Charts"/>
      <sheetName val="M-0003"/>
      <sheetName val="Manual JV"/>
      <sheetName val="Stacking Plan"/>
      <sheetName val="Groupings-final"/>
      <sheetName val="Sched"/>
      <sheetName val="Trial"/>
      <sheetName val="FA_Final"/>
      <sheetName val="BFS"/>
      <sheetName val="SOA"/>
      <sheetName val="Podium Areas"/>
      <sheetName val="Mkt PMS"/>
      <sheetName val="Infinite Studios"/>
      <sheetName val="Neuros &amp; Immunos"/>
      <sheetName val="Nucleos"/>
      <sheetName val="stryker div "/>
      <sheetName val="LTM"/>
      <sheetName val="DropZone"/>
      <sheetName val="Old"/>
      <sheetName val="Introduction"/>
      <sheetName val="Emp Details"/>
      <sheetName val="XREF"/>
      <sheetName val="BP"/>
      <sheetName val="Assumption Inputs"/>
      <sheetName val="Insts"/>
      <sheetName val="Budget Vs Actuals (2)"/>
      <sheetName val="theatre mgmt cont"/>
      <sheetName val="RF_Vol1"/>
      <sheetName val="TBAL9697_-group_wise__sdpl"/>
      <sheetName val="Dep_-_SAP"/>
      <sheetName val="SAP_EMP"/>
      <sheetName val="Labor_abs-NMR"/>
      <sheetName val="Project_Budget_Worksheet"/>
      <sheetName val="Builtup_Area"/>
      <sheetName val="MASTER_RATE_ANALYSIS"/>
      <sheetName val="Item_Master"/>
      <sheetName val="HistData(1)"/>
      <sheetName val="Update"/>
      <sheetName val="Operating Statistics"/>
      <sheetName val="Financials"/>
      <sheetName val="BS_ABRIDGED"/>
      <sheetName val="Hyp-mstr"/>
      <sheetName val="PCost"/>
      <sheetName val="INCOME "/>
      <sheetName val="M_Main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BSSCH"/>
      <sheetName val="PLSCH"/>
      <sheetName val="Asset"/>
      <sheetName val="Liab"/>
      <sheetName val="Income"/>
      <sheetName val="Exp"/>
      <sheetName val="EPS Calculation"/>
      <sheetName val="tb"/>
      <sheetName val="roi2003"/>
      <sheetName val="fa in 1000"/>
      <sheetName val="FASch"/>
      <sheetName val="Investment sch"/>
      <sheetName val="DRS-WKG"/>
      <sheetName val="Deferred tax"/>
      <sheetName val="details of grossup"/>
      <sheetName val="drs gross provn working"/>
      <sheetName val="bad-debt provn"/>
      <sheetName val="income tax computation"/>
      <sheetName val="ro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B8">
            <v>89596</v>
          </cell>
        </row>
        <row r="10">
          <cell r="B10">
            <v>0</v>
          </cell>
        </row>
        <row r="16">
          <cell r="B16">
            <v>56087</v>
          </cell>
        </row>
        <row r="25">
          <cell r="B25">
            <v>45948</v>
          </cell>
        </row>
        <row r="92">
          <cell r="B92">
            <v>301270</v>
          </cell>
        </row>
        <row r="101">
          <cell r="B101">
            <v>127904</v>
          </cell>
        </row>
        <row r="169">
          <cell r="B169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esreqsum"/>
      <sheetName val="ikonos"/>
      <sheetName val="GRIDDING"/>
      <sheetName val="Digitisation"/>
      <sheetName val="QAQC"/>
      <sheetName val="fIELD SURVEY"/>
      <sheetName val="edgematching"/>
      <sheetName val="Attribute "/>
      <sheetName val="LANDBASE"/>
      <sheetName val="asbuilt drgs"/>
      <sheetName val="ASBUILT GIS LANDBASE"/>
      <sheetName val="CODIFICATION"/>
      <sheetName val="Summary"/>
      <sheetName val="SCURCUM"/>
      <sheetName val="wavelength"/>
      <sheetName val="Input for codification,bandwidt"/>
      <sheetName val="SCUR-PERIOD"/>
      <sheetName val="Engg summary"/>
      <sheetName val="LM ASBLT"/>
      <sheetName val="LM FIBRE"/>
      <sheetName val="ISP "/>
      <sheetName val="MA,CA-ASBLT"/>
      <sheetName val="Sheet5"/>
      <sheetName val="MA,CA-FIBRE"/>
      <sheetName val="S-curve"/>
      <sheetName val="Level 2 mhrs"/>
      <sheetName val="Level 2 deliverables"/>
      <sheetName val="INPUT SHEET"/>
      <sheetName val="Sheet4"/>
      <sheetName val="P3 CITIES MA,CA"/>
      <sheetName val="P3CITIES LM"/>
      <sheetName val="Sheet1"/>
      <sheetName val="AP MA,CA"/>
      <sheetName val="MUMBAI LM"/>
      <sheetName val="CHENNAI MA,CA"/>
      <sheetName val="CHENNAI LM"/>
      <sheetName val="KOL MA,CA"/>
      <sheetName val="KOL LM"/>
      <sheetName val="BLR MA,CA"/>
      <sheetName val="BLR LM"/>
      <sheetName val="HYD MA,CA"/>
      <sheetName val="HYD LM"/>
      <sheetName val="PUNE MA,CA"/>
      <sheetName val="PUNE LM"/>
      <sheetName val="AHD MA,CA"/>
      <sheetName val="AHD LM"/>
      <sheetName val="SURAT MA,CA"/>
      <sheetName val="SURAT LM"/>
      <sheetName val="VAD MA,CA"/>
      <sheetName val="VAD LM"/>
      <sheetName val="City S-curves"/>
      <sheetName val="Interconn updation sheet"/>
      <sheetName val="Intercon s-curves"/>
      <sheetName val="Sheet2"/>
      <sheetName val="Sheet3"/>
      <sheetName val="Mumbai"/>
      <sheetName val="delhi"/>
      <sheetName val="hyd"/>
      <sheetName val="chn"/>
      <sheetName val="blr"/>
      <sheetName val="Sheet10"/>
      <sheetName val="Ãhty S-curves"/>
      <sheetName val="Kumbai"/>
      <sheetName val="RCTL-SCH"/>
      <sheetName val="COMPARISON"/>
      <sheetName val="cover "/>
      <sheetName val="critical"/>
      <sheetName val="over all s curve"/>
      <sheetName val="ROW STATUS"/>
      <sheetName val="LINKWISE STATUS "/>
      <sheetName val="crossing detailed "/>
      <sheetName val="DETAIL SHEET"/>
      <sheetName val="Progress"/>
      <sheetName val="Const activity list"/>
      <sheetName val="NLD7000-Backup"/>
      <sheetName val="AY-202&amp;270"/>
      <sheetName val="cum"/>
      <sheetName val="SCurv"/>
      <sheetName val="synop"/>
      <sheetName val="ex&amp;mob"/>
      <sheetName val="pi chart"/>
      <sheetName val="IBR (2)"/>
      <sheetName val="NIBR (2)"/>
      <sheetName val="act"/>
      <sheetName val="factors"/>
      <sheetName val="Assumptions"/>
      <sheetName val="EAW Final Accounts - 99"/>
      <sheetName val="Genera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 refreshError="1"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 &amp; L"/>
      <sheetName val="BS SCH"/>
      <sheetName val="P &amp; L SCH"/>
      <sheetName val="Trial Balance"/>
      <sheetName val="CASH FLOW"/>
      <sheetName val="EPS"/>
      <sheetName val="P _ L SCH"/>
      <sheetName val="SCH -IV OSL-EXPEN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PAP Memo"/>
      <sheetName val="PAP Reco"/>
      <sheetName val="Non Fund"/>
      <sheetName val="PAP"/>
      <sheetName val="SPR"/>
      <sheetName val="Yield-COB"/>
      <sheetName val="Yield-COB sum"/>
      <sheetName val="B S"/>
      <sheetName val="Sheet2"/>
      <sheetName val="DTPL"/>
      <sheetName val="Yield-backup"/>
      <sheetName val="Facility"/>
      <sheetName val="P L"/>
      <sheetName val="Cashflow"/>
      <sheetName val="deb"/>
      <sheetName val="MIS reports"/>
      <sheetName val="InfraTL-COB"/>
      <sheetName val="Fin_Cmmts"/>
      <sheetName val="Assumptions"/>
      <sheetName val="Cntrl Sheet"/>
      <sheetName val="Reversals"/>
      <sheetName val="Potential Reversal"/>
      <sheetName val="Interest"/>
      <sheetName val="Borrowing"/>
      <sheetName val="STAS"/>
      <sheetName val="Exposure Anx III"/>
      <sheetName val="Esti report"/>
      <sheetName val="Seg. report"/>
      <sheetName val="note_to_RP"/>
      <sheetName val="Bal"/>
      <sheetName val="prof"/>
      <sheetName val="Keyratios"/>
      <sheetName val="BOD BS"/>
      <sheetName val="Short Term"/>
      <sheetName val="Loan Back up"/>
      <sheetName val="BOD 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PAP Memo"/>
      <sheetName val="PAP Reco"/>
      <sheetName val="Non Fund"/>
      <sheetName val="PAP"/>
      <sheetName val="SPR"/>
      <sheetName val="Yield-COB"/>
      <sheetName val="Yield-COB sum"/>
      <sheetName val="B S"/>
      <sheetName val="Sheet2"/>
      <sheetName val="DTPL"/>
      <sheetName val="Yield-backup"/>
      <sheetName val="Facility"/>
      <sheetName val="P L"/>
      <sheetName val="Cashflow"/>
      <sheetName val="deb"/>
      <sheetName val="MIS reports"/>
      <sheetName val="InfraTL-COB"/>
      <sheetName val="Fin_Cmmts"/>
      <sheetName val="Assumptions"/>
      <sheetName val="Cntrl Sheet"/>
      <sheetName val="Reversals"/>
      <sheetName val="Potential Reversal"/>
      <sheetName val="Interest"/>
      <sheetName val="Borrowing"/>
      <sheetName val="STAS"/>
      <sheetName val="Exposure Anx III"/>
      <sheetName val="Esti report"/>
      <sheetName val="Seg. report"/>
      <sheetName val="note_to_RP"/>
      <sheetName val="Bal"/>
      <sheetName val="prof"/>
      <sheetName val="Keyratios"/>
      <sheetName val="BOD BS"/>
      <sheetName val="Short Term"/>
      <sheetName val="Loan Back up"/>
      <sheetName val="BOD 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U"/>
      <sheetName val="Sheet4"/>
      <sheetName val="Actual Budget Comparison"/>
      <sheetName val="MD Review 1 "/>
      <sheetName val="Monthly MIS"/>
      <sheetName val="Monthly Budget"/>
      <sheetName val="Budget"/>
      <sheetName val="Data Input"/>
      <sheetName val="Executive Summary"/>
      <sheetName val="Sheet2"/>
      <sheetName val="Furnace Cost Report"/>
      <sheetName val="Furnace Cost Summary"/>
      <sheetName val="MD Review"/>
      <sheetName val="Furnace Cost Sum"/>
      <sheetName val="Chart1"/>
      <sheetName val="Chart2"/>
      <sheetName val="Chart3"/>
      <sheetName val="Sheet5"/>
      <sheetName val="Chart4"/>
      <sheetName val="Chart5"/>
      <sheetName val="REALISATION"/>
      <sheetName val="Dep Working"/>
      <sheetName val="T Codes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14">
          <cell r="U314">
            <v>41730</v>
          </cell>
          <cell r="V314">
            <v>41760</v>
          </cell>
          <cell r="W314">
            <v>41791</v>
          </cell>
          <cell r="X314">
            <v>41821</v>
          </cell>
          <cell r="Y314">
            <v>41852</v>
          </cell>
          <cell r="Z314">
            <v>41883</v>
          </cell>
          <cell r="AA314">
            <v>41913</v>
          </cell>
          <cell r="AB314">
            <v>41944</v>
          </cell>
          <cell r="AC314">
            <v>41974</v>
          </cell>
          <cell r="AD314">
            <v>42005</v>
          </cell>
          <cell r="AE314">
            <v>42036</v>
          </cell>
          <cell r="AF314">
            <v>42064</v>
          </cell>
        </row>
        <row r="315">
          <cell r="R315" t="str">
            <v>RSR</v>
          </cell>
          <cell r="S315" t="str">
            <v>LPG</v>
          </cell>
          <cell r="T315" t="str">
            <v>Qty</v>
          </cell>
          <cell r="U315">
            <v>312.11500000000001</v>
          </cell>
          <cell r="V315">
            <v>643.46900000000005</v>
          </cell>
          <cell r="W315">
            <v>951.33900000000006</v>
          </cell>
          <cell r="X315">
            <v>1251.6190000000001</v>
          </cell>
          <cell r="Y315">
            <v>1591.759</v>
          </cell>
          <cell r="Z315">
            <v>1975.759</v>
          </cell>
          <cell r="AA315">
            <v>2365.569</v>
          </cell>
          <cell r="AB315">
            <v>2752.7489999999998</v>
          </cell>
          <cell r="AC315">
            <v>3152.8609999999999</v>
          </cell>
          <cell r="AD315">
            <v>3152.8609999999999</v>
          </cell>
          <cell r="AE315">
            <v>3152.8609999999999</v>
          </cell>
          <cell r="AF315">
            <v>3152.8609999999999</v>
          </cell>
        </row>
        <row r="316">
          <cell r="R316" t="str">
            <v>RSR</v>
          </cell>
          <cell r="S316" t="str">
            <v>LPG</v>
          </cell>
          <cell r="T316" t="str">
            <v>Value</v>
          </cell>
          <cell r="U316">
            <v>219.30760475000002</v>
          </cell>
          <cell r="V316">
            <v>434.88983069000005</v>
          </cell>
          <cell r="W316">
            <v>630.95068279000009</v>
          </cell>
          <cell r="X316">
            <v>826.66117559000008</v>
          </cell>
          <cell r="Y316">
            <v>1047.4206411320001</v>
          </cell>
          <cell r="Z316">
            <v>1296.9206411320001</v>
          </cell>
          <cell r="AA316">
            <v>1546.4906411320001</v>
          </cell>
          <cell r="AB316">
            <v>1783.090641132</v>
          </cell>
          <cell r="AC316">
            <v>2003.270641132</v>
          </cell>
          <cell r="AD316">
            <v>2003.270641132</v>
          </cell>
          <cell r="AE316">
            <v>2003.270641132</v>
          </cell>
          <cell r="AF316">
            <v>2003.270641132</v>
          </cell>
        </row>
        <row r="317">
          <cell r="R317" t="str">
            <v>RSR</v>
          </cell>
          <cell r="S317" t="str">
            <v>LPG - ACL</v>
          </cell>
          <cell r="T317" t="str">
            <v>Qty</v>
          </cell>
          <cell r="U317">
            <v>72.349000000000004</v>
          </cell>
          <cell r="V317">
            <v>102.494</v>
          </cell>
          <cell r="W317">
            <v>102.494</v>
          </cell>
          <cell r="X317">
            <v>102.494</v>
          </cell>
          <cell r="Y317">
            <v>102.494</v>
          </cell>
          <cell r="Z317">
            <v>102.494</v>
          </cell>
          <cell r="AA317">
            <v>102.494</v>
          </cell>
          <cell r="AB317">
            <v>102.494</v>
          </cell>
          <cell r="AC317">
            <v>112.494</v>
          </cell>
          <cell r="AD317">
            <v>112.494</v>
          </cell>
          <cell r="AE317">
            <v>112.494</v>
          </cell>
          <cell r="AF317">
            <v>112.494</v>
          </cell>
        </row>
        <row r="318">
          <cell r="R318" t="str">
            <v>RSR</v>
          </cell>
          <cell r="S318" t="str">
            <v>LPG - ACL</v>
          </cell>
          <cell r="T318" t="str">
            <v>Value</v>
          </cell>
          <cell r="U318">
            <v>50.836024850000001</v>
          </cell>
          <cell r="V318">
            <v>70.448663299999993</v>
          </cell>
          <cell r="W318">
            <v>70.448663299999993</v>
          </cell>
          <cell r="X318">
            <v>70.448663299999993</v>
          </cell>
          <cell r="Y318">
            <v>70.448663299999993</v>
          </cell>
          <cell r="Z318">
            <v>70.448663299999993</v>
          </cell>
          <cell r="AA318">
            <v>70.448663299999993</v>
          </cell>
          <cell r="AB318">
            <v>70.448663299999993</v>
          </cell>
          <cell r="AC318">
            <v>75.948663299999993</v>
          </cell>
          <cell r="AD318">
            <v>75.948663299999993</v>
          </cell>
          <cell r="AE318">
            <v>75.948663299999993</v>
          </cell>
          <cell r="AF318">
            <v>75.948663299999993</v>
          </cell>
        </row>
        <row r="319">
          <cell r="R319" t="str">
            <v>RSR</v>
          </cell>
          <cell r="S319" t="str">
            <v>LNG</v>
          </cell>
          <cell r="T319" t="str">
            <v>Qty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R320" t="str">
            <v>RSR</v>
          </cell>
          <cell r="S320" t="str">
            <v>LNG</v>
          </cell>
          <cell r="T320" t="str">
            <v>Value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R321" t="str">
            <v>RSR</v>
          </cell>
          <cell r="S321" t="str">
            <v>PET FUEL</v>
          </cell>
          <cell r="T321" t="str">
            <v>Qty</v>
          </cell>
          <cell r="U321">
            <v>3474.9369999999999</v>
          </cell>
          <cell r="V321">
            <v>7152.8159999999998</v>
          </cell>
          <cell r="W321">
            <v>10518.433000000001</v>
          </cell>
          <cell r="X321">
            <v>14088.795000000002</v>
          </cell>
          <cell r="Y321">
            <v>17240.385000000002</v>
          </cell>
          <cell r="Z321">
            <v>20464.385000000002</v>
          </cell>
          <cell r="AA321">
            <v>24047.385000000002</v>
          </cell>
          <cell r="AB321">
            <v>26630.965000000004</v>
          </cell>
          <cell r="AC321">
            <v>29962.965000000004</v>
          </cell>
          <cell r="AD321">
            <v>29962.965000000004</v>
          </cell>
          <cell r="AE321">
            <v>29962.965000000004</v>
          </cell>
          <cell r="AF321">
            <v>29962.965000000004</v>
          </cell>
        </row>
        <row r="322">
          <cell r="R322" t="str">
            <v>RSR</v>
          </cell>
          <cell r="S322" t="str">
            <v>PET FUEL</v>
          </cell>
          <cell r="T322" t="str">
            <v>Value</v>
          </cell>
          <cell r="U322">
            <v>548.14829022000004</v>
          </cell>
          <cell r="V322">
            <v>1117.269033</v>
          </cell>
          <cell r="W322">
            <v>1614.2997174100001</v>
          </cell>
          <cell r="X322">
            <v>2128.8257866500003</v>
          </cell>
          <cell r="Y322">
            <v>2577.4085410500002</v>
          </cell>
          <cell r="Z322">
            <v>3036.7485410500003</v>
          </cell>
          <cell r="AA322">
            <v>3562.5485410500005</v>
          </cell>
          <cell r="AB322">
            <v>3948.8785410500004</v>
          </cell>
          <cell r="AC322">
            <v>4430.3385410500005</v>
          </cell>
          <cell r="AD322">
            <v>4430.3385410500005</v>
          </cell>
          <cell r="AE322">
            <v>4430.3385410500005</v>
          </cell>
          <cell r="AF322">
            <v>4430.3385410500005</v>
          </cell>
        </row>
        <row r="323">
          <cell r="R323" t="str">
            <v>RSR</v>
          </cell>
          <cell r="S323" t="str">
            <v>HSD</v>
          </cell>
          <cell r="T323" t="str">
            <v>Qty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R324" t="str">
            <v>RSR</v>
          </cell>
          <cell r="S324" t="str">
            <v>HSD</v>
          </cell>
          <cell r="T324" t="str">
            <v>Value</v>
          </cell>
          <cell r="U324">
            <v>15.697900000000001</v>
          </cell>
          <cell r="V324">
            <v>35.953008500000003</v>
          </cell>
          <cell r="W324">
            <v>52.812864900000001</v>
          </cell>
          <cell r="X324">
            <v>81.037659899999994</v>
          </cell>
          <cell r="Y324">
            <v>103.03765989999999</v>
          </cell>
          <cell r="Z324">
            <v>122.03765989999999</v>
          </cell>
          <cell r="AA324">
            <v>140.03765989999999</v>
          </cell>
          <cell r="AB324">
            <v>168.03765989999999</v>
          </cell>
          <cell r="AC324">
            <v>188.03765989999999</v>
          </cell>
          <cell r="AD324">
            <v>188.03765989999999</v>
          </cell>
          <cell r="AE324">
            <v>188.03765989999999</v>
          </cell>
          <cell r="AF324">
            <v>188.03765989999999</v>
          </cell>
        </row>
        <row r="325">
          <cell r="R325" t="str">
            <v>RSR</v>
          </cell>
          <cell r="S325" t="str">
            <v>Electricity ('1000 units)</v>
          </cell>
          <cell r="T325" t="str">
            <v>Qty</v>
          </cell>
          <cell r="U325">
            <v>7837.549</v>
          </cell>
          <cell r="V325">
            <v>16309.975999999999</v>
          </cell>
          <cell r="W325">
            <v>23987.464999999997</v>
          </cell>
          <cell r="X325">
            <v>31740.210999999996</v>
          </cell>
          <cell r="Y325">
            <v>39894.485999999997</v>
          </cell>
          <cell r="Z325">
            <v>48622.485999999997</v>
          </cell>
          <cell r="AA325">
            <v>57087.485999999997</v>
          </cell>
          <cell r="AB325">
            <v>65223.485999999997</v>
          </cell>
          <cell r="AC325">
            <v>73639.486000000004</v>
          </cell>
          <cell r="AD325">
            <v>73639.486000000004</v>
          </cell>
          <cell r="AE325">
            <v>73639.486000000004</v>
          </cell>
          <cell r="AF325">
            <v>73639.486000000004</v>
          </cell>
        </row>
        <row r="326">
          <cell r="R326" t="str">
            <v>RSR</v>
          </cell>
          <cell r="S326" t="str">
            <v>Electricity ('1000 units)</v>
          </cell>
          <cell r="T326" t="str">
            <v>Value</v>
          </cell>
          <cell r="U326">
            <v>503.17064579999999</v>
          </cell>
          <cell r="V326">
            <v>1046.3379407699999</v>
          </cell>
          <cell r="W326">
            <v>1541.84308083</v>
          </cell>
          <cell r="X326">
            <v>2042.2053076699999</v>
          </cell>
          <cell r="Y326">
            <v>2569.7869001700001</v>
          </cell>
          <cell r="Z326">
            <v>3133.8369001700003</v>
          </cell>
          <cell r="AA326">
            <v>3679.1469001700002</v>
          </cell>
          <cell r="AB326">
            <v>4202.6969001699999</v>
          </cell>
          <cell r="AC326">
            <v>4744.6869001699997</v>
          </cell>
          <cell r="AD326">
            <v>4744.6869001699997</v>
          </cell>
          <cell r="AE326">
            <v>4744.6869001699997</v>
          </cell>
          <cell r="AF326">
            <v>4744.6869001699997</v>
          </cell>
        </row>
        <row r="327">
          <cell r="R327" t="str">
            <v>RSR</v>
          </cell>
          <cell r="S327" t="str">
            <v>FURNACE OIL</v>
          </cell>
          <cell r="T327" t="str">
            <v>Qty</v>
          </cell>
          <cell r="U327">
            <v>26.97</v>
          </cell>
          <cell r="V327">
            <v>26.97</v>
          </cell>
          <cell r="W327">
            <v>26.97</v>
          </cell>
          <cell r="X327">
            <v>81.319999999999993</v>
          </cell>
          <cell r="Y327">
            <v>460.32</v>
          </cell>
          <cell r="Z327">
            <v>732.31999999999994</v>
          </cell>
          <cell r="AA327">
            <v>732.31999999999994</v>
          </cell>
          <cell r="AB327">
            <v>1496.8799999999999</v>
          </cell>
          <cell r="AC327">
            <v>1840.54</v>
          </cell>
          <cell r="AD327">
            <v>1840.54</v>
          </cell>
          <cell r="AE327">
            <v>1840.54</v>
          </cell>
          <cell r="AF327">
            <v>1840.54</v>
          </cell>
        </row>
        <row r="328">
          <cell r="R328" t="str">
            <v>RSR</v>
          </cell>
          <cell r="S328" t="str">
            <v>FURNACE OIL</v>
          </cell>
          <cell r="T328" t="str">
            <v>Value</v>
          </cell>
          <cell r="U328">
            <v>11.693160000000001</v>
          </cell>
          <cell r="V328">
            <v>11.693160000000001</v>
          </cell>
          <cell r="W328">
            <v>11.693160000000001</v>
          </cell>
          <cell r="X328">
            <v>34.916914999999996</v>
          </cell>
          <cell r="Y328">
            <v>194.97784744000001</v>
          </cell>
          <cell r="Z328">
            <v>309.97784744000001</v>
          </cell>
          <cell r="AA328">
            <v>309.97784744000001</v>
          </cell>
          <cell r="AB328">
            <v>603.81784743999992</v>
          </cell>
          <cell r="AC328">
            <v>716.04784743999994</v>
          </cell>
          <cell r="AD328">
            <v>716.04784743999994</v>
          </cell>
          <cell r="AE328">
            <v>716.04784743999994</v>
          </cell>
          <cell r="AF328">
            <v>716.04784743999994</v>
          </cell>
        </row>
        <row r="329">
          <cell r="R329" t="str">
            <v>RSR</v>
          </cell>
          <cell r="S329" t="str">
            <v>Price Difference</v>
          </cell>
          <cell r="T329" t="str">
            <v>Qty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R330" t="str">
            <v>RSR</v>
          </cell>
          <cell r="S330" t="str">
            <v>Price Difference</v>
          </cell>
          <cell r="T330" t="str">
            <v>Value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2">
          <cell r="R332" t="str">
            <v>BGH</v>
          </cell>
          <cell r="S332" t="str">
            <v>LPG</v>
          </cell>
          <cell r="T332" t="str">
            <v>Qty</v>
          </cell>
          <cell r="U332">
            <v>412.25400000000002</v>
          </cell>
          <cell r="V332">
            <v>824.16399999999999</v>
          </cell>
          <cell r="W332">
            <v>1238.191</v>
          </cell>
          <cell r="X332">
            <v>1677.279</v>
          </cell>
          <cell r="Y332">
            <v>2149.192</v>
          </cell>
          <cell r="Z332">
            <v>2611.663</v>
          </cell>
          <cell r="AA332">
            <v>3157.549</v>
          </cell>
          <cell r="AB332">
            <v>3698.4090000000001</v>
          </cell>
          <cell r="AC332">
            <v>4252.5889999999999</v>
          </cell>
          <cell r="AD332">
            <v>4252.5889999999999</v>
          </cell>
          <cell r="AE332">
            <v>4252.5889999999999</v>
          </cell>
          <cell r="AF332">
            <v>4252.5889999999999</v>
          </cell>
        </row>
        <row r="333">
          <cell r="R333" t="str">
            <v>BGH</v>
          </cell>
          <cell r="S333" t="str">
            <v>LPG</v>
          </cell>
          <cell r="T333" t="str">
            <v>Value</v>
          </cell>
          <cell r="U333">
            <v>295.83</v>
          </cell>
          <cell r="V333">
            <v>535.75</v>
          </cell>
          <cell r="W333">
            <v>778.35</v>
          </cell>
          <cell r="X333">
            <v>1041.19</v>
          </cell>
          <cell r="Y333">
            <v>1312.38</v>
          </cell>
          <cell r="Z333">
            <v>1592.95</v>
          </cell>
          <cell r="AA333">
            <v>1909.8700000000001</v>
          </cell>
          <cell r="AB333">
            <v>2195.12</v>
          </cell>
          <cell r="AC333">
            <v>2493.08</v>
          </cell>
          <cell r="AD333">
            <v>2493.08</v>
          </cell>
          <cell r="AE333">
            <v>2493.08</v>
          </cell>
          <cell r="AF333">
            <v>2493.08</v>
          </cell>
        </row>
        <row r="334">
          <cell r="R334" t="str">
            <v>BGH</v>
          </cell>
          <cell r="S334" t="str">
            <v>LPG - ACL</v>
          </cell>
          <cell r="T334" t="str">
            <v>Qty</v>
          </cell>
          <cell r="U334">
            <v>61.363999999999997</v>
          </cell>
          <cell r="V334">
            <v>92.441000000000003</v>
          </cell>
          <cell r="W334">
            <v>124.342</v>
          </cell>
          <cell r="X334">
            <v>124.342</v>
          </cell>
          <cell r="Y334">
            <v>134.41900000000001</v>
          </cell>
          <cell r="Z334">
            <v>158.51900000000001</v>
          </cell>
          <cell r="AA334">
            <v>204.595</v>
          </cell>
          <cell r="AB334">
            <v>270.14999999999998</v>
          </cell>
          <cell r="AC334">
            <v>340.44099999999997</v>
          </cell>
          <cell r="AD334">
            <v>340.44099999999997</v>
          </cell>
          <cell r="AE334">
            <v>340.44099999999997</v>
          </cell>
          <cell r="AF334">
            <v>340.44099999999997</v>
          </cell>
        </row>
        <row r="335">
          <cell r="R335" t="str">
            <v>BGH</v>
          </cell>
          <cell r="S335" t="str">
            <v>LPG - ACL</v>
          </cell>
          <cell r="T335" t="str">
            <v>Value</v>
          </cell>
          <cell r="U335">
            <v>36.61</v>
          </cell>
          <cell r="V335">
            <v>54.71</v>
          </cell>
          <cell r="W335">
            <v>73.400000000000006</v>
          </cell>
          <cell r="X335">
            <v>73.400000000000006</v>
          </cell>
          <cell r="Y335">
            <v>79.47</v>
          </cell>
          <cell r="Z335">
            <v>94.09</v>
          </cell>
          <cell r="AA335">
            <v>121.48</v>
          </cell>
          <cell r="AB335">
            <v>157.03</v>
          </cell>
          <cell r="AC335">
            <v>195.8</v>
          </cell>
          <cell r="AD335">
            <v>195.8</v>
          </cell>
          <cell r="AE335">
            <v>195.8</v>
          </cell>
          <cell r="AF335">
            <v>195.8</v>
          </cell>
        </row>
        <row r="336">
          <cell r="R336" t="str">
            <v>BGH</v>
          </cell>
          <cell r="S336" t="str">
            <v>LNG</v>
          </cell>
          <cell r="T336" t="str">
            <v>Qty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R337" t="str">
            <v>BGH</v>
          </cell>
          <cell r="S337" t="str">
            <v>LNG</v>
          </cell>
          <cell r="T337" t="str">
            <v>Value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R338" t="str">
            <v>BGH</v>
          </cell>
          <cell r="S338" t="str">
            <v>PET FUEL</v>
          </cell>
          <cell r="T338" t="str">
            <v>Qty</v>
          </cell>
          <cell r="U338">
            <v>2464.73</v>
          </cell>
          <cell r="V338">
            <v>5043.0300000000007</v>
          </cell>
          <cell r="W338">
            <v>7608.2340000000004</v>
          </cell>
          <cell r="X338">
            <v>10401.789000000001</v>
          </cell>
          <cell r="Y338">
            <v>13041.881000000001</v>
          </cell>
          <cell r="Z338">
            <v>15663.692000000001</v>
          </cell>
          <cell r="AA338">
            <v>18436.925000000003</v>
          </cell>
          <cell r="AB338">
            <v>21125.355000000003</v>
          </cell>
          <cell r="AC338">
            <v>23989.774000000005</v>
          </cell>
          <cell r="AD338">
            <v>23989.774000000005</v>
          </cell>
          <cell r="AE338">
            <v>23989.774000000005</v>
          </cell>
          <cell r="AF338">
            <v>23989.774000000005</v>
          </cell>
        </row>
        <row r="339">
          <cell r="R339" t="str">
            <v>BGH</v>
          </cell>
          <cell r="S339" t="str">
            <v>PET FUEL</v>
          </cell>
          <cell r="T339" t="str">
            <v>Value</v>
          </cell>
          <cell r="U339">
            <v>366.51</v>
          </cell>
          <cell r="V339">
            <v>774.13</v>
          </cell>
          <cell r="W339">
            <v>1258.97</v>
          </cell>
          <cell r="X339">
            <v>1739.23</v>
          </cell>
          <cell r="Y339">
            <v>2180.04</v>
          </cell>
          <cell r="Z339">
            <v>2566.7600000000002</v>
          </cell>
          <cell r="AA339">
            <v>2979.25</v>
          </cell>
          <cell r="AB339">
            <v>3390.13</v>
          </cell>
          <cell r="AC339">
            <v>3815.58</v>
          </cell>
          <cell r="AD339">
            <v>3815.58</v>
          </cell>
          <cell r="AE339">
            <v>3815.58</v>
          </cell>
          <cell r="AF339">
            <v>3815.58</v>
          </cell>
        </row>
        <row r="340">
          <cell r="R340" t="str">
            <v>BGH</v>
          </cell>
          <cell r="S340" t="str">
            <v>HSD</v>
          </cell>
          <cell r="T340" t="str">
            <v>Qty</v>
          </cell>
          <cell r="U340">
            <v>60.853999999999999</v>
          </cell>
          <cell r="V340">
            <v>123.211</v>
          </cell>
          <cell r="W340">
            <v>183.76599999999999</v>
          </cell>
          <cell r="X340">
            <v>247.45599999999999</v>
          </cell>
          <cell r="Y340">
            <v>308.58100000000002</v>
          </cell>
          <cell r="Z340">
            <v>364.31200000000001</v>
          </cell>
          <cell r="AA340">
            <v>364.31200000000001</v>
          </cell>
          <cell r="AB340">
            <v>364.31200000000001</v>
          </cell>
          <cell r="AC340">
            <v>364.31200000000001</v>
          </cell>
          <cell r="AD340">
            <v>364.31200000000001</v>
          </cell>
          <cell r="AE340">
            <v>364.31200000000001</v>
          </cell>
          <cell r="AF340">
            <v>364.31200000000001</v>
          </cell>
        </row>
        <row r="341">
          <cell r="R341" t="str">
            <v>BGH</v>
          </cell>
          <cell r="S341" t="str">
            <v>HSD</v>
          </cell>
          <cell r="T341" t="str">
            <v>Value</v>
          </cell>
          <cell r="U341">
            <v>36.31</v>
          </cell>
          <cell r="V341">
            <v>72.63</v>
          </cell>
          <cell r="W341">
            <v>108.1</v>
          </cell>
          <cell r="X341">
            <v>146.22</v>
          </cell>
          <cell r="Y341">
            <v>183.06</v>
          </cell>
          <cell r="Z341">
            <v>216.87</v>
          </cell>
          <cell r="AA341">
            <v>216.87</v>
          </cell>
          <cell r="AB341">
            <v>216.87</v>
          </cell>
          <cell r="AC341">
            <v>216.87</v>
          </cell>
          <cell r="AD341">
            <v>216.87</v>
          </cell>
          <cell r="AE341">
            <v>216.87</v>
          </cell>
          <cell r="AF341">
            <v>216.87</v>
          </cell>
        </row>
        <row r="342">
          <cell r="R342" t="str">
            <v>BGH</v>
          </cell>
          <cell r="S342" t="str">
            <v>Electricity ('1000 units)</v>
          </cell>
          <cell r="T342" t="str">
            <v>Qty</v>
          </cell>
          <cell r="U342">
            <v>8401.7080000000005</v>
          </cell>
          <cell r="V342">
            <v>17153.887999999999</v>
          </cell>
          <cell r="W342">
            <v>25687.47</v>
          </cell>
          <cell r="X342">
            <v>34679.361000000004</v>
          </cell>
          <cell r="Y342">
            <v>43952.191000000006</v>
          </cell>
          <cell r="Z342">
            <v>52761.251000000004</v>
          </cell>
          <cell r="AA342">
            <v>61401.73</v>
          </cell>
          <cell r="AB342">
            <v>69764.63</v>
          </cell>
          <cell r="AC342">
            <v>79215.290000000008</v>
          </cell>
          <cell r="AD342">
            <v>79215.290000000008</v>
          </cell>
          <cell r="AE342">
            <v>79215.290000000008</v>
          </cell>
          <cell r="AF342">
            <v>79215.290000000008</v>
          </cell>
        </row>
        <row r="343">
          <cell r="R343" t="str">
            <v>BGH</v>
          </cell>
          <cell r="S343" t="str">
            <v>Electricity ('1000 units)</v>
          </cell>
          <cell r="T343" t="str">
            <v>Value</v>
          </cell>
          <cell r="U343">
            <v>439.36</v>
          </cell>
          <cell r="V343">
            <v>1205.76</v>
          </cell>
          <cell r="W343">
            <v>1821.83</v>
          </cell>
          <cell r="X343">
            <v>2436.1099999999997</v>
          </cell>
          <cell r="Y343">
            <v>3084.16</v>
          </cell>
          <cell r="Z343">
            <v>3730.8199999999997</v>
          </cell>
          <cell r="AA343">
            <v>4340.08</v>
          </cell>
          <cell r="AB343">
            <v>4868.71</v>
          </cell>
          <cell r="AC343">
            <v>5513.6</v>
          </cell>
          <cell r="AD343">
            <v>5513.6</v>
          </cell>
          <cell r="AE343">
            <v>5513.6</v>
          </cell>
          <cell r="AF343">
            <v>5513.6</v>
          </cell>
        </row>
        <row r="344">
          <cell r="R344" t="str">
            <v>BGH</v>
          </cell>
          <cell r="S344" t="str">
            <v>FURNACE OIL</v>
          </cell>
          <cell r="T344" t="str">
            <v>Qty</v>
          </cell>
          <cell r="U344">
            <v>28.67</v>
          </cell>
          <cell r="V344">
            <v>175.70999999999998</v>
          </cell>
          <cell r="W344">
            <v>367.20399999999995</v>
          </cell>
          <cell r="X344">
            <v>383.12999999999994</v>
          </cell>
          <cell r="Y344">
            <v>535.91999999999996</v>
          </cell>
          <cell r="Z344">
            <v>586.27499999999998</v>
          </cell>
          <cell r="AA344">
            <v>615.49900000000002</v>
          </cell>
          <cell r="AB344">
            <v>621.72900000000004</v>
          </cell>
          <cell r="AC344">
            <v>621.72900000000004</v>
          </cell>
          <cell r="AD344">
            <v>621.72900000000004</v>
          </cell>
          <cell r="AE344">
            <v>621.72900000000004</v>
          </cell>
          <cell r="AF344">
            <v>621.72900000000004</v>
          </cell>
        </row>
        <row r="345">
          <cell r="R345" t="str">
            <v>BGH</v>
          </cell>
          <cell r="S345" t="str">
            <v>FURNACE OIL</v>
          </cell>
          <cell r="T345" t="str">
            <v>Value</v>
          </cell>
          <cell r="U345">
            <v>11.87</v>
          </cell>
          <cell r="V345">
            <v>73.92</v>
          </cell>
          <cell r="W345">
            <v>154.26999999999998</v>
          </cell>
          <cell r="X345">
            <v>160.98999999999998</v>
          </cell>
          <cell r="Y345">
            <v>225.33999999999997</v>
          </cell>
          <cell r="Z345">
            <v>246.43999999999997</v>
          </cell>
          <cell r="AA345">
            <v>252.68999999999997</v>
          </cell>
          <cell r="AB345">
            <v>255.29999999999998</v>
          </cell>
          <cell r="AC345">
            <v>255.29999999999998</v>
          </cell>
          <cell r="AD345">
            <v>255.29999999999998</v>
          </cell>
          <cell r="AE345">
            <v>255.29999999999998</v>
          </cell>
          <cell r="AF345">
            <v>255.29999999999998</v>
          </cell>
        </row>
        <row r="346">
          <cell r="R346" t="str">
            <v>BGH</v>
          </cell>
          <cell r="S346" t="str">
            <v>Price Difference</v>
          </cell>
          <cell r="T346" t="str">
            <v>Qty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61.125</v>
          </cell>
          <cell r="Z346">
            <v>61.125</v>
          </cell>
          <cell r="AA346">
            <v>61.125</v>
          </cell>
          <cell r="AB346">
            <v>61.125</v>
          </cell>
          <cell r="AC346">
            <v>61.125</v>
          </cell>
          <cell r="AD346">
            <v>61.125</v>
          </cell>
          <cell r="AE346">
            <v>61.125</v>
          </cell>
          <cell r="AF346">
            <v>61.125</v>
          </cell>
        </row>
        <row r="347">
          <cell r="R347" t="str">
            <v>BGH</v>
          </cell>
          <cell r="S347" t="str">
            <v>Price Difference</v>
          </cell>
          <cell r="T347" t="str">
            <v>Value</v>
          </cell>
          <cell r="U347">
            <v>0.42</v>
          </cell>
          <cell r="V347">
            <v>0.42</v>
          </cell>
          <cell r="W347">
            <v>0.42</v>
          </cell>
          <cell r="X347">
            <v>0.42</v>
          </cell>
          <cell r="Y347">
            <v>-36.42</v>
          </cell>
          <cell r="Z347">
            <v>-40.870000000000005</v>
          </cell>
          <cell r="AA347">
            <v>-40.870000000000005</v>
          </cell>
          <cell r="AB347">
            <v>-54.970000000000006</v>
          </cell>
          <cell r="AC347">
            <v>-54.970000000000006</v>
          </cell>
          <cell r="AD347">
            <v>-54.970000000000006</v>
          </cell>
          <cell r="AE347">
            <v>-54.970000000000006</v>
          </cell>
          <cell r="AF347">
            <v>-54.970000000000006</v>
          </cell>
        </row>
        <row r="349">
          <cell r="R349" t="str">
            <v>RSK</v>
          </cell>
          <cell r="S349" t="str">
            <v>LPG</v>
          </cell>
          <cell r="T349" t="str">
            <v>Qty</v>
          </cell>
          <cell r="U349">
            <v>102.21600000000001</v>
          </cell>
          <cell r="V349">
            <v>209.452</v>
          </cell>
          <cell r="W349">
            <v>331.82799999999997</v>
          </cell>
          <cell r="X349">
            <v>470.98799999999994</v>
          </cell>
          <cell r="Y349">
            <v>596.5</v>
          </cell>
          <cell r="Z349">
            <v>723.99800000000005</v>
          </cell>
          <cell r="AA349">
            <v>872.32400000000007</v>
          </cell>
          <cell r="AB349">
            <v>1016.6320000000001</v>
          </cell>
          <cell r="AC349">
            <v>1157.1880000000001</v>
          </cell>
          <cell r="AD349">
            <v>1157.1880000000001</v>
          </cell>
          <cell r="AE349">
            <v>1157.1880000000001</v>
          </cell>
          <cell r="AF349">
            <v>1157.1880000000001</v>
          </cell>
        </row>
        <row r="350">
          <cell r="R350" t="str">
            <v>RSK</v>
          </cell>
          <cell r="S350" t="str">
            <v>LPG</v>
          </cell>
          <cell r="T350" t="str">
            <v>Value</v>
          </cell>
          <cell r="U350">
            <v>80.34</v>
          </cell>
          <cell r="V350">
            <v>159.37</v>
          </cell>
          <cell r="W350">
            <v>245.39000000000001</v>
          </cell>
          <cell r="X350">
            <v>344.46000000000004</v>
          </cell>
          <cell r="Y350">
            <v>433.72</v>
          </cell>
          <cell r="Z350">
            <v>520.49</v>
          </cell>
          <cell r="AA350">
            <v>620.98</v>
          </cell>
          <cell r="AB350">
            <v>716.63</v>
          </cell>
          <cell r="AC350">
            <v>800.67</v>
          </cell>
          <cell r="AD350">
            <v>800.67</v>
          </cell>
          <cell r="AE350">
            <v>800.67</v>
          </cell>
          <cell r="AF350">
            <v>800.67</v>
          </cell>
        </row>
        <row r="351">
          <cell r="R351" t="str">
            <v>RSK</v>
          </cell>
          <cell r="S351" t="str">
            <v>LPG - ACL</v>
          </cell>
          <cell r="T351" t="str">
            <v>Qty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R352" t="str">
            <v>RSK</v>
          </cell>
          <cell r="S352" t="str">
            <v>LPG - ACL</v>
          </cell>
          <cell r="T352" t="str">
            <v>Value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R353" t="str">
            <v>RSK</v>
          </cell>
          <cell r="S353" t="str">
            <v>LNG</v>
          </cell>
          <cell r="T353" t="str">
            <v>Qty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R354" t="str">
            <v>RSK</v>
          </cell>
          <cell r="S354" t="str">
            <v>LNG</v>
          </cell>
          <cell r="T354" t="str">
            <v>Value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R355" t="str">
            <v>RSK</v>
          </cell>
          <cell r="S355" t="str">
            <v>PET FUEL</v>
          </cell>
          <cell r="T355" t="str">
            <v>Qty</v>
          </cell>
          <cell r="U355">
            <v>1215.0739999999998</v>
          </cell>
          <cell r="V355">
            <v>2486.3989999999999</v>
          </cell>
          <cell r="W355">
            <v>3674.674</v>
          </cell>
          <cell r="X355">
            <v>4948.4040000000005</v>
          </cell>
          <cell r="Y355">
            <v>6112.8540000000003</v>
          </cell>
          <cell r="Z355">
            <v>7383.3040000000001</v>
          </cell>
          <cell r="AA355">
            <v>8955.3539999999994</v>
          </cell>
          <cell r="AB355">
            <v>10323.353999999999</v>
          </cell>
          <cell r="AC355">
            <v>11840.353999999999</v>
          </cell>
          <cell r="AD355">
            <v>11840.353999999999</v>
          </cell>
          <cell r="AE355">
            <v>11840.353999999999</v>
          </cell>
          <cell r="AF355">
            <v>11840.353999999999</v>
          </cell>
        </row>
        <row r="356">
          <cell r="R356" t="str">
            <v>RSK</v>
          </cell>
          <cell r="S356" t="str">
            <v>PET FUEL</v>
          </cell>
          <cell r="T356" t="str">
            <v>Value</v>
          </cell>
          <cell r="U356">
            <v>177.46</v>
          </cell>
          <cell r="V356">
            <v>357.32</v>
          </cell>
          <cell r="W356">
            <v>522.33000000000004</v>
          </cell>
          <cell r="X356">
            <v>699.02</v>
          </cell>
          <cell r="Y356">
            <v>862.68</v>
          </cell>
          <cell r="Z356">
            <v>1028.56</v>
          </cell>
          <cell r="AA356">
            <v>1246.1399999999999</v>
          </cell>
          <cell r="AB356">
            <v>1438.1299999999999</v>
          </cell>
          <cell r="AC356">
            <v>1614.6899999999998</v>
          </cell>
          <cell r="AD356">
            <v>1614.6899999999998</v>
          </cell>
          <cell r="AE356">
            <v>1614.6899999999998</v>
          </cell>
          <cell r="AF356">
            <v>1614.6899999999998</v>
          </cell>
        </row>
        <row r="357">
          <cell r="R357" t="str">
            <v>RSK</v>
          </cell>
          <cell r="S357" t="str">
            <v>HSD</v>
          </cell>
          <cell r="T357" t="str">
            <v>Qty</v>
          </cell>
          <cell r="U357">
            <v>3.1269999999999998</v>
          </cell>
          <cell r="V357">
            <v>7.0369999999999999</v>
          </cell>
          <cell r="W357">
            <v>19.266999999999999</v>
          </cell>
          <cell r="X357">
            <v>50.197000000000003</v>
          </cell>
          <cell r="Y357">
            <v>70.537000000000006</v>
          </cell>
          <cell r="Z357">
            <v>121.92700000000001</v>
          </cell>
          <cell r="AA357">
            <v>147.649</v>
          </cell>
          <cell r="AB357">
            <v>151.53700000000001</v>
          </cell>
          <cell r="AC357">
            <v>159.952</v>
          </cell>
          <cell r="AD357">
            <v>159.952</v>
          </cell>
          <cell r="AE357">
            <v>159.952</v>
          </cell>
          <cell r="AF357">
            <v>159.952</v>
          </cell>
        </row>
        <row r="358">
          <cell r="R358" t="str">
            <v>RSK</v>
          </cell>
          <cell r="S358" t="str">
            <v>HSD</v>
          </cell>
          <cell r="T358" t="str">
            <v>Value</v>
          </cell>
          <cell r="U358">
            <v>1.76</v>
          </cell>
          <cell r="V358">
            <v>3.96</v>
          </cell>
          <cell r="W358">
            <v>10.76</v>
          </cell>
          <cell r="X358">
            <v>27.79</v>
          </cell>
          <cell r="Y358">
            <v>39.019999999999996</v>
          </cell>
          <cell r="Z358">
            <v>66.61</v>
          </cell>
          <cell r="AA358">
            <v>80.06</v>
          </cell>
          <cell r="AB358">
            <v>82.11</v>
          </cell>
          <cell r="AC358">
            <v>86.52</v>
          </cell>
          <cell r="AD358">
            <v>86.52</v>
          </cell>
          <cell r="AE358">
            <v>86.52</v>
          </cell>
          <cell r="AF358">
            <v>86.52</v>
          </cell>
        </row>
        <row r="359">
          <cell r="R359" t="str">
            <v>RSK</v>
          </cell>
          <cell r="S359" t="str">
            <v>Electricity ('1000 units)</v>
          </cell>
          <cell r="T359" t="str">
            <v>Qty</v>
          </cell>
          <cell r="U359">
            <v>3745.2</v>
          </cell>
          <cell r="V359">
            <v>7433.7999999999993</v>
          </cell>
          <cell r="W359">
            <v>11079.599999999999</v>
          </cell>
          <cell r="X359">
            <v>15116.999999999998</v>
          </cell>
          <cell r="Y359">
            <v>19294.936999999998</v>
          </cell>
          <cell r="Z359">
            <v>23480.805999999997</v>
          </cell>
          <cell r="AA359">
            <v>28589.805999999997</v>
          </cell>
          <cell r="AB359">
            <v>33169.606</v>
          </cell>
          <cell r="AC359">
            <v>37589.606</v>
          </cell>
          <cell r="AD359">
            <v>37589.606</v>
          </cell>
          <cell r="AE359">
            <v>37589.606</v>
          </cell>
          <cell r="AF359">
            <v>37589.606</v>
          </cell>
        </row>
        <row r="360">
          <cell r="R360" t="str">
            <v>RSK</v>
          </cell>
          <cell r="S360" t="str">
            <v>Electricity ('1000 units)</v>
          </cell>
          <cell r="T360" t="str">
            <v>Value</v>
          </cell>
          <cell r="U360">
            <v>196.77</v>
          </cell>
          <cell r="V360">
            <v>382.14</v>
          </cell>
          <cell r="W360">
            <v>560.27</v>
          </cell>
          <cell r="X360">
            <v>764.71</v>
          </cell>
          <cell r="Y360">
            <v>977.23</v>
          </cell>
          <cell r="Z360">
            <v>1189.78</v>
          </cell>
          <cell r="AA360">
            <v>1464.27</v>
          </cell>
          <cell r="AB360">
            <v>1694.96</v>
          </cell>
          <cell r="AC360">
            <v>1929.89</v>
          </cell>
          <cell r="AD360">
            <v>1929.89</v>
          </cell>
          <cell r="AE360">
            <v>1929.89</v>
          </cell>
          <cell r="AF360">
            <v>1929.89</v>
          </cell>
        </row>
        <row r="361">
          <cell r="R361" t="str">
            <v>RSK</v>
          </cell>
          <cell r="S361" t="str">
            <v>FURNACE OIL</v>
          </cell>
          <cell r="T361" t="str">
            <v>Qty</v>
          </cell>
          <cell r="U361">
            <v>175.96299999999997</v>
          </cell>
          <cell r="V361">
            <v>288.85199999999998</v>
          </cell>
          <cell r="W361">
            <v>429.08</v>
          </cell>
          <cell r="X361">
            <v>553.30999999999995</v>
          </cell>
          <cell r="Y361">
            <v>716.13499999999999</v>
          </cell>
          <cell r="Z361">
            <v>829.97399999999993</v>
          </cell>
          <cell r="AA361">
            <v>857.7109999999999</v>
          </cell>
          <cell r="AB361">
            <v>897.09899999999993</v>
          </cell>
          <cell r="AC361">
            <v>969.12899999999991</v>
          </cell>
          <cell r="AD361">
            <v>969.12899999999991</v>
          </cell>
          <cell r="AE361">
            <v>969.12899999999991</v>
          </cell>
          <cell r="AF361">
            <v>969.12899999999991</v>
          </cell>
        </row>
        <row r="362">
          <cell r="R362" t="str">
            <v>RSK</v>
          </cell>
          <cell r="S362" t="str">
            <v>FURNACE OIL</v>
          </cell>
          <cell r="T362" t="str">
            <v>Value</v>
          </cell>
          <cell r="U362">
            <v>78.100000000000009</v>
          </cell>
          <cell r="V362">
            <v>134.85000000000002</v>
          </cell>
          <cell r="W362">
            <v>205.41000000000003</v>
          </cell>
          <cell r="X362">
            <v>267.90000000000003</v>
          </cell>
          <cell r="Y362">
            <v>349.32000000000005</v>
          </cell>
          <cell r="Z362">
            <v>401.90000000000003</v>
          </cell>
          <cell r="AA362">
            <v>414.93000000000006</v>
          </cell>
          <cell r="AB362">
            <v>432.99000000000007</v>
          </cell>
          <cell r="AC362">
            <v>465.6400000000001</v>
          </cell>
          <cell r="AD362">
            <v>465.6400000000001</v>
          </cell>
          <cell r="AE362">
            <v>465.6400000000001</v>
          </cell>
          <cell r="AF362">
            <v>465.6400000000001</v>
          </cell>
        </row>
        <row r="363">
          <cell r="R363" t="str">
            <v>RSK</v>
          </cell>
          <cell r="S363" t="str">
            <v>Price Difference</v>
          </cell>
          <cell r="T363" t="str">
            <v>Qty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R364" t="str">
            <v>RSK</v>
          </cell>
          <cell r="S364" t="str">
            <v>Price Difference</v>
          </cell>
          <cell r="T364" t="str">
            <v>Value</v>
          </cell>
          <cell r="U364">
            <v>0.95</v>
          </cell>
          <cell r="V364">
            <v>1.33</v>
          </cell>
          <cell r="W364">
            <v>2.3600000000000003</v>
          </cell>
          <cell r="X364">
            <v>3.6500000000000004</v>
          </cell>
          <cell r="Y364">
            <v>4.59</v>
          </cell>
          <cell r="Z364">
            <v>4.9799999999999995</v>
          </cell>
          <cell r="AA364">
            <v>5.89</v>
          </cell>
          <cell r="AB364">
            <v>6.42</v>
          </cell>
          <cell r="AC364">
            <v>7.47</v>
          </cell>
          <cell r="AD364">
            <v>7.47</v>
          </cell>
          <cell r="AE364">
            <v>7.47</v>
          </cell>
          <cell r="AF364">
            <v>7.47</v>
          </cell>
        </row>
        <row r="366">
          <cell r="R366" t="str">
            <v>PCH</v>
          </cell>
          <cell r="S366" t="str">
            <v>LPG</v>
          </cell>
          <cell r="T366" t="str">
            <v>Qty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103.21</v>
          </cell>
          <cell r="AB366">
            <v>218.62</v>
          </cell>
          <cell r="AC366">
            <v>354.07</v>
          </cell>
          <cell r="AD366">
            <v>354.07</v>
          </cell>
          <cell r="AE366">
            <v>354.07</v>
          </cell>
          <cell r="AF366">
            <v>354.07</v>
          </cell>
        </row>
        <row r="367">
          <cell r="R367" t="str">
            <v>PCH</v>
          </cell>
          <cell r="S367" t="str">
            <v>LPG</v>
          </cell>
          <cell r="T367" t="str">
            <v>Value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65.5444849</v>
          </cell>
          <cell r="AB367">
            <v>130.88448490000002</v>
          </cell>
          <cell r="AC367">
            <v>199.50448490000002</v>
          </cell>
          <cell r="AD367">
            <v>199.50448490000002</v>
          </cell>
          <cell r="AE367">
            <v>199.50448490000002</v>
          </cell>
          <cell r="AF367">
            <v>199.50448490000002</v>
          </cell>
        </row>
        <row r="368">
          <cell r="R368" t="str">
            <v>PCH</v>
          </cell>
          <cell r="S368" t="str">
            <v>LPG - ACL</v>
          </cell>
          <cell r="T368" t="str">
            <v>Qty</v>
          </cell>
          <cell r="U368">
            <v>3.71</v>
          </cell>
          <cell r="V368">
            <v>3.71</v>
          </cell>
          <cell r="W368">
            <v>3.71</v>
          </cell>
          <cell r="X368">
            <v>3.71</v>
          </cell>
          <cell r="Y368">
            <v>3.71</v>
          </cell>
          <cell r="Z368">
            <v>3.71</v>
          </cell>
          <cell r="AA368">
            <v>3.71</v>
          </cell>
          <cell r="AB368">
            <v>3.71</v>
          </cell>
          <cell r="AC368">
            <v>3.71</v>
          </cell>
          <cell r="AD368">
            <v>3.71</v>
          </cell>
          <cell r="AE368">
            <v>3.71</v>
          </cell>
          <cell r="AF368">
            <v>3.71</v>
          </cell>
        </row>
        <row r="369">
          <cell r="R369" t="str">
            <v>PCH</v>
          </cell>
          <cell r="S369" t="str">
            <v>LPG - ACL</v>
          </cell>
          <cell r="T369" t="str">
            <v>Value</v>
          </cell>
          <cell r="U369">
            <v>2.5026000000000002</v>
          </cell>
          <cell r="V369">
            <v>2.5026000000000002</v>
          </cell>
          <cell r="W369">
            <v>2.5026000000000002</v>
          </cell>
          <cell r="X369">
            <v>2.5026000000000002</v>
          </cell>
          <cell r="Y369">
            <v>2.5026000000000002</v>
          </cell>
          <cell r="Z369">
            <v>2.5026000000000002</v>
          </cell>
          <cell r="AA369">
            <v>2.5026000000000002</v>
          </cell>
          <cell r="AB369">
            <v>2.5026000000000002</v>
          </cell>
          <cell r="AC369">
            <v>2.5026000000000002</v>
          </cell>
          <cell r="AD369">
            <v>2.5026000000000002</v>
          </cell>
          <cell r="AE369">
            <v>2.5026000000000002</v>
          </cell>
          <cell r="AF369">
            <v>2.5026000000000002</v>
          </cell>
        </row>
        <row r="370">
          <cell r="R370" t="str">
            <v>PCH</v>
          </cell>
          <cell r="S370" t="str">
            <v>LNG</v>
          </cell>
          <cell r="T370" t="str">
            <v>Qty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R371" t="str">
            <v>PCH</v>
          </cell>
          <cell r="S371" t="str">
            <v>LNG</v>
          </cell>
          <cell r="T371" t="str">
            <v>Value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R372" t="str">
            <v>PCH</v>
          </cell>
          <cell r="S372" t="str">
            <v>PET FUEL</v>
          </cell>
          <cell r="T372" t="str">
            <v>Qty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1011.97</v>
          </cell>
          <cell r="AD372">
            <v>1011.97</v>
          </cell>
          <cell r="AE372">
            <v>1011.97</v>
          </cell>
          <cell r="AF372">
            <v>1011.97</v>
          </cell>
        </row>
        <row r="373">
          <cell r="R373" t="str">
            <v>PCH</v>
          </cell>
          <cell r="S373" t="str">
            <v>PET FUEL</v>
          </cell>
          <cell r="T373" t="str">
            <v>Value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137.57</v>
          </cell>
          <cell r="AD373">
            <v>137.57</v>
          </cell>
          <cell r="AE373">
            <v>137.57</v>
          </cell>
          <cell r="AF373">
            <v>137.57</v>
          </cell>
        </row>
        <row r="374">
          <cell r="R374" t="str">
            <v>PCH</v>
          </cell>
          <cell r="S374" t="str">
            <v>HSD</v>
          </cell>
          <cell r="T374" t="str">
            <v>Qty</v>
          </cell>
          <cell r="U374">
            <v>0.47</v>
          </cell>
          <cell r="V374">
            <v>0.47</v>
          </cell>
          <cell r="W374">
            <v>0.47</v>
          </cell>
          <cell r="X374">
            <v>0.77</v>
          </cell>
          <cell r="Y374">
            <v>0.77</v>
          </cell>
          <cell r="Z374">
            <v>0.77</v>
          </cell>
          <cell r="AA374">
            <v>59.994</v>
          </cell>
          <cell r="AB374">
            <v>67.953999999999994</v>
          </cell>
          <cell r="AC374">
            <v>76.578999999999994</v>
          </cell>
          <cell r="AD374">
            <v>76.578999999999994</v>
          </cell>
          <cell r="AE374">
            <v>76.578999999999994</v>
          </cell>
          <cell r="AF374">
            <v>76.578999999999994</v>
          </cell>
        </row>
        <row r="375">
          <cell r="R375" t="str">
            <v>PCH</v>
          </cell>
          <cell r="S375" t="str">
            <v>HSD</v>
          </cell>
          <cell r="T375" t="str">
            <v>Value</v>
          </cell>
          <cell r="U375">
            <v>0.32519999999999999</v>
          </cell>
          <cell r="V375">
            <v>0.32519999999999999</v>
          </cell>
          <cell r="W375">
            <v>0.32519999999999999</v>
          </cell>
          <cell r="X375">
            <v>0.48519999999999996</v>
          </cell>
          <cell r="Y375">
            <v>0.48519999999999996</v>
          </cell>
          <cell r="Z375">
            <v>0.48519999999999996</v>
          </cell>
          <cell r="AA375">
            <v>31.800572499999998</v>
          </cell>
          <cell r="AB375">
            <v>36.540572499999996</v>
          </cell>
          <cell r="AC375">
            <v>40.730572499999994</v>
          </cell>
          <cell r="AD375">
            <v>40.730572499999994</v>
          </cell>
          <cell r="AE375">
            <v>40.730572499999994</v>
          </cell>
          <cell r="AF375">
            <v>40.730572499999994</v>
          </cell>
        </row>
        <row r="376">
          <cell r="R376" t="str">
            <v>PCH</v>
          </cell>
          <cell r="S376" t="str">
            <v>Electricity ('1000 units)</v>
          </cell>
          <cell r="T376" t="str">
            <v>Qty</v>
          </cell>
          <cell r="U376">
            <v>100</v>
          </cell>
          <cell r="V376">
            <v>202.5</v>
          </cell>
          <cell r="W376">
            <v>306</v>
          </cell>
          <cell r="X376">
            <v>407.4</v>
          </cell>
          <cell r="Y376">
            <v>503.4</v>
          </cell>
          <cell r="Z376">
            <v>904.11999999999989</v>
          </cell>
          <cell r="AA376">
            <v>2648.9790000000003</v>
          </cell>
          <cell r="AB376">
            <v>5029.9790000000003</v>
          </cell>
          <cell r="AC376">
            <v>7287.9790000000003</v>
          </cell>
          <cell r="AD376">
            <v>7287.9790000000003</v>
          </cell>
          <cell r="AE376">
            <v>7287.9790000000003</v>
          </cell>
          <cell r="AF376">
            <v>7287.9790000000003</v>
          </cell>
        </row>
        <row r="377">
          <cell r="R377" t="str">
            <v>PCH</v>
          </cell>
          <cell r="S377" t="str">
            <v>Electricity ('1000 units)</v>
          </cell>
          <cell r="T377" t="str">
            <v>Value</v>
          </cell>
          <cell r="U377">
            <v>8</v>
          </cell>
          <cell r="V377">
            <v>16</v>
          </cell>
          <cell r="W377">
            <v>24</v>
          </cell>
          <cell r="X377">
            <v>40.127759999999995</v>
          </cell>
          <cell r="Y377">
            <v>56.127759999999995</v>
          </cell>
          <cell r="Z377">
            <v>91.887759999999986</v>
          </cell>
          <cell r="AA377">
            <v>221.68974489999999</v>
          </cell>
          <cell r="AB377">
            <v>359.68974489999999</v>
          </cell>
          <cell r="AC377">
            <v>493.68974489999999</v>
          </cell>
          <cell r="AD377">
            <v>493.68974489999999</v>
          </cell>
          <cell r="AE377">
            <v>493.68974489999999</v>
          </cell>
          <cell r="AF377">
            <v>493.68974489999999</v>
          </cell>
        </row>
        <row r="378">
          <cell r="R378" t="str">
            <v>PCH</v>
          </cell>
          <cell r="S378" t="str">
            <v>FURNACE OIL</v>
          </cell>
          <cell r="T378" t="str">
            <v>Qty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583.78700000000003</v>
          </cell>
          <cell r="AB378">
            <v>870.44500000000005</v>
          </cell>
          <cell r="AC378">
            <v>930.75500000000011</v>
          </cell>
          <cell r="AD378">
            <v>930.75500000000011</v>
          </cell>
          <cell r="AE378">
            <v>930.75500000000011</v>
          </cell>
          <cell r="AF378">
            <v>930.75500000000011</v>
          </cell>
        </row>
        <row r="379">
          <cell r="R379" t="str">
            <v>PCH</v>
          </cell>
          <cell r="S379" t="str">
            <v>FURNACE OIL</v>
          </cell>
          <cell r="T379" t="str">
            <v>Value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241.5974995</v>
          </cell>
          <cell r="AB379">
            <v>345.84749950000003</v>
          </cell>
          <cell r="AC379">
            <v>366.42749950000001</v>
          </cell>
          <cell r="AD379">
            <v>366.42749950000001</v>
          </cell>
          <cell r="AE379">
            <v>366.42749950000001</v>
          </cell>
          <cell r="AF379">
            <v>366.42749950000001</v>
          </cell>
        </row>
        <row r="380">
          <cell r="R380" t="str">
            <v>PCH</v>
          </cell>
          <cell r="S380" t="str">
            <v>Price Difference</v>
          </cell>
          <cell r="T380" t="str">
            <v>Qty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R381" t="str">
            <v>PCH</v>
          </cell>
          <cell r="S381" t="str">
            <v>Price Difference</v>
          </cell>
          <cell r="T381" t="str">
            <v>Value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11</v>
          </cell>
          <cell r="AB381">
            <v>112.08</v>
          </cell>
          <cell r="AC381">
            <v>112.08</v>
          </cell>
          <cell r="AD381">
            <v>112.08</v>
          </cell>
          <cell r="AE381">
            <v>112.08</v>
          </cell>
          <cell r="AF381">
            <v>112.08</v>
          </cell>
        </row>
        <row r="383">
          <cell r="R383" t="str">
            <v>SNR</v>
          </cell>
          <cell r="S383" t="str">
            <v>LPG</v>
          </cell>
          <cell r="T383" t="str">
            <v>Qty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R384" t="str">
            <v>SNR</v>
          </cell>
          <cell r="S384" t="str">
            <v>LPG</v>
          </cell>
          <cell r="T384" t="str">
            <v>Value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R385" t="str">
            <v>SNR</v>
          </cell>
          <cell r="S385" t="str">
            <v>LPG - ACL</v>
          </cell>
          <cell r="T385" t="str">
            <v>Qty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R386" t="str">
            <v>SNR</v>
          </cell>
          <cell r="S386" t="str">
            <v>LPG - ACL</v>
          </cell>
          <cell r="T386" t="str">
            <v>Value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R387" t="str">
            <v>SNR</v>
          </cell>
          <cell r="S387" t="str">
            <v>LNG</v>
          </cell>
          <cell r="T387" t="str">
            <v>Qty</v>
          </cell>
          <cell r="U387">
            <v>623.95752895752901</v>
          </cell>
          <cell r="V387">
            <v>1171.9575289575291</v>
          </cell>
          <cell r="W387">
            <v>1709.1575289575292</v>
          </cell>
          <cell r="X387">
            <v>2224.9544669575293</v>
          </cell>
          <cell r="Y387">
            <v>2922.9544669575293</v>
          </cell>
          <cell r="Z387">
            <v>3452.7144669575291</v>
          </cell>
          <cell r="AA387">
            <v>4130.7144669575291</v>
          </cell>
          <cell r="AB387">
            <v>4521.7144669575291</v>
          </cell>
          <cell r="AC387">
            <v>4904.0053935984561</v>
          </cell>
          <cell r="AD387">
            <v>4904.0053935984561</v>
          </cell>
          <cell r="AE387">
            <v>4904.0053935984561</v>
          </cell>
          <cell r="AF387">
            <v>4904.0053935984561</v>
          </cell>
        </row>
        <row r="388">
          <cell r="R388" t="str">
            <v>SNR</v>
          </cell>
          <cell r="S388" t="str">
            <v>LNG</v>
          </cell>
          <cell r="T388" t="str">
            <v>Value</v>
          </cell>
          <cell r="U388">
            <v>371.39</v>
          </cell>
          <cell r="V388">
            <v>679.49</v>
          </cell>
          <cell r="W388">
            <v>1015.02</v>
          </cell>
          <cell r="X388">
            <v>1329.5035439000001</v>
          </cell>
          <cell r="Y388">
            <v>1757.7835439</v>
          </cell>
          <cell r="Z388">
            <v>2095.5797103</v>
          </cell>
          <cell r="AA388">
            <v>2532.0997103</v>
          </cell>
          <cell r="AB388">
            <v>2780.8597103000002</v>
          </cell>
          <cell r="AC388">
            <v>3018.2172584</v>
          </cell>
          <cell r="AD388">
            <v>3018.2172584</v>
          </cell>
          <cell r="AE388">
            <v>3018.2172584</v>
          </cell>
          <cell r="AF388">
            <v>3018.2172584</v>
          </cell>
        </row>
        <row r="389">
          <cell r="R389" t="str">
            <v>SNR</v>
          </cell>
          <cell r="S389" t="str">
            <v>PET FUEL</v>
          </cell>
          <cell r="T389" t="str">
            <v>Qty</v>
          </cell>
          <cell r="U389">
            <v>2293</v>
          </cell>
          <cell r="V389">
            <v>4940</v>
          </cell>
          <cell r="W389">
            <v>7370</v>
          </cell>
          <cell r="X389">
            <v>9938</v>
          </cell>
          <cell r="Y389">
            <v>11895</v>
          </cell>
          <cell r="Z389">
            <v>14202</v>
          </cell>
          <cell r="AA389">
            <v>16260</v>
          </cell>
          <cell r="AB389">
            <v>19548</v>
          </cell>
          <cell r="AC389">
            <v>22406</v>
          </cell>
          <cell r="AD389">
            <v>22406</v>
          </cell>
          <cell r="AE389">
            <v>22406</v>
          </cell>
          <cell r="AF389">
            <v>22406</v>
          </cell>
        </row>
        <row r="390">
          <cell r="R390" t="str">
            <v>SNR</v>
          </cell>
          <cell r="S390" t="str">
            <v>PET FUEL</v>
          </cell>
          <cell r="T390" t="str">
            <v>Value</v>
          </cell>
          <cell r="U390">
            <v>248.25</v>
          </cell>
          <cell r="V390">
            <v>548.61164629999996</v>
          </cell>
          <cell r="W390">
            <v>841.97145460000002</v>
          </cell>
          <cell r="X390">
            <v>1133.8289611999999</v>
          </cell>
          <cell r="Y390">
            <v>1357.9938975999999</v>
          </cell>
          <cell r="Z390">
            <v>1621.7338975999999</v>
          </cell>
          <cell r="AA390">
            <v>1860.0307668999999</v>
          </cell>
          <cell r="AB390">
            <v>2237.7887077</v>
          </cell>
          <cell r="AC390">
            <v>2565.4566378</v>
          </cell>
          <cell r="AD390">
            <v>2565.4566378</v>
          </cell>
          <cell r="AE390">
            <v>2565.4566378</v>
          </cell>
          <cell r="AF390">
            <v>2565.4566378</v>
          </cell>
        </row>
        <row r="391">
          <cell r="R391" t="str">
            <v>SNR</v>
          </cell>
          <cell r="S391" t="str">
            <v>HSD</v>
          </cell>
          <cell r="T391" t="str">
            <v>Qty</v>
          </cell>
          <cell r="U391">
            <v>69</v>
          </cell>
          <cell r="V391">
            <v>145</v>
          </cell>
          <cell r="W391">
            <v>214</v>
          </cell>
          <cell r="X391">
            <v>277.39187227866472</v>
          </cell>
          <cell r="Y391">
            <v>4669.6244773845456</v>
          </cell>
          <cell r="Z391">
            <v>5225.6244773845456</v>
          </cell>
          <cell r="AA391">
            <v>5281.314223638663</v>
          </cell>
          <cell r="AB391">
            <v>5314.9642236386626</v>
          </cell>
          <cell r="AC391">
            <v>5348.6542236386622</v>
          </cell>
          <cell r="AD391">
            <v>5348.6542236386622</v>
          </cell>
          <cell r="AE391">
            <v>5348.6542236386622</v>
          </cell>
          <cell r="AF391">
            <v>5348.6542236386622</v>
          </cell>
        </row>
        <row r="392">
          <cell r="R392" t="str">
            <v>SNR</v>
          </cell>
          <cell r="S392" t="str">
            <v>HSD</v>
          </cell>
          <cell r="T392" t="str">
            <v>Value</v>
          </cell>
          <cell r="U392">
            <v>12.27</v>
          </cell>
          <cell r="V392">
            <v>32.729999999999997</v>
          </cell>
          <cell r="W392">
            <v>46.51</v>
          </cell>
          <cell r="X392">
            <v>59.17</v>
          </cell>
          <cell r="Y392">
            <v>73.324837299999999</v>
          </cell>
          <cell r="Z392">
            <v>85.054837300000003</v>
          </cell>
          <cell r="AA392">
            <v>97.059875900000009</v>
          </cell>
          <cell r="AB392">
            <v>107.3498759</v>
          </cell>
          <cell r="AC392">
            <v>118.3798759</v>
          </cell>
          <cell r="AD392">
            <v>118.3798759</v>
          </cell>
          <cell r="AE392">
            <v>118.3798759</v>
          </cell>
          <cell r="AF392">
            <v>118.3798759</v>
          </cell>
        </row>
        <row r="393">
          <cell r="R393" t="str">
            <v>SNR</v>
          </cell>
          <cell r="S393" t="str">
            <v>Electricity ('1000 units)</v>
          </cell>
          <cell r="T393" t="str">
            <v>Qty</v>
          </cell>
          <cell r="U393">
            <v>5435</v>
          </cell>
          <cell r="V393">
            <v>11367</v>
          </cell>
          <cell r="W393">
            <v>17269</v>
          </cell>
          <cell r="X393">
            <v>23201.266074313411</v>
          </cell>
          <cell r="Y393">
            <v>29277.266074313411</v>
          </cell>
          <cell r="Z393">
            <v>35320.266074313411</v>
          </cell>
          <cell r="AA393">
            <v>41864.266074313411</v>
          </cell>
          <cell r="AB393">
            <v>47948.266074313411</v>
          </cell>
          <cell r="AC393">
            <v>54239.266074313411</v>
          </cell>
          <cell r="AD393">
            <v>54239.266074313411</v>
          </cell>
          <cell r="AE393">
            <v>54239.266074313411</v>
          </cell>
          <cell r="AF393">
            <v>54239.266074313411</v>
          </cell>
        </row>
        <row r="394">
          <cell r="R394" t="str">
            <v>SNR</v>
          </cell>
          <cell r="S394" t="str">
            <v>Electricity ('1000 units)</v>
          </cell>
          <cell r="T394" t="str">
            <v>Value</v>
          </cell>
          <cell r="U394">
            <v>329.07</v>
          </cell>
          <cell r="V394">
            <v>691.2</v>
          </cell>
          <cell r="W394">
            <v>1041.17</v>
          </cell>
          <cell r="X394">
            <v>1379.1264700000002</v>
          </cell>
          <cell r="Y394">
            <v>1761.1164700000002</v>
          </cell>
          <cell r="Z394">
            <v>2102.1164699999999</v>
          </cell>
          <cell r="AA394">
            <v>2498.3964699999997</v>
          </cell>
          <cell r="AB394">
            <v>2861.8364699999997</v>
          </cell>
          <cell r="AC394">
            <v>3297.4364699999996</v>
          </cell>
          <cell r="AD394">
            <v>3297.4364699999996</v>
          </cell>
          <cell r="AE394">
            <v>3297.4364699999996</v>
          </cell>
          <cell r="AF394">
            <v>3297.4364699999996</v>
          </cell>
        </row>
        <row r="395">
          <cell r="R395" t="str">
            <v>SNR</v>
          </cell>
          <cell r="S395" t="str">
            <v>FURNACE OIL</v>
          </cell>
          <cell r="T395" t="str">
            <v>Qty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320.95299999999997</v>
          </cell>
          <cell r="Z395">
            <v>320.95299999999997</v>
          </cell>
          <cell r="AA395">
            <v>584.48699999999997</v>
          </cell>
          <cell r="AB395">
            <v>946.14699999999993</v>
          </cell>
          <cell r="AC395">
            <v>1065.24</v>
          </cell>
          <cell r="AD395">
            <v>1065.24</v>
          </cell>
          <cell r="AE395">
            <v>1065.24</v>
          </cell>
          <cell r="AF395">
            <v>1065.24</v>
          </cell>
        </row>
        <row r="396">
          <cell r="R396" t="str">
            <v>SNR</v>
          </cell>
          <cell r="S396" t="str">
            <v>FURNACE OIL</v>
          </cell>
          <cell r="T396" t="str">
            <v>Value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134.05897480000002</v>
          </cell>
          <cell r="Z396">
            <v>134.05897480000002</v>
          </cell>
          <cell r="AA396">
            <v>240.3967973</v>
          </cell>
          <cell r="AB396">
            <v>370.51197079999997</v>
          </cell>
          <cell r="AC396">
            <v>418.72235409999996</v>
          </cell>
          <cell r="AD396">
            <v>418.72235409999996</v>
          </cell>
          <cell r="AE396">
            <v>418.72235409999996</v>
          </cell>
          <cell r="AF396">
            <v>418.72235409999996</v>
          </cell>
        </row>
        <row r="397">
          <cell r="R397" t="str">
            <v>SNR</v>
          </cell>
          <cell r="S397" t="str">
            <v>Price Difference</v>
          </cell>
          <cell r="T397" t="str">
            <v>Qty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R398" t="str">
            <v>SNR</v>
          </cell>
          <cell r="S398" t="str">
            <v>Price Difference</v>
          </cell>
          <cell r="T398" t="str">
            <v>Value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400">
          <cell r="R400" t="str">
            <v>NMR</v>
          </cell>
          <cell r="S400" t="str">
            <v>LPG</v>
          </cell>
          <cell r="T400" t="str">
            <v>Qty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R401" t="str">
            <v>NMR</v>
          </cell>
          <cell r="S401" t="str">
            <v>LPG</v>
          </cell>
          <cell r="T401" t="str">
            <v>Value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R402" t="str">
            <v>NMR</v>
          </cell>
          <cell r="S402" t="str">
            <v>LPG - ACL</v>
          </cell>
          <cell r="T402" t="str">
            <v>Qty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R403" t="str">
            <v>NMR</v>
          </cell>
          <cell r="S403" t="str">
            <v>LPG - ACL</v>
          </cell>
          <cell r="T403" t="str">
            <v>Value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R404" t="str">
            <v>NMR</v>
          </cell>
          <cell r="S404" t="str">
            <v>LNG</v>
          </cell>
          <cell r="T404" t="str">
            <v>Qty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R405" t="str">
            <v>NMR</v>
          </cell>
          <cell r="S405" t="str">
            <v>LNG</v>
          </cell>
          <cell r="T405" t="str">
            <v>Value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R406" t="str">
            <v>NMR</v>
          </cell>
          <cell r="S406" t="str">
            <v>PET FUEL</v>
          </cell>
          <cell r="T406" t="str">
            <v>Qty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R407" t="str">
            <v>NMR</v>
          </cell>
          <cell r="S407" t="str">
            <v>PET FUEL</v>
          </cell>
          <cell r="T407" t="str">
            <v>Value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R408" t="str">
            <v>NMR</v>
          </cell>
          <cell r="S408" t="str">
            <v>HSD</v>
          </cell>
          <cell r="T408" t="str">
            <v>Qty</v>
          </cell>
          <cell r="U408">
            <v>3.4529999999999998E-2</v>
          </cell>
          <cell r="V408">
            <v>0.19405</v>
          </cell>
          <cell r="W408">
            <v>0.30904999999999999</v>
          </cell>
          <cell r="X408">
            <v>0.37204999999999999</v>
          </cell>
          <cell r="Y408">
            <v>0.37204999999999999</v>
          </cell>
          <cell r="Z408">
            <v>0.37204999999999999</v>
          </cell>
          <cell r="AA408">
            <v>0.37204999999999999</v>
          </cell>
          <cell r="AB408">
            <v>0.37204999999999999</v>
          </cell>
          <cell r="AC408">
            <v>0.37204999999999999</v>
          </cell>
          <cell r="AD408">
            <v>0.37204999999999999</v>
          </cell>
          <cell r="AE408">
            <v>0.37204999999999999</v>
          </cell>
          <cell r="AF408">
            <v>0.37204999999999999</v>
          </cell>
        </row>
        <row r="409">
          <cell r="R409" t="str">
            <v>NMR</v>
          </cell>
          <cell r="S409" t="str">
            <v>HSD</v>
          </cell>
          <cell r="T409" t="str">
            <v>Value</v>
          </cell>
          <cell r="U409">
            <v>3.4529999999999998E-2</v>
          </cell>
          <cell r="V409">
            <v>0.19405</v>
          </cell>
          <cell r="W409">
            <v>0.22902</v>
          </cell>
          <cell r="X409">
            <v>0.25742999999999999</v>
          </cell>
          <cell r="Y409">
            <v>0.25742999999999999</v>
          </cell>
          <cell r="Z409">
            <v>0.25742999999999999</v>
          </cell>
          <cell r="AA409">
            <v>0.25742999999999999</v>
          </cell>
          <cell r="AB409">
            <v>0.25742999999999999</v>
          </cell>
          <cell r="AC409">
            <v>0.25742999999999999</v>
          </cell>
          <cell r="AD409">
            <v>0.25742999999999999</v>
          </cell>
          <cell r="AE409">
            <v>0.25742999999999999</v>
          </cell>
          <cell r="AF409">
            <v>0.25742999999999999</v>
          </cell>
        </row>
        <row r="410">
          <cell r="R410" t="str">
            <v>NMR</v>
          </cell>
          <cell r="S410" t="str">
            <v>Electricity ('1000 units)</v>
          </cell>
          <cell r="T410" t="str">
            <v>Qty</v>
          </cell>
          <cell r="U410">
            <v>28</v>
          </cell>
          <cell r="V410">
            <v>56</v>
          </cell>
          <cell r="W410">
            <v>91</v>
          </cell>
          <cell r="X410">
            <v>116</v>
          </cell>
          <cell r="Y410">
            <v>141</v>
          </cell>
          <cell r="Z410">
            <v>166</v>
          </cell>
          <cell r="AA410">
            <v>191</v>
          </cell>
          <cell r="AB410">
            <v>216</v>
          </cell>
          <cell r="AC410">
            <v>241</v>
          </cell>
          <cell r="AD410">
            <v>241</v>
          </cell>
          <cell r="AE410">
            <v>241</v>
          </cell>
          <cell r="AF410">
            <v>241</v>
          </cell>
        </row>
        <row r="411">
          <cell r="R411" t="str">
            <v>NMR</v>
          </cell>
          <cell r="S411" t="str">
            <v>Electricity ('1000 units)</v>
          </cell>
          <cell r="T411" t="str">
            <v>Value</v>
          </cell>
          <cell r="U411">
            <v>5.1409000000000002</v>
          </cell>
          <cell r="V411">
            <v>10.56305</v>
          </cell>
          <cell r="W411">
            <v>16.34742</v>
          </cell>
          <cell r="X411">
            <v>22.84272</v>
          </cell>
          <cell r="Y411">
            <v>28.84226</v>
          </cell>
          <cell r="Z411">
            <v>34.282110000000003</v>
          </cell>
          <cell r="AA411">
            <v>40.03246</v>
          </cell>
          <cell r="AB411">
            <v>45.488869999999999</v>
          </cell>
          <cell r="AC411">
            <v>50.726109999999998</v>
          </cell>
          <cell r="AD411">
            <v>50.726109999999998</v>
          </cell>
          <cell r="AE411">
            <v>50.726109999999998</v>
          </cell>
          <cell r="AF411">
            <v>50.726109999999998</v>
          </cell>
        </row>
        <row r="412">
          <cell r="R412" t="str">
            <v>NMR</v>
          </cell>
          <cell r="S412" t="str">
            <v>FURNACE OIL</v>
          </cell>
          <cell r="T412" t="str">
            <v>Qty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R413" t="str">
            <v>NMR</v>
          </cell>
          <cell r="S413" t="str">
            <v>FURNACE OIL</v>
          </cell>
          <cell r="T413" t="str">
            <v>Value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R414" t="str">
            <v>NMR</v>
          </cell>
          <cell r="S414" t="str">
            <v>Price Difference</v>
          </cell>
          <cell r="T414" t="str">
            <v>Qty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R415" t="str">
            <v>NMR</v>
          </cell>
          <cell r="S415" t="str">
            <v>Price Difference</v>
          </cell>
          <cell r="T415" t="str">
            <v>Value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7">
          <cell r="R417" t="str">
            <v>NDP</v>
          </cell>
          <cell r="S417" t="str">
            <v>LPG</v>
          </cell>
          <cell r="T417" t="str">
            <v>Qty</v>
          </cell>
          <cell r="U417">
            <v>238.084</v>
          </cell>
          <cell r="V417">
            <v>494.15</v>
          </cell>
          <cell r="W417">
            <v>752.06399999999996</v>
          </cell>
          <cell r="X417">
            <v>969.673</v>
          </cell>
          <cell r="Y417">
            <v>1197.579</v>
          </cell>
          <cell r="Z417">
            <v>1431.5609999999999</v>
          </cell>
          <cell r="AA417">
            <v>1686.915</v>
          </cell>
          <cell r="AB417">
            <v>1969.8229999999999</v>
          </cell>
          <cell r="AC417">
            <v>2243.5509999999999</v>
          </cell>
          <cell r="AD417">
            <v>2243.5509999999999</v>
          </cell>
          <cell r="AE417">
            <v>2243.5509999999999</v>
          </cell>
          <cell r="AF417">
            <v>2243.5509999999999</v>
          </cell>
        </row>
        <row r="418">
          <cell r="R418" t="str">
            <v>NDP</v>
          </cell>
          <cell r="S418" t="str">
            <v>LPG</v>
          </cell>
          <cell r="T418" t="str">
            <v>Value</v>
          </cell>
          <cell r="U418">
            <v>158.30662100000001</v>
          </cell>
          <cell r="V418">
            <v>327.57291420000001</v>
          </cell>
          <cell r="W418">
            <v>489.8859248</v>
          </cell>
          <cell r="X418">
            <v>619.64207910000005</v>
          </cell>
          <cell r="Y418">
            <v>760.97955860000002</v>
          </cell>
          <cell r="Z418">
            <v>905.45363100000009</v>
          </cell>
          <cell r="AA418">
            <v>1059.3719779</v>
          </cell>
          <cell r="AB418">
            <v>1223.4280306000001</v>
          </cell>
          <cell r="AC418">
            <v>1362.0447506</v>
          </cell>
          <cell r="AD418">
            <v>1362.0447506</v>
          </cell>
          <cell r="AE418">
            <v>1362.0447506</v>
          </cell>
          <cell r="AF418">
            <v>1362.0447506</v>
          </cell>
        </row>
        <row r="419">
          <cell r="R419" t="str">
            <v>NDP</v>
          </cell>
          <cell r="S419" t="str">
            <v>LPG - ACL</v>
          </cell>
          <cell r="T419" t="str">
            <v>Qty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R420" t="str">
            <v>NDP</v>
          </cell>
          <cell r="S420" t="str">
            <v>LPG - ACL</v>
          </cell>
          <cell r="T420" t="str">
            <v>Value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R421" t="str">
            <v>NDP</v>
          </cell>
          <cell r="S421" t="str">
            <v>LNG</v>
          </cell>
          <cell r="T421" t="str">
            <v>Qty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R422" t="str">
            <v>NDP</v>
          </cell>
          <cell r="S422" t="str">
            <v>LNG</v>
          </cell>
          <cell r="T422" t="str">
            <v>Value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R423" t="str">
            <v>NDP</v>
          </cell>
          <cell r="S423" t="str">
            <v>PET FUEL</v>
          </cell>
          <cell r="T423" t="str">
            <v>Qty</v>
          </cell>
          <cell r="U423">
            <v>1688.3000000000002</v>
          </cell>
          <cell r="V423">
            <v>3373.7000000000003</v>
          </cell>
          <cell r="W423">
            <v>5191.3</v>
          </cell>
          <cell r="X423">
            <v>7222</v>
          </cell>
          <cell r="Y423">
            <v>8971.2000000000007</v>
          </cell>
          <cell r="Z423">
            <v>11045.400000000001</v>
          </cell>
          <cell r="AA423">
            <v>12901.100000000002</v>
          </cell>
          <cell r="AB423">
            <v>14790.200000000003</v>
          </cell>
          <cell r="AC423">
            <v>16819.400000000001</v>
          </cell>
          <cell r="AD423">
            <v>16819.400000000001</v>
          </cell>
          <cell r="AE423">
            <v>16819.400000000001</v>
          </cell>
          <cell r="AF423">
            <v>16819.400000000001</v>
          </cell>
        </row>
        <row r="424">
          <cell r="R424" t="str">
            <v>NDP</v>
          </cell>
          <cell r="S424" t="str">
            <v>PET FUEL</v>
          </cell>
          <cell r="T424" t="str">
            <v>Value</v>
          </cell>
          <cell r="U424">
            <v>234.89508441999993</v>
          </cell>
          <cell r="V424">
            <v>471.86960537066511</v>
          </cell>
          <cell r="W424">
            <v>724.17523919999996</v>
          </cell>
          <cell r="X424">
            <v>1003.1053485</v>
          </cell>
          <cell r="Y424">
            <v>1240.2132378000001</v>
          </cell>
          <cell r="Z424">
            <v>1527.6651318700001</v>
          </cell>
          <cell r="AA424">
            <v>1780.81985407</v>
          </cell>
          <cell r="AB424">
            <v>2036.364010614752</v>
          </cell>
          <cell r="AC424">
            <v>2278.954010614752</v>
          </cell>
          <cell r="AD424">
            <v>2278.954010614752</v>
          </cell>
          <cell r="AE424">
            <v>2278.954010614752</v>
          </cell>
          <cell r="AF424">
            <v>2278.954010614752</v>
          </cell>
        </row>
        <row r="425">
          <cell r="R425" t="str">
            <v>NDP</v>
          </cell>
          <cell r="S425" t="str">
            <v>HSD</v>
          </cell>
          <cell r="T425" t="str">
            <v>Qty</v>
          </cell>
          <cell r="U425">
            <v>10.119999999999999</v>
          </cell>
          <cell r="V425">
            <v>29.948999999999998</v>
          </cell>
          <cell r="W425">
            <v>43.124000000000002</v>
          </cell>
          <cell r="X425">
            <v>57.728999999999999</v>
          </cell>
          <cell r="Y425">
            <v>72.153999999999996</v>
          </cell>
          <cell r="Z425">
            <v>85.673999999999992</v>
          </cell>
          <cell r="AA425">
            <v>100.999</v>
          </cell>
          <cell r="AB425">
            <v>115.884</v>
          </cell>
          <cell r="AC425">
            <v>130.32400000000001</v>
          </cell>
          <cell r="AD425">
            <v>130.32400000000001</v>
          </cell>
          <cell r="AE425">
            <v>130.32400000000001</v>
          </cell>
          <cell r="AF425">
            <v>130.32400000000001</v>
          </cell>
        </row>
        <row r="426">
          <cell r="R426" t="str">
            <v>NDP</v>
          </cell>
          <cell r="S426" t="str">
            <v>HSD</v>
          </cell>
          <cell r="T426" t="str">
            <v>Value</v>
          </cell>
          <cell r="U426">
            <v>5.4315135999999997</v>
          </cell>
          <cell r="V426">
            <v>16.073952899999998</v>
          </cell>
          <cell r="W426">
            <v>23.1445936</v>
          </cell>
          <cell r="X426">
            <v>30.981880100000001</v>
          </cell>
          <cell r="Y426">
            <v>38.722576600000004</v>
          </cell>
          <cell r="Z426">
            <v>45.975599100000004</v>
          </cell>
          <cell r="AA426">
            <v>54.121984400000002</v>
          </cell>
          <cell r="AB426">
            <v>62.006492100000003</v>
          </cell>
          <cell r="AC426">
            <v>69.655282100000008</v>
          </cell>
          <cell r="AD426">
            <v>69.655282100000008</v>
          </cell>
          <cell r="AE426">
            <v>69.655282100000008</v>
          </cell>
          <cell r="AF426">
            <v>69.655282100000008</v>
          </cell>
        </row>
        <row r="427">
          <cell r="R427" t="str">
            <v>NDP</v>
          </cell>
          <cell r="S427" t="str">
            <v>Electricity ('1000 units)</v>
          </cell>
          <cell r="T427" t="str">
            <v>Qty</v>
          </cell>
          <cell r="U427">
            <v>3874</v>
          </cell>
          <cell r="V427">
            <v>7886.8150000000005</v>
          </cell>
          <cell r="W427">
            <v>12543.815000000001</v>
          </cell>
          <cell r="X427">
            <v>17967.815000000002</v>
          </cell>
          <cell r="Y427">
            <v>22964.815000000002</v>
          </cell>
          <cell r="Z427">
            <v>27411.815000000002</v>
          </cell>
          <cell r="AA427">
            <v>32139.815000000002</v>
          </cell>
          <cell r="AB427">
            <v>36555.815000000002</v>
          </cell>
          <cell r="AC427">
            <v>41178.815000000002</v>
          </cell>
          <cell r="AD427">
            <v>41178.815000000002</v>
          </cell>
          <cell r="AE427">
            <v>41178.815000000002</v>
          </cell>
          <cell r="AF427">
            <v>41178.815000000002</v>
          </cell>
        </row>
        <row r="428">
          <cell r="R428" t="str">
            <v>NDP</v>
          </cell>
          <cell r="S428" t="str">
            <v>Electricity ('1000 units)</v>
          </cell>
          <cell r="T428" t="str">
            <v>Value</v>
          </cell>
          <cell r="U428">
            <v>247.96582126040244</v>
          </cell>
          <cell r="V428">
            <v>480.1279555842616</v>
          </cell>
          <cell r="W428">
            <v>743.24269961445566</v>
          </cell>
          <cell r="X428">
            <v>977.76989551710358</v>
          </cell>
          <cell r="Y428">
            <v>1263.6550592346371</v>
          </cell>
          <cell r="Z428">
            <v>1507.6725495838355</v>
          </cell>
          <cell r="AA428">
            <v>1782.2404202578475</v>
          </cell>
          <cell r="AB428">
            <v>2036.1104202578476</v>
          </cell>
          <cell r="AC428">
            <v>2292.8404202578477</v>
          </cell>
          <cell r="AD428">
            <v>2292.8404202578477</v>
          </cell>
          <cell r="AE428">
            <v>2292.8404202578477</v>
          </cell>
          <cell r="AF428">
            <v>2292.8404202578477</v>
          </cell>
        </row>
        <row r="429">
          <cell r="R429" t="str">
            <v>NDP</v>
          </cell>
          <cell r="S429" t="str">
            <v>FURNACE OIL</v>
          </cell>
          <cell r="T429" t="str">
            <v>Qty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205.68</v>
          </cell>
          <cell r="Z429">
            <v>205.68</v>
          </cell>
          <cell r="AA429">
            <v>378.97</v>
          </cell>
          <cell r="AB429">
            <v>431.90800000000002</v>
          </cell>
          <cell r="AC429">
            <v>431.90800000000002</v>
          </cell>
          <cell r="AD429">
            <v>431.90800000000002</v>
          </cell>
          <cell r="AE429">
            <v>431.90800000000002</v>
          </cell>
          <cell r="AF429">
            <v>431.90800000000002</v>
          </cell>
        </row>
        <row r="430">
          <cell r="R430" t="str">
            <v>NDP</v>
          </cell>
          <cell r="S430" t="str">
            <v>FURNACE OIL</v>
          </cell>
          <cell r="T430" t="str">
            <v>Value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89.667566999999991</v>
          </cell>
          <cell r="Z430">
            <v>89.667566999999991</v>
          </cell>
          <cell r="AA430">
            <v>162.71423979999997</v>
          </cell>
          <cell r="AB430">
            <v>184.40201239999996</v>
          </cell>
          <cell r="AC430">
            <v>184.40201239999996</v>
          </cell>
          <cell r="AD430">
            <v>184.40201239999996</v>
          </cell>
          <cell r="AE430">
            <v>184.40201239999996</v>
          </cell>
          <cell r="AF430">
            <v>184.40201239999996</v>
          </cell>
        </row>
        <row r="431">
          <cell r="R431" t="str">
            <v>NDP</v>
          </cell>
          <cell r="S431" t="str">
            <v>Price Difference</v>
          </cell>
          <cell r="T431" t="str">
            <v>Qty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R432" t="str">
            <v>NDP</v>
          </cell>
          <cell r="S432" t="str">
            <v>Price Difference</v>
          </cell>
          <cell r="T432" t="str">
            <v>Value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Pivot Table"/>
      <sheetName val="ReasonCode"/>
      <sheetName val="PO Details"/>
      <sheetName val="Sheet2"/>
      <sheetName val="Pivot Table"/>
      <sheetName val="ReasonCode1"/>
      <sheetName val="Follow closure"/>
    </sheetNames>
    <sheetDataSet>
      <sheetData sheetId="0" refreshError="1"/>
      <sheetData sheetId="1" refreshError="1">
        <row r="1">
          <cell r="N1" t="str">
            <v>Location</v>
          </cell>
        </row>
        <row r="2">
          <cell r="A2" t="str">
            <v>Store Project Requirement</v>
          </cell>
          <cell r="B2" t="str">
            <v>Accel ICIM System &amp; Services</v>
          </cell>
          <cell r="K2" t="str">
            <v>Barcode Printers</v>
          </cell>
          <cell r="L2" t="str">
            <v>No Late Delivery Charge</v>
          </cell>
          <cell r="P2" t="str">
            <v>Sonal Devang</v>
          </cell>
          <cell r="Q2" t="str">
            <v>Amit Gupta</v>
          </cell>
          <cell r="R2" t="str">
            <v xml:space="preserve">Open </v>
          </cell>
          <cell r="S2" t="str">
            <v>AMC</v>
          </cell>
          <cell r="T2" t="str">
            <v>Abhay</v>
          </cell>
          <cell r="U2" t="str">
            <v>Bill not received</v>
          </cell>
        </row>
        <row r="3">
          <cell r="A3" t="str">
            <v>Store Requirement</v>
          </cell>
          <cell r="B3" t="str">
            <v>Aikon Marketing Services</v>
          </cell>
          <cell r="K3" t="str">
            <v>Barcode Scanners</v>
          </cell>
          <cell r="L3" t="str">
            <v>0.5% for every Week</v>
          </cell>
          <cell r="P3" t="str">
            <v>Clara Parab</v>
          </cell>
          <cell r="Q3" t="str">
            <v>Anand Adukia</v>
          </cell>
          <cell r="R3" t="str">
            <v>Closed</v>
          </cell>
          <cell r="S3" t="str">
            <v>Credit Note</v>
          </cell>
          <cell r="T3" t="str">
            <v>Ajit Narvekar</v>
          </cell>
          <cell r="U3" t="str">
            <v>Not Paid</v>
          </cell>
        </row>
        <row r="4">
          <cell r="A4" t="str">
            <v>Repairs &amp; Maintenance</v>
          </cell>
          <cell r="B4" t="str">
            <v>Alcatel Business Systems (ABS India Pvt Ltd.)</v>
          </cell>
          <cell r="K4" t="str">
            <v>Data Cartridges</v>
          </cell>
          <cell r="L4" t="str">
            <v>0.5% for every 3 days</v>
          </cell>
          <cell r="P4" t="str">
            <v>Swapnali Tatkare</v>
          </cell>
          <cell r="Q4" t="str">
            <v>Anilji</v>
          </cell>
          <cell r="R4" t="str">
            <v>Cancelled</v>
          </cell>
          <cell r="S4" t="str">
            <v>Invoice</v>
          </cell>
          <cell r="T4" t="str">
            <v>Avinash Shekhar</v>
          </cell>
          <cell r="U4" t="str">
            <v xml:space="preserve">Paid </v>
          </cell>
        </row>
        <row r="5">
          <cell r="A5" t="str">
            <v>Replacement</v>
          </cell>
          <cell r="B5" t="str">
            <v>Allied Digital Services</v>
          </cell>
          <cell r="K5" t="str">
            <v>EPABX</v>
          </cell>
          <cell r="L5" t="str">
            <v>0.5% for every 4 day</v>
          </cell>
          <cell r="P5" t="str">
            <v>Vijay Singh</v>
          </cell>
          <cell r="Q5" t="str">
            <v>CPT</v>
          </cell>
          <cell r="R5" t="str">
            <v>On-Hold</v>
          </cell>
          <cell r="S5" t="str">
            <v>Proforma Invoice</v>
          </cell>
          <cell r="T5" t="str">
            <v xml:space="preserve">Ajit  </v>
          </cell>
          <cell r="U5" t="str">
            <v>Part Payment</v>
          </cell>
        </row>
        <row r="6">
          <cell r="A6" t="str">
            <v>Miscellaneous</v>
          </cell>
          <cell r="B6" t="str">
            <v>Alpha Automations</v>
          </cell>
          <cell r="K6" t="str">
            <v>Electronic Article Survelliance</v>
          </cell>
          <cell r="L6" t="str">
            <v>0.5% for every day</v>
          </cell>
          <cell r="P6" t="str">
            <v>Anand Singh</v>
          </cell>
          <cell r="Q6" t="str">
            <v>Jitendra Sarode</v>
          </cell>
          <cell r="R6" t="str">
            <v>Awaiting Approval</v>
          </cell>
          <cell r="S6" t="str">
            <v>Service Contract</v>
          </cell>
          <cell r="T6" t="str">
            <v>Amit Kasat</v>
          </cell>
          <cell r="U6" t="str">
            <v>Split Payment</v>
          </cell>
        </row>
        <row r="7">
          <cell r="A7" t="str">
            <v>Head Office Requirement</v>
          </cell>
          <cell r="B7" t="str">
            <v>Alpha Carbonless Paper Mfg</v>
          </cell>
          <cell r="K7" t="str">
            <v>Server</v>
          </cell>
          <cell r="P7" t="str">
            <v>Vaishali Barve</v>
          </cell>
          <cell r="Q7" t="str">
            <v>Kishoreji</v>
          </cell>
          <cell r="S7" t="str">
            <v>Verbal Orders</v>
          </cell>
          <cell r="T7" t="str">
            <v>Abhijit</v>
          </cell>
        </row>
        <row r="8">
          <cell r="P8" t="str">
            <v>Nitin Nivargi</v>
          </cell>
          <cell r="T8" t="str">
            <v>Niraj Chopara</v>
          </cell>
        </row>
        <row r="9">
          <cell r="A9" t="str">
            <v>Tarapur Warehouse - G6</v>
          </cell>
          <cell r="B9" t="str">
            <v>Aarkay Power Systems Pvt Ltd</v>
          </cell>
          <cell r="K9" t="str">
            <v>Laptop</v>
          </cell>
          <cell r="Q9" t="str">
            <v>Purchase for Vendor</v>
          </cell>
          <cell r="T9" t="str">
            <v>Arun Sharma</v>
          </cell>
        </row>
        <row r="10">
          <cell r="A10" t="str">
            <v>Tarapur - J72</v>
          </cell>
          <cell r="B10" t="str">
            <v>Auro Power Systems (P) Ltd</v>
          </cell>
          <cell r="K10" t="str">
            <v>LCD Monitors</v>
          </cell>
          <cell r="Q10" t="str">
            <v>Rakeshji</v>
          </cell>
          <cell r="T10" t="str">
            <v>Aashish Sonthalia</v>
          </cell>
        </row>
        <row r="11">
          <cell r="B11" t="str">
            <v>Barcode India Ltd</v>
          </cell>
          <cell r="K11" t="str">
            <v>Networking Active</v>
          </cell>
          <cell r="Q11" t="str">
            <v>Vijayji</v>
          </cell>
          <cell r="T11" t="str">
            <v>Dinesh Jain</v>
          </cell>
        </row>
        <row r="12">
          <cell r="B12" t="str">
            <v>Bartronics India Ltd</v>
          </cell>
          <cell r="K12" t="str">
            <v>Networking Passive</v>
          </cell>
          <cell r="Q12" t="str">
            <v>Yet to approve</v>
          </cell>
          <cell r="T12" t="str">
            <v>Prashant Kate</v>
          </cell>
        </row>
        <row r="13">
          <cell r="B13" t="str">
            <v>Bharat Enterprises</v>
          </cell>
          <cell r="K13" t="str">
            <v>Weigh Scales</v>
          </cell>
          <cell r="Q13" t="str">
            <v>Chinar Deshpande</v>
          </cell>
          <cell r="T13" t="str">
            <v>Girish Harsh</v>
          </cell>
        </row>
        <row r="14">
          <cell r="B14" t="str">
            <v>Bizerba South East Asia</v>
          </cell>
          <cell r="K14" t="str">
            <v>PC</v>
          </cell>
          <cell r="T14" t="str">
            <v>James John</v>
          </cell>
        </row>
        <row r="15">
          <cell r="B15" t="str">
            <v>Blue Chip Computers</v>
          </cell>
          <cell r="K15" t="str">
            <v>Peripherals</v>
          </cell>
          <cell r="T15" t="str">
            <v>Jayesh</v>
          </cell>
        </row>
        <row r="16">
          <cell r="B16" t="str">
            <v>BSES</v>
          </cell>
          <cell r="K16" t="str">
            <v>POS</v>
          </cell>
          <cell r="T16" t="str">
            <v>Moreshwar Akirde</v>
          </cell>
        </row>
        <row r="17">
          <cell r="B17" t="str">
            <v>Checkpoint</v>
          </cell>
          <cell r="K17" t="str">
            <v>Services</v>
          </cell>
          <cell r="T17" t="str">
            <v>Mukesh Sharma</v>
          </cell>
        </row>
        <row r="18">
          <cell r="B18" t="str">
            <v>Choice Solutions Limited</v>
          </cell>
          <cell r="K18" t="str">
            <v>Software</v>
          </cell>
          <cell r="T18" t="str">
            <v>Pradeep Utekar</v>
          </cell>
        </row>
        <row r="19">
          <cell r="B19" t="str">
            <v>Consul Consolidated Pvt. Ltd.</v>
          </cell>
          <cell r="K19" t="str">
            <v>Thermal Printer</v>
          </cell>
          <cell r="T19" t="str">
            <v>Shuhash</v>
          </cell>
        </row>
        <row r="20">
          <cell r="B20" t="str">
            <v>Dell India Pvt Ltd</v>
          </cell>
          <cell r="K20" t="str">
            <v>Projector</v>
          </cell>
          <cell r="T20" t="str">
            <v>Vasant Parte</v>
          </cell>
        </row>
        <row r="21">
          <cell r="B21" t="str">
            <v>Digital Hi-Ways</v>
          </cell>
          <cell r="K21" t="str">
            <v>UPS / Inverters</v>
          </cell>
          <cell r="T21" t="str">
            <v>Raghu Ghadi</v>
          </cell>
        </row>
        <row r="22">
          <cell r="B22" t="str">
            <v>DishNet DSL Ltd</v>
          </cell>
          <cell r="K22" t="str">
            <v>Printer /Scanner</v>
          </cell>
          <cell r="T22" t="str">
            <v>Reena Satra</v>
          </cell>
        </row>
        <row r="23">
          <cell r="B23" t="str">
            <v>Divya Electro Technica Pvt. Ltd.</v>
          </cell>
          <cell r="K23" t="str">
            <v>RFID</v>
          </cell>
          <cell r="T23" t="str">
            <v>Rajesh Bhakde</v>
          </cell>
        </row>
        <row r="24">
          <cell r="B24" t="str">
            <v>Divyabhi Enterprises</v>
          </cell>
          <cell r="T24" t="str">
            <v>Rajesh Kalyani</v>
          </cell>
        </row>
        <row r="25">
          <cell r="B25" t="str">
            <v>Dixit Infotech Services</v>
          </cell>
          <cell r="T25" t="str">
            <v>Ramavtar Sharma</v>
          </cell>
        </row>
        <row r="26">
          <cell r="B26" t="str">
            <v>Dhananjay Industrial Engineers Pvt Ltd</v>
          </cell>
          <cell r="T26" t="str">
            <v>Pushpendra</v>
          </cell>
        </row>
        <row r="27">
          <cell r="B27" t="str">
            <v>Enkay Telecom. (I) Pvt. Ltd.</v>
          </cell>
          <cell r="K27" t="str">
            <v>Others</v>
          </cell>
          <cell r="T27" t="str">
            <v>Vijay</v>
          </cell>
        </row>
        <row r="28">
          <cell r="B28" t="str">
            <v>E-pos International(India)</v>
          </cell>
          <cell r="T28" t="str">
            <v>Ravi Goel</v>
          </cell>
        </row>
        <row r="29">
          <cell r="B29" t="str">
            <v>Essae Technologies</v>
          </cell>
          <cell r="T29" t="str">
            <v>Pravin Sarvade</v>
          </cell>
        </row>
        <row r="30">
          <cell r="B30" t="str">
            <v>GEIS Infotech Pvt. Ltd.</v>
          </cell>
          <cell r="T30" t="str">
            <v>Sachin Sharma</v>
          </cell>
        </row>
        <row r="31">
          <cell r="T31" t="str">
            <v>Sandeep Manjrekar</v>
          </cell>
        </row>
        <row r="32">
          <cell r="B32" t="str">
            <v>Goldline</v>
          </cell>
          <cell r="T32" t="str">
            <v>Ravi kejariwal</v>
          </cell>
        </row>
        <row r="33">
          <cell r="B33" t="str">
            <v>Griffin Products Pvt. Ltd.</v>
          </cell>
          <cell r="T33" t="str">
            <v>Umesh Raut</v>
          </cell>
        </row>
        <row r="34">
          <cell r="B34" t="str">
            <v>GTL Limited</v>
          </cell>
          <cell r="T34" t="str">
            <v>Vijayji - Personal (Atul)</v>
          </cell>
        </row>
        <row r="35">
          <cell r="B35" t="str">
            <v>HCL Infosystems Ltd.</v>
          </cell>
          <cell r="T35" t="str">
            <v>Vinay</v>
          </cell>
        </row>
        <row r="36">
          <cell r="B36" t="str">
            <v>HCL Infosystems Ltd. (Frontline Div)</v>
          </cell>
          <cell r="T36" t="str">
            <v>Harshad</v>
          </cell>
        </row>
        <row r="37">
          <cell r="B37" t="str">
            <v>ICICI Infotech</v>
          </cell>
          <cell r="T37" t="str">
            <v>Satish Mandalia</v>
          </cell>
        </row>
        <row r="38">
          <cell r="B38" t="str">
            <v>IndSoft Systems Pvt. Ltd</v>
          </cell>
          <cell r="T38" t="str">
            <v>Mahesh Gattani</v>
          </cell>
        </row>
        <row r="39">
          <cell r="B39" t="str">
            <v>Infonet Network Systems</v>
          </cell>
          <cell r="T39" t="str">
            <v>Vijay Kasera</v>
          </cell>
        </row>
        <row r="40">
          <cell r="B40" t="str">
            <v>Insight Business Systems Pvt. Ltd</v>
          </cell>
        </row>
        <row r="41">
          <cell r="B41" t="str">
            <v xml:space="preserve">Interlabels Industries (P) Ltd </v>
          </cell>
        </row>
        <row r="42">
          <cell r="B42" t="str">
            <v>JK Technosoft</v>
          </cell>
        </row>
        <row r="43">
          <cell r="B43" t="str">
            <v>Kalakriti Systems</v>
          </cell>
        </row>
        <row r="44">
          <cell r="B44" t="str">
            <v>Kanal Communications and Electronics</v>
          </cell>
        </row>
        <row r="45">
          <cell r="B45" t="str">
            <v>Kay Impex</v>
          </cell>
        </row>
        <row r="46">
          <cell r="B46" t="str">
            <v>La Vision</v>
          </cell>
        </row>
        <row r="47">
          <cell r="B47" t="str">
            <v>LDS Infotech Pvt Ltd</v>
          </cell>
        </row>
        <row r="48">
          <cell r="B48" t="str">
            <v>LG Electronics (Roop Technologies)</v>
          </cell>
        </row>
        <row r="49">
          <cell r="B49" t="str">
            <v>Lipi Data Systems Ltd.</v>
          </cell>
        </row>
        <row r="50">
          <cell r="B50" t="str">
            <v>Lucky Forms Pvt. Ltd.</v>
          </cell>
        </row>
        <row r="51">
          <cell r="B51" t="str">
            <v>Matrix Solutions Pvt. Ltd.</v>
          </cell>
        </row>
        <row r="52">
          <cell r="B52" t="str">
            <v>Mechel Systems &amp; Services</v>
          </cell>
        </row>
        <row r="53">
          <cell r="B53" t="str">
            <v>Micro Clinic</v>
          </cell>
        </row>
        <row r="54">
          <cell r="B54" t="str">
            <v>Micro Mind Infotech</v>
          </cell>
        </row>
        <row r="55">
          <cell r="B55" t="str">
            <v>Mx Information Systems P Ltd</v>
          </cell>
        </row>
        <row r="56">
          <cell r="B56" t="str">
            <v>Net4 India Ltd</v>
          </cell>
        </row>
        <row r="57">
          <cell r="B57" t="str">
            <v>Neutron Electronic Systems Pvt. Ltd.</v>
          </cell>
        </row>
        <row r="58">
          <cell r="B58" t="str">
            <v>NexStep</v>
          </cell>
        </row>
        <row r="59">
          <cell r="B59" t="str">
            <v>Online Network Systems</v>
          </cell>
        </row>
        <row r="60">
          <cell r="B60" t="str">
            <v>Optimal Infotech Pvt. Ltd.</v>
          </cell>
        </row>
        <row r="61">
          <cell r="B61" t="str">
            <v>PSC Inc</v>
          </cell>
        </row>
        <row r="62">
          <cell r="B62" t="str">
            <v>Purple Infotech (P) Ltd.</v>
          </cell>
        </row>
        <row r="63">
          <cell r="B63" t="str">
            <v>Rachana Overseas Pvt. Ltd</v>
          </cell>
        </row>
        <row r="64">
          <cell r="B64" t="str">
            <v>Rajkamal Barscan Systems</v>
          </cell>
        </row>
        <row r="65">
          <cell r="B65" t="str">
            <v>Reliance Communications Infrastructure Ltd</v>
          </cell>
        </row>
        <row r="66">
          <cell r="B66" t="str">
            <v>Retail Solutions India P. Ltd.</v>
          </cell>
        </row>
        <row r="67">
          <cell r="B67" t="str">
            <v>Rishi Electronics</v>
          </cell>
        </row>
        <row r="68">
          <cell r="B68" t="str">
            <v>Roop Technologies Pvt. Ltd.</v>
          </cell>
        </row>
        <row r="69">
          <cell r="B69" t="str">
            <v>RSG Infotech (P) Ltd</v>
          </cell>
        </row>
        <row r="70">
          <cell r="B70" t="str">
            <v>Satyam Computer Services</v>
          </cell>
        </row>
        <row r="71">
          <cell r="B71" t="str">
            <v>Sejutronics</v>
          </cell>
        </row>
        <row r="72">
          <cell r="B72" t="str">
            <v>Sentronics</v>
          </cell>
        </row>
        <row r="73">
          <cell r="B73" t="str">
            <v>SETUNET</v>
          </cell>
        </row>
        <row r="74">
          <cell r="B74" t="str">
            <v>Shree Satguru Industries</v>
          </cell>
        </row>
        <row r="75">
          <cell r="B75" t="str">
            <v>Siemens Ltd</v>
          </cell>
        </row>
        <row r="76">
          <cell r="B76" t="str">
            <v>Sify Limited</v>
          </cell>
        </row>
        <row r="77">
          <cell r="B77" t="str">
            <v>Sigma Solutions (P) Ltd</v>
          </cell>
        </row>
        <row r="78">
          <cell r="B78" t="str">
            <v xml:space="preserve">Sky Infotech </v>
          </cell>
        </row>
        <row r="79">
          <cell r="B79" t="str">
            <v>Speedage Couriers</v>
          </cell>
        </row>
        <row r="80">
          <cell r="B80" t="str">
            <v>Spicenet Limited</v>
          </cell>
        </row>
        <row r="81">
          <cell r="B81" t="str">
            <v xml:space="preserve">Stallion Systems and Solutions </v>
          </cell>
        </row>
        <row r="82">
          <cell r="B82" t="str">
            <v>Swan Solutions &amp; Services P. Ltd.</v>
          </cell>
        </row>
        <row r="83">
          <cell r="B83" t="str">
            <v>Best IT World (India) Pvt Ltd</v>
          </cell>
        </row>
        <row r="84">
          <cell r="B84" t="str">
            <v>Tulip IT Services Ltd.</v>
          </cell>
        </row>
        <row r="85">
          <cell r="B85" t="str">
            <v>Unilogic Systems (India) Pvt. Ltd.</v>
          </cell>
        </row>
        <row r="86">
          <cell r="B86" t="str">
            <v>Upstronics Corporation</v>
          </cell>
        </row>
        <row r="87">
          <cell r="B87" t="str">
            <v>Vertex Solution, Zenith PC World</v>
          </cell>
        </row>
        <row r="88">
          <cell r="B88" t="str">
            <v>Videsh Shanchar Nigam Ltd</v>
          </cell>
        </row>
        <row r="89">
          <cell r="B89" t="str">
            <v>Wincor Nixdorf Pte Ltd.</v>
          </cell>
        </row>
        <row r="90">
          <cell r="B90" t="str">
            <v>Wipro Infotech</v>
          </cell>
        </row>
        <row r="91">
          <cell r="B91" t="str">
            <v>Worldwide Systems</v>
          </cell>
        </row>
        <row r="92">
          <cell r="B92" t="str">
            <v>XSIS Power Systems Pvt. Ltd.</v>
          </cell>
        </row>
        <row r="93">
          <cell r="B93" t="str">
            <v>Zenith Computers Limited</v>
          </cell>
        </row>
        <row r="94">
          <cell r="B94" t="str">
            <v>Deloitte Touche Tohmatshu</v>
          </cell>
        </row>
        <row r="95">
          <cell r="B95" t="str">
            <v>Intellicon Pvt Ltd</v>
          </cell>
        </row>
        <row r="96">
          <cell r="B96" t="str">
            <v>Sun Data Processing</v>
          </cell>
        </row>
        <row r="97">
          <cell r="B97" t="str">
            <v>PCS Industries Ltd</v>
          </cell>
        </row>
        <row r="98">
          <cell r="B98" t="str">
            <v>Web Peripherals Ltd</v>
          </cell>
        </row>
        <row r="99">
          <cell r="B99" t="str">
            <v>Saicom Data Consultancy</v>
          </cell>
        </row>
        <row r="100">
          <cell r="B100" t="str">
            <v>HCL Technologies Ltd</v>
          </cell>
        </row>
        <row r="101">
          <cell r="B101" t="str">
            <v>Asia Infotech</v>
          </cell>
        </row>
        <row r="102">
          <cell r="B102" t="str">
            <v>RC ALL-TECH POWER SYSTEMS PVT. LTD</v>
          </cell>
        </row>
        <row r="103">
          <cell r="B103" t="str">
            <v>Weigh-Biz India Pvt Ltd.</v>
          </cell>
        </row>
        <row r="104">
          <cell r="B104" t="str">
            <v>Zensar Technologies Ltd</v>
          </cell>
        </row>
        <row r="105">
          <cell r="B105" t="str">
            <v>CMS Computers Ltd</v>
          </cell>
        </row>
        <row r="106">
          <cell r="B106" t="str">
            <v>Logix Consultancy Group Pvt Ltd</v>
          </cell>
        </row>
        <row r="107">
          <cell r="B107" t="str">
            <v>Aaditya Computers</v>
          </cell>
        </row>
        <row r="108">
          <cell r="B108" t="str">
            <v>Redington India Ltd</v>
          </cell>
        </row>
        <row r="109">
          <cell r="B109" t="str">
            <v>3i Infotech Ltd</v>
          </cell>
        </row>
        <row r="110">
          <cell r="B110" t="str">
            <v>Progressive Infotech (P) Ltd</v>
          </cell>
        </row>
        <row r="111">
          <cell r="B111" t="str">
            <v>Basawa Technologies</v>
          </cell>
        </row>
        <row r="112">
          <cell r="B112" t="str">
            <v>Vinayak Electronics</v>
          </cell>
        </row>
        <row r="113">
          <cell r="B113" t="str">
            <v>HCL Infinet Ltd</v>
          </cell>
        </row>
        <row r="114">
          <cell r="B114" t="str">
            <v>Supersonic Infotech</v>
          </cell>
        </row>
        <row r="115">
          <cell r="B115" t="str">
            <v>Nirmal Datacomm Pvt Ltd.</v>
          </cell>
        </row>
        <row r="116">
          <cell r="B116" t="str">
            <v>Data Care Corporation</v>
          </cell>
        </row>
        <row r="117">
          <cell r="B117" t="str">
            <v>Mahavir Syspower Pvt Ltd</v>
          </cell>
        </row>
        <row r="118">
          <cell r="B118" t="str">
            <v>Bytes World</v>
          </cell>
        </row>
        <row r="119">
          <cell r="B119" t="str">
            <v>Mettler-Toledo India Pvt Ltd</v>
          </cell>
        </row>
        <row r="120">
          <cell r="B120" t="str">
            <v>Online Netsys (India) Pvt Ltd</v>
          </cell>
        </row>
        <row r="121">
          <cell r="B121" t="str">
            <v>Leading Network Systems Pvt Ltd</v>
          </cell>
        </row>
        <row r="122">
          <cell r="B122" t="str">
            <v>Jogani Enterprises</v>
          </cell>
        </row>
        <row r="123">
          <cell r="B123" t="str">
            <v>GES Technologies Limited (Datamini)</v>
          </cell>
        </row>
        <row r="124">
          <cell r="B124" t="str">
            <v>VITS IT SHOPPE Pvt Ltd</v>
          </cell>
        </row>
        <row r="125">
          <cell r="B125" t="str">
            <v>Fdisk (I) Pvt Ltd</v>
          </cell>
        </row>
        <row r="126">
          <cell r="B126" t="str">
            <v>BombayBiz India Pvt Ltd</v>
          </cell>
        </row>
        <row r="127">
          <cell r="B127" t="str">
            <v>Citix Automation Technologies Pvt Ltd</v>
          </cell>
        </row>
        <row r="128">
          <cell r="B128" t="str">
            <v>Lauren Information Technologies Pvt Ltd</v>
          </cell>
        </row>
        <row r="129">
          <cell r="B129" t="str">
            <v>PCS Technology Ltd</v>
          </cell>
        </row>
        <row r="130">
          <cell r="B130" t="str">
            <v>Delta Full Enterprises (P) Ltd</v>
          </cell>
        </row>
        <row r="131">
          <cell r="B131" t="str">
            <v>Swizer Tech Pvt Ltd</v>
          </cell>
        </row>
        <row r="132">
          <cell r="B132" t="str">
            <v>Interex Designs</v>
          </cell>
        </row>
        <row r="133">
          <cell r="B133" t="str">
            <v>Kalos Designs</v>
          </cell>
        </row>
        <row r="134">
          <cell r="B134" t="str">
            <v>Sunil Electricals</v>
          </cell>
        </row>
        <row r="135">
          <cell r="B135" t="str">
            <v>Plus Business Machines Ltd</v>
          </cell>
        </row>
        <row r="136">
          <cell r="B136" t="str">
            <v>Zaco Computer</v>
          </cell>
        </row>
        <row r="137">
          <cell r="B137" t="str">
            <v>Infoways Technologies</v>
          </cell>
        </row>
        <row r="138">
          <cell r="B138" t="str">
            <v>Aforeserve.com Ltd</v>
          </cell>
        </row>
        <row r="139">
          <cell r="B139" t="str">
            <v>BPE (I) Pvt Ltd</v>
          </cell>
        </row>
        <row r="140">
          <cell r="B140" t="str">
            <v>Veetrag Computers</v>
          </cell>
        </row>
        <row r="141">
          <cell r="B141" t="str">
            <v>Bhandarkar Associates</v>
          </cell>
        </row>
        <row r="142">
          <cell r="B142" t="str">
            <v>S.R. Network</v>
          </cell>
        </row>
        <row r="143">
          <cell r="B143" t="str">
            <v>N.R.Infotech</v>
          </cell>
        </row>
        <row r="144">
          <cell r="B144" t="str">
            <v>Bright Enterprises</v>
          </cell>
        </row>
        <row r="145">
          <cell r="B145" t="str">
            <v>Avishkar Interiors</v>
          </cell>
        </row>
        <row r="146">
          <cell r="B146" t="str">
            <v>Vinay Enterprises</v>
          </cell>
        </row>
        <row r="147">
          <cell r="B147" t="str">
            <v xml:space="preserve">NEcX </v>
          </cell>
        </row>
        <row r="148">
          <cell r="B148" t="str">
            <v>Epitom Networks Ltd</v>
          </cell>
        </row>
        <row r="149">
          <cell r="B149" t="str">
            <v>Bhagwati Enterprises</v>
          </cell>
        </row>
        <row r="150">
          <cell r="B150" t="str">
            <v>Neesan Technologies Private Limited</v>
          </cell>
        </row>
        <row r="151">
          <cell r="B151" t="str">
            <v>Diagraph Impex Pvt Ltd</v>
          </cell>
        </row>
        <row r="152">
          <cell r="B152" t="str">
            <v>Esskay Technologys</v>
          </cell>
        </row>
        <row r="153">
          <cell r="B153" t="str">
            <v>Ujwal Systems</v>
          </cell>
        </row>
        <row r="154">
          <cell r="B154" t="str">
            <v>Total Presentation Devices (P) Ltd</v>
          </cell>
        </row>
        <row r="155">
          <cell r="B155" t="str">
            <v>Palsona Enterprise</v>
          </cell>
        </row>
        <row r="156">
          <cell r="B156" t="str">
            <v>Syscomp Impex Pvt Ltd</v>
          </cell>
        </row>
        <row r="157">
          <cell r="B157" t="str">
            <v>Emerson Network Power (I) Pvt. Ltd</v>
          </cell>
        </row>
        <row r="158">
          <cell r="B158" t="str">
            <v>Paramount Office Systems Private Ltd.</v>
          </cell>
        </row>
        <row r="159">
          <cell r="B159" t="str">
            <v>Reliable Systems</v>
          </cell>
        </row>
        <row r="160">
          <cell r="B160" t="str">
            <v>Megahertz Systems Pvt. Ltd.</v>
          </cell>
        </row>
        <row r="161">
          <cell r="B161" t="str">
            <v>Addvantage Inc.</v>
          </cell>
        </row>
        <row r="162">
          <cell r="B162" t="str">
            <v>Ontrack Solutions Pvt Ltd</v>
          </cell>
        </row>
        <row r="163">
          <cell r="B163" t="str">
            <v>Protocol Solutions Pvt. Ltd.</v>
          </cell>
        </row>
        <row r="164">
          <cell r="B164" t="str">
            <v>Alpha Data Centre</v>
          </cell>
        </row>
        <row r="165">
          <cell r="B165" t="str">
            <v>IVL Group of Companies</v>
          </cell>
        </row>
        <row r="166">
          <cell r="B166" t="str">
            <v>Adigear International</v>
          </cell>
        </row>
        <row r="167">
          <cell r="B167" t="str">
            <v>Pearl Marketing</v>
          </cell>
        </row>
        <row r="168">
          <cell r="B168" t="str">
            <v>Surabhi Computers</v>
          </cell>
        </row>
        <row r="169">
          <cell r="B169" t="str">
            <v>Advance Computers</v>
          </cell>
        </row>
        <row r="170">
          <cell r="B170" t="str">
            <v>PC Technowledge Center Pvt Ltd</v>
          </cell>
        </row>
        <row r="171">
          <cell r="B171" t="str">
            <v>Brainpower Computers</v>
          </cell>
        </row>
        <row r="172">
          <cell r="B172" t="str">
            <v>Access 2 Future</v>
          </cell>
        </row>
        <row r="173">
          <cell r="B173" t="str">
            <v>Hutchison Max Telecom Ltd</v>
          </cell>
        </row>
        <row r="174">
          <cell r="B174" t="str">
            <v>C-MOS Systems</v>
          </cell>
        </row>
        <row r="175">
          <cell r="B175" t="str">
            <v>ABS India Pvt. Ltd.</v>
          </cell>
        </row>
        <row r="176">
          <cell r="B176" t="str">
            <v>Wysetek Systems Technologists P Ltd</v>
          </cell>
        </row>
        <row r="177">
          <cell r="B177" t="str">
            <v>Smile Infotech</v>
          </cell>
        </row>
        <row r="178">
          <cell r="B178" t="str">
            <v xml:space="preserve">Accrue Systems </v>
          </cell>
        </row>
        <row r="179">
          <cell r="B179" t="str">
            <v>Kalyx Infotech Pvt Ltd.</v>
          </cell>
        </row>
        <row r="180">
          <cell r="B180" t="str">
            <v>Accord Communications Ltd</v>
          </cell>
        </row>
        <row r="181">
          <cell r="B181" t="str">
            <v>Accel Transmatic Limited</v>
          </cell>
        </row>
        <row r="182">
          <cell r="B182" t="str">
            <v>e-Network Associates</v>
          </cell>
        </row>
        <row r="183">
          <cell r="B183" t="str">
            <v>Electronics &amp; Controls Power System</v>
          </cell>
        </row>
        <row r="184">
          <cell r="B184" t="str">
            <v>Pyramid Solutions</v>
          </cell>
        </row>
        <row r="185">
          <cell r="B185" t="str">
            <v>Shree Ram Infotech</v>
          </cell>
        </row>
        <row r="186">
          <cell r="B186" t="str">
            <v>S.V.Electronics Ltd</v>
          </cell>
        </row>
        <row r="187">
          <cell r="B187" t="str">
            <v>Groupsoft Technologies</v>
          </cell>
        </row>
        <row r="188">
          <cell r="B188" t="str">
            <v>Directi Internet Solutions Pvt Ltd.</v>
          </cell>
        </row>
        <row r="189">
          <cell r="B189" t="str">
            <v>Wondersoft Pite Ltd</v>
          </cell>
        </row>
        <row r="190">
          <cell r="B190" t="str">
            <v>Dixit Infotech Service Pvt Ltd.</v>
          </cell>
        </row>
        <row r="191">
          <cell r="B191" t="str">
            <v>Vijay Stationers</v>
          </cell>
        </row>
        <row r="192">
          <cell r="B192" t="str">
            <v>The Enigma</v>
          </cell>
        </row>
        <row r="193">
          <cell r="B193" t="str">
            <v>Avesta Infoways Pvt Ltd</v>
          </cell>
        </row>
        <row r="194">
          <cell r="B194" t="str">
            <v>Surbhi Computers</v>
          </cell>
        </row>
        <row r="195">
          <cell r="B195" t="str">
            <v>Telekonnectors Limited</v>
          </cell>
        </row>
        <row r="196">
          <cell r="B196" t="str">
            <v>Selrack Electronic Enclosures Pvt Ltd</v>
          </cell>
        </row>
        <row r="197">
          <cell r="B197" t="str">
            <v>Tata Teleservices (Maharastra ) Limited</v>
          </cell>
        </row>
        <row r="198">
          <cell r="B198" t="str">
            <v>Home Solutions Retails (India) Ltd</v>
          </cell>
        </row>
        <row r="199">
          <cell r="B199" t="str">
            <v>Milli Productions Pvt Ltd</v>
          </cell>
        </row>
        <row r="200">
          <cell r="B200" t="str">
            <v>POS Solutions Pvt Ltd</v>
          </cell>
        </row>
        <row r="201">
          <cell r="B201" t="str">
            <v>M-tech Computer Serivces</v>
          </cell>
        </row>
        <row r="202">
          <cell r="B202" t="str">
            <v>Unicorn Infosolutions Pvt Ltd</v>
          </cell>
        </row>
        <row r="203">
          <cell r="B203" t="str">
            <v>Epoch Electronica Ltd.</v>
          </cell>
        </row>
        <row r="204">
          <cell r="B204" t="str">
            <v>Komal Infotech</v>
          </cell>
        </row>
        <row r="205">
          <cell r="B205" t="str">
            <v>Intex Technologies (India) Ltd</v>
          </cell>
        </row>
        <row r="206">
          <cell r="B206" t="str">
            <v xml:space="preserve">Itizen </v>
          </cell>
        </row>
        <row r="207">
          <cell r="B207" t="str">
            <v>Bizerba India Pvt Ltd</v>
          </cell>
        </row>
        <row r="208">
          <cell r="B208" t="str">
            <v>Mantech Engineers</v>
          </cell>
        </row>
        <row r="209">
          <cell r="B209" t="str">
            <v>Bombay Trading Co.</v>
          </cell>
        </row>
        <row r="210">
          <cell r="B210" t="str">
            <v>Super Book Ho</v>
          </cell>
        </row>
        <row r="211">
          <cell r="B211" t="str">
            <v>Team Computers Pvt Ltd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Leadsheet"/>
      <sheetName val="Analytical"/>
      <sheetName val="FA Movement"/>
      <sheetName val="Phy Verifn"/>
      <sheetName val="Sample-PhyVer"/>
      <sheetName val="Additions"/>
      <sheetName val="Sample-Addn"/>
      <sheetName val="Depn"/>
      <sheetName val="Disposals"/>
      <sheetName val="CWIP"/>
      <sheetName val="Sample-CWIP"/>
      <sheetName val="Excess Calc"/>
      <sheetName val="Threshold Calc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ls Rev"/>
      <sheetName val="Land Rev"/>
      <sheetName val="Leasehold "/>
      <sheetName val="Buildings Rev"/>
      <sheetName val="LAND"/>
      <sheetName val="Technology Rev"/>
      <sheetName val="Motor Veh Rev"/>
      <sheetName val="Plant Mach Rev"/>
      <sheetName val="MOTOR VEHICLE"/>
      <sheetName val="PLANT _ MACHINERY"/>
      <sheetName val="office Euip rev"/>
      <sheetName val="OFFICE EQUIPMENTS"/>
      <sheetName val="Furn_Fix Rev"/>
      <sheetName val="FURNITURE _ FIXTURES"/>
      <sheetName val="TOOLS"/>
      <sheetName val="Misc Assets Rev"/>
      <sheetName val="Depn"/>
      <sheetName val="Depreciation"/>
      <sheetName val="BUILDINGS"/>
      <sheetName val="TECHNOLOGY"/>
      <sheetName val="IMPORTED ASSETS"/>
      <sheetName val="tools break up"/>
      <sheetName val="MISC ASSETS"/>
      <sheetName val="Rates"/>
      <sheetName val="Groupings 2004"/>
      <sheetName val="CRITERIA1"/>
      <sheetName val="BS - Sch"/>
      <sheetName val="J901"/>
      <sheetName val="Others"/>
      <sheetName val="Rates Used"/>
      <sheetName val="Corp"/>
      <sheetName val="BASE REAL"/>
      <sheetName val="Capital Structure"/>
      <sheetName val="EXPENSES"/>
      <sheetName val="UNIDADES"/>
      <sheetName val="June 2000"/>
      <sheetName val="BP-CT1"/>
      <sheetName val="BP-CT2"/>
      <sheetName val="BP-ST1"/>
      <sheetName val="Purchases-CT1"/>
      <sheetName val="FN-QMLLC"/>
      <sheetName val="Sales"/>
      <sheetName val="BST"/>
      <sheetName val="Tools_Rev"/>
      <sheetName val="Land_Rev"/>
      <sheetName val="Leasehold_"/>
      <sheetName val="Buildings_Rev"/>
      <sheetName val="Technology_Rev"/>
      <sheetName val="Motor_Veh_Rev"/>
      <sheetName val="Plant_Mach_Rev"/>
      <sheetName val="MOTOR_VEHICLE"/>
      <sheetName val="PLANT___MACHINERY"/>
      <sheetName val="office_Euip_rev"/>
      <sheetName val="OFFICE_EQUIPMENTS"/>
      <sheetName val="Furn_Fix_Rev"/>
      <sheetName val="FURNITURE___FIXTURES"/>
      <sheetName val="Misc_Assets_Rev"/>
      <sheetName val="IMPORTED_ASSETS"/>
      <sheetName val="tools_break_up"/>
      <sheetName val="MISC_ASSETS"/>
      <sheetName val="Apr 08 to Mar 09"/>
      <sheetName val="INCOME"/>
      <sheetName val="1 - B1 (KBIs)"/>
      <sheetName val="Cover"/>
      <sheetName val="Balance Sheet "/>
      <sheetName val="P&amp;L Act. 2000a"/>
      <sheetName val="DF"/>
      <sheetName val="B_U_10"/>
      <sheetName val="B_U_12"/>
      <sheetName val="B_U_3"/>
      <sheetName val="B_U_4"/>
      <sheetName val="B_U_5"/>
      <sheetName val="B_U_6"/>
      <sheetName val="B_U_7"/>
      <sheetName val="B_U_8"/>
      <sheetName val="TB Jan-Dec96"/>
      <sheetName val="Managerial Remuneration-Dec96"/>
      <sheetName val="BS&amp;PL_DEC96"/>
      <sheetName val="BTB"/>
      <sheetName val="cf"/>
      <sheetName val="orders"/>
      <sheetName val="Scenarios"/>
      <sheetName val="Input Sheet"/>
      <sheetName val="Criteria"/>
      <sheetName val="Tools_Rev1"/>
      <sheetName val="Land_Rev1"/>
      <sheetName val="Leasehold_1"/>
      <sheetName val="Buildings_Rev1"/>
      <sheetName val="Technology_Rev1"/>
      <sheetName val="Motor_Veh_Rev1"/>
      <sheetName val="Plant_Mach_Rev1"/>
      <sheetName val="MOTOR_VEHICLE1"/>
      <sheetName val="PLANT___MACHINERY1"/>
      <sheetName val="office_Euip_rev1"/>
      <sheetName val="OFFICE_EQUIPMENTS1"/>
      <sheetName val="Furn_Fix_Rev1"/>
      <sheetName val="FURNITURE___FIXTURES1"/>
      <sheetName val="Misc_Assets_Rev1"/>
      <sheetName val="IMPORTED_ASSETS1"/>
      <sheetName val="tools_break_up1"/>
      <sheetName val="MISC_ASSETS1"/>
      <sheetName val="Groupings_2004"/>
      <sheetName val="BS_-_Sch"/>
      <sheetName val="Rates_Used"/>
      <sheetName val="BASE_REAL"/>
      <sheetName val="June_2000"/>
      <sheetName val="Apr_08_to_Mar_09"/>
      <sheetName val="Capital_Structure"/>
      <sheetName val="budget"/>
      <sheetName val="spares"/>
      <sheetName val="balance"/>
      <sheetName val="TB"/>
      <sheetName val="Masters"/>
      <sheetName val="Det.Prod.Line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P&amp;L February"/>
      <sheetName val="P&amp;L Feb 2001 cumulative"/>
      <sheetName val="WORKINGS"/>
      <sheetName val="SPILL OVER"/>
      <sheetName val="Pristine Budget - High"/>
      <sheetName val="Sheet3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jan'04"/>
      <sheetName val="EXCH"/>
      <sheetName val="Accounts"/>
      <sheetName val="Coversheet"/>
      <sheetName val="Computation"/>
      <sheetName val="Project Name10-11"/>
      <sheetName val="P&amp;L"/>
      <sheetName val="SCH-A,B,C"/>
      <sheetName val="Tools_Rev2"/>
      <sheetName val="Land_Rev2"/>
      <sheetName val="Leasehold_2"/>
      <sheetName val="Buildings_Rev2"/>
      <sheetName val="Technology_Rev2"/>
      <sheetName val="Motor_Veh_Rev2"/>
      <sheetName val="Plant_Mach_Rev2"/>
      <sheetName val="MOTOR_VEHICLE2"/>
      <sheetName val="PLANT___MACHINERY2"/>
      <sheetName val="office_Euip_rev2"/>
      <sheetName val="OFFICE_EQUIPMENTS2"/>
      <sheetName val="Furn_Fix_Rev2"/>
      <sheetName val="FURNITURE___FIXTURES2"/>
      <sheetName val="Misc_Assets_Rev2"/>
      <sheetName val="IMPORTED_ASSETS2"/>
      <sheetName val="tools_break_up2"/>
      <sheetName val="MISC_ASSETS2"/>
      <sheetName val="Rates_Used1"/>
      <sheetName val="Groupings_20041"/>
      <sheetName val="BS_-_Sch1"/>
      <sheetName val="BASE_REAL1"/>
      <sheetName val="June_20001"/>
      <sheetName val="Apr_08_to_Mar_091"/>
      <sheetName val="Capital_Structure1"/>
      <sheetName val="Input_Sheet"/>
      <sheetName val="P&amp;L_Act__2000a"/>
      <sheetName val="Balance_Sheet_"/>
      <sheetName val="1_-_B1_(KBIs)"/>
      <sheetName val="SPILL_OVER"/>
      <sheetName val="Pristine_Budget_-_High"/>
      <sheetName val="P&amp;L_February"/>
      <sheetName val="P&amp;L_Feb_2001_cumulative"/>
      <sheetName val="Det_Prod_Line"/>
      <sheetName val="Head_Office-Bud"/>
      <sheetName val="Tools_Rev3"/>
      <sheetName val="Land_Rev3"/>
      <sheetName val="Leasehold_3"/>
      <sheetName val="Buildings_Rev3"/>
      <sheetName val="Technology_Rev3"/>
      <sheetName val="Motor_Veh_Rev3"/>
      <sheetName val="Plant_Mach_Rev3"/>
      <sheetName val="MOTOR_VEHICLE3"/>
      <sheetName val="PLANT___MACHINERY3"/>
      <sheetName val="office_Euip_rev3"/>
      <sheetName val="OFFICE_EQUIPMENTS3"/>
      <sheetName val="Furn_Fix_Rev3"/>
      <sheetName val="FURNITURE___FIXTURES3"/>
      <sheetName val="Misc_Assets_Rev3"/>
      <sheetName val="IMPORTED_ASSETS3"/>
      <sheetName val="tools_break_up3"/>
      <sheetName val="MISC_ASSETS3"/>
      <sheetName val="Rates_Used2"/>
      <sheetName val="Groupings_20042"/>
      <sheetName val="BS_-_Sch2"/>
      <sheetName val="BASE_REAL2"/>
      <sheetName val="June_20002"/>
      <sheetName val="Apr_08_to_Mar_092"/>
      <sheetName val="Capital_Structure2"/>
      <sheetName val="Input_Sheet1"/>
      <sheetName val="P&amp;L_Act__2000a1"/>
      <sheetName val="Balance_Sheet_1"/>
      <sheetName val="1_-_B1_(KBIs)1"/>
      <sheetName val="SPILL_OVER1"/>
      <sheetName val="Pristine_Budget_-_High1"/>
      <sheetName val="P&amp;L_February1"/>
      <sheetName val="P&amp;L_Feb_2001_cumulative1"/>
      <sheetName val="Det_Prod_Line1"/>
      <sheetName val="Head_Office-Bu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"/>
      <sheetName val="sch 5"/>
      <sheetName val=" BS-sch 1-4"/>
      <sheetName val="BS-sch 6 &amp; 7"/>
      <sheetName val="BS-sch 8 &amp; 9"/>
      <sheetName val="PL-sch 10, 11 &amp; 12"/>
      <sheetName val="PL-sch 13, 14 &amp; 15"/>
      <sheetName val="GP Margin"/>
      <sheetName val="TRIAL BALANCE"/>
      <sheetName val="Clause 12 (b)"/>
      <sheetName val="pl-excl"/>
      <sheetName val="pl-incl"/>
      <sheetName val="down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 Sensitivity"/>
      <sheetName val="Valuation"/>
      <sheetName val="Capitalization"/>
      <sheetName val="Key Statistics"/>
      <sheetName val="OpStmt"/>
      <sheetName val="OpStmt-M"/>
      <sheetName val="Returns"/>
      <sheetName val="Returns-M"/>
      <sheetName val="Returns-Q"/>
      <sheetName val="Partner Promote"/>
      <sheetName val="A-General"/>
      <sheetName val="A-Global"/>
      <sheetName val="A-Debt"/>
      <sheetName val="Debt"/>
      <sheetName val="A-Tax"/>
      <sheetName val="Tax"/>
      <sheetName val="A-Rentroll"/>
      <sheetName val="A-Tenancies"/>
      <sheetName val="A-LeasingTerm"/>
      <sheetName val="PrintManagerCode"/>
      <sheetName val="A-CurrMktRent"/>
      <sheetName val="A-Growth"/>
      <sheetName val="A-StepUps"/>
      <sheetName val="A-SpecificRent"/>
      <sheetName val="A-MinVac"/>
      <sheetName val="A-Expenses"/>
      <sheetName val="A-Other"/>
      <sheetName val="MktRent"/>
      <sheetName val="ReportManagerCode"/>
      <sheetName val="Occ"/>
      <sheetName val="Rent"/>
      <sheetName val="Renewal"/>
      <sheetName val="LeaseStatus"/>
      <sheetName val="StepUps"/>
      <sheetName val="Fund &amp; Investor Summary"/>
      <sheetName val="Investment Summary"/>
      <sheetName val="Class A"/>
      <sheetName val="Class B"/>
      <sheetName val="Macro"/>
      <sheetName val="A_General"/>
      <sheetName val="Case_Sensitivity"/>
      <sheetName val="Key_Statistics"/>
      <sheetName val="Partner_Promote"/>
      <sheetName val="Fund_&amp;_Investor_Summary"/>
      <sheetName val="Investment_Summary"/>
      <sheetName val="Class_A"/>
      <sheetName val="Class_B"/>
      <sheetName val="CRITERI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3">
          <cell r="AJ13" t="str">
            <v>Project Victoria</v>
          </cell>
        </row>
        <row r="69">
          <cell r="AJ69">
            <v>60</v>
          </cell>
        </row>
      </sheetData>
      <sheetData sheetId="11">
        <row r="13">
          <cell r="AJ13" t="str">
            <v>Project Victoria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Residual Maturity_RTL"/>
      <sheetName val="Assumptions"/>
      <sheetName val="Working"/>
      <sheetName val="Financial"/>
      <sheetName val="DSCR"/>
      <sheetName val="TPCL_Level"/>
      <sheetName val="Presentation"/>
      <sheetName val="Coal_Inc"/>
      <sheetName val="Indices"/>
      <sheetName val="Domestic Coal"/>
      <sheetName val="Debt Schedule"/>
      <sheetName val="Dep&amp;WC Schedule"/>
      <sheetName val="Tax Sheet"/>
      <sheetName val="CERC Esc. rates"/>
      <sheetName val="Sheet1 (2)"/>
      <sheetName val="Hist_IndAS"/>
      <sheetName val="Historical_FS"/>
      <sheetName val="Sheet1"/>
      <sheetName val="Historical Analysis"/>
      <sheetName val="Coal SPV Debt Details"/>
      <sheetName val="Calculation"/>
      <sheetName val="Residual Maturity_ECB"/>
      <sheetName val="Assumption_Basis"/>
      <sheetName val="Residual Maturity_SPV_New"/>
      <sheetName val="Residual Maturity_SPV_Old"/>
      <sheetName val="Sheet2"/>
    </sheetNames>
    <sheetDataSet>
      <sheetData sheetId="0" refreshError="1">
        <row r="34">
          <cell r="C34">
            <v>9435.6541581280981</v>
          </cell>
        </row>
        <row r="38">
          <cell r="D38">
            <v>64.849999999999994</v>
          </cell>
        </row>
      </sheetData>
      <sheetData sheetId="1" refreshError="1"/>
      <sheetData sheetId="2" refreshError="1">
        <row r="12">
          <cell r="D12">
            <v>41355</v>
          </cell>
        </row>
        <row r="40">
          <cell r="C40">
            <v>7.8600000000000003E-2</v>
          </cell>
        </row>
        <row r="44">
          <cell r="C44">
            <v>0.92</v>
          </cell>
        </row>
        <row r="45">
          <cell r="C45">
            <v>0.9</v>
          </cell>
        </row>
        <row r="59">
          <cell r="D59">
            <v>2.18E-2</v>
          </cell>
        </row>
        <row r="60">
          <cell r="D60">
            <v>0</v>
          </cell>
        </row>
        <row r="61">
          <cell r="D61">
            <v>4.24E-2</v>
          </cell>
        </row>
        <row r="67">
          <cell r="E67">
            <v>0</v>
          </cell>
        </row>
        <row r="92">
          <cell r="C92">
            <v>0.8</v>
          </cell>
          <cell r="D92">
            <v>0</v>
          </cell>
        </row>
        <row r="241">
          <cell r="C241">
            <v>0</v>
          </cell>
        </row>
        <row r="333">
          <cell r="D333">
            <v>0.15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0">
          <cell r="I30">
            <v>149.57653631305359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Historical Data"/>
      <sheetName val="2. Forecast Drivers"/>
      <sheetName val="3. Results"/>
      <sheetName val="4. Valuation Summary"/>
      <sheetName val="5. Operating lease Calc"/>
      <sheetName val="6. Regressed Beta"/>
      <sheetName val="7. Fundamental Beta"/>
      <sheetName val="8. Market Risk Premium"/>
      <sheetName val="9. WACC"/>
      <sheetName val="10. Revenue Forecast"/>
      <sheetName val="11. Other Items Forecast"/>
      <sheetName val="12. Yen Sensitivity"/>
      <sheetName val="13. Scenario2"/>
      <sheetName val="14. Value Including Option"/>
      <sheetName val="15. Simulation"/>
      <sheetName val="16. Fair Value Investments"/>
      <sheetName val="17. Summary of Regression"/>
      <sheetName val="18. PE Regression"/>
      <sheetName val="19. EV-EBITDA Regression"/>
      <sheetName val="20. EV-Sales Regression"/>
      <sheetName val="21. Funadamental Multiples"/>
      <sheetName val="22. Implied Multiples"/>
      <sheetName val="23. Multiples Analysis"/>
      <sheetName val="24. RVG"/>
      <sheetName val="25. Sensitivity Analysis"/>
      <sheetName val="26. Optimal Capital Structure"/>
      <sheetName val="27. McKinsey Pentagon"/>
      <sheetName val="28. Phase2 Feedback Response"/>
      <sheetName val="29. Analyst Interaction"/>
    </sheetNames>
    <sheetDataSet>
      <sheetData sheetId="0" refreshError="1"/>
      <sheetData sheetId="1" refreshError="1"/>
      <sheetData sheetId="2">
        <row r="8">
          <cell r="D8" t="str">
            <v xml:space="preserve">Maruti Suzuki </v>
          </cell>
        </row>
        <row r="9">
          <cell r="D9" t="str">
            <v>Base</v>
          </cell>
        </row>
        <row r="10">
          <cell r="D10">
            <v>41364</v>
          </cell>
        </row>
        <row r="11">
          <cell r="D11">
            <v>41759</v>
          </cell>
        </row>
        <row r="12">
          <cell r="D12">
            <v>43190</v>
          </cell>
        </row>
        <row r="13">
          <cell r="D13">
            <v>47208</v>
          </cell>
        </row>
        <row r="14">
          <cell r="D14" t="str">
            <v>INR</v>
          </cell>
        </row>
        <row r="15">
          <cell r="D15">
            <v>1000000</v>
          </cell>
        </row>
        <row r="18">
          <cell r="D18">
            <v>1982.05</v>
          </cell>
        </row>
        <row r="19">
          <cell r="D19">
            <v>1904.95</v>
          </cell>
        </row>
        <row r="25">
          <cell r="E25">
            <v>90812</v>
          </cell>
          <cell r="F25">
            <v>109770</v>
          </cell>
          <cell r="G25">
            <v>120877</v>
          </cell>
          <cell r="H25">
            <v>147217</v>
          </cell>
          <cell r="I25">
            <v>180208</v>
          </cell>
          <cell r="J25">
            <v>205579</v>
          </cell>
          <cell r="K25">
            <v>293028</v>
          </cell>
          <cell r="L25">
            <v>363330</v>
          </cell>
          <cell r="M25">
            <v>351972</v>
          </cell>
          <cell r="N25">
            <v>432159</v>
          </cell>
          <cell r="O25">
            <v>440802.18</v>
          </cell>
          <cell r="P25">
            <v>496143.71666388656</v>
          </cell>
          <cell r="Q25">
            <v>583915.63763428596</v>
          </cell>
          <cell r="R25">
            <v>663869.18110177503</v>
          </cell>
          <cell r="S25">
            <v>763820.71267218166</v>
          </cell>
        </row>
        <row r="28">
          <cell r="E28">
            <v>278</v>
          </cell>
          <cell r="F28">
            <v>492</v>
          </cell>
          <cell r="G28">
            <v>555</v>
          </cell>
          <cell r="H28">
            <v>667</v>
          </cell>
          <cell r="I28">
            <v>833</v>
          </cell>
          <cell r="J28">
            <v>1043</v>
          </cell>
          <cell r="K28">
            <v>2887</v>
          </cell>
          <cell r="L28">
            <v>8228</v>
          </cell>
          <cell r="M28">
            <v>8927</v>
          </cell>
          <cell r="N28">
            <v>10885</v>
          </cell>
          <cell r="O28">
            <v>11102.7</v>
          </cell>
          <cell r="P28">
            <v>14995.937206129427</v>
          </cell>
          <cell r="Q28">
            <v>20590.316068643457</v>
          </cell>
          <cell r="R28">
            <v>30098.155691139327</v>
          </cell>
          <cell r="S28">
            <v>38477.451389126225</v>
          </cell>
        </row>
        <row r="31">
          <cell r="E31">
            <v>-70263</v>
          </cell>
          <cell r="F31">
            <v>-85674</v>
          </cell>
          <cell r="G31">
            <v>-92858</v>
          </cell>
          <cell r="H31">
            <v>-111607</v>
          </cell>
          <cell r="I31">
            <v>-137878</v>
          </cell>
          <cell r="J31">
            <v>-164166</v>
          </cell>
          <cell r="K31">
            <v>-227066</v>
          </cell>
          <cell r="L31">
            <v>-287350</v>
          </cell>
          <cell r="M31">
            <v>-284692</v>
          </cell>
          <cell r="N31">
            <v>-330070</v>
          </cell>
          <cell r="O31">
            <v>-330059.36729999998</v>
          </cell>
          <cell r="P31">
            <v>-367776.36166117032</v>
          </cell>
          <cell r="Q31">
            <v>-428459.67010432953</v>
          </cell>
          <cell r="R31">
            <v>-487127.1669991602</v>
          </cell>
          <cell r="S31">
            <v>-560468.58394867659</v>
          </cell>
        </row>
        <row r="34">
          <cell r="E34">
            <v>-2975</v>
          </cell>
          <cell r="F34">
            <v>-2021</v>
          </cell>
          <cell r="G34">
            <v>-2377</v>
          </cell>
          <cell r="H34">
            <v>-7975</v>
          </cell>
          <cell r="I34">
            <v>-9779</v>
          </cell>
          <cell r="J34">
            <v>-4813</v>
          </cell>
          <cell r="K34">
            <v>-5605</v>
          </cell>
          <cell r="L34">
            <v>-7319</v>
          </cell>
          <cell r="M34">
            <v>-8779</v>
          </cell>
          <cell r="N34">
            <v>-11202</v>
          </cell>
          <cell r="O34">
            <v>-12342.46104</v>
          </cell>
          <cell r="P34">
            <v>-14884.311499916595</v>
          </cell>
          <cell r="Q34">
            <v>-17517.469129028577</v>
          </cell>
          <cell r="R34">
            <v>-19916.075433053251</v>
          </cell>
          <cell r="S34">
            <v>-22914.621380165448</v>
          </cell>
        </row>
        <row r="37">
          <cell r="E37">
            <v>-7823</v>
          </cell>
          <cell r="F37">
            <v>-8671</v>
          </cell>
          <cell r="G37">
            <v>-10512</v>
          </cell>
          <cell r="H37">
            <v>-8990</v>
          </cell>
          <cell r="I37">
            <v>-11428</v>
          </cell>
          <cell r="J37">
            <v>-24068</v>
          </cell>
          <cell r="K37">
            <v>-28120</v>
          </cell>
          <cell r="L37">
            <v>-40077</v>
          </cell>
          <cell r="M37">
            <v>-42177</v>
          </cell>
          <cell r="N37">
            <v>-58497</v>
          </cell>
          <cell r="O37">
            <v>-57304.2834</v>
          </cell>
          <cell r="P37">
            <v>-64498.683166305258</v>
          </cell>
          <cell r="Q37">
            <v>-75909.03289245718</v>
          </cell>
          <cell r="R37">
            <v>-86302.993543230754</v>
          </cell>
          <cell r="S37">
            <v>-99296.692647383621</v>
          </cell>
        </row>
        <row r="42">
          <cell r="E42">
            <v>402</v>
          </cell>
          <cell r="F42">
            <v>853</v>
          </cell>
          <cell r="G42">
            <v>600</v>
          </cell>
          <cell r="H42">
            <v>1224</v>
          </cell>
          <cell r="I42">
            <v>3280</v>
          </cell>
          <cell r="J42">
            <v>2562</v>
          </cell>
          <cell r="K42">
            <v>1321</v>
          </cell>
          <cell r="L42">
            <v>11822</v>
          </cell>
          <cell r="M42">
            <v>7380</v>
          </cell>
          <cell r="N42">
            <v>4289</v>
          </cell>
          <cell r="O42">
            <v>7486.8244308005442</v>
          </cell>
          <cell r="P42">
            <v>9974.3024857781147</v>
          </cell>
          <cell r="Q42">
            <v>9923.6996304360437</v>
          </cell>
          <cell r="R42">
            <v>10623.21472401077</v>
          </cell>
          <cell r="S42">
            <v>13383.143709318405</v>
          </cell>
        </row>
        <row r="45">
          <cell r="E45">
            <v>4398</v>
          </cell>
          <cell r="F45">
            <v>6734</v>
          </cell>
          <cell r="G45">
            <v>8894</v>
          </cell>
          <cell r="H45">
            <v>7123</v>
          </cell>
          <cell r="I45">
            <v>10483</v>
          </cell>
          <cell r="J45">
            <v>9213</v>
          </cell>
          <cell r="K45">
            <v>12276</v>
          </cell>
          <cell r="L45">
            <v>14386</v>
          </cell>
          <cell r="M45">
            <v>18378</v>
          </cell>
          <cell r="N45">
            <v>18872</v>
          </cell>
          <cell r="O45">
            <v>19546.486584820075</v>
          </cell>
          <cell r="P45">
            <v>22304.307203318302</v>
          </cell>
          <cell r="Q45">
            <v>27032.639903068415</v>
          </cell>
          <cell r="R45">
            <v>29751.777395311536</v>
          </cell>
          <cell r="S45">
            <v>34450.128784282657</v>
          </cell>
        </row>
        <row r="48">
          <cell r="E48">
            <v>6894</v>
          </cell>
          <cell r="F48">
            <v>6161</v>
          </cell>
          <cell r="G48">
            <v>6767</v>
          </cell>
          <cell r="H48">
            <v>7767</v>
          </cell>
          <cell r="I48">
            <v>6798</v>
          </cell>
          <cell r="J48">
            <v>9788</v>
          </cell>
          <cell r="K48">
            <v>8494</v>
          </cell>
          <cell r="L48">
            <v>8813</v>
          </cell>
          <cell r="M48">
            <v>10066</v>
          </cell>
          <cell r="N48">
            <v>14892</v>
          </cell>
          <cell r="O48">
            <v>12816.4977050135</v>
          </cell>
          <cell r="P48">
            <v>14436.540098455065</v>
          </cell>
          <cell r="Q48">
            <v>17697.212530975583</v>
          </cell>
          <cell r="R48">
            <v>20404.061686781737</v>
          </cell>
          <cell r="S48">
            <v>22764.87054566207</v>
          </cell>
        </row>
        <row r="51">
          <cell r="E51">
            <v>4050</v>
          </cell>
          <cell r="F51">
            <v>4730</v>
          </cell>
          <cell r="G51">
            <v>6351</v>
          </cell>
          <cell r="H51">
            <v>9256</v>
          </cell>
          <cell r="I51">
            <v>8667</v>
          </cell>
          <cell r="J51">
            <v>25972</v>
          </cell>
          <cell r="K51">
            <v>23461</v>
          </cell>
          <cell r="L51">
            <v>26923</v>
          </cell>
          <cell r="M51">
            <v>34658</v>
          </cell>
          <cell r="N51">
            <v>42868</v>
          </cell>
          <cell r="O51">
            <v>38771.607943501258</v>
          </cell>
          <cell r="P51">
            <v>44618.284479980161</v>
          </cell>
          <cell r="Q51">
            <v>54822.397938860369</v>
          </cell>
          <cell r="R51">
            <v>61568.820899705919</v>
          </cell>
          <cell r="S51">
            <v>69606.413637226447</v>
          </cell>
        </row>
        <row r="54">
          <cell r="E54">
            <v>6495</v>
          </cell>
          <cell r="F54">
            <v>6794</v>
          </cell>
          <cell r="G54">
            <v>7033</v>
          </cell>
          <cell r="H54">
            <v>9674</v>
          </cell>
          <cell r="I54">
            <v>10904</v>
          </cell>
          <cell r="J54">
            <v>988</v>
          </cell>
          <cell r="K54">
            <v>883</v>
          </cell>
          <cell r="L54">
            <v>8989</v>
          </cell>
          <cell r="M54">
            <v>11801</v>
          </cell>
          <cell r="N54">
            <v>16875</v>
          </cell>
          <cell r="O54">
            <v>17212.5</v>
          </cell>
          <cell r="P54">
            <v>19373.483413982089</v>
          </cell>
          <cell r="Q54">
            <v>22800.812629329888</v>
          </cell>
          <cell r="R54">
            <v>25922.848838257341</v>
          </cell>
          <cell r="S54">
            <v>29825.769048759983</v>
          </cell>
        </row>
        <row r="57">
          <cell r="E57">
            <v>7576</v>
          </cell>
          <cell r="F57">
            <v>7676</v>
          </cell>
          <cell r="G57">
            <v>9858</v>
          </cell>
          <cell r="H57">
            <v>11221</v>
          </cell>
          <cell r="I57">
            <v>16302</v>
          </cell>
          <cell r="J57">
            <v>5103</v>
          </cell>
          <cell r="K57">
            <v>6153</v>
          </cell>
          <cell r="L57">
            <v>13721</v>
          </cell>
          <cell r="M57">
            <v>21175</v>
          </cell>
          <cell r="N57">
            <v>18212</v>
          </cell>
          <cell r="O57">
            <v>17749.505042984987</v>
          </cell>
          <cell r="P57">
            <v>19977.908006196722</v>
          </cell>
          <cell r="Q57">
            <v>23512.16492365703</v>
          </cell>
          <cell r="R57">
            <v>26731.604135551846</v>
          </cell>
          <cell r="S57">
            <v>30756.289797639558</v>
          </cell>
        </row>
        <row r="59">
          <cell r="E59">
            <v>6563</v>
          </cell>
          <cell r="F59">
            <v>8136</v>
          </cell>
          <cell r="G59">
            <v>7085</v>
          </cell>
          <cell r="H59">
            <v>5311</v>
          </cell>
          <cell r="I59">
            <v>6496</v>
          </cell>
          <cell r="J59">
            <v>-8524</v>
          </cell>
          <cell r="K59">
            <v>-6640</v>
          </cell>
          <cell r="L59">
            <v>3366</v>
          </cell>
          <cell r="M59">
            <v>-8208</v>
          </cell>
          <cell r="N59">
            <v>-6152</v>
          </cell>
          <cell r="O59">
            <v>541.19573414787737</v>
          </cell>
          <cell r="P59">
            <v>1492.4407153566972</v>
          </cell>
          <cell r="Q59">
            <v>-880.19816870747309</v>
          </cell>
          <cell r="R59">
            <v>-1598.5223908963817</v>
          </cell>
          <cell r="S59">
            <v>61.208653157114895</v>
          </cell>
        </row>
        <row r="60">
          <cell r="F60">
            <v>1573</v>
          </cell>
          <cell r="G60">
            <v>-1051</v>
          </cell>
          <cell r="H60">
            <v>-1774</v>
          </cell>
          <cell r="I60">
            <v>1185</v>
          </cell>
          <cell r="J60">
            <v>-15020</v>
          </cell>
          <cell r="K60">
            <v>1884</v>
          </cell>
          <cell r="L60">
            <v>10006</v>
          </cell>
          <cell r="M60">
            <v>-11574</v>
          </cell>
          <cell r="N60">
            <v>2056</v>
          </cell>
          <cell r="O60">
            <v>6693.1957341478774</v>
          </cell>
          <cell r="P60">
            <v>951.24498120881981</v>
          </cell>
          <cell r="Q60">
            <v>-2372.6388840641703</v>
          </cell>
          <cell r="R60">
            <v>-718.32422218890861</v>
          </cell>
          <cell r="S60">
            <v>1659.7310440534966</v>
          </cell>
        </row>
        <row r="66">
          <cell r="E66">
            <v>18308</v>
          </cell>
          <cell r="F66">
            <v>19085</v>
          </cell>
          <cell r="G66">
            <v>17348</v>
          </cell>
          <cell r="H66">
            <v>26996</v>
          </cell>
          <cell r="I66">
            <v>33393</v>
          </cell>
          <cell r="J66">
            <v>42163</v>
          </cell>
          <cell r="K66">
            <v>51554</v>
          </cell>
          <cell r="L66">
            <v>56261</v>
          </cell>
          <cell r="M66">
            <v>75340</v>
          </cell>
          <cell r="N66">
            <v>97977</v>
          </cell>
          <cell r="O66">
            <v>116633.67830479622</v>
          </cell>
          <cell r="P66">
            <v>135278.29984372438</v>
          </cell>
          <cell r="Q66">
            <v>157536.27893639778</v>
          </cell>
          <cell r="R66">
            <v>181224.90824737551</v>
          </cell>
          <cell r="S66">
            <v>209592.45058390609</v>
          </cell>
        </row>
        <row r="72">
          <cell r="F72">
            <v>4961</v>
          </cell>
          <cell r="G72">
            <v>4397</v>
          </cell>
          <cell r="H72">
            <v>11991</v>
          </cell>
          <cell r="I72">
            <v>17430</v>
          </cell>
          <cell r="J72">
            <v>16132</v>
          </cell>
          <cell r="K72">
            <v>18556</v>
          </cell>
          <cell r="L72">
            <v>26542</v>
          </cell>
          <cell r="M72">
            <v>32244</v>
          </cell>
          <cell r="N72">
            <v>36906</v>
          </cell>
          <cell r="O72">
            <v>39012.906845658174</v>
          </cell>
          <cell r="P72">
            <v>43140.555937822464</v>
          </cell>
          <cell r="Q72">
            <v>51225.772898417861</v>
          </cell>
          <cell r="R72">
            <v>57982.258037274638</v>
          </cell>
          <cell r="S72">
            <v>66860.252688134715</v>
          </cell>
        </row>
        <row r="75">
          <cell r="E75">
            <v>-4949</v>
          </cell>
          <cell r="F75">
            <v>-4621</v>
          </cell>
          <cell r="G75">
            <v>-2891</v>
          </cell>
          <cell r="H75">
            <v>-2755</v>
          </cell>
          <cell r="I75">
            <v>-5727</v>
          </cell>
          <cell r="J75">
            <v>-7165</v>
          </cell>
          <cell r="K75">
            <v>-8379</v>
          </cell>
          <cell r="L75">
            <v>-9980</v>
          </cell>
          <cell r="M75">
            <v>-11248</v>
          </cell>
          <cell r="N75">
            <v>-17993</v>
          </cell>
          <cell r="O75">
            <v>-20356.228540861957</v>
          </cell>
          <cell r="P75">
            <v>-24495.934398894304</v>
          </cell>
          <cell r="Q75">
            <v>-28967.793805744463</v>
          </cell>
          <cell r="R75">
            <v>-34293.628726296927</v>
          </cell>
          <cell r="S75">
            <v>-38492.710351604146</v>
          </cell>
        </row>
        <row r="78">
          <cell r="F78">
            <v>437</v>
          </cell>
          <cell r="G78">
            <v>-3243</v>
          </cell>
          <cell r="H78">
            <v>412</v>
          </cell>
          <cell r="I78">
            <v>-5306</v>
          </cell>
          <cell r="J78">
            <v>-197</v>
          </cell>
          <cell r="K78">
            <v>-786</v>
          </cell>
          <cell r="L78">
            <v>-11855</v>
          </cell>
          <cell r="M78">
            <v>-1917</v>
          </cell>
          <cell r="N78">
            <v>3724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D85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194</v>
          </cell>
          <cell r="L89">
            <v>631</v>
          </cell>
          <cell r="M89">
            <v>2035</v>
          </cell>
          <cell r="N89">
            <v>1029</v>
          </cell>
          <cell r="O89">
            <v>1029</v>
          </cell>
          <cell r="P89">
            <v>3601.5</v>
          </cell>
          <cell r="Q89">
            <v>2058</v>
          </cell>
          <cell r="R89">
            <v>2058</v>
          </cell>
          <cell r="S89">
            <v>2058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-35</v>
          </cell>
          <cell r="L90">
            <v>-333</v>
          </cell>
          <cell r="M90">
            <v>-377</v>
          </cell>
          <cell r="N90">
            <v>-904</v>
          </cell>
          <cell r="O90">
            <v>-817.25</v>
          </cell>
          <cell r="P90">
            <v>-1513.3125</v>
          </cell>
          <cell r="Q90">
            <v>-1649.484375</v>
          </cell>
          <cell r="R90">
            <v>-1751.61328125</v>
          </cell>
          <cell r="S90">
            <v>-1828.2099609375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159</v>
          </cell>
          <cell r="L91">
            <v>457</v>
          </cell>
          <cell r="M91">
            <v>2115</v>
          </cell>
          <cell r="N91">
            <v>2240</v>
          </cell>
          <cell r="O91">
            <v>2451.75</v>
          </cell>
          <cell r="P91">
            <v>4539.9375</v>
          </cell>
          <cell r="Q91">
            <v>4948.453125</v>
          </cell>
          <cell r="R91">
            <v>5254.83984375</v>
          </cell>
          <cell r="S91">
            <v>5484.6298828125</v>
          </cell>
        </row>
        <row r="92">
          <cell r="D92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1051</v>
          </cell>
          <cell r="M101">
            <v>-23</v>
          </cell>
          <cell r="N101">
            <v>93</v>
          </cell>
          <cell r="O101">
            <v>112.10000000000001</v>
          </cell>
          <cell r="P101">
            <v>123.31</v>
          </cell>
          <cell r="Q101">
            <v>135.64099999999999</v>
          </cell>
          <cell r="R101">
            <v>149.20509999999999</v>
          </cell>
          <cell r="S101">
            <v>164.12560999999999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1051</v>
          </cell>
          <cell r="M102">
            <v>1028</v>
          </cell>
          <cell r="N102">
            <v>1121</v>
          </cell>
          <cell r="O102">
            <v>1233.0999999999999</v>
          </cell>
          <cell r="P102">
            <v>1356.4099999999999</v>
          </cell>
          <cell r="Q102">
            <v>1492.0509999999999</v>
          </cell>
          <cell r="R102">
            <v>1641.2560999999998</v>
          </cell>
          <cell r="S102">
            <v>1805.3817099999999</v>
          </cell>
        </row>
        <row r="106">
          <cell r="F106">
            <v>-458</v>
          </cell>
          <cell r="G106">
            <v>2689</v>
          </cell>
          <cell r="H106">
            <v>-609</v>
          </cell>
          <cell r="I106">
            <v>5212</v>
          </cell>
          <cell r="J106">
            <v>928</v>
          </cell>
          <cell r="K106">
            <v>-4752</v>
          </cell>
          <cell r="L106">
            <v>5414</v>
          </cell>
          <cell r="M106">
            <v>414</v>
          </cell>
          <cell r="N106">
            <v>18875</v>
          </cell>
          <cell r="O106">
            <v>-11450</v>
          </cell>
          <cell r="P106">
            <v>1717.5</v>
          </cell>
          <cell r="Q106">
            <v>1889.25</v>
          </cell>
          <cell r="R106">
            <v>2078.1750000000002</v>
          </cell>
          <cell r="S106">
            <v>2285.9924999999998</v>
          </cell>
        </row>
        <row r="107">
          <cell r="E107">
            <v>912</v>
          </cell>
          <cell r="F107">
            <v>454</v>
          </cell>
          <cell r="G107">
            <v>3143</v>
          </cell>
          <cell r="H107">
            <v>2534</v>
          </cell>
          <cell r="I107">
            <v>7746</v>
          </cell>
          <cell r="J107">
            <v>8674</v>
          </cell>
          <cell r="K107">
            <v>3922</v>
          </cell>
          <cell r="L107">
            <v>9336</v>
          </cell>
          <cell r="M107">
            <v>9750</v>
          </cell>
          <cell r="N107">
            <v>28625</v>
          </cell>
          <cell r="O107">
            <v>17175</v>
          </cell>
          <cell r="P107">
            <v>18892.5</v>
          </cell>
          <cell r="Q107">
            <v>20781.75</v>
          </cell>
          <cell r="R107">
            <v>22859.924999999999</v>
          </cell>
          <cell r="S107">
            <v>25145.9175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35</v>
          </cell>
          <cell r="M115">
            <v>0</v>
          </cell>
          <cell r="N115">
            <v>7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35</v>
          </cell>
          <cell r="M116">
            <v>35</v>
          </cell>
          <cell r="N116">
            <v>42</v>
          </cell>
          <cell r="O116">
            <v>42</v>
          </cell>
          <cell r="P116">
            <v>42</v>
          </cell>
          <cell r="Q116">
            <v>42</v>
          </cell>
          <cell r="R116">
            <v>42</v>
          </cell>
          <cell r="S116">
            <v>42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2">
          <cell r="F122">
            <v>-940</v>
          </cell>
          <cell r="G122">
            <v>5314</v>
          </cell>
          <cell r="H122">
            <v>13999</v>
          </cell>
          <cell r="I122">
            <v>17503</v>
          </cell>
          <cell r="J122">
            <v>-3329</v>
          </cell>
          <cell r="K122">
            <v>40600</v>
          </cell>
          <cell r="L122">
            <v>-62375</v>
          </cell>
          <cell r="M122">
            <v>3822</v>
          </cell>
          <cell r="N122">
            <v>2958</v>
          </cell>
          <cell r="O122">
            <v>-6865</v>
          </cell>
          <cell r="P122">
            <v>3295.2</v>
          </cell>
          <cell r="Q122">
            <v>3690.6239999999998</v>
          </cell>
          <cell r="R122">
            <v>4133.4988800000001</v>
          </cell>
          <cell r="S122">
            <v>4629.5187455999994</v>
          </cell>
        </row>
        <row r="123">
          <cell r="E123">
            <v>16773</v>
          </cell>
          <cell r="F123">
            <v>15833</v>
          </cell>
          <cell r="G123">
            <v>21147</v>
          </cell>
          <cell r="H123">
            <v>35146</v>
          </cell>
          <cell r="I123">
            <v>52649</v>
          </cell>
          <cell r="J123">
            <v>49320</v>
          </cell>
          <cell r="K123">
            <v>89920</v>
          </cell>
          <cell r="L123">
            <v>27545</v>
          </cell>
          <cell r="M123">
            <v>31367</v>
          </cell>
          <cell r="N123">
            <v>34325</v>
          </cell>
          <cell r="O123">
            <v>27460</v>
          </cell>
          <cell r="P123">
            <v>30755.200000000001</v>
          </cell>
          <cell r="Q123">
            <v>34445.824000000001</v>
          </cell>
          <cell r="R123">
            <v>38579.32288</v>
          </cell>
          <cell r="S123">
            <v>43208.841625599998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745.03965817416508</v>
          </cell>
          <cell r="K128">
            <v>596.10357338297342</v>
          </cell>
          <cell r="L128">
            <v>584.76349262665212</v>
          </cell>
          <cell r="M128">
            <v>581.64752475781916</v>
          </cell>
          <cell r="N128">
            <v>586.47326255859548</v>
          </cell>
          <cell r="O128">
            <v>568.42407355343744</v>
          </cell>
          <cell r="P128">
            <v>546.51846926226312</v>
          </cell>
          <cell r="Q128">
            <v>523.27005142803978</v>
          </cell>
          <cell r="R128">
            <v>498.59650558057854</v>
          </cell>
          <cell r="S128">
            <v>472.41047137266798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745.03965817416508</v>
          </cell>
          <cell r="K129">
            <v>-148.93608479119166</v>
          </cell>
          <cell r="L129">
            <v>-11.340080756321299</v>
          </cell>
          <cell r="M129">
            <v>-3.1159678688329677</v>
          </cell>
          <cell r="N129">
            <v>4.8257378007763236</v>
          </cell>
          <cell r="O129">
            <v>-18.049189005158041</v>
          </cell>
          <cell r="P129">
            <v>-21.905604291174313</v>
          </cell>
          <cell r="Q129">
            <v>-23.248417834223346</v>
          </cell>
          <cell r="R129">
            <v>-24.673545847461241</v>
          </cell>
          <cell r="S129">
            <v>-26.186034207910552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61.458321402786872</v>
          </cell>
          <cell r="K131">
            <v>54.03678892716654</v>
          </cell>
          <cell r="L131">
            <v>53.944432194808655</v>
          </cell>
          <cell r="M131">
            <v>57.164318733198463</v>
          </cell>
          <cell r="N131">
            <v>53.955540155390786</v>
          </cell>
          <cell r="O131">
            <v>52.295014766916246</v>
          </cell>
          <cell r="P131">
            <v>50.279699172128204</v>
          </cell>
          <cell r="Q131">
            <v>48.140844731379659</v>
          </cell>
          <cell r="R131">
            <v>45.870878513413224</v>
          </cell>
          <cell r="S131">
            <v>43.461763366285453</v>
          </cell>
        </row>
        <row r="135">
          <cell r="D135">
            <v>56613</v>
          </cell>
        </row>
        <row r="136">
          <cell r="D136">
            <v>88314.722117604673</v>
          </cell>
        </row>
        <row r="138">
          <cell r="D138">
            <v>15688</v>
          </cell>
        </row>
        <row r="139">
          <cell r="D139">
            <v>586.47326255859548</v>
          </cell>
        </row>
        <row r="140">
          <cell r="D140">
            <v>42</v>
          </cell>
        </row>
        <row r="141">
          <cell r="D141">
            <v>0</v>
          </cell>
        </row>
        <row r="142">
          <cell r="D142">
            <v>106</v>
          </cell>
        </row>
        <row r="143">
          <cell r="D143">
            <v>0</v>
          </cell>
        </row>
        <row r="144">
          <cell r="D144">
            <v>2217</v>
          </cell>
        </row>
        <row r="145">
          <cell r="D145">
            <v>0</v>
          </cell>
        </row>
        <row r="146">
          <cell r="D146">
            <v>0</v>
          </cell>
        </row>
        <row r="153">
          <cell r="E153">
            <v>3776</v>
          </cell>
          <cell r="F153">
            <v>4011</v>
          </cell>
          <cell r="G153">
            <v>4259</v>
          </cell>
          <cell r="H153">
            <v>5901</v>
          </cell>
          <cell r="I153">
            <v>8760</v>
          </cell>
          <cell r="J153">
            <v>8692</v>
          </cell>
          <cell r="K153">
            <v>8931</v>
          </cell>
          <cell r="L153">
            <v>3815</v>
          </cell>
          <cell r="M153">
            <v>4875</v>
          </cell>
          <cell r="N153">
            <v>5385</v>
          </cell>
          <cell r="O153">
            <v>6414.7896360520208</v>
          </cell>
          <cell r="P153">
            <v>7641.50902039005</v>
          </cell>
          <cell r="Q153">
            <v>9102.817617046634</v>
          </cell>
          <cell r="R153">
            <v>10843.576621857475</v>
          </cell>
          <cell r="S153">
            <v>12917.226171147135</v>
          </cell>
        </row>
        <row r="155">
          <cell r="E155">
            <v>-724</v>
          </cell>
          <cell r="F155">
            <v>-163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6">
          <cell r="F176">
            <v>254.01311999999996</v>
          </cell>
          <cell r="G176">
            <v>337.94219999999996</v>
          </cell>
          <cell r="H176">
            <v>429.87857999999994</v>
          </cell>
          <cell r="I176">
            <v>428.02724999999998</v>
          </cell>
          <cell r="J176">
            <v>282.94069999999999</v>
          </cell>
          <cell r="K176">
            <v>322.26074999999997</v>
          </cell>
          <cell r="L176">
            <v>572.31899999999996</v>
          </cell>
          <cell r="M176">
            <v>134.15219999999999</v>
          </cell>
          <cell r="N176">
            <v>152.536</v>
          </cell>
          <cell r="O176">
            <v>203.964</v>
          </cell>
          <cell r="P176">
            <v>263.21199999999999</v>
          </cell>
          <cell r="Q176">
            <v>186.32300000000001</v>
          </cell>
          <cell r="R176">
            <v>201.50874999999999</v>
          </cell>
          <cell r="S176">
            <v>213.7519375</v>
          </cell>
        </row>
        <row r="179">
          <cell r="E179">
            <v>3204</v>
          </cell>
          <cell r="F179">
            <v>3849</v>
          </cell>
          <cell r="G179">
            <v>4666</v>
          </cell>
          <cell r="H179">
            <v>4655</v>
          </cell>
          <cell r="I179">
            <v>3430</v>
          </cell>
          <cell r="J179">
            <v>3555</v>
          </cell>
          <cell r="K179">
            <v>6204</v>
          </cell>
          <cell r="L179">
            <v>1365</v>
          </cell>
          <cell r="M179">
            <v>1658</v>
          </cell>
          <cell r="N179">
            <v>2217</v>
          </cell>
          <cell r="O179">
            <v>2861</v>
          </cell>
          <cell r="P179">
            <v>2025.25</v>
          </cell>
          <cell r="Q179">
            <v>2190.3125</v>
          </cell>
          <cell r="R179">
            <v>2323.390625</v>
          </cell>
          <cell r="S179">
            <v>2349.98828125</v>
          </cell>
        </row>
        <row r="180">
          <cell r="F180">
            <v>645</v>
          </cell>
          <cell r="G180">
            <v>817</v>
          </cell>
          <cell r="H180">
            <v>-11</v>
          </cell>
          <cell r="I180">
            <v>-1225</v>
          </cell>
          <cell r="J180">
            <v>125</v>
          </cell>
          <cell r="K180">
            <v>2649</v>
          </cell>
          <cell r="L180">
            <v>-4839</v>
          </cell>
          <cell r="M180">
            <v>293</v>
          </cell>
          <cell r="N180">
            <v>559</v>
          </cell>
          <cell r="O180">
            <v>644</v>
          </cell>
          <cell r="P180">
            <v>-835.75</v>
          </cell>
          <cell r="Q180">
            <v>165.0625</v>
          </cell>
          <cell r="R180">
            <v>133.078125</v>
          </cell>
          <cell r="S180">
            <v>26.59765625</v>
          </cell>
        </row>
        <row r="184">
          <cell r="E184">
            <v>0</v>
          </cell>
          <cell r="F184">
            <v>0</v>
          </cell>
          <cell r="G184">
            <v>-25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13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F185">
            <v>0</v>
          </cell>
          <cell r="G185">
            <v>120</v>
          </cell>
          <cell r="H185">
            <v>-95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93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95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106</v>
          </cell>
          <cell r="O186">
            <v>106</v>
          </cell>
          <cell r="P186">
            <v>106</v>
          </cell>
          <cell r="Q186">
            <v>106</v>
          </cell>
          <cell r="R186">
            <v>106</v>
          </cell>
          <cell r="S186">
            <v>106</v>
          </cell>
        </row>
        <row r="199">
          <cell r="E199">
            <v>2000</v>
          </cell>
          <cell r="F199">
            <v>9500</v>
          </cell>
          <cell r="G199">
            <v>19274</v>
          </cell>
          <cell r="H199">
            <v>13150</v>
          </cell>
          <cell r="I199">
            <v>556</v>
          </cell>
          <cell r="J199">
            <v>17306</v>
          </cell>
          <cell r="K199">
            <v>306</v>
          </cell>
          <cell r="L199">
            <v>53454</v>
          </cell>
          <cell r="M199">
            <v>64795</v>
          </cell>
          <cell r="N199">
            <v>56613</v>
          </cell>
          <cell r="O199">
            <v>78674.859341240386</v>
          </cell>
          <cell r="P199">
            <v>86872.864933215547</v>
          </cell>
          <cell r="Q199">
            <v>108457.70801387064</v>
          </cell>
          <cell r="R199">
            <v>137764.60108447957</v>
          </cell>
          <cell r="S199">
            <v>172922.68031251468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2">
          <cell r="E202">
            <v>488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545</v>
          </cell>
          <cell r="K202">
            <v>675</v>
          </cell>
          <cell r="L202">
            <v>403</v>
          </cell>
          <cell r="M202">
            <v>10924</v>
          </cell>
          <cell r="N202">
            <v>8639</v>
          </cell>
          <cell r="O202">
            <v>6911.2</v>
          </cell>
          <cell r="P202">
            <v>5183.3999999999996</v>
          </cell>
          <cell r="Q202">
            <v>3455.5999999999995</v>
          </cell>
          <cell r="R202">
            <v>1727.7999999999995</v>
          </cell>
          <cell r="S202">
            <v>0</v>
          </cell>
        </row>
        <row r="205">
          <cell r="E205">
            <v>3119</v>
          </cell>
          <cell r="F205">
            <v>3344</v>
          </cell>
          <cell r="G205">
            <v>6696</v>
          </cell>
          <cell r="H205">
            <v>6705</v>
          </cell>
          <cell r="I205">
            <v>9395</v>
          </cell>
          <cell r="J205">
            <v>7588</v>
          </cell>
          <cell r="K205">
            <v>9055</v>
          </cell>
          <cell r="L205">
            <v>2747</v>
          </cell>
          <cell r="M205">
            <v>1698</v>
          </cell>
          <cell r="N205">
            <v>7049</v>
          </cell>
          <cell r="O205">
            <v>10560.161616109235</v>
          </cell>
          <cell r="P205">
            <v>14442.811650513257</v>
          </cell>
          <cell r="Q205">
            <v>19053.131211370863</v>
          </cell>
          <cell r="R205">
            <v>24271.534434725581</v>
          </cell>
          <cell r="S205">
            <v>30288.957176657706</v>
          </cell>
        </row>
        <row r="208">
          <cell r="F208">
            <v>-488</v>
          </cell>
          <cell r="G208">
            <v>0</v>
          </cell>
          <cell r="H208">
            <v>0</v>
          </cell>
          <cell r="I208">
            <v>0</v>
          </cell>
          <cell r="J208">
            <v>545</v>
          </cell>
          <cell r="K208">
            <v>130</v>
          </cell>
          <cell r="L208">
            <v>-272</v>
          </cell>
          <cell r="M208">
            <v>10521</v>
          </cell>
          <cell r="N208">
            <v>-2285</v>
          </cell>
          <cell r="O208">
            <v>-1727.8</v>
          </cell>
          <cell r="P208">
            <v>-1727.8</v>
          </cell>
          <cell r="Q208">
            <v>-1727.8</v>
          </cell>
          <cell r="R208">
            <v>-1727.8</v>
          </cell>
          <cell r="S208">
            <v>-1727.8</v>
          </cell>
        </row>
        <row r="211">
          <cell r="F211">
            <v>225</v>
          </cell>
          <cell r="G211">
            <v>3352</v>
          </cell>
          <cell r="H211">
            <v>9</v>
          </cell>
          <cell r="I211">
            <v>2690</v>
          </cell>
          <cell r="J211">
            <v>-1807</v>
          </cell>
          <cell r="K211">
            <v>1467</v>
          </cell>
          <cell r="L211">
            <v>-6308</v>
          </cell>
          <cell r="M211">
            <v>-1049</v>
          </cell>
          <cell r="N211">
            <v>5351</v>
          </cell>
          <cell r="O211">
            <v>3511.1616161092356</v>
          </cell>
          <cell r="P211">
            <v>3882.6500344040214</v>
          </cell>
          <cell r="Q211">
            <v>4610.319560857607</v>
          </cell>
          <cell r="R211">
            <v>5218.4032233547168</v>
          </cell>
          <cell r="S211">
            <v>6017.4227419321242</v>
          </cell>
        </row>
        <row r="214">
          <cell r="E214">
            <v>0</v>
          </cell>
          <cell r="F214">
            <v>635</v>
          </cell>
          <cell r="G214">
            <v>1076</v>
          </cell>
          <cell r="H214">
            <v>1109</v>
          </cell>
          <cell r="I214">
            <v>1413</v>
          </cell>
          <cell r="J214">
            <v>2454</v>
          </cell>
          <cell r="K214">
            <v>2199</v>
          </cell>
          <cell r="L214">
            <v>2083</v>
          </cell>
          <cell r="M214">
            <v>4042</v>
          </cell>
          <cell r="N214">
            <v>3135</v>
          </cell>
          <cell r="O214">
            <v>4770.7775099999999</v>
          </cell>
          <cell r="P214">
            <v>6629.9303966863272</v>
          </cell>
          <cell r="Q214">
            <v>7320.7763279220744</v>
          </cell>
          <cell r="R214">
            <v>9139.7310543288786</v>
          </cell>
          <cell r="S214">
            <v>11609.422933389093</v>
          </cell>
        </row>
        <row r="219">
          <cell r="E219">
            <v>-434</v>
          </cell>
          <cell r="F219">
            <v>-377</v>
          </cell>
          <cell r="G219">
            <v>-223</v>
          </cell>
          <cell r="H219">
            <v>-404</v>
          </cell>
          <cell r="I219">
            <v>-625</v>
          </cell>
          <cell r="J219">
            <v>-545</v>
          </cell>
          <cell r="K219">
            <v>-374</v>
          </cell>
          <cell r="L219">
            <v>-294</v>
          </cell>
          <cell r="M219">
            <v>-616</v>
          </cell>
          <cell r="N219">
            <v>-1978</v>
          </cell>
          <cell r="O219">
            <v>-1525.330634341025</v>
          </cell>
          <cell r="P219">
            <v>-1706.4883702646346</v>
          </cell>
          <cell r="Q219">
            <v>-1938.2073716466696</v>
          </cell>
          <cell r="R219">
            <v>-2231.3710197204364</v>
          </cell>
          <cell r="S219">
            <v>-2589.2614141236309</v>
          </cell>
        </row>
        <row r="223">
          <cell r="F223">
            <v>9.6100000000000005E-2</v>
          </cell>
          <cell r="G223">
            <v>8.7499999999999994E-2</v>
          </cell>
          <cell r="H223">
            <v>8.5400000000000004E-2</v>
          </cell>
          <cell r="I223">
            <v>0.1028</v>
          </cell>
          <cell r="J223">
            <v>0.1205</v>
          </cell>
          <cell r="K223">
            <v>0.1051</v>
          </cell>
          <cell r="L223">
            <v>0.11849999999999999</v>
          </cell>
          <cell r="M223">
            <v>0.1069</v>
          </cell>
          <cell r="N223">
            <v>9.8299999999999998E-2</v>
          </cell>
          <cell r="O223">
            <v>0.12879711674235023</v>
          </cell>
          <cell r="P223">
            <v>0.12879711674235023</v>
          </cell>
          <cell r="Q223">
            <v>0.12879711674235023</v>
          </cell>
          <cell r="R223">
            <v>0.12879711674235023</v>
          </cell>
          <cell r="S223">
            <v>0.12879711674235023</v>
          </cell>
          <cell r="T223">
            <v>0.12879711674235023</v>
          </cell>
          <cell r="U223">
            <v>0.12879711674235023</v>
          </cell>
          <cell r="V223">
            <v>0.12879711674235023</v>
          </cell>
          <cell r="W223">
            <v>0.12879711674235023</v>
          </cell>
          <cell r="X223">
            <v>0.13492319864551749</v>
          </cell>
          <cell r="Y223">
            <v>0.13492319864551749</v>
          </cell>
          <cell r="Z223">
            <v>0.13492319864551749</v>
          </cell>
          <cell r="AA223">
            <v>0.13492319864551749</v>
          </cell>
          <cell r="AB223">
            <v>0.13492319864551749</v>
          </cell>
          <cell r="AC223">
            <v>0.13492319864551749</v>
          </cell>
          <cell r="AD223">
            <v>0.13492319864551749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3"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8">
          <cell r="F238">
            <v>100</v>
          </cell>
          <cell r="G238">
            <v>44692</v>
          </cell>
          <cell r="H238">
            <v>55730</v>
          </cell>
          <cell r="I238">
            <v>70065</v>
          </cell>
          <cell r="J238">
            <v>86271</v>
          </cell>
          <cell r="K238">
            <v>95653</v>
          </cell>
          <cell r="L238">
            <v>121826</v>
          </cell>
          <cell r="M238">
            <v>143088</v>
          </cell>
          <cell r="N238">
            <v>156747</v>
          </cell>
          <cell r="O238">
            <v>190278</v>
          </cell>
          <cell r="P238">
            <v>217882.22176407522</v>
          </cell>
          <cell r="Q238">
            <v>252169.77134178337</v>
          </cell>
          <cell r="R238">
            <v>297280.32119519007</v>
          </cell>
          <cell r="S238">
            <v>353137.89350498311</v>
          </cell>
        </row>
        <row r="241">
          <cell r="E241">
            <v>-433</v>
          </cell>
          <cell r="F241">
            <v>-578</v>
          </cell>
          <cell r="G241">
            <v>-1010</v>
          </cell>
          <cell r="H241">
            <v>-1300</v>
          </cell>
          <cell r="I241">
            <v>-1445</v>
          </cell>
          <cell r="J241">
            <v>-1011</v>
          </cell>
          <cell r="K241">
            <v>-1733</v>
          </cell>
          <cell r="L241">
            <v>-2167</v>
          </cell>
          <cell r="M241">
            <v>-2167</v>
          </cell>
          <cell r="N241">
            <v>-2417</v>
          </cell>
          <cell r="O241">
            <v>-2995.259439002014</v>
          </cell>
          <cell r="P241">
            <v>-3720.4492628202261</v>
          </cell>
          <cell r="Q241">
            <v>-4894.8237484033234</v>
          </cell>
          <cell r="R241">
            <v>-6060.954086319628</v>
          </cell>
          <cell r="S241">
            <v>-7452.87867826198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65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F245">
            <v>557</v>
          </cell>
          <cell r="G245">
            <v>-143</v>
          </cell>
          <cell r="H245">
            <v>-248</v>
          </cell>
          <cell r="I245">
            <v>-248</v>
          </cell>
          <cell r="J245">
            <v>-1881</v>
          </cell>
          <cell r="K245">
            <v>1659</v>
          </cell>
          <cell r="L245">
            <v>-395</v>
          </cell>
          <cell r="M245">
            <v>-986</v>
          </cell>
          <cell r="N245">
            <v>11191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E246">
            <v>35912</v>
          </cell>
          <cell r="F246">
            <v>44692</v>
          </cell>
          <cell r="G246">
            <v>55730</v>
          </cell>
          <cell r="H246">
            <v>70065</v>
          </cell>
          <cell r="I246">
            <v>86271</v>
          </cell>
          <cell r="J246">
            <v>95653</v>
          </cell>
          <cell r="K246">
            <v>121826</v>
          </cell>
          <cell r="L246">
            <v>143088</v>
          </cell>
          <cell r="M246">
            <v>156747</v>
          </cell>
          <cell r="N246">
            <v>190278</v>
          </cell>
          <cell r="O246">
            <v>217882.22176407522</v>
          </cell>
          <cell r="P246">
            <v>252169.77134178337</v>
          </cell>
          <cell r="Q246">
            <v>297280.32119519007</v>
          </cell>
          <cell r="R246">
            <v>353137.89350498311</v>
          </cell>
          <cell r="S246">
            <v>421823.40139008267</v>
          </cell>
        </row>
        <row r="250">
          <cell r="E250">
            <v>288910.06</v>
          </cell>
          <cell r="F250">
            <v>288910.06</v>
          </cell>
          <cell r="G250">
            <v>288910.06</v>
          </cell>
          <cell r="H250">
            <v>288910.06</v>
          </cell>
          <cell r="I250">
            <v>288910.06</v>
          </cell>
          <cell r="J250">
            <v>288910.06</v>
          </cell>
          <cell r="K250">
            <v>288910.06</v>
          </cell>
          <cell r="L250">
            <v>288910.06</v>
          </cell>
          <cell r="M250">
            <v>288910.06</v>
          </cell>
          <cell r="N250">
            <v>302080.06</v>
          </cell>
          <cell r="O250">
            <v>302080.06</v>
          </cell>
          <cell r="P250">
            <v>302080.06</v>
          </cell>
          <cell r="Q250">
            <v>302080.06</v>
          </cell>
          <cell r="R250">
            <v>302080.06</v>
          </cell>
          <cell r="S250">
            <v>302080.06</v>
          </cell>
        </row>
        <row r="252">
          <cell r="N252">
            <v>302080.06</v>
          </cell>
        </row>
        <row r="255">
          <cell r="E255">
            <v>288910.06</v>
          </cell>
          <cell r="F255">
            <v>288910.06</v>
          </cell>
          <cell r="G255">
            <v>288910.06</v>
          </cell>
          <cell r="H255">
            <v>288910.06</v>
          </cell>
          <cell r="I255">
            <v>288910.06</v>
          </cell>
          <cell r="J255">
            <v>288910.06</v>
          </cell>
          <cell r="K255">
            <v>288910.06</v>
          </cell>
          <cell r="L255">
            <v>288910.06</v>
          </cell>
          <cell r="M255">
            <v>288910.06</v>
          </cell>
          <cell r="N255">
            <v>302080.06</v>
          </cell>
          <cell r="O255">
            <v>302080.06</v>
          </cell>
          <cell r="P255">
            <v>302080.06</v>
          </cell>
          <cell r="Q255">
            <v>302080.06</v>
          </cell>
          <cell r="R255">
            <v>302080.06</v>
          </cell>
          <cell r="S255">
            <v>302080.06</v>
          </cell>
        </row>
        <row r="261">
          <cell r="F261">
            <v>-578</v>
          </cell>
          <cell r="G261">
            <v>-1010</v>
          </cell>
          <cell r="H261">
            <v>-1300</v>
          </cell>
          <cell r="I261">
            <v>-1445</v>
          </cell>
          <cell r="J261">
            <v>-1011</v>
          </cell>
          <cell r="K261">
            <v>-1733</v>
          </cell>
          <cell r="L261">
            <v>-2167</v>
          </cell>
          <cell r="M261">
            <v>-2167</v>
          </cell>
          <cell r="N261">
            <v>-2417</v>
          </cell>
          <cell r="O261">
            <v>-2995.259439002014</v>
          </cell>
          <cell r="P261">
            <v>-3720.4492628202261</v>
          </cell>
          <cell r="Q261">
            <v>-4894.8237484033234</v>
          </cell>
          <cell r="R261">
            <v>-6060.954086319628</v>
          </cell>
          <cell r="S261">
            <v>-7452.87867826198</v>
          </cell>
        </row>
        <row r="262"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9">
          <cell r="E269">
            <v>-2277</v>
          </cell>
          <cell r="F269">
            <v>-4580</v>
          </cell>
          <cell r="G269">
            <v>-5740</v>
          </cell>
          <cell r="H269">
            <v>-7280</v>
          </cell>
          <cell r="I269">
            <v>-7878</v>
          </cell>
          <cell r="J269">
            <v>-4737</v>
          </cell>
          <cell r="K269">
            <v>-11219</v>
          </cell>
          <cell r="L269">
            <v>-8279</v>
          </cell>
          <cell r="M269">
            <v>-5115</v>
          </cell>
          <cell r="N269">
            <v>-6215</v>
          </cell>
          <cell r="O269">
            <v>-10086.045027771819</v>
          </cell>
          <cell r="P269">
            <v>-12528.002850012901</v>
          </cell>
          <cell r="Q269">
            <v>-16482.516367881668</v>
          </cell>
          <cell r="R269">
            <v>-20409.269070276441</v>
          </cell>
          <cell r="S269">
            <v>-25096.346899591663</v>
          </cell>
        </row>
        <row r="273">
          <cell r="F273">
            <v>-5290</v>
          </cell>
          <cell r="G273">
            <v>-6053</v>
          </cell>
          <cell r="H273">
            <v>-6378</v>
          </cell>
          <cell r="I273">
            <v>-7846</v>
          </cell>
          <cell r="J273">
            <v>-4883</v>
          </cell>
          <cell r="K273">
            <v>-11356</v>
          </cell>
          <cell r="L273">
            <v>-8010</v>
          </cell>
          <cell r="M273">
            <v>-3776</v>
          </cell>
          <cell r="N273">
            <v>-5108</v>
          </cell>
          <cell r="O273">
            <v>-10921.24502777182</v>
          </cell>
          <cell r="P273">
            <v>-13363.202850012902</v>
          </cell>
          <cell r="Q273">
            <v>-17317.716367881669</v>
          </cell>
          <cell r="R273">
            <v>-21244.469070276442</v>
          </cell>
          <cell r="S273">
            <v>-25931.546899591664</v>
          </cell>
        </row>
        <row r="274"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6">
          <cell r="F286">
            <v>-710</v>
          </cell>
          <cell r="G286">
            <v>-313</v>
          </cell>
          <cell r="H286">
            <v>902</v>
          </cell>
          <cell r="I286">
            <v>32</v>
          </cell>
          <cell r="J286">
            <v>-146</v>
          </cell>
          <cell r="K286">
            <v>-137</v>
          </cell>
          <cell r="L286">
            <v>269</v>
          </cell>
          <cell r="M286">
            <v>1339</v>
          </cell>
          <cell r="N286">
            <v>1107</v>
          </cell>
          <cell r="O286">
            <v>-835.2</v>
          </cell>
          <cell r="P286">
            <v>-835.2</v>
          </cell>
          <cell r="Q286">
            <v>-835.2</v>
          </cell>
          <cell r="R286">
            <v>-835.2</v>
          </cell>
          <cell r="S286">
            <v>-835.2</v>
          </cell>
        </row>
        <row r="287">
          <cell r="E287">
            <v>1833</v>
          </cell>
          <cell r="F287">
            <v>1123</v>
          </cell>
          <cell r="G287">
            <v>810</v>
          </cell>
          <cell r="H287">
            <v>1712</v>
          </cell>
          <cell r="I287">
            <v>1744</v>
          </cell>
          <cell r="J287">
            <v>1598</v>
          </cell>
          <cell r="K287">
            <v>1461</v>
          </cell>
          <cell r="L287">
            <v>1730</v>
          </cell>
          <cell r="M287">
            <v>3069</v>
          </cell>
          <cell r="N287">
            <v>4176</v>
          </cell>
          <cell r="O287">
            <v>3340.8</v>
          </cell>
          <cell r="P287">
            <v>2505.6000000000004</v>
          </cell>
          <cell r="Q287">
            <v>1670.4000000000003</v>
          </cell>
          <cell r="R287">
            <v>835.20000000000027</v>
          </cell>
          <cell r="S287">
            <v>0</v>
          </cell>
        </row>
        <row r="294">
          <cell r="T294">
            <v>878820.85464304371</v>
          </cell>
          <cell r="U294">
            <v>1002347.1033693627</v>
          </cell>
          <cell r="V294">
            <v>1133212.6166454467</v>
          </cell>
          <cell r="W294">
            <v>1269831.6844613357</v>
          </cell>
          <cell r="X294">
            <v>1410223.1042344945</v>
          </cell>
          <cell r="Y294">
            <v>1552033.8388419054</v>
          </cell>
          <cell r="Z294">
            <v>1692584.5917303548</v>
          </cell>
          <cell r="AA294">
            <v>1833169.1067219167</v>
          </cell>
          <cell r="AB294">
            <v>1971681.6735566338</v>
          </cell>
          <cell r="AC294">
            <v>2105872.5096291909</v>
          </cell>
          <cell r="AD294">
            <v>2211166.1351106507</v>
          </cell>
        </row>
        <row r="297">
          <cell r="T297">
            <v>93635.684134954572</v>
          </cell>
          <cell r="U297">
            <v>106067.8829527778</v>
          </cell>
          <cell r="V297">
            <v>119091.6646352142</v>
          </cell>
          <cell r="W297">
            <v>132525.52052928085</v>
          </cell>
          <cell r="X297">
            <v>146151.56827122741</v>
          </cell>
          <cell r="Y297">
            <v>159719.42491287197</v>
          </cell>
          <cell r="Z297">
            <v>172952.21632710239</v>
          </cell>
          <cell r="AA297">
            <v>185983.94881636152</v>
          </cell>
          <cell r="AB297">
            <v>198602.44589883051</v>
          </cell>
          <cell r="AC297">
            <v>210587.25096291909</v>
          </cell>
          <cell r="AD297">
            <v>221116.61351106508</v>
          </cell>
        </row>
        <row r="299">
          <cell r="T299">
            <v>0.25426525310583414</v>
          </cell>
          <cell r="U299">
            <v>0.26368022498296367</v>
          </cell>
          <cell r="V299">
            <v>0.2730951968600932</v>
          </cell>
          <cell r="W299">
            <v>0.28251016873722273</v>
          </cell>
          <cell r="X299">
            <v>0.29192514061435226</v>
          </cell>
          <cell r="Y299">
            <v>0.30134011249148179</v>
          </cell>
          <cell r="Z299">
            <v>0.31075508436861132</v>
          </cell>
          <cell r="AA299">
            <v>0.32017005624574085</v>
          </cell>
          <cell r="AB299">
            <v>0.32958502812287038</v>
          </cell>
          <cell r="AC299">
            <v>0.33899999999999991</v>
          </cell>
          <cell r="AD299">
            <v>0.33900000000000002</v>
          </cell>
        </row>
        <row r="300">
          <cell r="T300">
            <v>69827.383208642408</v>
          </cell>
          <cell r="U300">
            <v>78099.879712322683</v>
          </cell>
          <cell r="V300">
            <v>86568.303037264181</v>
          </cell>
          <cell r="W300">
            <v>95085.713362565453</v>
          </cell>
          <cell r="X300">
            <v>103486.25115264124</v>
          </cell>
          <cell r="Y300">
            <v>111589.55544255234</v>
          </cell>
          <cell r="Z300">
            <v>119206.43575063537</v>
          </cell>
          <cell r="AA300">
            <v>126437.45746302207</v>
          </cell>
          <cell r="AB300">
            <v>133146.0531819936</v>
          </cell>
          <cell r="AC300">
            <v>139198.17288648951</v>
          </cell>
          <cell r="AD300">
            <v>146158.08153081403</v>
          </cell>
        </row>
        <row r="307">
          <cell r="O307">
            <v>116510.19811249754</v>
          </cell>
          <cell r="P307">
            <v>135960.84902834333</v>
          </cell>
          <cell r="Q307">
            <v>155687.29981911834</v>
          </cell>
          <cell r="R307">
            <v>178483.7262620597</v>
          </cell>
          <cell r="S307">
            <v>208320.68799843587</v>
          </cell>
          <cell r="T307">
            <v>241148.49662100113</v>
          </cell>
          <cell r="U307">
            <v>279565.79917501746</v>
          </cell>
          <cell r="V307">
            <v>321177.69232488959</v>
          </cell>
          <cell r="W307">
            <v>365626.92179961695</v>
          </cell>
          <cell r="X307">
            <v>412411.96049621369</v>
          </cell>
          <cell r="Y307">
            <v>460885.11332325416</v>
          </cell>
          <cell r="Z307">
            <v>510257.86965647253</v>
          </cell>
          <cell r="AA307">
            <v>560909.03464652272</v>
          </cell>
          <cell r="AB307">
            <v>612185.26555316639</v>
          </cell>
          <cell r="AC307">
            <v>663349.84053319506</v>
          </cell>
          <cell r="AD307">
            <v>696517.33255985496</v>
          </cell>
        </row>
        <row r="310">
          <cell r="T310">
            <v>253205.9214520512</v>
          </cell>
          <cell r="U310">
            <v>293544.08913376834</v>
          </cell>
          <cell r="V310">
            <v>337236.57694113406</v>
          </cell>
          <cell r="W310">
            <v>383908.2678895978</v>
          </cell>
          <cell r="X310">
            <v>433032.55852102436</v>
          </cell>
          <cell r="Y310">
            <v>483929.36898941686</v>
          </cell>
          <cell r="Z310">
            <v>535770.76313929621</v>
          </cell>
          <cell r="AA310">
            <v>588954.4863788489</v>
          </cell>
          <cell r="AB310">
            <v>642794.52883082465</v>
          </cell>
          <cell r="AC310">
            <v>696517.33255985484</v>
          </cell>
          <cell r="AD310">
            <v>731343.19918784767</v>
          </cell>
        </row>
        <row r="311">
          <cell r="T311">
            <v>30191.733453615336</v>
          </cell>
          <cell r="U311">
            <v>40338.167681717139</v>
          </cell>
          <cell r="V311">
            <v>43692.487807365716</v>
          </cell>
          <cell r="W311">
            <v>46671.690948463744</v>
          </cell>
          <cell r="X311">
            <v>49124.290631426557</v>
          </cell>
          <cell r="Y311">
            <v>50896.810468392505</v>
          </cell>
          <cell r="Z311">
            <v>51841.394149879343</v>
          </cell>
          <cell r="AA311">
            <v>53183.723239552695</v>
          </cell>
          <cell r="AB311">
            <v>53840.042451975751</v>
          </cell>
          <cell r="AC311">
            <v>53722.803729030187</v>
          </cell>
          <cell r="AD311">
            <v>34825.866627992829</v>
          </cell>
        </row>
        <row r="321">
          <cell r="D321">
            <v>0.17</v>
          </cell>
        </row>
        <row r="329">
          <cell r="D329">
            <v>12</v>
          </cell>
        </row>
        <row r="330">
          <cell r="D330">
            <v>1</v>
          </cell>
        </row>
        <row r="336">
          <cell r="E336">
            <v>38077</v>
          </cell>
          <cell r="F336">
            <v>38442</v>
          </cell>
          <cell r="G336">
            <v>38807</v>
          </cell>
          <cell r="H336">
            <v>39172</v>
          </cell>
          <cell r="I336">
            <v>39538</v>
          </cell>
          <cell r="J336">
            <v>39903</v>
          </cell>
          <cell r="K336">
            <v>40268</v>
          </cell>
          <cell r="L336">
            <v>40633</v>
          </cell>
          <cell r="M336">
            <v>40999</v>
          </cell>
          <cell r="N336">
            <v>41364</v>
          </cell>
          <cell r="O336">
            <v>41729</v>
          </cell>
          <cell r="P336">
            <v>42094</v>
          </cell>
          <cell r="Q336">
            <v>42460</v>
          </cell>
          <cell r="R336">
            <v>42825</v>
          </cell>
          <cell r="S336">
            <v>43190</v>
          </cell>
          <cell r="T336">
            <v>43555</v>
          </cell>
          <cell r="U336">
            <v>43921</v>
          </cell>
          <cell r="V336">
            <v>44286</v>
          </cell>
          <cell r="W336">
            <v>44651</v>
          </cell>
          <cell r="X336">
            <v>45016</v>
          </cell>
          <cell r="Y336">
            <v>45382</v>
          </cell>
          <cell r="Z336">
            <v>45747</v>
          </cell>
          <cell r="AA336">
            <v>46112</v>
          </cell>
          <cell r="AB336">
            <v>46477</v>
          </cell>
          <cell r="AC336">
            <v>46843</v>
          </cell>
          <cell r="AD336">
            <v>47208</v>
          </cell>
        </row>
        <row r="337">
          <cell r="E337">
            <v>-9</v>
          </cell>
          <cell r="F337">
            <v>-8</v>
          </cell>
          <cell r="G337">
            <v>-7</v>
          </cell>
          <cell r="H337">
            <v>-6</v>
          </cell>
          <cell r="I337">
            <v>-5</v>
          </cell>
          <cell r="J337">
            <v>-4</v>
          </cell>
          <cell r="K337">
            <v>-3</v>
          </cell>
          <cell r="L337">
            <v>-2</v>
          </cell>
          <cell r="M337">
            <v>-1</v>
          </cell>
          <cell r="N337">
            <v>0</v>
          </cell>
          <cell r="O337">
            <v>1</v>
          </cell>
          <cell r="P337">
            <v>2</v>
          </cell>
          <cell r="Q337">
            <v>3</v>
          </cell>
          <cell r="R337">
            <v>4</v>
          </cell>
          <cell r="S337">
            <v>5</v>
          </cell>
          <cell r="T337">
            <v>6</v>
          </cell>
          <cell r="U337">
            <v>7</v>
          </cell>
          <cell r="V337">
            <v>8</v>
          </cell>
          <cell r="W337">
            <v>9</v>
          </cell>
          <cell r="X337">
            <v>10</v>
          </cell>
          <cell r="Y337">
            <v>11</v>
          </cell>
          <cell r="Z337">
            <v>12</v>
          </cell>
          <cell r="AA337">
            <v>13</v>
          </cell>
          <cell r="AB337">
            <v>14</v>
          </cell>
          <cell r="AC337">
            <v>15</v>
          </cell>
          <cell r="AD337">
            <v>16</v>
          </cell>
        </row>
        <row r="338"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40">
          <cell r="E340">
            <v>1</v>
          </cell>
        </row>
        <row r="341">
          <cell r="D341">
            <v>12.986301369863</v>
          </cell>
        </row>
      </sheetData>
      <sheetData sheetId="3">
        <row r="133">
          <cell r="F133">
            <v>9500</v>
          </cell>
          <cell r="G133">
            <v>19274</v>
          </cell>
          <cell r="H133">
            <v>13150</v>
          </cell>
          <cell r="I133">
            <v>556</v>
          </cell>
          <cell r="J133">
            <v>17306</v>
          </cell>
          <cell r="K133">
            <v>306</v>
          </cell>
          <cell r="L133">
            <v>53454</v>
          </cell>
          <cell r="M133">
            <v>64795</v>
          </cell>
          <cell r="N133">
            <v>56613</v>
          </cell>
          <cell r="O133">
            <v>78674.859341240386</v>
          </cell>
          <cell r="P133">
            <v>86872.864933215547</v>
          </cell>
          <cell r="Q133">
            <v>108457.70801387064</v>
          </cell>
          <cell r="R133">
            <v>137764.60108447957</v>
          </cell>
          <cell r="S133">
            <v>172922.68031251468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42">
          <cell r="F142">
            <v>9529.0131199999996</v>
          </cell>
          <cell r="G142">
            <v>13131.9422</v>
          </cell>
          <cell r="H142">
            <v>16986.878580000001</v>
          </cell>
          <cell r="I142">
            <v>16657.027249999999</v>
          </cell>
          <cell r="J142">
            <v>6754.3990214027872</v>
          </cell>
          <cell r="K142">
            <v>27121.297538927167</v>
          </cell>
          <cell r="L142">
            <v>27458.26343219481</v>
          </cell>
          <cell r="M142">
            <v>14194.3165187332</v>
          </cell>
          <cell r="N142">
            <v>25488.491540155392</v>
          </cell>
          <cell r="O142">
            <v>32098.798733904994</v>
          </cell>
          <cell r="P142">
            <v>39797.854842901637</v>
          </cell>
          <cell r="Q142">
            <v>53886.45161610104</v>
          </cell>
          <cell r="R142">
            <v>66574.851719686572</v>
          </cell>
          <cell r="S142">
            <v>81382.769434344373</v>
          </cell>
          <cell r="T142">
            <v>93635.684134954572</v>
          </cell>
          <cell r="U142">
            <v>106067.8829527778</v>
          </cell>
          <cell r="V142">
            <v>119091.6646352142</v>
          </cell>
          <cell r="W142">
            <v>132525.52052928085</v>
          </cell>
          <cell r="X142">
            <v>146151.56827122741</v>
          </cell>
          <cell r="Y142">
            <v>159719.42491287197</v>
          </cell>
          <cell r="Z142">
            <v>172952.21632710239</v>
          </cell>
          <cell r="AA142">
            <v>185983.94881636152</v>
          </cell>
          <cell r="AB142">
            <v>198602.44589883051</v>
          </cell>
          <cell r="AC142">
            <v>210587.25096291909</v>
          </cell>
          <cell r="AD142">
            <v>221116.61351106508</v>
          </cell>
        </row>
        <row r="145">
          <cell r="F145">
            <v>5700.1909094028842</v>
          </cell>
          <cell r="G145">
            <v>8717.6599482408128</v>
          </cell>
          <cell r="H145">
            <v>12685.10704781505</v>
          </cell>
          <cell r="I145">
            <v>11729.099329761026</v>
          </cell>
          <cell r="J145">
            <v>4823.4263566564459</v>
          </cell>
          <cell r="K145">
            <v>18986.126130183238</v>
          </cell>
          <cell r="L145">
            <v>20893.471543586267</v>
          </cell>
          <cell r="M145">
            <v>12188.724372064709</v>
          </cell>
          <cell r="N145">
            <v>20735.450466416711</v>
          </cell>
          <cell r="O145">
            <v>23572.350811206998</v>
          </cell>
          <cell r="P145">
            <v>29549.53519019148</v>
          </cell>
          <cell r="Q145">
            <v>40159.699277890191</v>
          </cell>
          <cell r="R145">
            <v>49731.132720365567</v>
          </cell>
          <cell r="S145">
            <v>60889.556520695391</v>
          </cell>
          <cell r="T145">
            <v>69827.383208642408</v>
          </cell>
          <cell r="U145">
            <v>78099.879712322683</v>
          </cell>
          <cell r="V145">
            <v>86568.303037264181</v>
          </cell>
          <cell r="W145">
            <v>95085.713362565453</v>
          </cell>
          <cell r="X145">
            <v>103486.25115264124</v>
          </cell>
          <cell r="Y145">
            <v>111589.55544255234</v>
          </cell>
          <cell r="Z145">
            <v>119206.43575063537</v>
          </cell>
          <cell r="AA145">
            <v>126437.45746302207</v>
          </cell>
          <cell r="AB145">
            <v>133146.0531819936</v>
          </cell>
          <cell r="AC145">
            <v>139198.17288648951</v>
          </cell>
          <cell r="AD145">
            <v>146158.08153081403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35</v>
          </cell>
          <cell r="L181">
            <v>368</v>
          </cell>
          <cell r="M181">
            <v>745</v>
          </cell>
          <cell r="N181">
            <v>1649</v>
          </cell>
          <cell r="O181">
            <v>2466.25</v>
          </cell>
          <cell r="P181">
            <v>3979.5625</v>
          </cell>
          <cell r="Q181">
            <v>5629.046875</v>
          </cell>
          <cell r="R181">
            <v>7380.66015625</v>
          </cell>
          <cell r="S181">
            <v>9208.8701171875</v>
          </cell>
        </row>
        <row r="182">
          <cell r="E182">
            <v>24871</v>
          </cell>
          <cell r="F182">
            <v>27221</v>
          </cell>
          <cell r="G182">
            <v>24433</v>
          </cell>
          <cell r="H182">
            <v>32307</v>
          </cell>
          <cell r="I182">
            <v>39889</v>
          </cell>
          <cell r="J182">
            <v>34384.039658174166</v>
          </cell>
          <cell r="K182">
            <v>45704.10357338297</v>
          </cell>
          <cell r="L182">
            <v>59985.763492626655</v>
          </cell>
          <cell r="M182">
            <v>69545.64752475782</v>
          </cell>
          <cell r="N182">
            <v>95179.473262558589</v>
          </cell>
          <cell r="O182">
            <v>121428.19811249754</v>
          </cell>
          <cell r="P182">
            <v>144480.34902834333</v>
          </cell>
          <cell r="Q182">
            <v>166264.79981911834</v>
          </cell>
          <cell r="R182">
            <v>191119.2262620597</v>
          </cell>
          <cell r="S182">
            <v>223014.18799843587</v>
          </cell>
          <cell r="T182">
            <v>253205.9214520512</v>
          </cell>
          <cell r="U182">
            <v>293544.08913376834</v>
          </cell>
          <cell r="V182">
            <v>337236.57694113406</v>
          </cell>
          <cell r="W182">
            <v>383908.2678895978</v>
          </cell>
          <cell r="X182">
            <v>433032.55852102436</v>
          </cell>
          <cell r="Y182">
            <v>483929.36898941686</v>
          </cell>
          <cell r="Z182">
            <v>535770.76313929621</v>
          </cell>
          <cell r="AA182">
            <v>588954.4863788489</v>
          </cell>
          <cell r="AB182">
            <v>642794.52883082465</v>
          </cell>
          <cell r="AC182">
            <v>696517.33255985484</v>
          </cell>
          <cell r="AD182">
            <v>731343.19918784767</v>
          </cell>
        </row>
        <row r="218">
          <cell r="F218">
            <v>3350.1909094028852</v>
          </cell>
          <cell r="G218">
            <v>11505.659948240813</v>
          </cell>
          <cell r="H218">
            <v>4811.1070478150505</v>
          </cell>
          <cell r="I218">
            <v>4147.0993297610257</v>
          </cell>
          <cell r="J218">
            <v>10328.386698482282</v>
          </cell>
          <cell r="K218">
            <v>7666.0622149744304</v>
          </cell>
          <cell r="L218">
            <v>6611.8116243425902</v>
          </cell>
          <cell r="M218">
            <v>2628.8403399335439</v>
          </cell>
          <cell r="N218">
            <v>-4898.3752713840659</v>
          </cell>
          <cell r="O218">
            <v>-2676.3740387319413</v>
          </cell>
          <cell r="P218">
            <v>6497.3842743456698</v>
          </cell>
          <cell r="Q218">
            <v>18375.248487115176</v>
          </cell>
          <cell r="R218">
            <v>24876.706277424222</v>
          </cell>
          <cell r="S218">
            <v>28994.594784319255</v>
          </cell>
          <cell r="T218">
            <v>39635.649755027072</v>
          </cell>
          <cell r="U218">
            <v>37761.712030605544</v>
          </cell>
          <cell r="V218">
            <v>42875.815229898464</v>
          </cell>
          <cell r="W218">
            <v>48414.02241410171</v>
          </cell>
          <cell r="X218">
            <v>54361.960521214685</v>
          </cell>
          <cell r="Y218">
            <v>60692.744974159839</v>
          </cell>
          <cell r="Z218">
            <v>67365.041600756027</v>
          </cell>
          <cell r="AA218">
            <v>73253.734223469379</v>
          </cell>
          <cell r="AB218">
            <v>79306.01073001785</v>
          </cell>
          <cell r="AC218">
            <v>85475.369157459325</v>
          </cell>
          <cell r="AD218">
            <v>111332.2149028212</v>
          </cell>
        </row>
        <row r="268">
          <cell r="F268">
            <v>3310.087809402884</v>
          </cell>
          <cell r="G268">
            <v>6335.8224482408132</v>
          </cell>
          <cell r="H268">
            <v>10598.528847815051</v>
          </cell>
          <cell r="I268">
            <v>8407.9397297610267</v>
          </cell>
          <cell r="J268">
            <v>16.801856656446034</v>
          </cell>
          <cell r="K268">
            <v>15372.363562109134</v>
          </cell>
          <cell r="L268">
            <v>15477.535270140386</v>
          </cell>
          <cell r="M268">
            <v>5776.2462547029199</v>
          </cell>
          <cell r="N268">
            <v>13899.113314733018</v>
          </cell>
          <cell r="O268">
            <v>11313.509081933837</v>
          </cell>
          <cell r="P268">
            <v>13909.933382082903</v>
          </cell>
          <cell r="Q268">
            <v>21551.046897111148</v>
          </cell>
          <cell r="R268">
            <v>28316.705887919092</v>
          </cell>
          <cell r="S268">
            <v>36273.95122411324</v>
          </cell>
          <cell r="T268">
            <v>41103.798801807425</v>
          </cell>
          <cell r="U268">
            <v>45487.687087208484</v>
          </cell>
          <cell r="V268">
            <v>48760.670720075359</v>
          </cell>
          <cell r="W268">
            <v>51650.614592487633</v>
          </cell>
          <cell r="X268">
            <v>51688.119662516488</v>
          </cell>
          <cell r="Y268">
            <v>53163.417529243496</v>
          </cell>
          <cell r="Z268">
            <v>53913.137368076343</v>
          </cell>
          <cell r="AA268">
            <v>54149.552359518304</v>
          </cell>
          <cell r="AB268">
            <v>53682.430023131441</v>
          </cell>
          <cell r="AC268">
            <v>52470.278984796329</v>
          </cell>
          <cell r="AD268">
            <v>52181.735109794769</v>
          </cell>
        </row>
      </sheetData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Rate"/>
      <sheetName val="160MVA+2FB"/>
      <sheetName val="160MVA+1FB"/>
      <sheetName val="160MVA Addl"/>
      <sheetName val="220KV FB"/>
      <sheetName val="315MVA Addl"/>
      <sheetName val="40MVA+2FB"/>
      <sheetName val="20MVA+2FB"/>
      <sheetName val="40MVA+1FB"/>
      <sheetName val="132FB"/>
      <sheetName val="40to63"/>
      <sheetName val="20to40"/>
      <sheetName val="Addl.40"/>
      <sheetName val="Addl.20"/>
      <sheetName val="SS-Cost"/>
      <sheetName val="Addl.63 (2)"/>
      <sheetName val="Addl_40"/>
      <sheetName val="Unit_Rate"/>
      <sheetName val="160MVA_Addl"/>
      <sheetName val="220KV_FB"/>
      <sheetName val="315MVA_Addl"/>
      <sheetName val="Addl_401"/>
      <sheetName val="Addl_20"/>
      <sheetName val="Addl_63_(2)"/>
      <sheetName val="A 3_7"/>
      <sheetName val="04REL"/>
      <sheetName val="data"/>
      <sheetName val="Data base Feb 09"/>
      <sheetName val="grid"/>
      <sheetName val="132kv DCDS"/>
      <sheetName val=""/>
      <sheetName val="PACK (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8">
          <cell r="A38" t="str">
            <v xml:space="preserve">ESTIMATE FOR INSTALLATION OF ADDITIONAL 1X40MVA 132/33KV TRANSFORMER AT EXISTING EHV SUBSTATION </v>
          </cell>
        </row>
        <row r="39">
          <cell r="A39" t="str">
            <v>ESTIMATE FOR INSTALLATION OF ADDITIONAL 1X40MVA 132/33KV TRANSFORMER AT EXISTING EHV SUBSTATION</v>
          </cell>
        </row>
        <row r="40">
          <cell r="A40" t="str">
            <v>SCHEDULE</v>
          </cell>
        </row>
        <row r="41">
          <cell r="A41" t="str">
            <v>SCHEDULE</v>
          </cell>
        </row>
        <row r="42">
          <cell r="A42" t="str">
            <v>TOTAL NO. OF LOCATIONS</v>
          </cell>
          <cell r="B42">
            <v>0</v>
          </cell>
          <cell r="C42">
            <v>1</v>
          </cell>
        </row>
        <row r="43">
          <cell r="C43">
            <v>1</v>
          </cell>
        </row>
        <row r="44">
          <cell r="A44" t="str">
            <v>SNO</v>
          </cell>
          <cell r="B44" t="str">
            <v>PARTICULARS</v>
          </cell>
          <cell r="C44" t="str">
            <v>Quantity</v>
          </cell>
          <cell r="D44" t="str">
            <v>EX-W Rate</v>
          </cell>
          <cell r="E44" t="str">
            <v>EX-W Amount</v>
          </cell>
          <cell r="F44" t="str">
            <v>Other Rate</v>
          </cell>
          <cell r="G44" t="str">
            <v>Other Amount</v>
          </cell>
          <cell r="H44" t="str">
            <v>Total Rate</v>
          </cell>
          <cell r="I44" t="str">
            <v>Total Amount</v>
          </cell>
        </row>
        <row r="45">
          <cell r="A45" t="str">
            <v>SNO</v>
          </cell>
          <cell r="B45" t="str">
            <v>PARTICULARS</v>
          </cell>
          <cell r="C45" t="str">
            <v>Quantity</v>
          </cell>
          <cell r="D45" t="str">
            <v>EX-W Rate</v>
          </cell>
          <cell r="E45" t="str">
            <v>EX-W Amount</v>
          </cell>
          <cell r="F45" t="str">
            <v>Other Rate</v>
          </cell>
          <cell r="G45" t="str">
            <v>Other Amount</v>
          </cell>
          <cell r="H45" t="str">
            <v>Total Rate</v>
          </cell>
          <cell r="I45" t="str">
            <v>Total Amount</v>
          </cell>
        </row>
        <row r="46">
          <cell r="A46" t="str">
            <v>(A)</v>
          </cell>
          <cell r="B46" t="str">
            <v>220KV EQUIPMENTS</v>
          </cell>
        </row>
        <row r="47">
          <cell r="A47" t="str">
            <v>(A)</v>
          </cell>
          <cell r="B47" t="str">
            <v>220KV EQUIPMENTS</v>
          </cell>
        </row>
        <row r="48">
          <cell r="A48">
            <v>1</v>
          </cell>
          <cell r="B48" t="str">
            <v>Circuit Breaker</v>
          </cell>
          <cell r="C48">
            <v>0</v>
          </cell>
          <cell r="D48">
            <v>13.429399999999999</v>
          </cell>
          <cell r="E48">
            <v>0</v>
          </cell>
          <cell r="F48">
            <v>1.0102</v>
          </cell>
          <cell r="G48">
            <v>0</v>
          </cell>
          <cell r="H48">
            <v>14.439599999999999</v>
          </cell>
          <cell r="I48">
            <v>0</v>
          </cell>
        </row>
        <row r="49">
          <cell r="A49">
            <v>2</v>
          </cell>
          <cell r="B49" t="str">
            <v>Current Transformer</v>
          </cell>
          <cell r="C49">
            <v>0</v>
          </cell>
          <cell r="D49">
            <v>1.3</v>
          </cell>
          <cell r="E49">
            <v>0</v>
          </cell>
          <cell r="F49">
            <v>9.1999999999999998E-2</v>
          </cell>
          <cell r="G49">
            <v>0</v>
          </cell>
          <cell r="H49">
            <v>1.3920000000000001</v>
          </cell>
          <cell r="I49">
            <v>0</v>
          </cell>
        </row>
        <row r="50">
          <cell r="A50">
            <v>3</v>
          </cell>
          <cell r="B50" t="str">
            <v>Isolator (with E/S)</v>
          </cell>
          <cell r="C50">
            <v>0</v>
          </cell>
          <cell r="D50">
            <v>0.50570000000000004</v>
          </cell>
          <cell r="E50">
            <v>0</v>
          </cell>
          <cell r="F50">
            <v>3.2899999999999999E-2</v>
          </cell>
          <cell r="G50">
            <v>0</v>
          </cell>
          <cell r="H50">
            <v>0.53860000000000008</v>
          </cell>
          <cell r="I50">
            <v>0</v>
          </cell>
        </row>
        <row r="51">
          <cell r="A51">
            <v>4</v>
          </cell>
          <cell r="B51" t="str">
            <v>Isolator (without E/S)</v>
          </cell>
          <cell r="C51">
            <v>0</v>
          </cell>
          <cell r="D51">
            <v>0.50570000000000004</v>
          </cell>
          <cell r="E51">
            <v>0</v>
          </cell>
          <cell r="F51">
            <v>3.2899999999999999E-2</v>
          </cell>
          <cell r="G51">
            <v>0</v>
          </cell>
          <cell r="H51">
            <v>0.53860000000000008</v>
          </cell>
          <cell r="I51">
            <v>0</v>
          </cell>
        </row>
        <row r="52">
          <cell r="A52">
            <v>5</v>
          </cell>
          <cell r="B52" t="str">
            <v>LA</v>
          </cell>
          <cell r="C52">
            <v>0</v>
          </cell>
          <cell r="D52">
            <v>0.4234</v>
          </cell>
          <cell r="E52">
            <v>0</v>
          </cell>
          <cell r="F52">
            <v>2.6100000000000002E-2</v>
          </cell>
          <cell r="G52">
            <v>0</v>
          </cell>
          <cell r="H52">
            <v>0.44950000000000001</v>
          </cell>
          <cell r="I52">
            <v>0</v>
          </cell>
        </row>
        <row r="53">
          <cell r="A53">
            <v>6</v>
          </cell>
          <cell r="B53" t="str">
            <v>PI / Solid Core Insulators</v>
          </cell>
          <cell r="C53">
            <v>0</v>
          </cell>
          <cell r="D53">
            <v>0.14399999999999999</v>
          </cell>
          <cell r="E53">
            <v>0</v>
          </cell>
          <cell r="F53">
            <v>9.7999999999999997E-3</v>
          </cell>
          <cell r="G53">
            <v>0</v>
          </cell>
          <cell r="H53">
            <v>0.15379999999999999</v>
          </cell>
          <cell r="I53">
            <v>0</v>
          </cell>
        </row>
        <row r="54">
          <cell r="A54">
            <v>7</v>
          </cell>
          <cell r="B54" t="str">
            <v>C&amp;R Panel(For feeder)</v>
          </cell>
          <cell r="C54">
            <v>0</v>
          </cell>
          <cell r="D54">
            <v>4.5674999999999999</v>
          </cell>
          <cell r="E54">
            <v>0</v>
          </cell>
          <cell r="F54">
            <v>9.1399999999999995E-2</v>
          </cell>
          <cell r="G54">
            <v>0</v>
          </cell>
          <cell r="H54">
            <v>4.6589</v>
          </cell>
          <cell r="I54">
            <v>0</v>
          </cell>
        </row>
        <row r="55">
          <cell r="A55">
            <v>8</v>
          </cell>
          <cell r="B55" t="str">
            <v>C&amp;R Panel (for transformer)</v>
          </cell>
          <cell r="C55">
            <v>0</v>
          </cell>
          <cell r="D55">
            <v>4.5674999999999999</v>
          </cell>
          <cell r="E55">
            <v>0</v>
          </cell>
          <cell r="F55">
            <v>9.1399999999999995E-2</v>
          </cell>
          <cell r="G55">
            <v>0</v>
          </cell>
          <cell r="H55">
            <v>4.6589</v>
          </cell>
          <cell r="I55">
            <v>0</v>
          </cell>
        </row>
        <row r="56">
          <cell r="A56">
            <v>9</v>
          </cell>
          <cell r="B56" t="str">
            <v>C&amp;R Panel (Bus coup./Bus tie)</v>
          </cell>
          <cell r="C56">
            <v>0</v>
          </cell>
          <cell r="D56">
            <v>4.5674999999999999</v>
          </cell>
          <cell r="E56">
            <v>0</v>
          </cell>
          <cell r="F56">
            <v>9.1399999999999995E-2</v>
          </cell>
          <cell r="G56">
            <v>0</v>
          </cell>
          <cell r="H56">
            <v>4.6589</v>
          </cell>
          <cell r="I56">
            <v>0</v>
          </cell>
        </row>
        <row r="57">
          <cell r="A57">
            <v>10</v>
          </cell>
          <cell r="B57" t="str">
            <v>Synchroscope</v>
          </cell>
          <cell r="C57">
            <v>0</v>
          </cell>
          <cell r="D57">
            <v>0</v>
          </cell>
          <cell r="E57">
            <v>0</v>
          </cell>
          <cell r="F57">
            <v>1.5</v>
          </cell>
          <cell r="G57">
            <v>0</v>
          </cell>
          <cell r="H57">
            <v>1.5</v>
          </cell>
          <cell r="I57">
            <v>0</v>
          </cell>
        </row>
        <row r="58">
          <cell r="A58">
            <v>11</v>
          </cell>
          <cell r="B58" t="str">
            <v>PT</v>
          </cell>
          <cell r="C58">
            <v>0</v>
          </cell>
          <cell r="D58">
            <v>1.5</v>
          </cell>
          <cell r="E58">
            <v>0</v>
          </cell>
          <cell r="F58">
            <v>0.1</v>
          </cell>
          <cell r="G58">
            <v>0</v>
          </cell>
          <cell r="H58">
            <v>1.6</v>
          </cell>
          <cell r="I58">
            <v>0</v>
          </cell>
        </row>
        <row r="59">
          <cell r="A59">
            <v>12</v>
          </cell>
          <cell r="B59" t="str">
            <v>Suspension/Tension String with H/W</v>
          </cell>
          <cell r="C59">
            <v>0</v>
          </cell>
          <cell r="D59">
            <v>6.0785000000000006E-2</v>
          </cell>
          <cell r="E59">
            <v>0</v>
          </cell>
          <cell r="F59">
            <v>6.0000000000000001E-3</v>
          </cell>
          <cell r="G59">
            <v>0</v>
          </cell>
          <cell r="H59">
            <v>6.6785000000000011E-2</v>
          </cell>
          <cell r="I59">
            <v>0</v>
          </cell>
        </row>
        <row r="60">
          <cell r="A60">
            <v>13</v>
          </cell>
          <cell r="B60" t="str">
            <v>Double Tension String with H/W</v>
          </cell>
          <cell r="C60">
            <v>0</v>
          </cell>
          <cell r="D60">
            <v>0.11468500000000001</v>
          </cell>
          <cell r="E60">
            <v>0</v>
          </cell>
          <cell r="F60">
            <v>1.1599999999999999E-2</v>
          </cell>
          <cell r="G60">
            <v>0</v>
          </cell>
          <cell r="H60">
            <v>0.12628500000000001</v>
          </cell>
          <cell r="I60">
            <v>0</v>
          </cell>
        </row>
        <row r="61">
          <cell r="A61">
            <v>13</v>
          </cell>
          <cell r="B61" t="str">
            <v>Double Tension String with H/W</v>
          </cell>
          <cell r="C61">
            <v>0</v>
          </cell>
          <cell r="D61">
            <v>0.114685</v>
          </cell>
          <cell r="E61">
            <v>0</v>
          </cell>
          <cell r="F61">
            <v>1.1599999999999999E-2</v>
          </cell>
          <cell r="G61">
            <v>0</v>
          </cell>
          <cell r="H61">
            <v>0.12628500000000001</v>
          </cell>
          <cell r="I61">
            <v>0</v>
          </cell>
        </row>
        <row r="62">
          <cell r="B62" t="str">
            <v>SUB TOTAL (A)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I63">
            <v>0</v>
          </cell>
        </row>
        <row r="64">
          <cell r="A64" t="str">
            <v>(B)</v>
          </cell>
          <cell r="B64" t="str">
            <v>132KV EQUIPMENTS</v>
          </cell>
        </row>
        <row r="65">
          <cell r="A65" t="str">
            <v>(B)</v>
          </cell>
          <cell r="B65" t="str">
            <v>132KV EQUIPMENTS</v>
          </cell>
        </row>
        <row r="66">
          <cell r="A66">
            <v>1</v>
          </cell>
          <cell r="B66" t="str">
            <v>Circuit Breaker</v>
          </cell>
          <cell r="C66">
            <v>1</v>
          </cell>
          <cell r="D66">
            <v>6.4887000000000015</v>
          </cell>
          <cell r="E66">
            <v>6.4887000000000015</v>
          </cell>
          <cell r="F66">
            <v>0.57534999999999992</v>
          </cell>
          <cell r="G66">
            <v>0.57534999999999992</v>
          </cell>
          <cell r="H66">
            <v>7.0640500000000017</v>
          </cell>
          <cell r="I66">
            <v>7.0640500000000017</v>
          </cell>
        </row>
        <row r="67">
          <cell r="A67">
            <v>2</v>
          </cell>
          <cell r="B67" t="str">
            <v>CT</v>
          </cell>
          <cell r="C67">
            <v>3</v>
          </cell>
          <cell r="D67">
            <v>0.6766871508379888</v>
          </cell>
          <cell r="E67">
            <v>2.0300614525139666</v>
          </cell>
          <cell r="F67">
            <v>4.9566480446927373E-2</v>
          </cell>
          <cell r="G67">
            <v>0.14869944134078211</v>
          </cell>
          <cell r="H67">
            <v>0.72625363128491616</v>
          </cell>
          <cell r="I67">
            <v>2.1787608938547489</v>
          </cell>
        </row>
        <row r="68">
          <cell r="A68">
            <v>3</v>
          </cell>
          <cell r="B68" t="str">
            <v xml:space="preserve">Isolator  with E/S </v>
          </cell>
          <cell r="C68">
            <v>0</v>
          </cell>
          <cell r="D68">
            <v>0.32090000000000002</v>
          </cell>
          <cell r="E68">
            <v>0</v>
          </cell>
          <cell r="F68">
            <v>2.4400000000000002E-2</v>
          </cell>
          <cell r="G68">
            <v>0</v>
          </cell>
          <cell r="H68">
            <v>0.3453</v>
          </cell>
          <cell r="I68">
            <v>0</v>
          </cell>
        </row>
        <row r="69">
          <cell r="A69">
            <v>4</v>
          </cell>
          <cell r="B69" t="str">
            <v>Isolator without E/S</v>
          </cell>
          <cell r="C69">
            <v>3</v>
          </cell>
          <cell r="D69">
            <v>0.32090000000000002</v>
          </cell>
          <cell r="E69">
            <v>0.96270000000000011</v>
          </cell>
          <cell r="F69">
            <v>2.4400000000000002E-2</v>
          </cell>
          <cell r="G69">
            <v>7.3200000000000001E-2</v>
          </cell>
          <cell r="H69">
            <v>0.3453</v>
          </cell>
          <cell r="I69">
            <v>1.0359</v>
          </cell>
        </row>
        <row r="70">
          <cell r="A70">
            <v>5</v>
          </cell>
          <cell r="B70" t="str">
            <v>PT</v>
          </cell>
          <cell r="C70">
            <v>0</v>
          </cell>
          <cell r="D70">
            <v>0.65</v>
          </cell>
          <cell r="E70">
            <v>0</v>
          </cell>
          <cell r="F70">
            <v>5.6000000000000001E-2</v>
          </cell>
          <cell r="G70">
            <v>0</v>
          </cell>
          <cell r="H70">
            <v>0.70600000000000007</v>
          </cell>
          <cell r="I70">
            <v>0</v>
          </cell>
        </row>
        <row r="71">
          <cell r="A71">
            <v>6</v>
          </cell>
          <cell r="B71" t="str">
            <v>LA</v>
          </cell>
          <cell r="C71">
            <v>3</v>
          </cell>
          <cell r="D71">
            <v>0.2258</v>
          </cell>
          <cell r="E71">
            <v>0.6774</v>
          </cell>
          <cell r="F71">
            <v>1.4200000000000001E-2</v>
          </cell>
          <cell r="G71">
            <v>4.2599999999999999E-2</v>
          </cell>
          <cell r="H71">
            <v>0.24</v>
          </cell>
          <cell r="I71">
            <v>0.72</v>
          </cell>
        </row>
        <row r="72">
          <cell r="A72">
            <v>7</v>
          </cell>
          <cell r="B72" t="str">
            <v>C&amp;R Panel (for 220/132KV Xmer)</v>
          </cell>
          <cell r="C72">
            <v>0</v>
          </cell>
          <cell r="D72">
            <v>4.9398999999999997</v>
          </cell>
          <cell r="E72">
            <v>0</v>
          </cell>
          <cell r="F72">
            <v>0.32175000000000004</v>
          </cell>
          <cell r="G72">
            <v>0</v>
          </cell>
          <cell r="H72">
            <v>5.2616499999999995</v>
          </cell>
          <cell r="I72">
            <v>0</v>
          </cell>
        </row>
        <row r="73">
          <cell r="A73">
            <v>8</v>
          </cell>
          <cell r="B73" t="str">
            <v>C&amp;R Panel (for 132/33KV Xmer)</v>
          </cell>
          <cell r="C73">
            <v>1</v>
          </cell>
          <cell r="D73">
            <v>4.9398999999999997</v>
          </cell>
          <cell r="E73">
            <v>4.9398999999999997</v>
          </cell>
          <cell r="F73">
            <v>0.32175000000000004</v>
          </cell>
          <cell r="G73">
            <v>0.32175000000000004</v>
          </cell>
          <cell r="H73">
            <v>5.2616499999999995</v>
          </cell>
          <cell r="I73">
            <v>5.2616499999999995</v>
          </cell>
        </row>
        <row r="74">
          <cell r="A74">
            <v>9</v>
          </cell>
          <cell r="B74" t="str">
            <v>C&amp;R Panel (for Feeder)</v>
          </cell>
          <cell r="C74">
            <v>0</v>
          </cell>
          <cell r="D74">
            <v>4.9398999999999997</v>
          </cell>
          <cell r="E74">
            <v>0</v>
          </cell>
          <cell r="F74">
            <v>0.32175000000000004</v>
          </cell>
          <cell r="G74">
            <v>0</v>
          </cell>
          <cell r="H74">
            <v>5.2616499999999995</v>
          </cell>
          <cell r="I74">
            <v>0</v>
          </cell>
        </row>
        <row r="75">
          <cell r="A75">
            <v>10</v>
          </cell>
          <cell r="B75" t="str">
            <v>C&amp;R Panel (for Bus coupler)</v>
          </cell>
          <cell r="C75">
            <v>0</v>
          </cell>
          <cell r="D75">
            <v>4.9398999999999997</v>
          </cell>
          <cell r="E75">
            <v>0</v>
          </cell>
          <cell r="F75">
            <v>0.32175000000000004</v>
          </cell>
          <cell r="G75">
            <v>0</v>
          </cell>
          <cell r="H75">
            <v>5.2616499999999995</v>
          </cell>
          <cell r="I75">
            <v>0</v>
          </cell>
        </row>
        <row r="76">
          <cell r="A76">
            <v>11</v>
          </cell>
          <cell r="B76" t="str">
            <v>PI/Solid Core Insulators</v>
          </cell>
          <cell r="C76">
            <v>36</v>
          </cell>
          <cell r="D76">
            <v>7.2499999999999995E-2</v>
          </cell>
          <cell r="E76">
            <v>2.61</v>
          </cell>
          <cell r="F76">
            <v>1.4E-2</v>
          </cell>
          <cell r="G76">
            <v>0.504</v>
          </cell>
          <cell r="H76">
            <v>8.6499999999999994E-2</v>
          </cell>
          <cell r="I76">
            <v>3.1139999999999999</v>
          </cell>
        </row>
        <row r="77">
          <cell r="A77">
            <v>12</v>
          </cell>
          <cell r="B77" t="str">
            <v>Suspension &amp; Tension String with H/W</v>
          </cell>
          <cell r="C77">
            <v>20</v>
          </cell>
          <cell r="D77">
            <v>3.6319999999999998E-2</v>
          </cell>
          <cell r="E77">
            <v>0.72639999999999993</v>
          </cell>
          <cell r="F77">
            <v>3.9924999999999995E-3</v>
          </cell>
          <cell r="G77">
            <v>7.984999999999999E-2</v>
          </cell>
          <cell r="H77">
            <v>4.0312500000000001E-2</v>
          </cell>
          <cell r="I77">
            <v>0.80624999999999991</v>
          </cell>
        </row>
        <row r="78">
          <cell r="A78">
            <v>13</v>
          </cell>
          <cell r="B78" t="str">
            <v>Double Tension String with H/W</v>
          </cell>
          <cell r="C78">
            <v>8</v>
          </cell>
          <cell r="D78">
            <v>5.9319999999999998E-2</v>
          </cell>
          <cell r="E78">
            <v>0.47455999999999998</v>
          </cell>
          <cell r="F78">
            <v>6.9924999999999987E-3</v>
          </cell>
          <cell r="G78">
            <v>5.593999999999999E-2</v>
          </cell>
          <cell r="H78">
            <v>6.6312499999999996E-2</v>
          </cell>
          <cell r="I78">
            <v>0.53049999999999997</v>
          </cell>
        </row>
        <row r="79">
          <cell r="A79">
            <v>13</v>
          </cell>
          <cell r="B79" t="str">
            <v>Double Tension String with H/W</v>
          </cell>
          <cell r="C79">
            <v>8</v>
          </cell>
          <cell r="D79">
            <v>5.9319999999999998E-2</v>
          </cell>
          <cell r="E79">
            <v>0.47455999999999998</v>
          </cell>
          <cell r="F79">
            <v>6.992E-3</v>
          </cell>
          <cell r="G79">
            <v>5.5939999999999997E-2</v>
          </cell>
          <cell r="H79">
            <v>6.6311999999999996E-2</v>
          </cell>
          <cell r="I79">
            <v>0.53049999999999997</v>
          </cell>
        </row>
        <row r="80">
          <cell r="B80" t="str">
            <v>SUB TOTAL (B)</v>
          </cell>
          <cell r="C80">
            <v>0</v>
          </cell>
          <cell r="D80">
            <v>0</v>
          </cell>
          <cell r="E80">
            <v>18.909721452513967</v>
          </cell>
          <cell r="F80">
            <v>0</v>
          </cell>
          <cell r="G80">
            <v>1.801389441340782</v>
          </cell>
          <cell r="H80">
            <v>0</v>
          </cell>
          <cell r="I80">
            <v>20.711110893854752</v>
          </cell>
        </row>
        <row r="81">
          <cell r="I81">
            <v>20.711110999999999</v>
          </cell>
        </row>
        <row r="82">
          <cell r="A82" t="str">
            <v>(C)</v>
          </cell>
          <cell r="B82" t="str">
            <v>33KV EQUIPMENTS</v>
          </cell>
        </row>
        <row r="83">
          <cell r="A83" t="str">
            <v>(C)</v>
          </cell>
          <cell r="B83" t="str">
            <v>33KV EQUIPMENTS</v>
          </cell>
        </row>
        <row r="84">
          <cell r="A84">
            <v>1</v>
          </cell>
          <cell r="B84" t="str">
            <v>Circuit Breaker</v>
          </cell>
          <cell r="C84">
            <v>1</v>
          </cell>
          <cell r="D84">
            <v>2.3801000000000001</v>
          </cell>
          <cell r="E84">
            <v>2.3801000000000001</v>
          </cell>
          <cell r="F84">
            <v>0.1452</v>
          </cell>
          <cell r="G84">
            <v>0.1452</v>
          </cell>
          <cell r="H84">
            <v>2.5253000000000001</v>
          </cell>
          <cell r="I84">
            <v>2.5253000000000001</v>
          </cell>
        </row>
        <row r="85">
          <cell r="A85">
            <v>2</v>
          </cell>
          <cell r="B85" t="str">
            <v>CT</v>
          </cell>
          <cell r="C85">
            <v>3</v>
          </cell>
          <cell r="D85">
            <v>0.1192</v>
          </cell>
          <cell r="E85">
            <v>0.35760000000000003</v>
          </cell>
          <cell r="F85">
            <v>1.23E-2</v>
          </cell>
          <cell r="G85">
            <v>3.6900000000000002E-2</v>
          </cell>
          <cell r="H85">
            <v>0.13150000000000001</v>
          </cell>
          <cell r="I85">
            <v>0.39450000000000002</v>
          </cell>
        </row>
        <row r="86">
          <cell r="A86">
            <v>3</v>
          </cell>
          <cell r="B86" t="str">
            <v>LA</v>
          </cell>
          <cell r="C86">
            <v>3</v>
          </cell>
          <cell r="D86">
            <v>3.6799999999999999E-2</v>
          </cell>
          <cell r="E86">
            <v>0.1104</v>
          </cell>
          <cell r="F86">
            <v>2.3E-3</v>
          </cell>
          <cell r="G86">
            <v>6.8999999999999999E-3</v>
          </cell>
          <cell r="H86">
            <v>3.9099999999999996E-2</v>
          </cell>
          <cell r="I86">
            <v>0.1173</v>
          </cell>
        </row>
        <row r="87">
          <cell r="A87">
            <v>4</v>
          </cell>
          <cell r="B87" t="str">
            <v>Potential transformer</v>
          </cell>
          <cell r="C87">
            <v>0</v>
          </cell>
          <cell r="D87">
            <v>1.2500000000000001E-2</v>
          </cell>
          <cell r="E87">
            <v>0</v>
          </cell>
          <cell r="F87">
            <v>2E-3</v>
          </cell>
          <cell r="G87">
            <v>0</v>
          </cell>
          <cell r="H87">
            <v>1.4500000000000001E-2</v>
          </cell>
          <cell r="I87">
            <v>0</v>
          </cell>
        </row>
        <row r="88">
          <cell r="A88">
            <v>5</v>
          </cell>
          <cell r="B88" t="str">
            <v>Isolator (with E/S) with insulator</v>
          </cell>
          <cell r="C88">
            <v>0</v>
          </cell>
          <cell r="D88">
            <v>0.10929999999999999</v>
          </cell>
          <cell r="E88">
            <v>0</v>
          </cell>
          <cell r="F88">
            <v>7.4999999999999997E-3</v>
          </cell>
          <cell r="G88">
            <v>0</v>
          </cell>
          <cell r="H88">
            <v>0.11679999999999999</v>
          </cell>
          <cell r="I88">
            <v>0</v>
          </cell>
        </row>
        <row r="89">
          <cell r="A89">
            <v>6</v>
          </cell>
          <cell r="B89" t="str">
            <v>Isolator (without E/S) with insulator</v>
          </cell>
          <cell r="C89">
            <v>2</v>
          </cell>
          <cell r="D89">
            <v>0.10929999999999999</v>
          </cell>
          <cell r="E89">
            <v>0.21859999999999999</v>
          </cell>
          <cell r="F89">
            <v>7.4999999999999997E-3</v>
          </cell>
          <cell r="G89">
            <v>1.4999999999999999E-2</v>
          </cell>
          <cell r="H89">
            <v>0.11679999999999999</v>
          </cell>
          <cell r="I89">
            <v>0.23359999999999997</v>
          </cell>
        </row>
        <row r="90">
          <cell r="A90">
            <v>7</v>
          </cell>
          <cell r="B90" t="str">
            <v>C&amp;R Panel(for transformer)</v>
          </cell>
          <cell r="C90">
            <v>1</v>
          </cell>
          <cell r="D90">
            <v>1.8125</v>
          </cell>
          <cell r="E90">
            <v>1.8125</v>
          </cell>
          <cell r="F90">
            <v>9.4200000000000006E-2</v>
          </cell>
          <cell r="G90">
            <v>9.4200000000000006E-2</v>
          </cell>
          <cell r="H90">
            <v>1.9067000000000001</v>
          </cell>
          <cell r="I90">
            <v>1.9067000000000001</v>
          </cell>
        </row>
        <row r="91">
          <cell r="A91">
            <v>8</v>
          </cell>
          <cell r="B91" t="str">
            <v>C&amp;R Panel (for two feeder circuit)</v>
          </cell>
          <cell r="C91">
            <v>0</v>
          </cell>
          <cell r="D91">
            <v>1.8125</v>
          </cell>
          <cell r="E91">
            <v>0</v>
          </cell>
          <cell r="F91">
            <v>9.4200000000000006E-2</v>
          </cell>
          <cell r="G91">
            <v>0</v>
          </cell>
          <cell r="H91">
            <v>1.9067000000000001</v>
          </cell>
          <cell r="I91">
            <v>0</v>
          </cell>
        </row>
        <row r="92">
          <cell r="A92">
            <v>9</v>
          </cell>
          <cell r="B92" t="str">
            <v>Solid Core Insulators</v>
          </cell>
          <cell r="C92">
            <v>3</v>
          </cell>
          <cell r="D92">
            <v>1.2500000000000001E-2</v>
          </cell>
          <cell r="E92">
            <v>3.7500000000000006E-2</v>
          </cell>
          <cell r="F92">
            <v>2E-3</v>
          </cell>
          <cell r="G92">
            <v>6.0000000000000001E-3</v>
          </cell>
          <cell r="H92">
            <v>1.4500000000000001E-2</v>
          </cell>
          <cell r="I92">
            <v>4.3500000000000004E-2</v>
          </cell>
        </row>
        <row r="93">
          <cell r="A93">
            <v>10</v>
          </cell>
          <cell r="B93" t="str">
            <v>Suspension/Tension String with H/W</v>
          </cell>
          <cell r="C93">
            <v>12</v>
          </cell>
          <cell r="D93">
            <v>5.1900000000000002E-3</v>
          </cell>
          <cell r="E93">
            <v>4.1520000000000001E-2</v>
          </cell>
          <cell r="F93">
            <v>2.4000000000000002E-3</v>
          </cell>
          <cell r="G93">
            <v>1.9200000000000002E-2</v>
          </cell>
          <cell r="H93">
            <v>7.5900000000000004E-3</v>
          </cell>
          <cell r="I93">
            <v>6.0720000000000003E-2</v>
          </cell>
        </row>
        <row r="94">
          <cell r="A94">
            <v>11</v>
          </cell>
          <cell r="B94" t="str">
            <v>Double Tension String with H/W</v>
          </cell>
          <cell r="C94">
            <v>8</v>
          </cell>
          <cell r="D94">
            <v>1.038E-2</v>
          </cell>
          <cell r="E94">
            <v>0.12456</v>
          </cell>
          <cell r="F94">
            <v>4.5999999999999999E-3</v>
          </cell>
          <cell r="G94">
            <v>5.5199999999999999E-2</v>
          </cell>
          <cell r="H94">
            <v>1.498E-2</v>
          </cell>
          <cell r="I94">
            <v>0.17976</v>
          </cell>
        </row>
        <row r="95">
          <cell r="A95">
            <v>11</v>
          </cell>
          <cell r="B95" t="str">
            <v>Double Tension String with H/W</v>
          </cell>
          <cell r="C95">
            <v>8</v>
          </cell>
          <cell r="D95">
            <v>1.038E-2</v>
          </cell>
          <cell r="E95">
            <v>0.12456</v>
          </cell>
          <cell r="F95">
            <v>4.5999999999999999E-3</v>
          </cell>
          <cell r="G95">
            <v>5.5199999999999999E-2</v>
          </cell>
          <cell r="H95">
            <v>1.498E-2</v>
          </cell>
          <cell r="I95">
            <v>0.17976</v>
          </cell>
        </row>
        <row r="96">
          <cell r="B96" t="str">
            <v>SUB TOTAL (C)</v>
          </cell>
          <cell r="C96">
            <v>0</v>
          </cell>
          <cell r="D96">
            <v>0</v>
          </cell>
          <cell r="E96">
            <v>5.0827799999999996</v>
          </cell>
          <cell r="F96">
            <v>0</v>
          </cell>
          <cell r="G96">
            <v>0.37859999999999994</v>
          </cell>
          <cell r="H96">
            <v>0</v>
          </cell>
          <cell r="I96">
            <v>5.4613800000000001</v>
          </cell>
        </row>
        <row r="97">
          <cell r="I97">
            <v>5.4613800000000001</v>
          </cell>
        </row>
        <row r="98">
          <cell r="A98" t="str">
            <v>(D)</v>
          </cell>
          <cell r="B98" t="str">
            <v>TRANSFORMER &amp; ASSOCIATED EQUIP.</v>
          </cell>
        </row>
        <row r="99">
          <cell r="A99" t="str">
            <v>(D)</v>
          </cell>
          <cell r="B99" t="str">
            <v>TRANSFORMER &amp; ASSOCIATED EQUIP.</v>
          </cell>
        </row>
        <row r="100">
          <cell r="A100">
            <v>1</v>
          </cell>
          <cell r="B100" t="str">
            <v>160MVA 220/132KV Xmer(with oil and associated eqip.)</v>
          </cell>
          <cell r="C100">
            <v>0</v>
          </cell>
          <cell r="D100">
            <v>307.5</v>
          </cell>
          <cell r="E100">
            <v>0</v>
          </cell>
          <cell r="F100">
            <v>12.34</v>
          </cell>
          <cell r="G100">
            <v>0</v>
          </cell>
          <cell r="H100">
            <v>319.83999999999997</v>
          </cell>
          <cell r="I100">
            <v>0</v>
          </cell>
        </row>
        <row r="101">
          <cell r="A101">
            <v>2</v>
          </cell>
          <cell r="B101" t="str">
            <v>40MVA 132/33KV Xmer (with oil and associated equip.)</v>
          </cell>
          <cell r="C101">
            <v>1</v>
          </cell>
          <cell r="D101">
            <v>124.35869344262296</v>
          </cell>
          <cell r="E101">
            <v>124.35869344262296</v>
          </cell>
          <cell r="F101">
            <v>8.5145573770491794</v>
          </cell>
          <cell r="G101">
            <v>8.5145573770491794</v>
          </cell>
          <cell r="H101">
            <v>132.87325081967214</v>
          </cell>
          <cell r="I101">
            <v>132.87325081967214</v>
          </cell>
        </row>
        <row r="102">
          <cell r="A102">
            <v>3</v>
          </cell>
          <cell r="B102" t="str">
            <v>Oil filteration Machine(500 Gl.per Hr.)</v>
          </cell>
          <cell r="C102">
            <v>1</v>
          </cell>
          <cell r="D102">
            <v>2.2738</v>
          </cell>
          <cell r="E102">
            <v>2.2738</v>
          </cell>
          <cell r="F102">
            <v>0.30199999999999999</v>
          </cell>
          <cell r="G102">
            <v>0.30199999999999999</v>
          </cell>
          <cell r="H102">
            <v>2.5758000000000001</v>
          </cell>
          <cell r="I102">
            <v>2.5758000000000001</v>
          </cell>
        </row>
        <row r="103">
          <cell r="A103">
            <v>4</v>
          </cell>
          <cell r="B103" t="str">
            <v>Oil Storage Tank (15/20 KL)</v>
          </cell>
          <cell r="C103">
            <v>0</v>
          </cell>
          <cell r="D103">
            <v>0</v>
          </cell>
          <cell r="E103">
            <v>0</v>
          </cell>
          <cell r="F103">
            <v>2</v>
          </cell>
          <cell r="G103">
            <v>0</v>
          </cell>
          <cell r="H103">
            <v>2</v>
          </cell>
          <cell r="I103">
            <v>0</v>
          </cell>
        </row>
        <row r="104">
          <cell r="A104">
            <v>4</v>
          </cell>
          <cell r="B104" t="str">
            <v>Oil Storage Tank (15/20 KL)</v>
          </cell>
          <cell r="C104">
            <v>0</v>
          </cell>
          <cell r="D104">
            <v>0</v>
          </cell>
          <cell r="E104">
            <v>0</v>
          </cell>
          <cell r="F104">
            <v>2</v>
          </cell>
          <cell r="G104">
            <v>0</v>
          </cell>
          <cell r="H104">
            <v>2</v>
          </cell>
          <cell r="I104">
            <v>0</v>
          </cell>
        </row>
        <row r="105">
          <cell r="B105" t="str">
            <v>SUB TOTAL (D)</v>
          </cell>
          <cell r="C105">
            <v>0</v>
          </cell>
          <cell r="D105">
            <v>0</v>
          </cell>
          <cell r="E105">
            <v>126.63249344262296</v>
          </cell>
          <cell r="F105">
            <v>0</v>
          </cell>
          <cell r="G105">
            <v>8.816557377049179</v>
          </cell>
          <cell r="H105">
            <v>0</v>
          </cell>
          <cell r="I105">
            <v>135.44905081967212</v>
          </cell>
        </row>
        <row r="106">
          <cell r="I106">
            <v>135.449051</v>
          </cell>
        </row>
        <row r="107">
          <cell r="A107" t="str">
            <v>(E)</v>
          </cell>
          <cell r="B107" t="str">
            <v xml:space="preserve">220KV &amp;132KV Carrier Comm.Equip.including provision for </v>
          </cell>
        </row>
        <row r="108">
          <cell r="B108" t="str">
            <v>telemetering etc.&amp; sending s/ss reqmnt</v>
          </cell>
        </row>
        <row r="109">
          <cell r="B109" t="str">
            <v>telemetering etc.&amp; sending s/ss reqmnt</v>
          </cell>
        </row>
        <row r="110">
          <cell r="A110">
            <v>1</v>
          </cell>
          <cell r="B110" t="str">
            <v>Carrier cabinet</v>
          </cell>
          <cell r="C110">
            <v>0</v>
          </cell>
          <cell r="D110">
            <v>3.5</v>
          </cell>
          <cell r="E110">
            <v>0</v>
          </cell>
          <cell r="F110">
            <v>3.5709999999999999E-2</v>
          </cell>
          <cell r="G110">
            <v>0</v>
          </cell>
          <cell r="H110">
            <v>3.5357099999999999</v>
          </cell>
          <cell r="I110">
            <v>0</v>
          </cell>
        </row>
        <row r="111">
          <cell r="A111">
            <v>2</v>
          </cell>
          <cell r="B111" t="str">
            <v>Coupling Devices (LMU)</v>
          </cell>
          <cell r="C111">
            <v>0</v>
          </cell>
          <cell r="D111">
            <v>0.8</v>
          </cell>
          <cell r="E111">
            <v>0</v>
          </cell>
          <cell r="F111">
            <v>0</v>
          </cell>
          <cell r="G111">
            <v>0</v>
          </cell>
          <cell r="H111">
            <v>0.8</v>
          </cell>
          <cell r="I111">
            <v>0</v>
          </cell>
        </row>
        <row r="112">
          <cell r="A112">
            <v>3</v>
          </cell>
          <cell r="B112" t="str">
            <v>Protection coupler</v>
          </cell>
          <cell r="C112">
            <v>0</v>
          </cell>
          <cell r="D112">
            <v>1.7</v>
          </cell>
          <cell r="E112">
            <v>0</v>
          </cell>
          <cell r="F112">
            <v>0</v>
          </cell>
          <cell r="G112">
            <v>0</v>
          </cell>
          <cell r="H112">
            <v>1.7</v>
          </cell>
          <cell r="I112">
            <v>0</v>
          </cell>
        </row>
        <row r="113">
          <cell r="A113">
            <v>4</v>
          </cell>
          <cell r="B113" t="str">
            <v>EPAX</v>
          </cell>
          <cell r="C113">
            <v>0</v>
          </cell>
          <cell r="D113">
            <v>2.5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0</v>
          </cell>
        </row>
        <row r="114">
          <cell r="A114">
            <v>5</v>
          </cell>
          <cell r="B114" t="str">
            <v>Telephone Sets</v>
          </cell>
          <cell r="C114">
            <v>0</v>
          </cell>
          <cell r="D114">
            <v>0.01</v>
          </cell>
          <cell r="E114">
            <v>0</v>
          </cell>
          <cell r="F114">
            <v>0</v>
          </cell>
          <cell r="G114">
            <v>0</v>
          </cell>
          <cell r="H114">
            <v>0.01</v>
          </cell>
          <cell r="I114">
            <v>0</v>
          </cell>
        </row>
        <row r="115">
          <cell r="A115">
            <v>6</v>
          </cell>
          <cell r="B115" t="str">
            <v>Coxial Cable (KM)</v>
          </cell>
          <cell r="C115">
            <v>0</v>
          </cell>
          <cell r="D115">
            <v>0.8</v>
          </cell>
          <cell r="E115">
            <v>0</v>
          </cell>
          <cell r="F115">
            <v>0</v>
          </cell>
          <cell r="G115">
            <v>0</v>
          </cell>
          <cell r="H115">
            <v>0.8</v>
          </cell>
          <cell r="I115">
            <v>0</v>
          </cell>
        </row>
        <row r="116">
          <cell r="A116">
            <v>7</v>
          </cell>
          <cell r="B116" t="str">
            <v>Telephone Cable</v>
          </cell>
          <cell r="C116">
            <v>0</v>
          </cell>
          <cell r="D116">
            <v>0.25</v>
          </cell>
          <cell r="E116">
            <v>0</v>
          </cell>
          <cell r="F116">
            <v>0</v>
          </cell>
          <cell r="G116">
            <v>0</v>
          </cell>
          <cell r="H116">
            <v>0.25</v>
          </cell>
          <cell r="I116">
            <v>0</v>
          </cell>
        </row>
        <row r="117">
          <cell r="A117">
            <v>8</v>
          </cell>
          <cell r="B117" t="str">
            <v>220kV Wave Trap</v>
          </cell>
          <cell r="C117">
            <v>0</v>
          </cell>
          <cell r="D117">
            <v>1.5</v>
          </cell>
          <cell r="E117">
            <v>0</v>
          </cell>
          <cell r="F117">
            <v>0</v>
          </cell>
          <cell r="G117">
            <v>0</v>
          </cell>
          <cell r="H117">
            <v>1.5</v>
          </cell>
          <cell r="I117">
            <v>0</v>
          </cell>
        </row>
        <row r="118">
          <cell r="A118">
            <v>9</v>
          </cell>
          <cell r="B118" t="str">
            <v>132kV Wave Trap</v>
          </cell>
          <cell r="C118">
            <v>0</v>
          </cell>
          <cell r="D118">
            <v>1</v>
          </cell>
          <cell r="E118">
            <v>0</v>
          </cell>
          <cell r="F118">
            <v>0</v>
          </cell>
          <cell r="G118">
            <v>0</v>
          </cell>
          <cell r="H118">
            <v>1</v>
          </cell>
          <cell r="I118">
            <v>0</v>
          </cell>
        </row>
        <row r="119">
          <cell r="A119">
            <v>10</v>
          </cell>
          <cell r="B119" t="str">
            <v>220kV CVT</v>
          </cell>
          <cell r="C119">
            <v>0</v>
          </cell>
          <cell r="D119">
            <v>2.5</v>
          </cell>
          <cell r="E119">
            <v>0</v>
          </cell>
          <cell r="F119">
            <v>0</v>
          </cell>
          <cell r="G119">
            <v>0</v>
          </cell>
          <cell r="H119">
            <v>2.5</v>
          </cell>
          <cell r="I119">
            <v>0</v>
          </cell>
        </row>
        <row r="120">
          <cell r="A120">
            <v>11</v>
          </cell>
          <cell r="B120" t="str">
            <v>132kV Coupling Capacitors</v>
          </cell>
          <cell r="C120">
            <v>0</v>
          </cell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0</v>
          </cell>
        </row>
        <row r="121">
          <cell r="A121">
            <v>11</v>
          </cell>
          <cell r="B121" t="str">
            <v>132kV Coupling Capacitors</v>
          </cell>
          <cell r="C121">
            <v>0</v>
          </cell>
          <cell r="D121">
            <v>1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</row>
        <row r="122">
          <cell r="B122" t="str">
            <v>SUB TOTAL (E)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I123">
            <v>0</v>
          </cell>
        </row>
        <row r="124">
          <cell r="A124" t="str">
            <v>(F-I)</v>
          </cell>
          <cell r="B124" t="str">
            <v>220KV Structures</v>
          </cell>
          <cell r="C124" t="str">
            <v>Weight of Steel in MT</v>
          </cell>
        </row>
        <row r="125">
          <cell r="A125" t="str">
            <v>(F-I)</v>
          </cell>
          <cell r="B125" t="str">
            <v>220KV Structures</v>
          </cell>
          <cell r="C125" t="str">
            <v>Weight of Steel in MT</v>
          </cell>
        </row>
        <row r="126">
          <cell r="A126">
            <v>1</v>
          </cell>
          <cell r="B126" t="str">
            <v>Gantry Column(AGT)</v>
          </cell>
          <cell r="C126">
            <v>0</v>
          </cell>
          <cell r="D126">
            <v>3.6</v>
          </cell>
          <cell r="E126">
            <v>0</v>
          </cell>
        </row>
        <row r="127">
          <cell r="A127">
            <v>2</v>
          </cell>
          <cell r="B127" t="str">
            <v>Gantry Column(AAGT)</v>
          </cell>
          <cell r="C127">
            <v>0</v>
          </cell>
          <cell r="D127">
            <v>5.31</v>
          </cell>
          <cell r="E127">
            <v>0</v>
          </cell>
        </row>
        <row r="128">
          <cell r="A128">
            <v>3</v>
          </cell>
          <cell r="B128" t="str">
            <v>Gantry Beam(AGB)</v>
          </cell>
          <cell r="C128">
            <v>0</v>
          </cell>
          <cell r="D128">
            <v>1.23</v>
          </cell>
          <cell r="E128">
            <v>0</v>
          </cell>
        </row>
        <row r="129">
          <cell r="A129">
            <v>4</v>
          </cell>
          <cell r="B129" t="str">
            <v>Main Busbar Structure(ABM)</v>
          </cell>
          <cell r="C129">
            <v>0</v>
          </cell>
          <cell r="D129">
            <v>2.411</v>
          </cell>
          <cell r="E129">
            <v>0</v>
          </cell>
        </row>
        <row r="130">
          <cell r="A130">
            <v>5</v>
          </cell>
          <cell r="B130" t="str">
            <v>Auxiliary Busbar structure(ABA)</v>
          </cell>
          <cell r="C130">
            <v>0</v>
          </cell>
          <cell r="D130">
            <v>2.327</v>
          </cell>
          <cell r="E130">
            <v>0</v>
          </cell>
        </row>
        <row r="131">
          <cell r="A131">
            <v>6</v>
          </cell>
          <cell r="B131" t="str">
            <v>CT structure</v>
          </cell>
          <cell r="C131">
            <v>0</v>
          </cell>
          <cell r="D131">
            <v>0.27</v>
          </cell>
          <cell r="E131">
            <v>0</v>
          </cell>
        </row>
        <row r="132">
          <cell r="A132">
            <v>7</v>
          </cell>
          <cell r="B132" t="str">
            <v>LA structure</v>
          </cell>
          <cell r="C132">
            <v>0</v>
          </cell>
          <cell r="D132">
            <v>0.13</v>
          </cell>
          <cell r="E132">
            <v>0</v>
          </cell>
        </row>
        <row r="133">
          <cell r="A133">
            <v>8</v>
          </cell>
          <cell r="B133" t="str">
            <v>Post/Solid Core structure</v>
          </cell>
          <cell r="C133">
            <v>0</v>
          </cell>
          <cell r="D133">
            <v>0.21</v>
          </cell>
          <cell r="E133">
            <v>0</v>
          </cell>
        </row>
        <row r="134">
          <cell r="A134">
            <v>9</v>
          </cell>
          <cell r="B134" t="str">
            <v>Isolator structure</v>
          </cell>
          <cell r="C134">
            <v>0</v>
          </cell>
          <cell r="D134">
            <v>2.056</v>
          </cell>
          <cell r="E134">
            <v>0</v>
          </cell>
        </row>
        <row r="135">
          <cell r="A135">
            <v>10</v>
          </cell>
          <cell r="B135" t="str">
            <v>PT/CVT structure</v>
          </cell>
          <cell r="C135">
            <v>0</v>
          </cell>
          <cell r="D135">
            <v>0.27</v>
          </cell>
          <cell r="E135">
            <v>0</v>
          </cell>
        </row>
        <row r="136">
          <cell r="A136">
            <v>10</v>
          </cell>
          <cell r="B136" t="str">
            <v>PT/CVT structure</v>
          </cell>
          <cell r="C136">
            <v>0</v>
          </cell>
          <cell r="D136">
            <v>0.27</v>
          </cell>
          <cell r="E136">
            <v>0</v>
          </cell>
        </row>
        <row r="137">
          <cell r="B137" t="str">
            <v>SUB TOTAL (F-I)</v>
          </cell>
          <cell r="C137">
            <v>0</v>
          </cell>
          <cell r="D137">
            <v>0</v>
          </cell>
          <cell r="E137">
            <v>0</v>
          </cell>
        </row>
        <row r="138">
          <cell r="E138">
            <v>0</v>
          </cell>
        </row>
        <row r="139">
          <cell r="A139" t="str">
            <v>(F-II)</v>
          </cell>
          <cell r="B139" t="str">
            <v>132KV STRUCTURE</v>
          </cell>
        </row>
        <row r="140">
          <cell r="A140" t="str">
            <v>(F-II)</v>
          </cell>
          <cell r="B140" t="str">
            <v>132KV STRUCTURE</v>
          </cell>
        </row>
        <row r="141">
          <cell r="A141">
            <v>1</v>
          </cell>
          <cell r="B141" t="str">
            <v>Gantry Column</v>
          </cell>
          <cell r="C141">
            <v>4</v>
          </cell>
          <cell r="D141">
            <v>1.9770000000000001</v>
          </cell>
          <cell r="E141">
            <v>7.9080000000000004</v>
          </cell>
        </row>
        <row r="142">
          <cell r="A142">
            <v>2</v>
          </cell>
          <cell r="B142" t="str">
            <v xml:space="preserve">Gantry Beam    </v>
          </cell>
          <cell r="C142">
            <v>3</v>
          </cell>
          <cell r="D142">
            <v>1.0649999999999999</v>
          </cell>
          <cell r="E142">
            <v>3.1949999999999998</v>
          </cell>
        </row>
        <row r="143">
          <cell r="A143">
            <v>3</v>
          </cell>
          <cell r="B143" t="str">
            <v xml:space="preserve">Main busbar structure    </v>
          </cell>
          <cell r="C143">
            <v>1</v>
          </cell>
          <cell r="D143">
            <v>1.5429999999999999</v>
          </cell>
          <cell r="E143">
            <v>1.5429999999999999</v>
          </cell>
        </row>
        <row r="144">
          <cell r="A144">
            <v>4</v>
          </cell>
          <cell r="B144" t="str">
            <v>Aux. Busbar Structure</v>
          </cell>
          <cell r="C144">
            <v>0</v>
          </cell>
          <cell r="D144">
            <v>0.90500000000000003</v>
          </cell>
          <cell r="E144">
            <v>0</v>
          </cell>
        </row>
        <row r="145">
          <cell r="A145">
            <v>5</v>
          </cell>
          <cell r="B145" t="str">
            <v>CT structure</v>
          </cell>
          <cell r="C145">
            <v>3</v>
          </cell>
          <cell r="D145">
            <v>0.23499999999999999</v>
          </cell>
          <cell r="E145">
            <v>0.70499999999999996</v>
          </cell>
        </row>
        <row r="146">
          <cell r="A146">
            <v>6</v>
          </cell>
          <cell r="B146" t="str">
            <v>LA structure</v>
          </cell>
          <cell r="C146">
            <v>3</v>
          </cell>
          <cell r="D146">
            <v>0.17100000000000001</v>
          </cell>
          <cell r="E146">
            <v>0.51300000000000001</v>
          </cell>
        </row>
        <row r="147">
          <cell r="A147">
            <v>7</v>
          </cell>
          <cell r="B147" t="str">
            <v>Post /Solid Core structure</v>
          </cell>
          <cell r="C147">
            <v>3</v>
          </cell>
          <cell r="D147">
            <v>0.20300000000000001</v>
          </cell>
          <cell r="E147">
            <v>0.60899999999999999</v>
          </cell>
        </row>
        <row r="148">
          <cell r="A148">
            <v>8</v>
          </cell>
          <cell r="B148" t="str">
            <v>Isolator structure</v>
          </cell>
          <cell r="C148">
            <v>3</v>
          </cell>
          <cell r="D148">
            <v>1.4419999999999999</v>
          </cell>
          <cell r="E148">
            <v>4.3259999999999996</v>
          </cell>
        </row>
        <row r="149">
          <cell r="A149">
            <v>9</v>
          </cell>
          <cell r="B149" t="str">
            <v>Coupling capacitor</v>
          </cell>
          <cell r="C149">
            <v>0</v>
          </cell>
          <cell r="D149">
            <v>0.17499999999999999</v>
          </cell>
          <cell r="E149">
            <v>0</v>
          </cell>
        </row>
        <row r="150">
          <cell r="A150">
            <v>10</v>
          </cell>
          <cell r="B150" t="str">
            <v>PT structure</v>
          </cell>
          <cell r="C150">
            <v>0</v>
          </cell>
          <cell r="D150">
            <v>0.22700000000000001</v>
          </cell>
          <cell r="E150">
            <v>0</v>
          </cell>
        </row>
        <row r="151">
          <cell r="A151">
            <v>10</v>
          </cell>
          <cell r="B151" t="str">
            <v>PT structure</v>
          </cell>
          <cell r="C151">
            <v>0</v>
          </cell>
          <cell r="D151">
            <v>0.22700000000000001</v>
          </cell>
          <cell r="E151">
            <v>0</v>
          </cell>
        </row>
        <row r="152">
          <cell r="B152" t="str">
            <v>SUB TOTAL (F-II)</v>
          </cell>
          <cell r="C152">
            <v>0</v>
          </cell>
          <cell r="D152">
            <v>0</v>
          </cell>
          <cell r="E152">
            <v>18.798999999999999</v>
          </cell>
        </row>
        <row r="153">
          <cell r="E153">
            <v>18.798999999999999</v>
          </cell>
        </row>
        <row r="154">
          <cell r="A154" t="str">
            <v>(F-III)</v>
          </cell>
          <cell r="B154" t="str">
            <v>33KV STRUCTURE</v>
          </cell>
        </row>
        <row r="155">
          <cell r="A155" t="str">
            <v>(F-III)</v>
          </cell>
          <cell r="B155" t="str">
            <v>33KV STRUCTURE</v>
          </cell>
        </row>
        <row r="156">
          <cell r="A156">
            <v>1</v>
          </cell>
          <cell r="B156" t="str">
            <v>Gantry Column</v>
          </cell>
          <cell r="C156">
            <v>2</v>
          </cell>
          <cell r="D156">
            <v>0.502</v>
          </cell>
          <cell r="E156">
            <v>1.004</v>
          </cell>
        </row>
        <row r="157">
          <cell r="A157">
            <v>2</v>
          </cell>
          <cell r="B157" t="str">
            <v>Gantry Beam</v>
          </cell>
          <cell r="C157">
            <v>2</v>
          </cell>
          <cell r="D157">
            <v>0.28999999999999998</v>
          </cell>
          <cell r="E157">
            <v>0.57999999999999996</v>
          </cell>
        </row>
        <row r="158">
          <cell r="A158">
            <v>3</v>
          </cell>
          <cell r="B158" t="str">
            <v>Main Busbar Structure</v>
          </cell>
          <cell r="C158">
            <v>1</v>
          </cell>
          <cell r="D158">
            <v>0.86899999999999999</v>
          </cell>
          <cell r="E158">
            <v>0.86899999999999999</v>
          </cell>
        </row>
        <row r="159">
          <cell r="A159">
            <v>4</v>
          </cell>
          <cell r="B159" t="str">
            <v>Aux.Busbar Structure</v>
          </cell>
          <cell r="C159">
            <v>0</v>
          </cell>
          <cell r="D159">
            <v>0.71199999999999997</v>
          </cell>
          <cell r="E159">
            <v>0</v>
          </cell>
        </row>
        <row r="160">
          <cell r="A160">
            <v>5</v>
          </cell>
          <cell r="B160" t="str">
            <v>CT Structure</v>
          </cell>
          <cell r="C160">
            <v>3</v>
          </cell>
          <cell r="D160">
            <v>0.1</v>
          </cell>
          <cell r="E160">
            <v>0.30000000000000004</v>
          </cell>
        </row>
        <row r="161">
          <cell r="A161">
            <v>6</v>
          </cell>
          <cell r="B161" t="str">
            <v>LA structure</v>
          </cell>
          <cell r="C161">
            <v>3</v>
          </cell>
          <cell r="D161">
            <v>0.1</v>
          </cell>
          <cell r="E161">
            <v>0.30000000000000004</v>
          </cell>
        </row>
        <row r="162">
          <cell r="A162">
            <v>7</v>
          </cell>
          <cell r="B162" t="str">
            <v>Isolator structure</v>
          </cell>
          <cell r="C162">
            <v>2</v>
          </cell>
          <cell r="D162">
            <v>0.35799999999999998</v>
          </cell>
          <cell r="E162">
            <v>0.71599999999999997</v>
          </cell>
        </row>
        <row r="163">
          <cell r="A163">
            <v>8</v>
          </cell>
          <cell r="B163" t="str">
            <v>PT structure</v>
          </cell>
          <cell r="C163">
            <v>0</v>
          </cell>
          <cell r="D163">
            <v>0.1</v>
          </cell>
          <cell r="E163">
            <v>0</v>
          </cell>
        </row>
        <row r="164">
          <cell r="A164">
            <v>9</v>
          </cell>
          <cell r="B164" t="str">
            <v>Post Insulator structure</v>
          </cell>
          <cell r="C164">
            <v>0</v>
          </cell>
          <cell r="D164">
            <v>0.1</v>
          </cell>
          <cell r="E164">
            <v>0</v>
          </cell>
        </row>
        <row r="165">
          <cell r="A165">
            <v>9</v>
          </cell>
          <cell r="B165" t="str">
            <v>Post Insulator structure</v>
          </cell>
          <cell r="C165">
            <v>0</v>
          </cell>
          <cell r="D165">
            <v>0.1</v>
          </cell>
          <cell r="E165">
            <v>0</v>
          </cell>
        </row>
        <row r="166">
          <cell r="B166" t="str">
            <v>SUB TOTAL (F-III)</v>
          </cell>
          <cell r="C166">
            <v>0</v>
          </cell>
          <cell r="D166">
            <v>0</v>
          </cell>
          <cell r="E166">
            <v>3.7690000000000001</v>
          </cell>
        </row>
        <row r="167">
          <cell r="G167" t="str">
            <v>LS</v>
          </cell>
        </row>
        <row r="168">
          <cell r="B168" t="str">
            <v>SUB TOTAL F(I)+F(II)+F(III)</v>
          </cell>
          <cell r="C168">
            <v>0</v>
          </cell>
          <cell r="D168">
            <v>0</v>
          </cell>
          <cell r="E168">
            <v>22.567999999999998</v>
          </cell>
        </row>
        <row r="169">
          <cell r="E169">
            <v>22.568000000000001</v>
          </cell>
        </row>
        <row r="170">
          <cell r="B170" t="str">
            <v>TOTAL  COST OF STEEL (F)</v>
          </cell>
          <cell r="C170">
            <v>22.567999999999998</v>
          </cell>
          <cell r="D170">
            <v>0.26096326530612241</v>
          </cell>
          <cell r="E170">
            <v>5.8894189714285696</v>
          </cell>
          <cell r="F170">
            <v>9.0938775510204083E-3</v>
          </cell>
          <cell r="G170">
            <v>0.20523062857142857</v>
          </cell>
          <cell r="H170">
            <v>0.27005714285714283</v>
          </cell>
          <cell r="I170">
            <v>6.0946495999999986</v>
          </cell>
        </row>
        <row r="171">
          <cell r="B171" t="str">
            <v>TOTAL  COST OF STEEL (F)</v>
          </cell>
          <cell r="C171">
            <v>22.568000000000001</v>
          </cell>
          <cell r="D171">
            <v>0.260963</v>
          </cell>
          <cell r="E171">
            <v>5.8894190000000002</v>
          </cell>
          <cell r="F171">
            <v>9.0939999999999997E-3</v>
          </cell>
          <cell r="G171">
            <v>0.205231</v>
          </cell>
          <cell r="H171">
            <v>0.27005699999999999</v>
          </cell>
          <cell r="I171">
            <v>6.0946499999999997</v>
          </cell>
        </row>
        <row r="172">
          <cell r="A172" t="str">
            <v>G</v>
          </cell>
          <cell r="B172" t="str">
            <v>BUSBAR, EARTHING MATERIAL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I173">
            <v>0</v>
          </cell>
        </row>
        <row r="174">
          <cell r="A174">
            <v>1</v>
          </cell>
          <cell r="B174" t="str">
            <v>Zebra conductor  (in Kms)</v>
          </cell>
          <cell r="C174">
            <v>1</v>
          </cell>
          <cell r="D174">
            <v>1.0555000000000001</v>
          </cell>
          <cell r="E174">
            <v>1.0555000000000001</v>
          </cell>
          <cell r="F174">
            <v>5.5100000000000003E-2</v>
          </cell>
          <cell r="G174">
            <v>5.5100000000000003E-2</v>
          </cell>
          <cell r="H174">
            <v>1.1106</v>
          </cell>
          <cell r="I174">
            <v>1.1106</v>
          </cell>
        </row>
        <row r="175">
          <cell r="A175">
            <v>2</v>
          </cell>
          <cell r="B175" t="str">
            <v>M.S.Flat for earthing/earthing rods (in MT)</v>
          </cell>
          <cell r="C175">
            <v>2</v>
          </cell>
          <cell r="D175">
            <v>0.21840000000000001</v>
          </cell>
          <cell r="E175">
            <v>0.43680000000000002</v>
          </cell>
          <cell r="F175">
            <v>8.2000000000000007E-3</v>
          </cell>
          <cell r="G175">
            <v>1.6400000000000001E-2</v>
          </cell>
          <cell r="H175">
            <v>0.22660000000000002</v>
          </cell>
          <cell r="I175">
            <v>0.45320000000000005</v>
          </cell>
        </row>
        <row r="176">
          <cell r="A176">
            <v>3</v>
          </cell>
          <cell r="B176" t="str">
            <v>Clamps &amp; Connectors</v>
          </cell>
          <cell r="C176">
            <v>40</v>
          </cell>
          <cell r="D176">
            <v>6.3E-3</v>
          </cell>
          <cell r="E176">
            <v>0.252</v>
          </cell>
          <cell r="F176">
            <v>1.6000000000000001E-3</v>
          </cell>
          <cell r="G176">
            <v>6.4000000000000001E-2</v>
          </cell>
          <cell r="H176">
            <v>7.9000000000000008E-3</v>
          </cell>
          <cell r="I176">
            <v>0.316</v>
          </cell>
        </row>
        <row r="177">
          <cell r="A177">
            <v>4</v>
          </cell>
          <cell r="B177" t="str">
            <v>Power &amp; Control Cable</v>
          </cell>
          <cell r="C177">
            <v>2.5</v>
          </cell>
          <cell r="D177">
            <v>0.38729999999999998</v>
          </cell>
          <cell r="E177">
            <v>0.96824999999999994</v>
          </cell>
          <cell r="F177">
            <v>1.0800000000000001E-2</v>
          </cell>
          <cell r="G177">
            <v>2.7000000000000003E-2</v>
          </cell>
          <cell r="H177">
            <v>0.39809999999999995</v>
          </cell>
          <cell r="I177">
            <v>0.99524999999999997</v>
          </cell>
        </row>
        <row r="178">
          <cell r="A178">
            <v>5</v>
          </cell>
          <cell r="B178" t="str">
            <v>Screening conductor</v>
          </cell>
          <cell r="C178" t="str">
            <v>LS</v>
          </cell>
          <cell r="D178">
            <v>0.2</v>
          </cell>
          <cell r="E178">
            <v>0.2</v>
          </cell>
          <cell r="F178">
            <v>0</v>
          </cell>
          <cell r="G178">
            <v>0</v>
          </cell>
          <cell r="H178" t="str">
            <v>LS</v>
          </cell>
          <cell r="I178">
            <v>0.2</v>
          </cell>
        </row>
        <row r="179">
          <cell r="A179">
            <v>6</v>
          </cell>
          <cell r="B179" t="str">
            <v>Junction Box etc. &amp; Misc.expendtirues</v>
          </cell>
          <cell r="C179" t="str">
            <v>LS</v>
          </cell>
          <cell r="D179">
            <v>0.5</v>
          </cell>
          <cell r="E179">
            <v>0.5</v>
          </cell>
          <cell r="F179">
            <v>0</v>
          </cell>
          <cell r="G179">
            <v>0</v>
          </cell>
          <cell r="H179" t="str">
            <v>LS</v>
          </cell>
          <cell r="I179">
            <v>0.5</v>
          </cell>
        </row>
        <row r="180">
          <cell r="A180">
            <v>7</v>
          </cell>
          <cell r="B180" t="str">
            <v>Fire fighting equipments</v>
          </cell>
          <cell r="C180" t="str">
            <v>LS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LS</v>
          </cell>
          <cell r="I180">
            <v>0</v>
          </cell>
        </row>
        <row r="181">
          <cell r="A181">
            <v>8</v>
          </cell>
          <cell r="B181" t="str">
            <v>Aluminium/Red Oxide Paint and Nut,Bolt,Washers &amp; other misc. material</v>
          </cell>
          <cell r="C181" t="str">
            <v>LS</v>
          </cell>
          <cell r="D181">
            <v>0</v>
          </cell>
          <cell r="E181">
            <v>0</v>
          </cell>
          <cell r="F181">
            <v>0.1</v>
          </cell>
          <cell r="G181">
            <v>0.1</v>
          </cell>
          <cell r="H181" t="str">
            <v>LS</v>
          </cell>
          <cell r="I181">
            <v>0.1</v>
          </cell>
        </row>
        <row r="182">
          <cell r="E182">
            <v>0</v>
          </cell>
          <cell r="F182">
            <v>0.1</v>
          </cell>
          <cell r="G182">
            <v>0.1</v>
          </cell>
          <cell r="H182" t="str">
            <v>LS</v>
          </cell>
          <cell r="I182">
            <v>0.1</v>
          </cell>
        </row>
        <row r="183">
          <cell r="B183" t="str">
            <v>SUB TOTAL (G)</v>
          </cell>
          <cell r="C183">
            <v>0</v>
          </cell>
          <cell r="D183">
            <v>0</v>
          </cell>
          <cell r="E183">
            <v>3.4125500000000004</v>
          </cell>
          <cell r="F183">
            <v>0</v>
          </cell>
          <cell r="G183">
            <v>0.26250000000000001</v>
          </cell>
          <cell r="H183">
            <v>0</v>
          </cell>
          <cell r="I183">
            <v>3.6750500000000001</v>
          </cell>
        </row>
        <row r="184">
          <cell r="I184">
            <v>3.6750500000000001</v>
          </cell>
        </row>
        <row r="185">
          <cell r="A185" t="str">
            <v>H</v>
          </cell>
          <cell r="B185" t="str">
            <v>AC/DC SUPPLY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I186">
            <v>0</v>
          </cell>
        </row>
        <row r="187">
          <cell r="A187">
            <v>1</v>
          </cell>
          <cell r="B187" t="str">
            <v>Station Transformer,200KVA,33/0.4KV</v>
          </cell>
          <cell r="C187">
            <v>0</v>
          </cell>
          <cell r="D187">
            <v>2.2999999999999998</v>
          </cell>
          <cell r="E187">
            <v>0</v>
          </cell>
          <cell r="F187">
            <v>0.50600000000000001</v>
          </cell>
          <cell r="G187">
            <v>0</v>
          </cell>
          <cell r="H187">
            <v>2.806</v>
          </cell>
          <cell r="I187">
            <v>0</v>
          </cell>
        </row>
        <row r="188">
          <cell r="A188">
            <v>2</v>
          </cell>
          <cell r="B188" t="str">
            <v>110Volt 300Ah battery</v>
          </cell>
          <cell r="C188">
            <v>0</v>
          </cell>
          <cell r="D188">
            <v>0.65</v>
          </cell>
          <cell r="E188">
            <v>0</v>
          </cell>
          <cell r="F188">
            <v>0.14299999999999999</v>
          </cell>
          <cell r="G188">
            <v>0</v>
          </cell>
          <cell r="H188">
            <v>0.79300000000000004</v>
          </cell>
          <cell r="I188">
            <v>0</v>
          </cell>
        </row>
        <row r="189">
          <cell r="A189">
            <v>3</v>
          </cell>
          <cell r="B189" t="str">
            <v>110Volt 300Ah Battery charger</v>
          </cell>
          <cell r="C189">
            <v>0</v>
          </cell>
          <cell r="D189">
            <v>1.2</v>
          </cell>
          <cell r="E189">
            <v>0</v>
          </cell>
          <cell r="F189">
            <v>0.26400000000000001</v>
          </cell>
          <cell r="G189">
            <v>0</v>
          </cell>
          <cell r="H189">
            <v>1.464</v>
          </cell>
          <cell r="I189">
            <v>0</v>
          </cell>
        </row>
        <row r="190">
          <cell r="A190">
            <v>4</v>
          </cell>
          <cell r="B190" t="str">
            <v>48Volt 300Ah Battery</v>
          </cell>
          <cell r="C190">
            <v>0</v>
          </cell>
          <cell r="D190">
            <v>0.65</v>
          </cell>
          <cell r="E190">
            <v>0</v>
          </cell>
          <cell r="F190">
            <v>0.14299999999999999</v>
          </cell>
          <cell r="G190">
            <v>0</v>
          </cell>
          <cell r="H190">
            <v>0.79300000000000004</v>
          </cell>
          <cell r="I190">
            <v>0</v>
          </cell>
        </row>
        <row r="191">
          <cell r="A191">
            <v>5</v>
          </cell>
          <cell r="B191" t="str">
            <v>48Volt 300Ah Battery charger</v>
          </cell>
          <cell r="C191">
            <v>0</v>
          </cell>
          <cell r="D191">
            <v>1.2</v>
          </cell>
          <cell r="E191">
            <v>0</v>
          </cell>
          <cell r="F191">
            <v>0.26400000000000001</v>
          </cell>
          <cell r="G191">
            <v>0</v>
          </cell>
          <cell r="H191">
            <v>1.464</v>
          </cell>
          <cell r="I191">
            <v>0</v>
          </cell>
        </row>
        <row r="192">
          <cell r="A192">
            <v>6</v>
          </cell>
          <cell r="B192" t="str">
            <v>AC/DC Distribution Boxes 415Volt</v>
          </cell>
          <cell r="C192">
            <v>0</v>
          </cell>
          <cell r="D192">
            <v>0</v>
          </cell>
          <cell r="E192">
            <v>0</v>
          </cell>
          <cell r="F192">
            <v>1.25</v>
          </cell>
          <cell r="G192">
            <v>0</v>
          </cell>
          <cell r="H192">
            <v>1.25</v>
          </cell>
          <cell r="I192">
            <v>0</v>
          </cell>
        </row>
        <row r="193">
          <cell r="A193">
            <v>7</v>
          </cell>
          <cell r="B193" t="str">
            <v>Arrangement of Lighting in S/s</v>
          </cell>
          <cell r="C193" t="str">
            <v>LS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 t="str">
            <v>LS</v>
          </cell>
          <cell r="I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 t="str">
            <v>LS</v>
          </cell>
          <cell r="I194">
            <v>0</v>
          </cell>
        </row>
        <row r="195">
          <cell r="B195" t="str">
            <v>SUB TOTAL (H)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I196">
            <v>0</v>
          </cell>
        </row>
        <row r="197">
          <cell r="A197" t="str">
            <v>I</v>
          </cell>
          <cell r="B197" t="str">
            <v>CIVIL WORKS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>
            <v>0</v>
          </cell>
          <cell r="B198" t="str">
            <v xml:space="preserve">Foundation work of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I199">
            <v>0</v>
          </cell>
        </row>
        <row r="200">
          <cell r="A200">
            <v>1</v>
          </cell>
          <cell r="B200" t="str">
            <v>Gantry Column(AGT)</v>
          </cell>
          <cell r="C200">
            <v>0</v>
          </cell>
          <cell r="D200">
            <v>0</v>
          </cell>
          <cell r="E200">
            <v>0</v>
          </cell>
          <cell r="F200">
            <v>0.28000000000000003</v>
          </cell>
          <cell r="G200">
            <v>0</v>
          </cell>
          <cell r="H200">
            <v>0.28000000000000003</v>
          </cell>
          <cell r="I200">
            <v>0</v>
          </cell>
        </row>
        <row r="201">
          <cell r="A201">
            <v>2</v>
          </cell>
          <cell r="B201" t="str">
            <v>Gantry Column(AAGT)</v>
          </cell>
          <cell r="C201">
            <v>0</v>
          </cell>
          <cell r="D201">
            <v>0</v>
          </cell>
          <cell r="E201">
            <v>0</v>
          </cell>
          <cell r="F201">
            <v>0.28000000000000003</v>
          </cell>
          <cell r="G201">
            <v>0</v>
          </cell>
          <cell r="H201">
            <v>0.28000000000000003</v>
          </cell>
          <cell r="I201">
            <v>0</v>
          </cell>
        </row>
        <row r="202">
          <cell r="A202">
            <v>3</v>
          </cell>
          <cell r="B202" t="str">
            <v>220KV Main Busbar</v>
          </cell>
          <cell r="C202">
            <v>0</v>
          </cell>
          <cell r="D202">
            <v>0</v>
          </cell>
          <cell r="E202">
            <v>0</v>
          </cell>
          <cell r="F202">
            <v>0.191</v>
          </cell>
          <cell r="G202">
            <v>0</v>
          </cell>
          <cell r="H202">
            <v>0.191</v>
          </cell>
          <cell r="I202">
            <v>0</v>
          </cell>
        </row>
        <row r="203">
          <cell r="A203">
            <v>4</v>
          </cell>
          <cell r="B203" t="str">
            <v xml:space="preserve">220KV Aux.Busbar </v>
          </cell>
          <cell r="C203">
            <v>0</v>
          </cell>
          <cell r="D203">
            <v>0</v>
          </cell>
          <cell r="E203">
            <v>0</v>
          </cell>
          <cell r="F203">
            <v>0.21</v>
          </cell>
          <cell r="G203">
            <v>0</v>
          </cell>
          <cell r="H203">
            <v>0.21</v>
          </cell>
          <cell r="I203">
            <v>0</v>
          </cell>
        </row>
        <row r="204">
          <cell r="A204">
            <v>5</v>
          </cell>
          <cell r="B204" t="str">
            <v>220KV Isolator</v>
          </cell>
          <cell r="C204">
            <v>0</v>
          </cell>
          <cell r="D204">
            <v>0</v>
          </cell>
          <cell r="E204">
            <v>0</v>
          </cell>
          <cell r="F204">
            <v>0.16500000000000001</v>
          </cell>
          <cell r="G204">
            <v>0</v>
          </cell>
          <cell r="H204">
            <v>0.16500000000000001</v>
          </cell>
          <cell r="I204">
            <v>0</v>
          </cell>
        </row>
        <row r="205">
          <cell r="A205">
            <v>6</v>
          </cell>
          <cell r="B205" t="str">
            <v>220KV CB</v>
          </cell>
          <cell r="C205">
            <v>0</v>
          </cell>
          <cell r="D205">
            <v>0</v>
          </cell>
          <cell r="E205">
            <v>0</v>
          </cell>
          <cell r="F205">
            <v>0.311</v>
          </cell>
          <cell r="G205">
            <v>0</v>
          </cell>
          <cell r="H205">
            <v>0.311</v>
          </cell>
          <cell r="I205">
            <v>0</v>
          </cell>
        </row>
        <row r="206">
          <cell r="A206">
            <v>7</v>
          </cell>
          <cell r="B206" t="str">
            <v>220KV CT</v>
          </cell>
          <cell r="C206">
            <v>0</v>
          </cell>
          <cell r="D206">
            <v>0</v>
          </cell>
          <cell r="E206">
            <v>0</v>
          </cell>
          <cell r="F206">
            <v>0.05</v>
          </cell>
          <cell r="G206">
            <v>0</v>
          </cell>
          <cell r="H206">
            <v>0.05</v>
          </cell>
          <cell r="I206">
            <v>0</v>
          </cell>
        </row>
        <row r="207">
          <cell r="A207">
            <v>8</v>
          </cell>
          <cell r="B207" t="str">
            <v>220KV CVT/PT</v>
          </cell>
          <cell r="C207">
            <v>0</v>
          </cell>
          <cell r="D207">
            <v>0</v>
          </cell>
          <cell r="E207">
            <v>0</v>
          </cell>
          <cell r="F207">
            <v>0.05</v>
          </cell>
          <cell r="G207">
            <v>0</v>
          </cell>
          <cell r="H207">
            <v>0.05</v>
          </cell>
          <cell r="I207">
            <v>0</v>
          </cell>
        </row>
        <row r="208">
          <cell r="A208">
            <v>9</v>
          </cell>
          <cell r="B208" t="str">
            <v>220KV LA</v>
          </cell>
          <cell r="C208">
            <v>0</v>
          </cell>
          <cell r="D208">
            <v>0</v>
          </cell>
          <cell r="E208">
            <v>0</v>
          </cell>
          <cell r="F208">
            <v>2.5000000000000001E-2</v>
          </cell>
          <cell r="G208">
            <v>0</v>
          </cell>
          <cell r="H208">
            <v>2.5000000000000001E-2</v>
          </cell>
          <cell r="I208">
            <v>0</v>
          </cell>
        </row>
        <row r="209">
          <cell r="A209">
            <v>10</v>
          </cell>
          <cell r="B209" t="str">
            <v>220KV Post/Solid Core Insulators</v>
          </cell>
          <cell r="C209">
            <v>0</v>
          </cell>
          <cell r="D209">
            <v>0</v>
          </cell>
          <cell r="E209">
            <v>0</v>
          </cell>
          <cell r="F209">
            <v>0.06</v>
          </cell>
          <cell r="G209">
            <v>0</v>
          </cell>
          <cell r="H209">
            <v>0.06</v>
          </cell>
          <cell r="I209">
            <v>0</v>
          </cell>
        </row>
        <row r="210">
          <cell r="A210">
            <v>11</v>
          </cell>
          <cell r="B210" t="str">
            <v>160MVA transformer</v>
          </cell>
          <cell r="C210">
            <v>0</v>
          </cell>
          <cell r="D210">
            <v>0</v>
          </cell>
          <cell r="E210">
            <v>0</v>
          </cell>
          <cell r="F210">
            <v>0.54</v>
          </cell>
          <cell r="G210">
            <v>0</v>
          </cell>
          <cell r="H210">
            <v>0.54</v>
          </cell>
          <cell r="I210">
            <v>0</v>
          </cell>
        </row>
        <row r="211">
          <cell r="A211">
            <v>12</v>
          </cell>
          <cell r="B211" t="str">
            <v>40MVA transformer</v>
          </cell>
          <cell r="C211">
            <v>1</v>
          </cell>
          <cell r="D211">
            <v>0</v>
          </cell>
          <cell r="E211">
            <v>0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</row>
        <row r="212">
          <cell r="A212">
            <v>13</v>
          </cell>
          <cell r="B212" t="str">
            <v>132KV Gantry</v>
          </cell>
          <cell r="C212">
            <v>4</v>
          </cell>
          <cell r="D212">
            <v>0</v>
          </cell>
          <cell r="E212">
            <v>0</v>
          </cell>
          <cell r="F212">
            <v>0.3</v>
          </cell>
          <cell r="G212">
            <v>1.2</v>
          </cell>
          <cell r="H212">
            <v>0.3</v>
          </cell>
          <cell r="I212">
            <v>1.2</v>
          </cell>
        </row>
        <row r="213">
          <cell r="A213">
            <v>14</v>
          </cell>
          <cell r="B213" t="str">
            <v xml:space="preserve">132KV main busbar foundation </v>
          </cell>
          <cell r="C213">
            <v>1</v>
          </cell>
          <cell r="D213">
            <v>0</v>
          </cell>
          <cell r="E213">
            <v>0</v>
          </cell>
          <cell r="F213">
            <v>0.16500000000000001</v>
          </cell>
          <cell r="G213">
            <v>0.16500000000000001</v>
          </cell>
          <cell r="H213">
            <v>0.16500000000000001</v>
          </cell>
          <cell r="I213">
            <v>0.16500000000000001</v>
          </cell>
        </row>
        <row r="214">
          <cell r="A214">
            <v>15</v>
          </cell>
          <cell r="B214" t="str">
            <v>132KV aux.busbar foundation</v>
          </cell>
          <cell r="C214">
            <v>0</v>
          </cell>
          <cell r="D214">
            <v>0</v>
          </cell>
          <cell r="E214">
            <v>0</v>
          </cell>
          <cell r="F214">
            <v>0.121</v>
          </cell>
          <cell r="G214">
            <v>0</v>
          </cell>
          <cell r="H214">
            <v>0.121</v>
          </cell>
          <cell r="I214">
            <v>0</v>
          </cell>
        </row>
        <row r="215">
          <cell r="A215">
            <v>16</v>
          </cell>
          <cell r="B215" t="str">
            <v>132KV Isolator</v>
          </cell>
          <cell r="C215">
            <v>3</v>
          </cell>
          <cell r="D215">
            <v>0</v>
          </cell>
          <cell r="E215">
            <v>0</v>
          </cell>
          <cell r="F215">
            <v>6.7000000000000004E-2</v>
          </cell>
          <cell r="G215">
            <v>0.20100000000000001</v>
          </cell>
          <cell r="H215">
            <v>6.7000000000000004E-2</v>
          </cell>
          <cell r="I215">
            <v>0.20100000000000001</v>
          </cell>
        </row>
        <row r="216">
          <cell r="A216">
            <v>17</v>
          </cell>
          <cell r="B216" t="str">
            <v>132kv Solid Core Insulator</v>
          </cell>
          <cell r="C216">
            <v>3</v>
          </cell>
          <cell r="D216">
            <v>0</v>
          </cell>
          <cell r="E216">
            <v>0</v>
          </cell>
          <cell r="F216">
            <v>1.0999999999999999E-2</v>
          </cell>
          <cell r="G216">
            <v>3.3000000000000002E-2</v>
          </cell>
          <cell r="H216">
            <v>1.0999999999999999E-2</v>
          </cell>
          <cell r="I216">
            <v>3.3000000000000002E-2</v>
          </cell>
        </row>
        <row r="217">
          <cell r="A217">
            <v>18</v>
          </cell>
          <cell r="B217" t="str">
            <v>132KV CB</v>
          </cell>
          <cell r="C217">
            <v>1</v>
          </cell>
          <cell r="D217">
            <v>0</v>
          </cell>
          <cell r="E217">
            <v>0</v>
          </cell>
          <cell r="F217">
            <v>0.30499999999999999</v>
          </cell>
          <cell r="G217">
            <v>0.30499999999999999</v>
          </cell>
          <cell r="H217">
            <v>0.30499999999999999</v>
          </cell>
          <cell r="I217">
            <v>0.30499999999999999</v>
          </cell>
        </row>
        <row r="218">
          <cell r="A218">
            <v>19</v>
          </cell>
          <cell r="B218" t="str">
            <v>132KV CT</v>
          </cell>
          <cell r="C218">
            <v>3</v>
          </cell>
          <cell r="D218">
            <v>0</v>
          </cell>
          <cell r="E218">
            <v>0</v>
          </cell>
          <cell r="F218">
            <v>1.0999999999999999E-2</v>
          </cell>
          <cell r="G218">
            <v>3.3000000000000002E-2</v>
          </cell>
          <cell r="H218">
            <v>1.0999999999999999E-2</v>
          </cell>
          <cell r="I218">
            <v>3.3000000000000002E-2</v>
          </cell>
        </row>
        <row r="219">
          <cell r="A219">
            <v>20</v>
          </cell>
          <cell r="B219" t="str">
            <v>132KV LA</v>
          </cell>
          <cell r="C219">
            <v>3</v>
          </cell>
          <cell r="D219">
            <v>0</v>
          </cell>
          <cell r="E219">
            <v>0</v>
          </cell>
          <cell r="F219">
            <v>2.1000000000000001E-2</v>
          </cell>
          <cell r="G219">
            <v>6.3E-2</v>
          </cell>
          <cell r="H219">
            <v>2.1000000000000001E-2</v>
          </cell>
          <cell r="I219">
            <v>6.3E-2</v>
          </cell>
        </row>
        <row r="220">
          <cell r="A220">
            <v>21</v>
          </cell>
          <cell r="B220" t="str">
            <v>132KV PT</v>
          </cell>
          <cell r="C220">
            <v>0</v>
          </cell>
          <cell r="D220">
            <v>0</v>
          </cell>
          <cell r="E220">
            <v>0</v>
          </cell>
          <cell r="F220">
            <v>0.03</v>
          </cell>
          <cell r="G220">
            <v>0</v>
          </cell>
          <cell r="H220">
            <v>0.03</v>
          </cell>
          <cell r="I220">
            <v>0</v>
          </cell>
        </row>
        <row r="221">
          <cell r="A221">
            <v>22</v>
          </cell>
          <cell r="B221" t="str">
            <v>132KV CC</v>
          </cell>
          <cell r="C221">
            <v>0</v>
          </cell>
          <cell r="D221">
            <v>0</v>
          </cell>
          <cell r="E221">
            <v>0</v>
          </cell>
          <cell r="F221">
            <v>2.1000000000000001E-2</v>
          </cell>
          <cell r="G221">
            <v>0</v>
          </cell>
          <cell r="H221">
            <v>2.1000000000000001E-2</v>
          </cell>
          <cell r="I221">
            <v>0</v>
          </cell>
        </row>
        <row r="222">
          <cell r="A222">
            <v>23</v>
          </cell>
          <cell r="B222" t="str">
            <v xml:space="preserve">33KV Gantry </v>
          </cell>
          <cell r="C222">
            <v>2</v>
          </cell>
          <cell r="D222">
            <v>0</v>
          </cell>
          <cell r="E222">
            <v>0</v>
          </cell>
          <cell r="F222">
            <v>0.12</v>
          </cell>
          <cell r="G222">
            <v>0.24</v>
          </cell>
          <cell r="H222">
            <v>0.12</v>
          </cell>
          <cell r="I222">
            <v>0.24</v>
          </cell>
        </row>
        <row r="223">
          <cell r="A223">
            <v>24</v>
          </cell>
          <cell r="B223" t="str">
            <v>33KV main/aux. Busbar</v>
          </cell>
          <cell r="C223">
            <v>1</v>
          </cell>
          <cell r="D223">
            <v>0</v>
          </cell>
          <cell r="E223">
            <v>0</v>
          </cell>
          <cell r="F223">
            <v>0.34</v>
          </cell>
          <cell r="G223">
            <v>0.34</v>
          </cell>
          <cell r="H223">
            <v>0.34</v>
          </cell>
          <cell r="I223">
            <v>0.34</v>
          </cell>
        </row>
        <row r="224">
          <cell r="A224">
            <v>25</v>
          </cell>
          <cell r="B224" t="str">
            <v>33KV CB</v>
          </cell>
          <cell r="C224">
            <v>1</v>
          </cell>
          <cell r="D224">
            <v>0</v>
          </cell>
          <cell r="E224">
            <v>0</v>
          </cell>
          <cell r="F224">
            <v>5.5E-2</v>
          </cell>
          <cell r="G224">
            <v>5.5E-2</v>
          </cell>
          <cell r="H224">
            <v>5.5E-2</v>
          </cell>
          <cell r="I224">
            <v>5.5E-2</v>
          </cell>
        </row>
        <row r="225">
          <cell r="A225">
            <v>26</v>
          </cell>
          <cell r="B225" t="str">
            <v>33KV CT/PT/LA/PI</v>
          </cell>
          <cell r="C225">
            <v>6</v>
          </cell>
          <cell r="D225">
            <v>0</v>
          </cell>
          <cell r="E225">
            <v>0</v>
          </cell>
          <cell r="F225">
            <v>1.4999999999999999E-2</v>
          </cell>
          <cell r="G225">
            <v>0.09</v>
          </cell>
          <cell r="H225">
            <v>1.4999999999999999E-2</v>
          </cell>
          <cell r="I225">
            <v>0.09</v>
          </cell>
        </row>
        <row r="226">
          <cell r="A226">
            <v>27</v>
          </cell>
          <cell r="B226" t="str">
            <v>33KV Isolator</v>
          </cell>
          <cell r="C226">
            <v>2</v>
          </cell>
          <cell r="D226">
            <v>0</v>
          </cell>
          <cell r="E226">
            <v>0</v>
          </cell>
          <cell r="F226">
            <v>5.0999999999999997E-2</v>
          </cell>
          <cell r="G226">
            <v>0.10199999999999999</v>
          </cell>
          <cell r="H226">
            <v>5.0999999999999997E-2</v>
          </cell>
          <cell r="I226">
            <v>0.10199999999999999</v>
          </cell>
        </row>
        <row r="227">
          <cell r="A227">
            <v>28</v>
          </cell>
          <cell r="B227" t="str">
            <v>Control room type-V</v>
          </cell>
          <cell r="C227">
            <v>0</v>
          </cell>
          <cell r="D227">
            <v>0</v>
          </cell>
          <cell r="E227">
            <v>0</v>
          </cell>
          <cell r="F227">
            <v>15</v>
          </cell>
          <cell r="G227">
            <v>0</v>
          </cell>
          <cell r="H227">
            <v>15</v>
          </cell>
          <cell r="I227">
            <v>0</v>
          </cell>
        </row>
        <row r="228">
          <cell r="A228">
            <v>29</v>
          </cell>
          <cell r="B228" t="str">
            <v>Yard levelling,metalling &amp; misc. civil work</v>
          </cell>
          <cell r="C228" t="str">
            <v>LS</v>
          </cell>
          <cell r="D228">
            <v>0</v>
          </cell>
          <cell r="E228">
            <v>0</v>
          </cell>
          <cell r="F228">
            <v>0.5</v>
          </cell>
          <cell r="G228">
            <v>0.5</v>
          </cell>
          <cell r="H228" t="str">
            <v>LS</v>
          </cell>
          <cell r="I228">
            <v>0.5</v>
          </cell>
        </row>
        <row r="229">
          <cell r="A229">
            <v>30</v>
          </cell>
          <cell r="B229" t="str">
            <v>Water supply arrangement including overhead tank etc.</v>
          </cell>
          <cell r="C229" t="str">
            <v>LS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 t="str">
            <v>LS</v>
          </cell>
          <cell r="I229">
            <v>0</v>
          </cell>
        </row>
        <row r="230">
          <cell r="A230">
            <v>31</v>
          </cell>
          <cell r="B230" t="str">
            <v>Earth pits</v>
          </cell>
          <cell r="C230" t="str">
            <v>LS</v>
          </cell>
          <cell r="D230">
            <v>0</v>
          </cell>
          <cell r="E230">
            <v>0</v>
          </cell>
          <cell r="F230">
            <v>0.2</v>
          </cell>
          <cell r="G230">
            <v>0.2</v>
          </cell>
          <cell r="H230" t="str">
            <v>LS</v>
          </cell>
          <cell r="I230">
            <v>0.2</v>
          </cell>
        </row>
        <row r="231">
          <cell r="A231">
            <v>32</v>
          </cell>
          <cell r="B231" t="str">
            <v>Four bay constn.shed</v>
          </cell>
          <cell r="C231">
            <v>0</v>
          </cell>
          <cell r="D231">
            <v>0</v>
          </cell>
          <cell r="E231">
            <v>0</v>
          </cell>
          <cell r="F231">
            <v>4.37</v>
          </cell>
          <cell r="G231">
            <v>0</v>
          </cell>
          <cell r="H231">
            <v>4.37</v>
          </cell>
          <cell r="I231">
            <v>0</v>
          </cell>
        </row>
        <row r="232">
          <cell r="A232">
            <v>33</v>
          </cell>
          <cell r="B232" t="str">
            <v>Cable Trenches</v>
          </cell>
          <cell r="C232" t="str">
            <v>LS</v>
          </cell>
          <cell r="D232">
            <v>0</v>
          </cell>
          <cell r="E232">
            <v>0</v>
          </cell>
          <cell r="F232">
            <v>1.5</v>
          </cell>
          <cell r="G232">
            <v>1.5</v>
          </cell>
          <cell r="H232" t="str">
            <v>LS</v>
          </cell>
          <cell r="I232">
            <v>1.5</v>
          </cell>
        </row>
        <row r="233">
          <cell r="A233">
            <v>34</v>
          </cell>
          <cell r="B233" t="str">
            <v>Internal Colony Road</v>
          </cell>
          <cell r="C233" t="str">
            <v>LS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LS</v>
          </cell>
          <cell r="I233">
            <v>0</v>
          </cell>
        </row>
        <row r="234">
          <cell r="A234">
            <v>35</v>
          </cell>
          <cell r="B234" t="str">
            <v>Yard &amp; area fencing</v>
          </cell>
          <cell r="C234" t="str">
            <v>LS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LS</v>
          </cell>
          <cell r="I234">
            <v>0</v>
          </cell>
        </row>
        <row r="235">
          <cell r="A235">
            <v>36</v>
          </cell>
          <cell r="B235" t="str">
            <v>Staff quarter</v>
          </cell>
          <cell r="C235" t="str">
            <v>LS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LS</v>
          </cell>
          <cell r="I235">
            <v>0</v>
          </cell>
        </row>
        <row r="236">
          <cell r="A236">
            <v>37</v>
          </cell>
          <cell r="B236" t="str">
            <v>Rail Track</v>
          </cell>
          <cell r="C236" t="str">
            <v>LS</v>
          </cell>
          <cell r="D236">
            <v>0</v>
          </cell>
          <cell r="E236">
            <v>0</v>
          </cell>
          <cell r="F236">
            <v>1</v>
          </cell>
          <cell r="G236">
            <v>1</v>
          </cell>
          <cell r="H236" t="str">
            <v>LS</v>
          </cell>
          <cell r="I236">
            <v>1</v>
          </cell>
        </row>
        <row r="237">
          <cell r="A237">
            <v>38</v>
          </cell>
          <cell r="B237" t="str">
            <v>Station transformer foundation</v>
          </cell>
          <cell r="C237">
            <v>0</v>
          </cell>
          <cell r="D237">
            <v>0</v>
          </cell>
          <cell r="E237">
            <v>0</v>
          </cell>
          <cell r="F237">
            <v>0.30099999999999999</v>
          </cell>
          <cell r="G237">
            <v>0</v>
          </cell>
          <cell r="H237">
            <v>0.30099999999999999</v>
          </cell>
          <cell r="I237">
            <v>0</v>
          </cell>
        </row>
        <row r="238">
          <cell r="A238">
            <v>39</v>
          </cell>
          <cell r="B238" t="str">
            <v>Flag stone flooring &amp; Misc. civil works</v>
          </cell>
          <cell r="C238" t="str">
            <v>LS</v>
          </cell>
          <cell r="D238">
            <v>0</v>
          </cell>
          <cell r="E238">
            <v>0</v>
          </cell>
          <cell r="F238">
            <v>0.5</v>
          </cell>
          <cell r="G238">
            <v>0.5</v>
          </cell>
          <cell r="H238" t="str">
            <v>LS</v>
          </cell>
          <cell r="I238">
            <v>0.5</v>
          </cell>
        </row>
        <row r="239">
          <cell r="E239">
            <v>0</v>
          </cell>
          <cell r="F239">
            <v>0.5</v>
          </cell>
          <cell r="G239">
            <v>0.5</v>
          </cell>
          <cell r="H239" t="str">
            <v>LS</v>
          </cell>
          <cell r="I239">
            <v>0.5</v>
          </cell>
        </row>
        <row r="240">
          <cell r="A240">
            <v>0</v>
          </cell>
          <cell r="B240" t="str">
            <v>SUB TOTAL (I)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7.0570000000000004</v>
          </cell>
          <cell r="H240">
            <v>0</v>
          </cell>
          <cell r="I240">
            <v>7.0570000000000004</v>
          </cell>
        </row>
        <row r="241">
          <cell r="I241">
            <v>7.0570000000000004</v>
          </cell>
        </row>
        <row r="242">
          <cell r="A242" t="str">
            <v>J</v>
          </cell>
          <cell r="B242" t="str">
            <v>ERECTION,TESTING &amp; COMMISSIONING ETC.</v>
          </cell>
        </row>
        <row r="243">
          <cell r="A243" t="str">
            <v>J</v>
          </cell>
          <cell r="B243" t="str">
            <v>ERECTION,TESTING &amp; COMMISSIONING ETC.</v>
          </cell>
        </row>
        <row r="244">
          <cell r="A244">
            <v>1</v>
          </cell>
          <cell r="B244" t="str">
            <v>160MVA Transformer</v>
          </cell>
          <cell r="C244">
            <v>0</v>
          </cell>
          <cell r="D244">
            <v>0</v>
          </cell>
          <cell r="E244">
            <v>0</v>
          </cell>
          <cell r="F244">
            <v>1.24</v>
          </cell>
          <cell r="G244">
            <v>0</v>
          </cell>
          <cell r="H244">
            <v>1.24</v>
          </cell>
          <cell r="I244">
            <v>0</v>
          </cell>
        </row>
        <row r="245">
          <cell r="A245">
            <v>2</v>
          </cell>
          <cell r="B245" t="str">
            <v>40MVA transformer</v>
          </cell>
          <cell r="C245">
            <v>1</v>
          </cell>
          <cell r="D245">
            <v>0</v>
          </cell>
          <cell r="E245">
            <v>0</v>
          </cell>
          <cell r="F245">
            <v>0.97</v>
          </cell>
          <cell r="G245">
            <v>0.97</v>
          </cell>
          <cell r="H245">
            <v>0.97</v>
          </cell>
          <cell r="I245">
            <v>0.97</v>
          </cell>
        </row>
        <row r="246">
          <cell r="A246">
            <v>3</v>
          </cell>
          <cell r="B246" t="str">
            <v>220KV CB</v>
          </cell>
          <cell r="C246">
            <v>0</v>
          </cell>
          <cell r="D246">
            <v>0</v>
          </cell>
          <cell r="E246">
            <v>0</v>
          </cell>
          <cell r="F246">
            <v>0.2</v>
          </cell>
          <cell r="G246">
            <v>0</v>
          </cell>
          <cell r="H246">
            <v>0.2</v>
          </cell>
          <cell r="I246">
            <v>0</v>
          </cell>
        </row>
        <row r="247">
          <cell r="A247">
            <v>4</v>
          </cell>
          <cell r="B247" t="str">
            <v>220KV CT</v>
          </cell>
          <cell r="C247">
            <v>0</v>
          </cell>
          <cell r="D247">
            <v>0</v>
          </cell>
          <cell r="E247">
            <v>0</v>
          </cell>
          <cell r="F247">
            <v>4.1000000000000002E-2</v>
          </cell>
          <cell r="G247">
            <v>0</v>
          </cell>
          <cell r="H247">
            <v>4.1000000000000002E-2</v>
          </cell>
          <cell r="I247">
            <v>0</v>
          </cell>
        </row>
        <row r="248">
          <cell r="A248">
            <v>5</v>
          </cell>
          <cell r="B248" t="str">
            <v>220KV Isolator</v>
          </cell>
          <cell r="C248">
            <v>0</v>
          </cell>
          <cell r="D248">
            <v>0</v>
          </cell>
          <cell r="E248">
            <v>0</v>
          </cell>
          <cell r="F248">
            <v>0.09</v>
          </cell>
          <cell r="G248">
            <v>0</v>
          </cell>
          <cell r="H248">
            <v>0.09</v>
          </cell>
          <cell r="I248">
            <v>0</v>
          </cell>
        </row>
        <row r="249">
          <cell r="A249">
            <v>6</v>
          </cell>
          <cell r="B249" t="str">
            <v>220KV LA</v>
          </cell>
          <cell r="C249">
            <v>0</v>
          </cell>
          <cell r="D249">
            <v>0</v>
          </cell>
          <cell r="E249">
            <v>0</v>
          </cell>
          <cell r="F249">
            <v>2.5000000000000001E-2</v>
          </cell>
          <cell r="G249">
            <v>0</v>
          </cell>
          <cell r="H249">
            <v>2.5000000000000001E-2</v>
          </cell>
          <cell r="I249">
            <v>0</v>
          </cell>
        </row>
        <row r="250">
          <cell r="A250">
            <v>7</v>
          </cell>
          <cell r="B250" t="str">
            <v>220KV PT/CVT</v>
          </cell>
          <cell r="C250">
            <v>0</v>
          </cell>
          <cell r="D250">
            <v>0</v>
          </cell>
          <cell r="E250">
            <v>0</v>
          </cell>
          <cell r="F250">
            <v>0.04</v>
          </cell>
          <cell r="G250">
            <v>0</v>
          </cell>
          <cell r="H250">
            <v>0.04</v>
          </cell>
          <cell r="I250">
            <v>0</v>
          </cell>
        </row>
        <row r="251">
          <cell r="A251">
            <v>8</v>
          </cell>
          <cell r="B251" t="str">
            <v>220KV C&amp;R Panel</v>
          </cell>
          <cell r="C251">
            <v>0</v>
          </cell>
          <cell r="D251">
            <v>0</v>
          </cell>
          <cell r="E251">
            <v>0</v>
          </cell>
          <cell r="F251">
            <v>0.18</v>
          </cell>
          <cell r="G251">
            <v>0</v>
          </cell>
          <cell r="H251">
            <v>0.18</v>
          </cell>
          <cell r="I251">
            <v>0</v>
          </cell>
        </row>
        <row r="252">
          <cell r="A252">
            <v>9</v>
          </cell>
          <cell r="B252" t="str">
            <v>220/132/33KV Gantries,Busbar equip.structure erection(in MT)</v>
          </cell>
          <cell r="C252">
            <v>22.567999999999998</v>
          </cell>
          <cell r="D252">
            <v>0</v>
          </cell>
          <cell r="E252">
            <v>0</v>
          </cell>
          <cell r="F252">
            <v>2.5000000000000001E-2</v>
          </cell>
          <cell r="G252">
            <v>0.56419999999999992</v>
          </cell>
          <cell r="H252">
            <v>2.5000000000000001E-2</v>
          </cell>
          <cell r="I252">
            <v>0.56419999999999992</v>
          </cell>
        </row>
        <row r="253">
          <cell r="A253">
            <v>10</v>
          </cell>
          <cell r="B253" t="str">
            <v>PLCC equipments</v>
          </cell>
          <cell r="C253" t="str">
            <v>LS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 t="str">
            <v>LS</v>
          </cell>
          <cell r="I253">
            <v>0</v>
          </cell>
        </row>
        <row r="254">
          <cell r="A254">
            <v>11</v>
          </cell>
          <cell r="B254" t="str">
            <v>220KV PI/Solid Core Insulators</v>
          </cell>
          <cell r="C254">
            <v>0</v>
          </cell>
          <cell r="D254">
            <v>0</v>
          </cell>
          <cell r="E254">
            <v>0</v>
          </cell>
          <cell r="F254">
            <v>7.0000000000000001E-3</v>
          </cell>
          <cell r="G254">
            <v>0</v>
          </cell>
          <cell r="H254">
            <v>7.0000000000000001E-3</v>
          </cell>
          <cell r="I254">
            <v>0</v>
          </cell>
        </row>
        <row r="255">
          <cell r="A255">
            <v>12</v>
          </cell>
          <cell r="B255" t="str">
            <v>220KV wave trap</v>
          </cell>
          <cell r="C255">
            <v>0</v>
          </cell>
          <cell r="D255">
            <v>0</v>
          </cell>
          <cell r="E255">
            <v>0</v>
          </cell>
          <cell r="F255">
            <v>0.04</v>
          </cell>
          <cell r="G255">
            <v>0</v>
          </cell>
          <cell r="H255">
            <v>0.04</v>
          </cell>
          <cell r="I255">
            <v>0</v>
          </cell>
        </row>
        <row r="256">
          <cell r="A256">
            <v>13</v>
          </cell>
          <cell r="B256" t="str">
            <v>132KV CC</v>
          </cell>
          <cell r="C256">
            <v>0</v>
          </cell>
          <cell r="D256">
            <v>0</v>
          </cell>
          <cell r="E256">
            <v>0</v>
          </cell>
          <cell r="F256">
            <v>3.4000000000000002E-2</v>
          </cell>
          <cell r="G256">
            <v>0</v>
          </cell>
          <cell r="H256">
            <v>3.4000000000000002E-2</v>
          </cell>
          <cell r="I256">
            <v>0</v>
          </cell>
        </row>
        <row r="257">
          <cell r="A257">
            <v>14</v>
          </cell>
          <cell r="B257" t="str">
            <v>132KV CB</v>
          </cell>
          <cell r="C257">
            <v>1</v>
          </cell>
          <cell r="D257">
            <v>0</v>
          </cell>
          <cell r="E257">
            <v>0</v>
          </cell>
          <cell r="F257">
            <v>0.16</v>
          </cell>
          <cell r="G257">
            <v>0.16</v>
          </cell>
          <cell r="H257">
            <v>0.16</v>
          </cell>
          <cell r="I257">
            <v>0.16</v>
          </cell>
        </row>
        <row r="258">
          <cell r="A258">
            <v>15</v>
          </cell>
          <cell r="B258" t="str">
            <v>132KV CT</v>
          </cell>
          <cell r="C258">
            <v>3</v>
          </cell>
          <cell r="D258">
            <v>0</v>
          </cell>
          <cell r="E258">
            <v>0</v>
          </cell>
          <cell r="F258">
            <v>3.9E-2</v>
          </cell>
          <cell r="G258">
            <v>0.11699999999999999</v>
          </cell>
          <cell r="H258">
            <v>3.9E-2</v>
          </cell>
          <cell r="I258">
            <v>0.11699999999999999</v>
          </cell>
        </row>
        <row r="259">
          <cell r="A259">
            <v>16</v>
          </cell>
          <cell r="B259" t="str">
            <v>132KV Isolators</v>
          </cell>
          <cell r="C259">
            <v>3</v>
          </cell>
          <cell r="D259">
            <v>0</v>
          </cell>
          <cell r="E259">
            <v>0</v>
          </cell>
          <cell r="F259">
            <v>7.0000000000000007E-2</v>
          </cell>
          <cell r="G259">
            <v>0.21000000000000002</v>
          </cell>
          <cell r="H259">
            <v>7.0000000000000007E-2</v>
          </cell>
          <cell r="I259">
            <v>0.21000000000000002</v>
          </cell>
        </row>
        <row r="260">
          <cell r="A260">
            <v>17</v>
          </cell>
          <cell r="B260" t="str">
            <v>132KV LA</v>
          </cell>
          <cell r="C260">
            <v>3</v>
          </cell>
          <cell r="D260">
            <v>0</v>
          </cell>
          <cell r="E260">
            <v>0</v>
          </cell>
          <cell r="F260">
            <v>1.7000000000000001E-2</v>
          </cell>
          <cell r="G260">
            <v>5.1000000000000004E-2</v>
          </cell>
          <cell r="H260">
            <v>1.7000000000000001E-2</v>
          </cell>
          <cell r="I260">
            <v>5.1000000000000004E-2</v>
          </cell>
        </row>
        <row r="261">
          <cell r="A261">
            <v>18</v>
          </cell>
          <cell r="B261" t="str">
            <v>132KV C&amp;R Panel</v>
          </cell>
          <cell r="C261">
            <v>1</v>
          </cell>
          <cell r="D261">
            <v>0</v>
          </cell>
          <cell r="E261">
            <v>0</v>
          </cell>
          <cell r="F261">
            <v>0.14000000000000001</v>
          </cell>
          <cell r="G261">
            <v>0.14000000000000001</v>
          </cell>
          <cell r="H261">
            <v>0.14000000000000001</v>
          </cell>
          <cell r="I261">
            <v>0.14000000000000001</v>
          </cell>
        </row>
        <row r="262">
          <cell r="A262">
            <v>19</v>
          </cell>
          <cell r="B262" t="str">
            <v>132KV PI/Solid Core Insulator</v>
          </cell>
          <cell r="C262">
            <v>6</v>
          </cell>
          <cell r="D262">
            <v>0</v>
          </cell>
          <cell r="E262">
            <v>0</v>
          </cell>
          <cell r="F262">
            <v>5.0000000000000001E-3</v>
          </cell>
          <cell r="G262">
            <v>0.03</v>
          </cell>
          <cell r="H262">
            <v>5.0000000000000001E-3</v>
          </cell>
          <cell r="I262">
            <v>0.03</v>
          </cell>
        </row>
        <row r="263">
          <cell r="A263">
            <v>20</v>
          </cell>
          <cell r="B263" t="str">
            <v>132KV PT</v>
          </cell>
          <cell r="C263">
            <v>0</v>
          </cell>
          <cell r="D263">
            <v>0</v>
          </cell>
          <cell r="E263">
            <v>0</v>
          </cell>
          <cell r="F263">
            <v>3.4000000000000002E-2</v>
          </cell>
          <cell r="G263">
            <v>0</v>
          </cell>
          <cell r="H263">
            <v>3.4000000000000002E-2</v>
          </cell>
          <cell r="I263">
            <v>0</v>
          </cell>
        </row>
        <row r="264">
          <cell r="A264">
            <v>21</v>
          </cell>
          <cell r="B264" t="str">
            <v>33KV CB</v>
          </cell>
          <cell r="C264">
            <v>1</v>
          </cell>
          <cell r="D264">
            <v>0</v>
          </cell>
          <cell r="E264">
            <v>0</v>
          </cell>
          <cell r="F264">
            <v>8.2000000000000003E-2</v>
          </cell>
          <cell r="G264">
            <v>8.2000000000000003E-2</v>
          </cell>
          <cell r="H264">
            <v>8.2000000000000003E-2</v>
          </cell>
          <cell r="I264">
            <v>8.2000000000000003E-2</v>
          </cell>
        </row>
        <row r="265">
          <cell r="A265">
            <v>22</v>
          </cell>
          <cell r="B265" t="str">
            <v>33KV CT</v>
          </cell>
          <cell r="C265">
            <v>3</v>
          </cell>
          <cell r="D265">
            <v>0</v>
          </cell>
          <cell r="E265">
            <v>0</v>
          </cell>
          <cell r="F265">
            <v>0.03</v>
          </cell>
          <cell r="G265">
            <v>0.09</v>
          </cell>
          <cell r="H265">
            <v>0.03</v>
          </cell>
          <cell r="I265">
            <v>0.09</v>
          </cell>
        </row>
        <row r="266">
          <cell r="A266">
            <v>23</v>
          </cell>
          <cell r="B266" t="str">
            <v>33KV PT</v>
          </cell>
          <cell r="C266">
            <v>0</v>
          </cell>
          <cell r="D266">
            <v>0</v>
          </cell>
          <cell r="E266">
            <v>0</v>
          </cell>
          <cell r="F266">
            <v>0.03</v>
          </cell>
          <cell r="G266">
            <v>0</v>
          </cell>
          <cell r="H266">
            <v>0.03</v>
          </cell>
          <cell r="I266">
            <v>0</v>
          </cell>
        </row>
        <row r="267">
          <cell r="A267">
            <v>24</v>
          </cell>
          <cell r="B267" t="str">
            <v>33KV Isolator</v>
          </cell>
          <cell r="C267">
            <v>2</v>
          </cell>
          <cell r="D267">
            <v>0</v>
          </cell>
          <cell r="E267">
            <v>0</v>
          </cell>
          <cell r="F267">
            <v>4.7E-2</v>
          </cell>
          <cell r="G267">
            <v>9.4E-2</v>
          </cell>
          <cell r="H267">
            <v>4.7E-2</v>
          </cell>
          <cell r="I267">
            <v>9.4E-2</v>
          </cell>
        </row>
        <row r="268">
          <cell r="A268">
            <v>25</v>
          </cell>
          <cell r="B268" t="str">
            <v>33KV LA</v>
          </cell>
          <cell r="C268">
            <v>3</v>
          </cell>
          <cell r="D268">
            <v>0</v>
          </cell>
          <cell r="E268">
            <v>0</v>
          </cell>
          <cell r="F268">
            <v>1.0999999999999999E-2</v>
          </cell>
          <cell r="G268">
            <v>3.3000000000000002E-2</v>
          </cell>
          <cell r="H268">
            <v>1.0999999999999999E-2</v>
          </cell>
          <cell r="I268">
            <v>3.3000000000000002E-2</v>
          </cell>
        </row>
        <row r="269">
          <cell r="A269">
            <v>26</v>
          </cell>
          <cell r="B269" t="str">
            <v>33KV C&amp;R Panel</v>
          </cell>
          <cell r="C269">
            <v>1</v>
          </cell>
          <cell r="D269">
            <v>0</v>
          </cell>
          <cell r="E269">
            <v>0</v>
          </cell>
          <cell r="F269">
            <v>0.13</v>
          </cell>
          <cell r="G269">
            <v>0.13</v>
          </cell>
          <cell r="H269">
            <v>0.13</v>
          </cell>
          <cell r="I269">
            <v>0.13</v>
          </cell>
        </row>
        <row r="270">
          <cell r="A270">
            <v>27</v>
          </cell>
          <cell r="B270" t="str">
            <v>33KV PI/Solid Core Insulators</v>
          </cell>
          <cell r="C270">
            <v>0</v>
          </cell>
          <cell r="D270">
            <v>0</v>
          </cell>
          <cell r="E270">
            <v>0</v>
          </cell>
          <cell r="F270">
            <v>3.0000000000000001E-3</v>
          </cell>
          <cell r="G270">
            <v>0</v>
          </cell>
          <cell r="H270">
            <v>3.0000000000000001E-3</v>
          </cell>
          <cell r="I270">
            <v>0</v>
          </cell>
        </row>
        <row r="271">
          <cell r="A271">
            <v>28</v>
          </cell>
          <cell r="B271" t="str">
            <v>Station Transformer,</v>
          </cell>
          <cell r="C271">
            <v>0</v>
          </cell>
          <cell r="D271">
            <v>0</v>
          </cell>
          <cell r="E271">
            <v>0</v>
          </cell>
          <cell r="F271">
            <v>7.0000000000000007E-2</v>
          </cell>
          <cell r="G271">
            <v>0</v>
          </cell>
          <cell r="H271">
            <v>7.0000000000000007E-2</v>
          </cell>
          <cell r="I271">
            <v>0</v>
          </cell>
        </row>
        <row r="272">
          <cell r="A272">
            <v>29</v>
          </cell>
          <cell r="B272" t="str">
            <v>Cable laying &amp; associated works</v>
          </cell>
          <cell r="C272" t="str">
            <v>LS</v>
          </cell>
          <cell r="D272">
            <v>0</v>
          </cell>
          <cell r="E272">
            <v>0</v>
          </cell>
          <cell r="F272">
            <v>0.2</v>
          </cell>
          <cell r="G272">
            <v>0.2</v>
          </cell>
          <cell r="H272" t="str">
            <v>LS</v>
          </cell>
          <cell r="I272">
            <v>0.2</v>
          </cell>
        </row>
        <row r="273">
          <cell r="A273">
            <v>30</v>
          </cell>
          <cell r="B273" t="str">
            <v>Earthing works</v>
          </cell>
          <cell r="C273" t="str">
            <v>LS</v>
          </cell>
          <cell r="D273">
            <v>0</v>
          </cell>
          <cell r="E273">
            <v>0</v>
          </cell>
          <cell r="F273">
            <v>0.2</v>
          </cell>
          <cell r="G273">
            <v>0.2</v>
          </cell>
          <cell r="H273" t="str">
            <v>LS</v>
          </cell>
          <cell r="I273">
            <v>0.2</v>
          </cell>
        </row>
        <row r="274">
          <cell r="A274">
            <v>31</v>
          </cell>
          <cell r="B274" t="str">
            <v>AC/DC Board</v>
          </cell>
          <cell r="C274">
            <v>0</v>
          </cell>
          <cell r="D274">
            <v>0</v>
          </cell>
          <cell r="E274">
            <v>0</v>
          </cell>
          <cell r="F274">
            <v>0.13100000000000001</v>
          </cell>
          <cell r="G274">
            <v>0</v>
          </cell>
          <cell r="H274">
            <v>0.13100000000000001</v>
          </cell>
          <cell r="I274">
            <v>0</v>
          </cell>
        </row>
        <row r="275">
          <cell r="A275">
            <v>32</v>
          </cell>
          <cell r="B275" t="str">
            <v>Fitting of lighting fixtures</v>
          </cell>
          <cell r="C275" t="str">
            <v>LS</v>
          </cell>
          <cell r="D275">
            <v>0</v>
          </cell>
          <cell r="E275">
            <v>0</v>
          </cell>
          <cell r="F275">
            <v>0.1</v>
          </cell>
          <cell r="G275">
            <v>0.1</v>
          </cell>
          <cell r="H275" t="str">
            <v>LS</v>
          </cell>
          <cell r="I275">
            <v>0.1</v>
          </cell>
        </row>
        <row r="276">
          <cell r="A276">
            <v>33</v>
          </cell>
          <cell r="B276" t="str">
            <v>110V 300Ah battery</v>
          </cell>
          <cell r="C276">
            <v>0</v>
          </cell>
          <cell r="D276">
            <v>0</v>
          </cell>
          <cell r="E276">
            <v>0</v>
          </cell>
          <cell r="F276">
            <v>0.14000000000000001</v>
          </cell>
          <cell r="G276">
            <v>0</v>
          </cell>
          <cell r="H276">
            <v>0.14000000000000001</v>
          </cell>
          <cell r="I276">
            <v>0</v>
          </cell>
        </row>
        <row r="277">
          <cell r="A277">
            <v>34</v>
          </cell>
          <cell r="B277" t="str">
            <v>110V 300Ah battery charger</v>
          </cell>
          <cell r="C277">
            <v>0</v>
          </cell>
          <cell r="D277">
            <v>0</v>
          </cell>
          <cell r="E277">
            <v>0</v>
          </cell>
          <cell r="F277">
            <v>9.5000000000000001E-2</v>
          </cell>
          <cell r="G277">
            <v>0</v>
          </cell>
          <cell r="H277">
            <v>9.5000000000000001E-2</v>
          </cell>
          <cell r="I277">
            <v>0</v>
          </cell>
        </row>
        <row r="278">
          <cell r="A278">
            <v>35</v>
          </cell>
          <cell r="B278" t="str">
            <v>48V 200Ah battery</v>
          </cell>
          <cell r="C278">
            <v>0</v>
          </cell>
          <cell r="D278">
            <v>0</v>
          </cell>
          <cell r="E278">
            <v>0</v>
          </cell>
          <cell r="F278">
            <v>0.1</v>
          </cell>
          <cell r="G278">
            <v>0</v>
          </cell>
          <cell r="H278">
            <v>0.1</v>
          </cell>
          <cell r="I278">
            <v>0</v>
          </cell>
        </row>
        <row r="279">
          <cell r="A279">
            <v>36</v>
          </cell>
          <cell r="B279" t="str">
            <v>48V 200Ah battery charger</v>
          </cell>
          <cell r="C279">
            <v>0</v>
          </cell>
          <cell r="D279">
            <v>0</v>
          </cell>
          <cell r="E279">
            <v>0</v>
          </cell>
          <cell r="F279">
            <v>8.5000000000000006E-2</v>
          </cell>
          <cell r="G279">
            <v>0</v>
          </cell>
          <cell r="H279">
            <v>8.5000000000000006E-2</v>
          </cell>
          <cell r="I279">
            <v>0</v>
          </cell>
        </row>
        <row r="280">
          <cell r="A280">
            <v>37</v>
          </cell>
          <cell r="B280" t="str">
            <v xml:space="preserve">Stringing &amp; Jumpering </v>
          </cell>
          <cell r="C280" t="str">
            <v>LS</v>
          </cell>
          <cell r="D280">
            <v>0</v>
          </cell>
          <cell r="E280">
            <v>0</v>
          </cell>
          <cell r="F280">
            <v>0.5</v>
          </cell>
          <cell r="G280">
            <v>0.5</v>
          </cell>
          <cell r="H280" t="str">
            <v>LS</v>
          </cell>
          <cell r="I280">
            <v>0.5</v>
          </cell>
        </row>
        <row r="281">
          <cell r="A281">
            <v>38</v>
          </cell>
          <cell r="B281" t="str">
            <v>Testing &amp; Commissioning &amp; misc.expenditure</v>
          </cell>
          <cell r="C281" t="str">
            <v>LS</v>
          </cell>
          <cell r="D281">
            <v>0</v>
          </cell>
          <cell r="E281">
            <v>0</v>
          </cell>
          <cell r="F281">
            <v>0.1</v>
          </cell>
          <cell r="G281">
            <v>0.1</v>
          </cell>
          <cell r="H281" t="str">
            <v>LS</v>
          </cell>
          <cell r="I281">
            <v>0.1</v>
          </cell>
        </row>
        <row r="283">
          <cell r="E283">
            <v>0</v>
          </cell>
          <cell r="F283">
            <v>0.1</v>
          </cell>
          <cell r="G283">
            <v>0.1</v>
          </cell>
          <cell r="H283" t="str">
            <v>LS</v>
          </cell>
          <cell r="I283">
            <v>0.1</v>
          </cell>
        </row>
        <row r="284">
          <cell r="B284" t="str">
            <v>SUB TOTAL (J)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3.7711999999999999</v>
          </cell>
          <cell r="H284">
            <v>0</v>
          </cell>
          <cell r="I284">
            <v>3.7711999999999999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"/>
      <sheetName val="SBI CRA"/>
      <sheetName val="SBI"/>
      <sheetName val="Avg Maturity"/>
      <sheetName val="VALUATION"/>
      <sheetName val="Ratios"/>
      <sheetName val="Summary"/>
      <sheetName val="Snapshot"/>
      <sheetName val="IRR"/>
      <sheetName val="Report"/>
      <sheetName val="ppt"/>
      <sheetName val="FUNDING REQT_11.2"/>
      <sheetName val="DEBT SCHEDULE"/>
      <sheetName val="CFS + HMPL"/>
      <sheetName val="CFS"/>
      <sheetName val="BS"/>
      <sheetName val="P&amp;L"/>
      <sheetName val="INPUT"/>
      <sheetName val="INPUT LCE"/>
      <sheetName val="LCE"/>
      <sheetName val="DIST PLAN"/>
      <sheetName val="CALC"/>
      <sheetName val="PROD SALES"/>
      <sheetName val="PRODPRIC"/>
      <sheetName val="IPP"/>
      <sheetName val="EPP"/>
      <sheetName val="OPEX"/>
      <sheetName val="DEPR"/>
      <sheetName val="Tax Calc"/>
      <sheetName val="PRICES"/>
      <sheetName val="DIST PLAN INPUT"/>
      <sheetName val="REV"/>
      <sheetName val="WC"/>
      <sheetName val="HMPL"/>
      <sheetName val="TRANSP COST"/>
      <sheetName val="FREIGHT TABLE"/>
      <sheetName val="EXCISE"/>
      <sheetName val="PRICE HISTORY"/>
      <sheetName val="SALES TAX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ReportManagerCode"/>
      <sheetName val="AdditionalPrintCode"/>
      <sheetName val="MainPrintCode"/>
      <sheetName val="Module2"/>
      <sheetName val="__FDSCACHE__"/>
      <sheetName val="Assumptions"/>
      <sheetName val="G to N"/>
      <sheetName val="Sheet1"/>
      <sheetName val="LCIP"/>
      <sheetName val="LCIP Output"/>
      <sheetName val="Aggreg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Crossover"/>
      <sheetName val="CJ Analysis"/>
      <sheetName val="IV Sen"/>
      <sheetName val="G to N Sens"/>
      <sheetName val="PWM Case"/>
      <sheetName val="Comp Cases"/>
      <sheetName val="Comp Sens"/>
      <sheetName val="MS Comp"/>
      <sheetName val="German"/>
      <sheetName val="Draper"/>
      <sheetName val="Scenario Analysis"/>
      <sheetName val="Tim's Proposal"/>
      <sheetName val="Hugh's Analysis"/>
      <sheetName val="Gross to Net- Majors"/>
      <sheetName val="Gross to Net-No Majors"/>
      <sheetName val="Comp Sens WSIB"/>
      <sheetName val="Non-Major"/>
      <sheetName val="CalPERS"/>
      <sheetName val="G to N CalPERS"/>
      <sheetName val="GM"/>
      <sheetName val="G to N for GM"/>
      <sheetName val="German Output"/>
      <sheetName val="German Sens"/>
      <sheetName val="CalSTRS"/>
      <sheetName val="US_Analysis Breakout"/>
      <sheetName val="US_Analysis"/>
      <sheetName val="Revised U.S. Fund"/>
      <sheetName val="U.S. 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J5">
            <v>0</v>
          </cell>
        </row>
        <row r="22">
          <cell r="C22">
            <v>0.01</v>
          </cell>
        </row>
        <row r="23">
          <cell r="C23">
            <v>0.05</v>
          </cell>
        </row>
        <row r="26">
          <cell r="C26">
            <v>1.4999999999999999E-2</v>
          </cell>
        </row>
        <row r="29">
          <cell r="C29">
            <v>0</v>
          </cell>
        </row>
        <row r="54">
          <cell r="C54">
            <v>0.6</v>
          </cell>
        </row>
        <row r="55">
          <cell r="C55">
            <v>0.19999999999999996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 Phasing and IDC (2)"/>
      <sheetName val="Consultancy proposal"/>
      <sheetName val="Consultants"/>
      <sheetName val="Energy Charge (2)"/>
      <sheetName val="Energy Charge"/>
      <sheetName val="Staffing"/>
      <sheetName val="Land Lease"/>
      <sheetName val="Assumptions and Cost Input"/>
      <sheetName val="Cost information Sheet"/>
      <sheetName val="Capex Phasing and IDC"/>
      <sheetName val="Debt-Schedule-DSR-Ops Factor"/>
      <sheetName val="Currency wise break-up"/>
      <sheetName val="Cost Breakup Depreciation&amp; Tax"/>
      <sheetName val="DTA "/>
      <sheetName val="DTA Tax working"/>
      <sheetName val="Assum"/>
      <sheetName val="Statements"/>
      <sheetName val="Cashflow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 Phasing and IDC (2)"/>
      <sheetName val="Consultancy proposal"/>
      <sheetName val="Consultants"/>
      <sheetName val="Energy Charge (2)"/>
      <sheetName val="Energy Charge"/>
      <sheetName val="Staffing"/>
      <sheetName val="Land Lease"/>
      <sheetName val="Assumptions and Cost Input"/>
      <sheetName val="Cost information Sheet"/>
      <sheetName val="Capex Phasing and IDC"/>
      <sheetName val="Debt-Schedule-DSR-Ops Factor"/>
      <sheetName val="Currency wise break-up"/>
      <sheetName val="Cost Breakup Depreciation&amp; Tax"/>
      <sheetName val="DTA "/>
      <sheetName val="DTA Tax working"/>
      <sheetName val="Assum"/>
      <sheetName val="Statements"/>
      <sheetName val="Cashflow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E-107"/>
      <sheetName val="YE-107A"/>
      <sheetName val="YE-107S"/>
      <sheetName val="YE-107S1"/>
      <sheetName val="YE-107SW"/>
      <sheetName val="YE-SW2"/>
      <sheetName val="YE_S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ol charac"/>
      <sheetName val="Pool"/>
      <sheetName val="Cashflow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2000-01"/>
      <sheetName val="04RE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ol charac"/>
      <sheetName val="Pool"/>
      <sheetName val="Cashflow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harts"/>
      <sheetName val="Recon {pbc}"/>
      <sheetName val="Allow {pbc}"/>
      <sheetName val="Statistics {pbc}"/>
      <sheetName val="Tickmarks"/>
      <sheetName val="modRollFWD"/>
      <sheetName val="Confi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A Calculations"/>
      <sheetName val="Duty Stucture"/>
      <sheetName val="EVA_M, PBT"/>
      <sheetName val="I9, PO67,40,33"/>
      <sheetName val="I12,PO67,40,33"/>
      <sheetName val="I15,PO67,40,33"/>
      <sheetName val="I18,PO67,40,33"/>
      <sheetName val="I18,PO67,50,33"/>
      <sheetName val="I15,PO67,50,33"/>
      <sheetName val="I12,PO67,50,33"/>
      <sheetName val="I9, PO67,50,33"/>
      <sheetName val="PBT"/>
      <sheetName val="EVA"/>
      <sheetName val="Presentation"/>
      <sheetName val="Sharing"/>
      <sheetName val="29May ICP meet, v4"/>
      <sheetName val="Data"/>
      <sheetName val="PARTY MASTER"/>
      <sheetName val="NW RTU"/>
      <sheetName val="NOVAGE"/>
      <sheetName val="EVA_Calculations"/>
      <sheetName val="Duty_Stucture"/>
      <sheetName val="EVA_M,_PBT"/>
      <sheetName val="I9,_PO67,40,33"/>
      <sheetName val="I9,_PO67,50,33"/>
      <sheetName val="29May_ICP_meet,_v4"/>
      <sheetName val="PARTY_MASTER"/>
      <sheetName val="NW_RTU"/>
      <sheetName val="Revenue_Contribution"/>
      <sheetName val="LIST"/>
      <sheetName val="DIV"/>
      <sheetName val="FORM-16"/>
      <sheetName val="Main Equ. List"/>
      <sheetName val="tbc"/>
      <sheetName val="ALL"/>
      <sheetName val="共機J"/>
      <sheetName val="Mgmt Pres - Forecasted"/>
      <sheetName val="Mgmt Pres - Historicals"/>
      <sheetName val="Dashboard"/>
      <sheetName val="COGS"/>
      <sheetName val="EVA_Calculations1"/>
      <sheetName val="Duty_Stucture1"/>
      <sheetName val="EVA_M,_PBT1"/>
      <sheetName val="I9,_PO67,40,331"/>
      <sheetName val="I9,_PO67,50,331"/>
      <sheetName val="29May_ICP_meet,_v41"/>
      <sheetName val="PARTY_MASTER1"/>
      <sheetName val="NW_RTU1"/>
      <sheetName val="Mgmt_Pres_-_Forecasted"/>
      <sheetName val="Mgmt_Pres_-_Historicals"/>
      <sheetName val="Main_Equ__List"/>
      <sheetName val="1999"/>
      <sheetName val="2000"/>
      <sheetName val="Budget"/>
      <sheetName val="Update"/>
      <sheetName val="Title"/>
      <sheetName val="CRUD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関係会社貸付金データ"/>
      <sheetName val="単ﾗﾀﾞｰ金"/>
    </sheetNames>
    <sheetDataSet>
      <sheetData sheetId="0" refreshError="1"/>
      <sheetData sheetId="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関係会社貸付金データ"/>
      <sheetName val="単ﾗﾀﾞｰ金"/>
    </sheetNames>
    <sheetDataSet>
      <sheetData sheetId="0" refreshError="1"/>
      <sheetData sheetId="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ﾏﾁｭﾘﾃｨﾗﾀﾞｰ（月次ベース）"/>
      <sheetName val="ﾏﾁｭﾘﾃｨﾗﾀﾞｰ（四半期ベース）"/>
      <sheetName val="末残計画(四半期ベース)"/>
      <sheetName val="全社連結用（月次ベース）"/>
      <sheetName val="全社連結用（四半期ベース）"/>
      <sheetName val="全社連結用（末残計画）"/>
      <sheetName val="マクロ管理"/>
      <sheetName val="修正事項"/>
      <sheetName val="ﾏﾁｭﾘﾃｨﾗﾀﾞｰ_月次ベース_"/>
      <sheetName val="ﾏﾁｭﾘﾃｨﾗﾀﾞｰ_四半期ベース_"/>
      <sheetName val="末残計画_四半期ベース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ﾏﾁｭﾘﾃｨﾗﾀﾞｰ（月次ベース）"/>
      <sheetName val="ﾏﾁｭﾘﾃｨﾗﾀﾞｰ（四半期ベース）"/>
      <sheetName val="末残計画(四半期ベース)"/>
      <sheetName val="全社連結用（月次ベース）"/>
      <sheetName val="全社連結用（四半期ベース）"/>
      <sheetName val="全社連結用（末残計画）"/>
      <sheetName val="マクロ管理"/>
      <sheetName val="修正事項"/>
      <sheetName val="ﾏﾁｭﾘﾃｨﾗﾀﾞｰ_月次ベース_"/>
      <sheetName val="ﾏﾁｭﾘﾃｨﾗﾀﾞｰ_四半期ベース_"/>
      <sheetName val="末残計画_四半期ベース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関係会社貸付金データ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関係会社貸付金データ"/>
    </sheetNames>
    <sheetDataSet>
      <sheetData sheetId="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L"/>
      <sheetName val="B S"/>
      <sheetName val="MISPL"/>
      <sheetName val="MISBS"/>
      <sheetName val="Bal"/>
      <sheetName val="prof"/>
      <sheetName val="Keyratios"/>
      <sheetName val="Capad"/>
      <sheetName val="Cash Flow"/>
      <sheetName val="ASUM"/>
      <sheetName val="BRAN"/>
      <sheetName val="sum"/>
      <sheetName val="Presentation"/>
      <sheetName val="MISDOC"/>
      <sheetName val="NFF 2002"/>
      <sheetName val="BOD PL NEW"/>
      <sheetName val="BOD BS"/>
      <sheetName val="estMAR"/>
      <sheetName val="sprreco"/>
      <sheetName val="Break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x-M"/>
      <sheetName val="Anx-N"/>
      <sheetName val="Anx_M"/>
    </sheetNames>
    <sheetDataSet>
      <sheetData sheetId="0"/>
      <sheetData sheetId="1"/>
      <sheetData sheetId="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L"/>
      <sheetName val="B S"/>
      <sheetName val="MISPL"/>
      <sheetName val="MISBS"/>
      <sheetName val="Bal"/>
      <sheetName val="prof"/>
      <sheetName val="Keyratios"/>
      <sheetName val="Capad"/>
      <sheetName val="Cash Flow"/>
      <sheetName val="ASUM"/>
      <sheetName val="BRAN"/>
      <sheetName val="sum"/>
      <sheetName val="Presentation"/>
      <sheetName val="MISDOC"/>
      <sheetName val="NFF 2002"/>
      <sheetName val="BOD PL NEW"/>
      <sheetName val="BOD BS"/>
      <sheetName val="estMAR"/>
      <sheetName val="sprreco"/>
      <sheetName val="Break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ol charac"/>
      <sheetName val="Initial Tenor"/>
      <sheetName val="Pool details"/>
      <sheetName val="Cashflows"/>
      <sheetName val="without prepayment"/>
      <sheetName val="prin -int"/>
      <sheetName val="with prepayment"/>
      <sheetName val="with prepayment (2)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ol charac"/>
      <sheetName val="Initial Tenor"/>
      <sheetName val="Pool details"/>
      <sheetName val="Cashflows"/>
      <sheetName val="without prepayment"/>
      <sheetName val="prin -int"/>
      <sheetName val="with prepayment"/>
      <sheetName val="with prepayment (2)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Assumptions"/>
      <sheetName val="Room Revenues"/>
      <sheetName val="F&amp;B"/>
      <sheetName val="Rental Revenues"/>
      <sheetName val="Other Revenues"/>
      <sheetName val="Departmental Costs"/>
      <sheetName val="Departmentwise Profits"/>
      <sheetName val="Undistributed Costs"/>
      <sheetName val="IDC macro"/>
      <sheetName val="P&amp;L"/>
      <sheetName val="P&amp;L-IT"/>
      <sheetName val="Cashflows"/>
      <sheetName val="DSCR"/>
      <sheetName val="IRR &amp; ROE"/>
      <sheetName val="Bal. Sheet "/>
      <sheetName val="Working Capital"/>
      <sheetName val="Ratios"/>
      <sheetName val="Ratios_Print"/>
      <sheetName val="Breakeven Analysis"/>
      <sheetName val="Loan workings"/>
      <sheetName val="Quasi Equity"/>
      <sheetName val="Fund util. schedule "/>
      <sheetName val="Capex"/>
      <sheetName val="Project Costing Summary"/>
      <sheetName val="HVAC"/>
      <sheetName val="Plumbing"/>
      <sheetName val="Electrical"/>
      <sheetName val="Low Voltage Systems"/>
      <sheetName val="Elevators"/>
      <sheetName val="Kitchen"/>
      <sheetName val="MODFNB"/>
      <sheetName val="man power"/>
      <sheetName val="ar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CC"/>
      <sheetName val="exchange ratio"/>
      <sheetName val="Workings-JVSL"/>
      <sheetName val="Workings-JSWPL"/>
      <sheetName val="Workings-Euro Coke"/>
      <sheetName val="Workings-Euro Iko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CC"/>
      <sheetName val="exchange ratio"/>
      <sheetName val="Workings-JVSL"/>
      <sheetName val="Workings-JSWPL"/>
      <sheetName val="Workings-Euro Coke"/>
      <sheetName val="Workings-Euro Iko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s"/>
      <sheetName val="Comp"/>
      <sheetName val="Ack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Ack "/>
      <sheetName val="Page8 "/>
      <sheetName val="Page10 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TZ MORT 94"/>
      <sheetName val="FINAL"/>
      <sheetName val="FITZ_MORT_94"/>
      <sheetName val="ASS"/>
      <sheetName val="Cases"/>
      <sheetName val="MASTER_RATE ANALYSIS"/>
      <sheetName val="Assumptions"/>
      <sheetName val="Sheet1"/>
      <sheetName val="PrintManagerCode"/>
      <sheetName val="__FDSCACHE__"/>
      <sheetName val="Hotel"/>
      <sheetName val="Hotel Room Comps"/>
      <sheetName val="PrintSum"/>
      <sheetName val="Tax Sum"/>
      <sheetName val="Summary&amp;Sen"/>
      <sheetName val="Ret-Q 100%"/>
      <sheetName val="Ret-Trust"/>
      <sheetName val="CB"/>
      <sheetName val="Inv Ass"/>
      <sheetName val="DevProp Ass"/>
      <sheetName val="InvProp Ass"/>
      <sheetName val="HotProp Ass"/>
      <sheetName val="Module1"/>
      <sheetName val="Hilton"/>
      <sheetName val="Hilton (2)"/>
      <sheetName val="Price Perf"/>
      <sheetName val="WACC"/>
      <sheetName val="unused&gt;"/>
      <sheetName val="Financial"/>
      <sheetName val="DDM"/>
      <sheetName val="SSFIII S"/>
      <sheetName val="Output"/>
      <sheetName val="IDCCALHYD-GOO"/>
      <sheetName val="PARAMETRES"/>
      <sheetName val="Introduction"/>
      <sheetName val="IDC macro"/>
      <sheetName val="MA"/>
      <sheetName val="sheet6"/>
      <sheetName val="Template"/>
      <sheetName val="Total Haryana POs AMC Sheet 3%"/>
      <sheetName val="delhi 03-04AMC @ 3%"/>
      <sheetName val="itemsdetails"/>
      <sheetName val="NW RTU"/>
      <sheetName val="Stock"/>
      <sheetName val="Operating Summary"/>
      <sheetName val="CMA"/>
      <sheetName val="P1"/>
    </sheetNames>
    <sheetDataSet>
      <sheetData sheetId="0" refreshError="1">
        <row r="7">
          <cell r="C7">
            <v>0.06</v>
          </cell>
        </row>
        <row r="8">
          <cell r="C8">
            <v>30</v>
          </cell>
        </row>
        <row r="9">
          <cell r="C9">
            <v>12</v>
          </cell>
        </row>
        <row r="10">
          <cell r="C10">
            <v>34335</v>
          </cell>
        </row>
        <row r="15">
          <cell r="C15">
            <v>479.64042012220716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JISCO"/>
      <sheetName val="DHS"/>
      <sheetName val="combined-2"/>
      <sheetName val="Balancesheet"/>
      <sheetName val="P&amp;Lmerged"/>
      <sheetName val="Summary-JVSL"/>
      <sheetName val="Cashflow"/>
      <sheetName val="wcap"/>
      <sheetName val="P&amp;L-marginal"/>
      <sheetName val="P&amp;L-ind"/>
      <sheetName val="Ratio"/>
      <sheetName val="Sensitivity"/>
      <sheetName val="Assumptions"/>
      <sheetName val="Prices"/>
      <sheetName val="Sheet1"/>
      <sheetName val="COP"/>
      <sheetName val="expansion"/>
      <sheetName val="Prepayment"/>
      <sheetName val="Loans"/>
      <sheetName val="FX Loan-details"/>
      <sheetName val="Depreciation"/>
      <sheetName val="Tax-WDV"/>
      <sheetName val="DCFValuation"/>
      <sheetName val="DCF"/>
      <sheetName val="WA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JISCO"/>
      <sheetName val="DHS"/>
      <sheetName val="combined-2"/>
      <sheetName val="Balancesheet"/>
      <sheetName val="P&amp;Lmerged"/>
      <sheetName val="Summary-JVSL"/>
      <sheetName val="Cashflow"/>
      <sheetName val="wcap"/>
      <sheetName val="P&amp;L-marginal"/>
      <sheetName val="P&amp;L-ind"/>
      <sheetName val="Ratio"/>
      <sheetName val="Sensitivity"/>
      <sheetName val="Assumptions"/>
      <sheetName val="Prices"/>
      <sheetName val="Sheet1"/>
      <sheetName val="COP"/>
      <sheetName val="expansion"/>
      <sheetName val="Prepayment"/>
      <sheetName val="Loans"/>
      <sheetName val="FX Loan-details"/>
      <sheetName val="Depreciation"/>
      <sheetName val="Tax-WDV"/>
      <sheetName val="DCFValuation"/>
      <sheetName val="DCF"/>
      <sheetName val="WA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kunaldesai.blog/nifty-returns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iexindia.com/marketdata/areaprice.aspx" TargetMode="External"/><Relationship Id="rId1" Type="http://schemas.openxmlformats.org/officeDocument/2006/relationships/hyperlink" Target="https://www.minerba.esdm.go.id/harga_acuan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haktifoundation.in/wp-content/uploads/2014/02/Whitepaper-Thermal-Power-FINAL.pdf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iexindia.com/marketdata/areaprice.aspx" TargetMode="External"/><Relationship Id="rId1" Type="http://schemas.openxmlformats.org/officeDocument/2006/relationships/hyperlink" Target="https://powerline.net.in/2021/07/07/cost-economics-3/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34"/>
  <sheetViews>
    <sheetView topLeftCell="H34" workbookViewId="0">
      <selection activeCell="H35" sqref="H35"/>
    </sheetView>
  </sheetViews>
  <sheetFormatPr defaultRowHeight="14.4"/>
  <cols>
    <col min="2" max="2" width="11.5546875" customWidth="1"/>
    <col min="3" max="3" width="11.77734375" customWidth="1"/>
    <col min="4" max="4" width="28.6640625" bestFit="1" customWidth="1"/>
    <col min="5" max="5" width="12.109375" customWidth="1"/>
    <col min="6" max="6" width="10.5546875" customWidth="1"/>
    <col min="7" max="8" width="11.109375" customWidth="1"/>
    <col min="9" max="11" width="12.109375" customWidth="1"/>
    <col min="12" max="12" width="10.5546875" customWidth="1"/>
    <col min="13" max="13" width="10.77734375" customWidth="1"/>
    <col min="14" max="14" width="11.6640625" customWidth="1"/>
    <col min="15" max="15" width="10.5546875" customWidth="1"/>
    <col min="16" max="16" width="10.77734375" customWidth="1"/>
    <col min="17" max="21" width="10.5546875" bestFit="1" customWidth="1"/>
    <col min="22" max="22" width="9.5546875" bestFit="1" customWidth="1"/>
  </cols>
  <sheetData>
    <row r="2" spans="1:23">
      <c r="D2" s="753" t="s">
        <v>717</v>
      </c>
      <c r="E2" s="761" t="s">
        <v>1444</v>
      </c>
      <c r="F2" s="761" t="s">
        <v>1445</v>
      </c>
      <c r="G2" s="761" t="s">
        <v>1446</v>
      </c>
      <c r="H2" s="761" t="s">
        <v>1447</v>
      </c>
      <c r="I2" s="761" t="s">
        <v>1448</v>
      </c>
      <c r="J2" s="761" t="s">
        <v>1449</v>
      </c>
      <c r="K2" s="761" t="s">
        <v>1450</v>
      </c>
      <c r="L2" s="761" t="s">
        <v>1451</v>
      </c>
      <c r="M2" s="761" t="s">
        <v>1452</v>
      </c>
      <c r="N2" s="761" t="s">
        <v>1453</v>
      </c>
      <c r="O2" s="761" t="s">
        <v>1454</v>
      </c>
      <c r="P2" s="761" t="s">
        <v>1455</v>
      </c>
      <c r="Q2" s="761" t="s">
        <v>1456</v>
      </c>
      <c r="R2" s="761" t="s">
        <v>1457</v>
      </c>
      <c r="S2" s="761" t="s">
        <v>1458</v>
      </c>
      <c r="T2" s="761" t="s">
        <v>1459</v>
      </c>
      <c r="U2" s="761" t="s">
        <v>1460</v>
      </c>
      <c r="V2" s="761" t="s">
        <v>1461</v>
      </c>
    </row>
    <row r="3" spans="1:23" ht="14.4" customHeight="1">
      <c r="D3" s="754" t="s">
        <v>1437</v>
      </c>
      <c r="E3" s="755">
        <f>'Financials (2)'!N3</f>
        <v>3155.4006019199996</v>
      </c>
      <c r="F3" s="755">
        <f>'Financials (2)'!O3</f>
        <v>3146.7792887999999</v>
      </c>
      <c r="G3" s="755">
        <f>'Financials (2)'!P3</f>
        <v>3146.7792887999999</v>
      </c>
      <c r="H3" s="755">
        <f>'Financials (2)'!Q3</f>
        <v>3379.9469883479996</v>
      </c>
      <c r="I3" s="755">
        <f>'Financials (2)'!R3</f>
        <v>3389.2071170831996</v>
      </c>
      <c r="J3" s="755">
        <f>'Financials (2)'!S3</f>
        <v>3601.2439330560001</v>
      </c>
      <c r="K3" s="755">
        <f>'Financials (2)'!T3</f>
        <v>3700.6124436288001</v>
      </c>
      <c r="L3" s="755">
        <f>'Financials (2)'!U3</f>
        <v>3852.2805494922</v>
      </c>
      <c r="M3" s="755">
        <f>'Financials (2)'!V3</f>
        <v>3862.8347427784802</v>
      </c>
      <c r="N3" s="755">
        <f>'Financials (2)'!W3</f>
        <v>4114.8066499633806</v>
      </c>
      <c r="O3" s="755">
        <f>'Financials (2)'!X3</f>
        <v>4204.1460881233816</v>
      </c>
      <c r="P3" s="755">
        <f>'Financials (2)'!Y3</f>
        <v>4363.3975992799506</v>
      </c>
      <c r="Q3" s="755">
        <f>'Financials (2)'!Z3</f>
        <v>4495.5048494691091</v>
      </c>
      <c r="R3" s="755">
        <f>'Financials (2)'!AA3</f>
        <v>4574.0024461739486</v>
      </c>
      <c r="S3" s="755">
        <f>'Financials (2)'!AB3</f>
        <v>4634.5227107339488</v>
      </c>
      <c r="T3" s="755">
        <f>'Financials (2)'!AC3</f>
        <v>4866.248846270646</v>
      </c>
      <c r="U3" s="755">
        <f>'Financials (2)'!AD3</f>
        <v>4270.2331656905644</v>
      </c>
      <c r="V3" s="755">
        <f>'Financials (2)'!AE3</f>
        <v>2077.5097493129183</v>
      </c>
    </row>
    <row r="4" spans="1:23">
      <c r="B4">
        <v>2024</v>
      </c>
      <c r="C4">
        <v>2025</v>
      </c>
      <c r="D4" s="756" t="s">
        <v>1125</v>
      </c>
      <c r="E4" s="750">
        <f>'Financials (2)'!N5</f>
        <v>0</v>
      </c>
      <c r="F4" s="750">
        <f>'Financials (2)'!O5</f>
        <v>0</v>
      </c>
      <c r="G4" s="750">
        <f>'Financials (2)'!P5</f>
        <v>0</v>
      </c>
      <c r="H4" s="750">
        <f>'Financials (2)'!Q5</f>
        <v>0</v>
      </c>
      <c r="I4" s="750">
        <f>'Financials (2)'!R5</f>
        <v>0</v>
      </c>
      <c r="J4" s="750">
        <f>'Financials (2)'!S5</f>
        <v>0</v>
      </c>
      <c r="K4" s="750">
        <f>'Financials (2)'!T5</f>
        <v>0</v>
      </c>
      <c r="L4" s="750">
        <f>'Financials (2)'!U5</f>
        <v>0</v>
      </c>
      <c r="M4" s="750">
        <f>'Financials (2)'!V5</f>
        <v>0</v>
      </c>
      <c r="N4" s="750">
        <f>'Financials (2)'!W5</f>
        <v>0</v>
      </c>
      <c r="O4" s="750">
        <f>'Financials (2)'!X5</f>
        <v>0</v>
      </c>
      <c r="P4" s="750">
        <f>'Financials (2)'!Y5</f>
        <v>0</v>
      </c>
      <c r="Q4" s="750">
        <f>'Financials (2)'!Z5</f>
        <v>0</v>
      </c>
      <c r="R4" s="750">
        <f>'Financials (2)'!AA5</f>
        <v>0</v>
      </c>
      <c r="S4" s="750">
        <f>'Financials (2)'!AB5</f>
        <v>0</v>
      </c>
      <c r="T4" s="750">
        <f>'Financials (2)'!AC5</f>
        <v>0</v>
      </c>
      <c r="U4" s="750">
        <f>'Financials (2)'!AD5</f>
        <v>0</v>
      </c>
      <c r="V4" s="750">
        <f>'Financials (2)'!AE5</f>
        <v>0</v>
      </c>
    </row>
    <row r="5" spans="1:23">
      <c r="B5" s="768" t="s">
        <v>1470</v>
      </c>
      <c r="D5" s="757" t="s">
        <v>1432</v>
      </c>
      <c r="E5" s="758">
        <f t="shared" ref="E5:V5" si="0">E3+E4</f>
        <v>3155.4006019199996</v>
      </c>
      <c r="F5" s="758">
        <f t="shared" si="0"/>
        <v>3146.7792887999999</v>
      </c>
      <c r="G5" s="758">
        <f t="shared" si="0"/>
        <v>3146.7792887999999</v>
      </c>
      <c r="H5" s="758">
        <f t="shared" si="0"/>
        <v>3379.9469883479996</v>
      </c>
      <c r="I5" s="758">
        <f t="shared" si="0"/>
        <v>3389.2071170831996</v>
      </c>
      <c r="J5" s="758">
        <f t="shared" si="0"/>
        <v>3601.2439330560001</v>
      </c>
      <c r="K5" s="758">
        <f t="shared" si="0"/>
        <v>3700.6124436288001</v>
      </c>
      <c r="L5" s="758">
        <f t="shared" si="0"/>
        <v>3852.2805494922</v>
      </c>
      <c r="M5" s="758">
        <f t="shared" si="0"/>
        <v>3862.8347427784802</v>
      </c>
      <c r="N5" s="758">
        <f t="shared" si="0"/>
        <v>4114.8066499633806</v>
      </c>
      <c r="O5" s="758">
        <f t="shared" si="0"/>
        <v>4204.1460881233816</v>
      </c>
      <c r="P5" s="758">
        <f t="shared" si="0"/>
        <v>4363.3975992799506</v>
      </c>
      <c r="Q5" s="758">
        <f t="shared" si="0"/>
        <v>4495.5048494691091</v>
      </c>
      <c r="R5" s="758">
        <f t="shared" si="0"/>
        <v>4574.0024461739486</v>
      </c>
      <c r="S5" s="758">
        <f t="shared" si="0"/>
        <v>4634.5227107339488</v>
      </c>
      <c r="T5" s="758">
        <f t="shared" si="0"/>
        <v>4866.248846270646</v>
      </c>
      <c r="U5" s="758">
        <f t="shared" si="0"/>
        <v>4270.2331656905644</v>
      </c>
      <c r="V5" s="758">
        <f t="shared" si="0"/>
        <v>2077.5097493129183</v>
      </c>
    </row>
    <row r="6" spans="1:23">
      <c r="B6" s="49">
        <f>E6*10^7/B7</f>
        <v>12029.464068378154</v>
      </c>
      <c r="C6" s="49">
        <f>F6*10^7/B7</f>
        <v>11996.596680213186</v>
      </c>
      <c r="D6" s="750" t="s">
        <v>1127</v>
      </c>
      <c r="E6" s="755">
        <f>'Financials (2)'!N7</f>
        <v>2524.320481536</v>
      </c>
      <c r="F6" s="755">
        <f>'Financials (2)'!O7</f>
        <v>2517.4234310400002</v>
      </c>
      <c r="G6" s="755">
        <f>'Financials (2)'!P7</f>
        <v>2517.4234310400002</v>
      </c>
      <c r="H6" s="755">
        <f>'Financials (2)'!Q7</f>
        <v>2703.9575906783998</v>
      </c>
      <c r="I6" s="755">
        <f>'Financials (2)'!R7</f>
        <v>2711.3656936665598</v>
      </c>
      <c r="J6" s="755">
        <f>'Financials (2)'!S7</f>
        <v>2880.9951464448004</v>
      </c>
      <c r="K6" s="755">
        <f>'Financials (2)'!T7</f>
        <v>2960.4899549030401</v>
      </c>
      <c r="L6" s="755">
        <f>'Financials (2)'!U7</f>
        <v>3081.82443959376</v>
      </c>
      <c r="M6" s="755">
        <f>'Financials (2)'!V7</f>
        <v>3090.2677942227842</v>
      </c>
      <c r="N6" s="755">
        <f>'Financials (2)'!W7</f>
        <v>3291.8453199707046</v>
      </c>
      <c r="O6" s="755">
        <f>'Financials (2)'!X7</f>
        <v>3363.3168704987056</v>
      </c>
      <c r="P6" s="755">
        <f>'Financials (2)'!Y7</f>
        <v>3490.7180794239607</v>
      </c>
      <c r="Q6" s="755">
        <f>'Financials (2)'!Z7</f>
        <v>3596.4038795752876</v>
      </c>
      <c r="R6" s="755">
        <f>'Financials (2)'!AA7</f>
        <v>3659.2019569391591</v>
      </c>
      <c r="S6" s="755">
        <f>'Financials (2)'!AB7</f>
        <v>3707.6181685871593</v>
      </c>
      <c r="T6" s="755">
        <f>'Financials (2)'!AC7</f>
        <v>3892.9990770165168</v>
      </c>
      <c r="U6" s="755">
        <f>'Financials (2)'!AD7</f>
        <v>3416.1865325524518</v>
      </c>
      <c r="V6" s="755">
        <f>'Financials (2)'!AE7</f>
        <v>1662.0077994503347</v>
      </c>
    </row>
    <row r="7" spans="1:23">
      <c r="A7" t="s">
        <v>1475</v>
      </c>
      <c r="B7">
        <f>(3672284/21)*12</f>
        <v>2098448</v>
      </c>
      <c r="C7" t="s">
        <v>1474</v>
      </c>
      <c r="D7" s="750" t="s">
        <v>1128</v>
      </c>
      <c r="E7" s="755">
        <f>'Financials (2)'!N9</f>
        <v>45.75330872784</v>
      </c>
      <c r="F7" s="755">
        <f>'Financials (2)'!O9</f>
        <v>45.628299687599998</v>
      </c>
      <c r="G7" s="755">
        <f>'Financials (2)'!P9</f>
        <v>45.628299687599998</v>
      </c>
      <c r="H7" s="755">
        <f>'Financials (2)'!Q9</f>
        <v>49.009231331045996</v>
      </c>
      <c r="I7" s="755">
        <f>'Financials (2)'!R9</f>
        <v>49.143503197706394</v>
      </c>
      <c r="J7" s="755">
        <f>'Financials (2)'!S9</f>
        <v>52.218037029312001</v>
      </c>
      <c r="K7" s="755">
        <f>'Financials (2)'!T9</f>
        <v>53.6588804326176</v>
      </c>
      <c r="L7" s="755">
        <f>'Financials (2)'!U9</f>
        <v>55.858067967636899</v>
      </c>
      <c r="M7" s="755">
        <f>'Financials (2)'!V9</f>
        <v>56.011103770287967</v>
      </c>
      <c r="N7" s="755">
        <f>'Financials (2)'!W9</f>
        <v>59.664696424469021</v>
      </c>
      <c r="O7" s="755">
        <f>'Financials (2)'!X9</f>
        <v>60.960118277789036</v>
      </c>
      <c r="P7" s="755">
        <f>'Financials (2)'!Y9</f>
        <v>63.269265189559285</v>
      </c>
      <c r="Q7" s="755">
        <f>'Financials (2)'!Z9</f>
        <v>65.184820317302083</v>
      </c>
      <c r="R7" s="755">
        <f>'Financials (2)'!AA9</f>
        <v>66.323035469522253</v>
      </c>
      <c r="S7" s="755">
        <f>'Financials (2)'!AB9</f>
        <v>67.200579305642265</v>
      </c>
      <c r="T7" s="755">
        <f>'Financials (2)'!AC9</f>
        <v>70.560608270924376</v>
      </c>
      <c r="U7" s="755">
        <f>'Financials (2)'!AD9</f>
        <v>61.918380902513185</v>
      </c>
      <c r="V7" s="755">
        <f>'Financials (2)'!AE9</f>
        <v>30.123891365037316</v>
      </c>
    </row>
    <row r="8" spans="1:23" hidden="1">
      <c r="D8" s="750" t="s">
        <v>1304</v>
      </c>
      <c r="E8" s="755">
        <f>'Financials (2)'!N12</f>
        <v>0</v>
      </c>
      <c r="F8" s="755">
        <f>'Financials (2)'!O12</f>
        <v>0</v>
      </c>
      <c r="G8" s="755">
        <f>'Financials (2)'!P12</f>
        <v>0</v>
      </c>
      <c r="H8" s="755">
        <f>'Financials (2)'!Q12</f>
        <v>0</v>
      </c>
      <c r="I8" s="755">
        <f>'Financials (2)'!R12</f>
        <v>0</v>
      </c>
      <c r="J8" s="755">
        <f>'Financials (2)'!S12</f>
        <v>0</v>
      </c>
      <c r="K8" s="755">
        <f>'Financials (2)'!T12</f>
        <v>0</v>
      </c>
      <c r="L8" s="755">
        <f>'Financials (2)'!U12</f>
        <v>0</v>
      </c>
      <c r="M8" s="755">
        <f>'Financials (2)'!V12</f>
        <v>0</v>
      </c>
      <c r="N8" s="755">
        <f>'Financials (2)'!W12</f>
        <v>0</v>
      </c>
      <c r="O8" s="755">
        <f>'Financials (2)'!X12</f>
        <v>0</v>
      </c>
      <c r="P8" s="755">
        <f>'Financials (2)'!Y12</f>
        <v>0</v>
      </c>
      <c r="Q8" s="755">
        <f>'Financials (2)'!Z12</f>
        <v>0</v>
      </c>
      <c r="R8" s="755">
        <f>'Financials (2)'!AA12</f>
        <v>0</v>
      </c>
      <c r="S8" s="755">
        <f>'Financials (2)'!AB12</f>
        <v>0</v>
      </c>
      <c r="T8" s="755">
        <f>'Financials (2)'!AC12</f>
        <v>0</v>
      </c>
      <c r="U8" s="755">
        <f>'Financials (2)'!AD12</f>
        <v>0</v>
      </c>
      <c r="V8" s="755">
        <f>'Financials (2)'!AE12</f>
        <v>0</v>
      </c>
    </row>
    <row r="9" spans="1:23">
      <c r="B9" s="13">
        <f>E9/1200</f>
        <v>0.16950000000000001</v>
      </c>
      <c r="D9" s="750" t="s">
        <v>1129</v>
      </c>
      <c r="E9" s="755">
        <f>'Financials (2)'!N14</f>
        <v>203.4</v>
      </c>
      <c r="F9" s="755">
        <f>'Financials (2)'!O14</f>
        <v>213.57000000000002</v>
      </c>
      <c r="G9" s="755">
        <f>'Financials (2)'!P14</f>
        <v>224.24850000000004</v>
      </c>
      <c r="H9" s="755">
        <f>'Financials (2)'!Q14</f>
        <v>235.46092500000003</v>
      </c>
      <c r="I9" s="755">
        <f>'Financials (2)'!R14</f>
        <v>247.23397125000002</v>
      </c>
      <c r="J9" s="755">
        <f>'Financials (2)'!S14</f>
        <v>259.59566981250003</v>
      </c>
      <c r="K9" s="755">
        <f>'Financials (2)'!T14</f>
        <v>272.57545330312502</v>
      </c>
      <c r="L9" s="755">
        <f>'Financials (2)'!U14</f>
        <v>286.20422596828126</v>
      </c>
      <c r="M9" s="755">
        <f>'Financials (2)'!V14</f>
        <v>300.51443726669532</v>
      </c>
      <c r="N9" s="755">
        <f>'Financials (2)'!W14</f>
        <v>315.54015913003008</v>
      </c>
      <c r="O9" s="755">
        <f>'Financials (2)'!X14</f>
        <v>331.31716708653158</v>
      </c>
      <c r="P9" s="755">
        <f>'Financials (2)'!Y14</f>
        <v>347.88302544085815</v>
      </c>
      <c r="Q9" s="755">
        <f>'Financials (2)'!Z14</f>
        <v>365.27717671290105</v>
      </c>
      <c r="R9" s="755">
        <f>'Financials (2)'!AA14</f>
        <v>383.54103554854612</v>
      </c>
      <c r="S9" s="755">
        <f>'Financials (2)'!AB14</f>
        <v>402.71808732597344</v>
      </c>
      <c r="T9" s="755">
        <f>'Financials (2)'!AC14</f>
        <v>422.85399169227213</v>
      </c>
      <c r="U9" s="755">
        <f>'Financials (2)'!AD14</f>
        <v>443.99669127688571</v>
      </c>
      <c r="V9" s="755">
        <f>'Financials (2)'!AE14</f>
        <v>466.19652584072998</v>
      </c>
      <c r="W9" s="49">
        <f>V9/1200</f>
        <v>0.38849710486727496</v>
      </c>
    </row>
    <row r="10" spans="1:23">
      <c r="D10" s="750" t="s">
        <v>1130</v>
      </c>
      <c r="E10" s="755">
        <f>'Financials (2)'!N17</f>
        <v>0</v>
      </c>
      <c r="F10" s="755">
        <f>'Financials (2)'!O17</f>
        <v>0</v>
      </c>
      <c r="G10" s="755">
        <f>'Financials (2)'!P17</f>
        <v>0</v>
      </c>
      <c r="H10" s="755">
        <f>'Financials (2)'!Q17</f>
        <v>0</v>
      </c>
      <c r="I10" s="755">
        <f>'Financials (2)'!R17</f>
        <v>0</v>
      </c>
      <c r="J10" s="755">
        <f>'Financials (2)'!S17</f>
        <v>0</v>
      </c>
      <c r="K10" s="755">
        <f>'Financials (2)'!T17</f>
        <v>0</v>
      </c>
      <c r="L10" s="755">
        <f>'Financials (2)'!U17</f>
        <v>0</v>
      </c>
      <c r="M10" s="755">
        <f>'Financials (2)'!V17</f>
        <v>0</v>
      </c>
      <c r="N10" s="755">
        <f>'Financials (2)'!W17</f>
        <v>0</v>
      </c>
      <c r="O10" s="755">
        <f>'Financials (2)'!X17</f>
        <v>0</v>
      </c>
      <c r="P10" s="755">
        <f>'Financials (2)'!Y17</f>
        <v>0</v>
      </c>
      <c r="Q10" s="755">
        <f>'Financials (2)'!Z17</f>
        <v>0</v>
      </c>
      <c r="R10" s="755">
        <f>'Financials (2)'!AA17</f>
        <v>0</v>
      </c>
      <c r="S10" s="755">
        <f>'Financials (2)'!AB17</f>
        <v>0</v>
      </c>
      <c r="T10" s="755">
        <f>'Financials (2)'!AC17</f>
        <v>0</v>
      </c>
      <c r="U10" s="755">
        <f>'Financials (2)'!AD17</f>
        <v>0</v>
      </c>
      <c r="V10" s="755">
        <f>'Financials (2)'!AE17</f>
        <v>0</v>
      </c>
    </row>
    <row r="11" spans="1:23">
      <c r="D11" s="756" t="s">
        <v>1131</v>
      </c>
      <c r="E11" s="755">
        <f>'Financials (2)'!N19</f>
        <v>0</v>
      </c>
      <c r="F11" s="755">
        <f>'Financials (2)'!O19</f>
        <v>0</v>
      </c>
      <c r="G11" s="755">
        <f>'Financials (2)'!P19</f>
        <v>0</v>
      </c>
      <c r="H11" s="755">
        <f>'Financials (2)'!Q19</f>
        <v>0</v>
      </c>
      <c r="I11" s="755">
        <f>'Financials (2)'!R19</f>
        <v>0</v>
      </c>
      <c r="J11" s="755">
        <f>'Financials (2)'!S19</f>
        <v>0</v>
      </c>
      <c r="K11" s="755">
        <f>'Financials (2)'!T19</f>
        <v>0</v>
      </c>
      <c r="L11" s="755">
        <f>'Financials (2)'!U19</f>
        <v>0</v>
      </c>
      <c r="M11" s="755">
        <f>'Financials (2)'!V19</f>
        <v>0</v>
      </c>
      <c r="N11" s="755">
        <f>'Financials (2)'!W19</f>
        <v>0</v>
      </c>
      <c r="O11" s="755">
        <f>'Financials (2)'!X19</f>
        <v>0</v>
      </c>
      <c r="P11" s="755">
        <f>'Financials (2)'!Y19</f>
        <v>0</v>
      </c>
      <c r="Q11" s="755">
        <f>'Financials (2)'!Z19</f>
        <v>0</v>
      </c>
      <c r="R11" s="755">
        <f>'Financials (2)'!AA19</f>
        <v>0</v>
      </c>
      <c r="S11" s="755">
        <f>'Financials (2)'!AB19</f>
        <v>0</v>
      </c>
      <c r="T11" s="755">
        <f>'Financials (2)'!AC19</f>
        <v>0</v>
      </c>
      <c r="U11" s="755">
        <f>'Financials (2)'!AD19</f>
        <v>0</v>
      </c>
      <c r="V11" s="755">
        <f>'Financials (2)'!AE19</f>
        <v>0</v>
      </c>
    </row>
    <row r="12" spans="1:23">
      <c r="B12" s="472">
        <v>44593</v>
      </c>
      <c r="D12" s="756" t="s">
        <v>1132</v>
      </c>
      <c r="E12" s="755">
        <f>'Financials (2)'!N21</f>
        <v>0</v>
      </c>
      <c r="F12" s="755">
        <f>'Financials (2)'!O21</f>
        <v>0</v>
      </c>
      <c r="G12" s="755">
        <f>'Financials (2)'!P21</f>
        <v>0</v>
      </c>
      <c r="H12" s="755">
        <f>'Financials (2)'!Q21</f>
        <v>0</v>
      </c>
      <c r="I12" s="755">
        <f>'Financials (2)'!R21</f>
        <v>0</v>
      </c>
      <c r="J12" s="755">
        <f>'Financials (2)'!S21</f>
        <v>0</v>
      </c>
      <c r="K12" s="755">
        <f>'Financials (2)'!T21</f>
        <v>0</v>
      </c>
      <c r="L12" s="755">
        <f>'Financials (2)'!U21</f>
        <v>0</v>
      </c>
      <c r="M12" s="755">
        <f>'Financials (2)'!V21</f>
        <v>0</v>
      </c>
      <c r="N12" s="755">
        <f>'Financials (2)'!W21</f>
        <v>0</v>
      </c>
      <c r="O12" s="755">
        <f>'Financials (2)'!X21</f>
        <v>0</v>
      </c>
      <c r="P12" s="755">
        <f>'Financials (2)'!Y21</f>
        <v>0</v>
      </c>
      <c r="Q12" s="755">
        <f>'Financials (2)'!Z21</f>
        <v>0</v>
      </c>
      <c r="R12" s="755">
        <f>'Financials (2)'!AA21</f>
        <v>0</v>
      </c>
      <c r="S12" s="755">
        <f>'Financials (2)'!AB21</f>
        <v>0</v>
      </c>
      <c r="T12" s="755">
        <f>'Financials (2)'!AC21</f>
        <v>0</v>
      </c>
      <c r="U12" s="755">
        <f>'Financials (2)'!AD21</f>
        <v>0</v>
      </c>
      <c r="V12" s="755">
        <f>'Financials (2)'!AE21</f>
        <v>0</v>
      </c>
    </row>
    <row r="13" spans="1:23">
      <c r="B13" s="472">
        <v>45230</v>
      </c>
      <c r="D13" s="756" t="s">
        <v>1133</v>
      </c>
      <c r="E13" s="755">
        <f>'Financials (2)'!N23</f>
        <v>0</v>
      </c>
      <c r="F13" s="755">
        <f>'Financials (2)'!O23</f>
        <v>0</v>
      </c>
      <c r="G13" s="755">
        <f>'Financials (2)'!P23</f>
        <v>0</v>
      </c>
      <c r="H13" s="755">
        <f>'Financials (2)'!Q23</f>
        <v>0</v>
      </c>
      <c r="I13" s="755">
        <f>'Financials (2)'!R23</f>
        <v>0</v>
      </c>
      <c r="J13" s="755">
        <f>'Financials (2)'!S23</f>
        <v>0</v>
      </c>
      <c r="K13" s="755">
        <f>'Financials (2)'!T23</f>
        <v>0</v>
      </c>
      <c r="L13" s="755">
        <f>'Financials (2)'!U23</f>
        <v>0</v>
      </c>
      <c r="M13" s="755">
        <f>'Financials (2)'!V23</f>
        <v>0</v>
      </c>
      <c r="N13" s="755">
        <f>'Financials (2)'!W23</f>
        <v>0</v>
      </c>
      <c r="O13" s="755">
        <f>'Financials (2)'!X23</f>
        <v>0</v>
      </c>
      <c r="P13" s="755">
        <f>'Financials (2)'!Y23</f>
        <v>0</v>
      </c>
      <c r="Q13" s="755">
        <f>'Financials (2)'!Z23</f>
        <v>0</v>
      </c>
      <c r="R13" s="755">
        <f>'Financials (2)'!AA23</f>
        <v>0</v>
      </c>
      <c r="S13" s="755">
        <f>'Financials (2)'!AB23</f>
        <v>0</v>
      </c>
      <c r="T13" s="755">
        <f>'Financials (2)'!AC23</f>
        <v>0</v>
      </c>
      <c r="U13" s="755">
        <f>'Financials (2)'!AD23</f>
        <v>0</v>
      </c>
      <c r="V13" s="755">
        <f>'Financials (2)'!AE23</f>
        <v>0</v>
      </c>
    </row>
    <row r="14" spans="1:23">
      <c r="B14">
        <f>B13-B12</f>
        <v>637</v>
      </c>
      <c r="D14" s="756" t="s">
        <v>1134</v>
      </c>
      <c r="E14" s="755">
        <f>'Financials (2)'!N25</f>
        <v>0</v>
      </c>
      <c r="F14" s="755">
        <f>'Financials (2)'!O25</f>
        <v>0</v>
      </c>
      <c r="G14" s="755">
        <f>'Financials (2)'!P25</f>
        <v>0</v>
      </c>
      <c r="H14" s="755">
        <f>'Financials (2)'!Q25</f>
        <v>0</v>
      </c>
      <c r="I14" s="755">
        <f>'Financials (2)'!R25</f>
        <v>0</v>
      </c>
      <c r="J14" s="755">
        <f>'Financials (2)'!S25</f>
        <v>0</v>
      </c>
      <c r="K14" s="755">
        <f>'Financials (2)'!T25</f>
        <v>0</v>
      </c>
      <c r="L14" s="755">
        <f>'Financials (2)'!U25</f>
        <v>0</v>
      </c>
      <c r="M14" s="755">
        <f>'Financials (2)'!V25</f>
        <v>0</v>
      </c>
      <c r="N14" s="755">
        <f>'Financials (2)'!W25</f>
        <v>0</v>
      </c>
      <c r="O14" s="755">
        <f>'Financials (2)'!X25</f>
        <v>0</v>
      </c>
      <c r="P14" s="755">
        <f>'Financials (2)'!Y25</f>
        <v>0</v>
      </c>
      <c r="Q14" s="755">
        <f>'Financials (2)'!Z25</f>
        <v>0</v>
      </c>
      <c r="R14" s="755">
        <f>'Financials (2)'!AA25</f>
        <v>0</v>
      </c>
      <c r="S14" s="755">
        <f>'Financials (2)'!AB25</f>
        <v>0</v>
      </c>
      <c r="T14" s="755">
        <f>'Financials (2)'!AC25</f>
        <v>0</v>
      </c>
      <c r="U14" s="755">
        <f>'Financials (2)'!AD25</f>
        <v>0</v>
      </c>
      <c r="V14" s="755">
        <f>'Financials (2)'!AE25</f>
        <v>0</v>
      </c>
    </row>
    <row r="15" spans="1:23">
      <c r="B15">
        <f>B14/30</f>
        <v>21.233333333333334</v>
      </c>
      <c r="D15" s="756" t="s">
        <v>1135</v>
      </c>
      <c r="E15" s="755">
        <f>'Financials (2)'!N27</f>
        <v>0</v>
      </c>
      <c r="F15" s="755">
        <f>'Financials (2)'!O27</f>
        <v>0</v>
      </c>
      <c r="G15" s="755">
        <f>'Financials (2)'!P27</f>
        <v>0</v>
      </c>
      <c r="H15" s="755">
        <f>'Financials (2)'!Q27</f>
        <v>0</v>
      </c>
      <c r="I15" s="755">
        <f>'Financials (2)'!R27</f>
        <v>0</v>
      </c>
      <c r="J15" s="755">
        <f>'Financials (2)'!S27</f>
        <v>0</v>
      </c>
      <c r="K15" s="755">
        <f>'Financials (2)'!T27</f>
        <v>0</v>
      </c>
      <c r="L15" s="755">
        <f>'Financials (2)'!U27</f>
        <v>0</v>
      </c>
      <c r="M15" s="755">
        <f>'Financials (2)'!V27</f>
        <v>0</v>
      </c>
      <c r="N15" s="755">
        <f>'Financials (2)'!W27</f>
        <v>0</v>
      </c>
      <c r="O15" s="755">
        <f>'Financials (2)'!X27</f>
        <v>0</v>
      </c>
      <c r="P15" s="755">
        <f>'Financials (2)'!Y27</f>
        <v>0</v>
      </c>
      <c r="Q15" s="755">
        <f>'Financials (2)'!Z27</f>
        <v>0</v>
      </c>
      <c r="R15" s="755">
        <f>'Financials (2)'!AA27</f>
        <v>0</v>
      </c>
      <c r="S15" s="755">
        <f>'Financials (2)'!AB27</f>
        <v>0</v>
      </c>
      <c r="T15" s="755">
        <f>'Financials (2)'!AC27</f>
        <v>0</v>
      </c>
      <c r="U15" s="755">
        <f>'Financials (2)'!AD27</f>
        <v>0</v>
      </c>
      <c r="V15" s="755">
        <f>'Financials (2)'!AE27</f>
        <v>0</v>
      </c>
    </row>
    <row r="16" spans="1:23">
      <c r="D16" s="756" t="s">
        <v>1136</v>
      </c>
      <c r="E16" s="755">
        <f>'Financials (2)'!N29</f>
        <v>0</v>
      </c>
      <c r="F16" s="755">
        <f>'Financials (2)'!O29</f>
        <v>0</v>
      </c>
      <c r="G16" s="755">
        <f>'Financials (2)'!P29</f>
        <v>0</v>
      </c>
      <c r="H16" s="755">
        <f>'Financials (2)'!Q29</f>
        <v>0</v>
      </c>
      <c r="I16" s="755">
        <f>'Financials (2)'!R29</f>
        <v>0</v>
      </c>
      <c r="J16" s="755">
        <f>'Financials (2)'!S29</f>
        <v>0</v>
      </c>
      <c r="K16" s="755">
        <f>'Financials (2)'!T29</f>
        <v>0</v>
      </c>
      <c r="L16" s="755">
        <f>'Financials (2)'!U29</f>
        <v>0</v>
      </c>
      <c r="M16" s="755">
        <f>'Financials (2)'!V29</f>
        <v>0</v>
      </c>
      <c r="N16" s="755">
        <f>'Financials (2)'!W29</f>
        <v>0</v>
      </c>
      <c r="O16" s="755">
        <f>'Financials (2)'!X29</f>
        <v>0</v>
      </c>
      <c r="P16" s="755">
        <f>'Financials (2)'!Y29</f>
        <v>0</v>
      </c>
      <c r="Q16" s="755">
        <f>'Financials (2)'!Z29</f>
        <v>0</v>
      </c>
      <c r="R16" s="755">
        <f>'Financials (2)'!AA29</f>
        <v>0</v>
      </c>
      <c r="S16" s="755">
        <f>'Financials (2)'!AB29</f>
        <v>0</v>
      </c>
      <c r="T16" s="755">
        <f>'Financials (2)'!AC29</f>
        <v>0</v>
      </c>
      <c r="U16" s="755">
        <f>'Financials (2)'!AD29</f>
        <v>0</v>
      </c>
      <c r="V16" s="755">
        <f>'Financials (2)'!AE29</f>
        <v>0</v>
      </c>
    </row>
    <row r="17" spans="4:22">
      <c r="D17" s="756" t="s">
        <v>1138</v>
      </c>
      <c r="E17" s="755">
        <f>'Financials (2)'!N31</f>
        <v>0</v>
      </c>
      <c r="F17" s="755">
        <f>'Financials (2)'!O31</f>
        <v>0</v>
      </c>
      <c r="G17" s="755">
        <f>'Financials (2)'!P31</f>
        <v>0</v>
      </c>
      <c r="H17" s="755">
        <f>'Financials (2)'!Q31</f>
        <v>0</v>
      </c>
      <c r="I17" s="755">
        <f>'Financials (2)'!R31</f>
        <v>0</v>
      </c>
      <c r="J17" s="755">
        <f>'Financials (2)'!S31</f>
        <v>0</v>
      </c>
      <c r="K17" s="755">
        <f>'Financials (2)'!T31</f>
        <v>0</v>
      </c>
      <c r="L17" s="755">
        <f>'Financials (2)'!U31</f>
        <v>0</v>
      </c>
      <c r="M17" s="755">
        <f>'Financials (2)'!V31</f>
        <v>0</v>
      </c>
      <c r="N17" s="755">
        <f>'Financials (2)'!W31</f>
        <v>0</v>
      </c>
      <c r="O17" s="755">
        <f>'Financials (2)'!X31</f>
        <v>0</v>
      </c>
      <c r="P17" s="755">
        <f>'Financials (2)'!Y31</f>
        <v>0</v>
      </c>
      <c r="Q17" s="755">
        <f>'Financials (2)'!Z31</f>
        <v>0</v>
      </c>
      <c r="R17" s="755">
        <f>'Financials (2)'!AA31</f>
        <v>0</v>
      </c>
      <c r="S17" s="755">
        <f>'Financials (2)'!AB31</f>
        <v>0</v>
      </c>
      <c r="T17" s="755">
        <f>'Financials (2)'!AC31</f>
        <v>0</v>
      </c>
      <c r="U17" s="755">
        <f>'Financials (2)'!AD31</f>
        <v>0</v>
      </c>
      <c r="V17" s="755">
        <f>'Financials (2)'!AE31</f>
        <v>0</v>
      </c>
    </row>
    <row r="18" spans="4:22">
      <c r="D18" s="752" t="s">
        <v>1139</v>
      </c>
      <c r="E18" s="758">
        <f t="shared" ref="E18" si="1">SUM(E6:E17)</f>
        <v>2773.4737902638399</v>
      </c>
      <c r="F18" s="758">
        <f t="shared" ref="F18" si="2">SUM(F6:F17)</f>
        <v>2776.6217307276002</v>
      </c>
      <c r="G18" s="758">
        <f t="shared" ref="G18" si="3">SUM(G6:G17)</f>
        <v>2787.3002307276001</v>
      </c>
      <c r="H18" s="758">
        <f t="shared" ref="H18" si="4">SUM(H6:H17)</f>
        <v>2988.4277470094457</v>
      </c>
      <c r="I18" s="758">
        <f t="shared" ref="I18" si="5">SUM(I6:I17)</f>
        <v>3007.7431681142662</v>
      </c>
      <c r="J18" s="758">
        <f t="shared" ref="J18" si="6">SUM(J6:J17)</f>
        <v>3192.8088532866127</v>
      </c>
      <c r="K18" s="758">
        <f t="shared" ref="K18" si="7">SUM(K6:K17)</f>
        <v>3286.7242886387826</v>
      </c>
      <c r="L18" s="758">
        <f t="shared" ref="L18" si="8">SUM(L6:L17)</f>
        <v>3423.8867335296782</v>
      </c>
      <c r="M18" s="758">
        <f t="shared" ref="M18" si="9">SUM(M6:M17)</f>
        <v>3446.7933352597679</v>
      </c>
      <c r="N18" s="758">
        <f t="shared" ref="N18" si="10">SUM(N6:N17)</f>
        <v>3667.0501755252039</v>
      </c>
      <c r="O18" s="758">
        <f t="shared" ref="O18" si="11">SUM(O6:O17)</f>
        <v>3755.5941558630266</v>
      </c>
      <c r="P18" s="758">
        <f t="shared" ref="P18" si="12">SUM(P6:P17)</f>
        <v>3901.8703700543779</v>
      </c>
      <c r="Q18" s="758">
        <f t="shared" ref="Q18" si="13">SUM(Q6:Q17)</f>
        <v>4026.8658766054909</v>
      </c>
      <c r="R18" s="758">
        <f t="shared" ref="R18" si="14">SUM(R6:R17)</f>
        <v>4109.0660279572276</v>
      </c>
      <c r="S18" s="758">
        <f t="shared" ref="S18" si="15">SUM(S6:S17)</f>
        <v>4177.5368352187752</v>
      </c>
      <c r="T18" s="758">
        <f t="shared" ref="T18" si="16">SUM(T6:T17)</f>
        <v>4386.4136769797133</v>
      </c>
      <c r="U18" s="758">
        <f t="shared" ref="U18" si="17">SUM(U6:U17)</f>
        <v>3922.1016047318508</v>
      </c>
      <c r="V18" s="758">
        <f t="shared" ref="V18" si="18">SUM(V6:V17)</f>
        <v>2158.3282166561021</v>
      </c>
    </row>
    <row r="19" spans="4:22">
      <c r="D19" s="752" t="s">
        <v>1140</v>
      </c>
      <c r="E19" s="758">
        <f t="shared" ref="E19" si="19">E3+E4-E18</f>
        <v>381.92681165615977</v>
      </c>
      <c r="F19" s="758">
        <f t="shared" ref="F19" si="20">F3+F4-F18</f>
        <v>370.15755807239975</v>
      </c>
      <c r="G19" s="758">
        <f t="shared" ref="G19" si="21">G3+G4-G18</f>
        <v>359.47905807239977</v>
      </c>
      <c r="H19" s="758">
        <f t="shared" ref="H19" si="22">H3+H4-H18</f>
        <v>391.51924133855391</v>
      </c>
      <c r="I19" s="758">
        <f t="shared" ref="I19" si="23">I3+I4-I18</f>
        <v>381.46394896893344</v>
      </c>
      <c r="J19" s="758">
        <f t="shared" ref="J19" si="24">J3+J4-J18</f>
        <v>408.43507976938736</v>
      </c>
      <c r="K19" s="758">
        <f t="shared" ref="K19" si="25">K3+K4-K18</f>
        <v>413.88815499001748</v>
      </c>
      <c r="L19" s="758">
        <f t="shared" ref="L19" si="26">L3+L4-L18</f>
        <v>428.39381596252178</v>
      </c>
      <c r="M19" s="758">
        <f t="shared" ref="M19" si="27">M3+M4-M18</f>
        <v>416.04140751871228</v>
      </c>
      <c r="N19" s="758">
        <f t="shared" ref="N19" si="28">N3+N4-N18</f>
        <v>447.75647443817661</v>
      </c>
      <c r="O19" s="758">
        <f t="shared" ref="O19" si="29">O3+O4-O18</f>
        <v>448.55193226035499</v>
      </c>
      <c r="P19" s="758">
        <f t="shared" ref="P19" si="30">P3+P4-P18</f>
        <v>461.52722922557268</v>
      </c>
      <c r="Q19" s="758">
        <f t="shared" ref="Q19" si="31">Q3+Q4-Q18</f>
        <v>468.63897286361816</v>
      </c>
      <c r="R19" s="758">
        <f t="shared" ref="R19" si="32">R3+R4-R18</f>
        <v>464.93641821672099</v>
      </c>
      <c r="S19" s="758">
        <f t="shared" ref="S19" si="33">S3+S4-S18</f>
        <v>456.98587551517357</v>
      </c>
      <c r="T19" s="758">
        <f t="shared" ref="T19" si="34">T3+T4-T18</f>
        <v>479.83516929093275</v>
      </c>
      <c r="U19" s="758">
        <f t="shared" ref="U19" si="35">U3+U4-U18</f>
        <v>348.13156095871364</v>
      </c>
      <c r="V19" s="758">
        <f t="shared" ref="V19" si="36">V3+V4-V18</f>
        <v>-80.818467343183784</v>
      </c>
    </row>
    <row r="20" spans="4:22">
      <c r="D20" s="759" t="s">
        <v>93</v>
      </c>
      <c r="E20" s="755">
        <f>EV!C11</f>
        <v>303.3498975</v>
      </c>
      <c r="F20" s="755">
        <f>EV!D11</f>
        <v>303.62410683510177</v>
      </c>
      <c r="G20" s="755">
        <f>EV!E11</f>
        <v>303.81161293864932</v>
      </c>
      <c r="H20" s="755">
        <f>EV!F11</f>
        <v>303.81161293864932</v>
      </c>
      <c r="I20" s="755">
        <f>EV!G11</f>
        <v>303.81161293864932</v>
      </c>
      <c r="J20" s="755">
        <f>EV!H11</f>
        <v>303.97435030304308</v>
      </c>
      <c r="K20" s="755">
        <f>EV!I11</f>
        <v>304.29613429976826</v>
      </c>
      <c r="L20" s="755">
        <f>EV!J11</f>
        <v>304.29613429976826</v>
      </c>
      <c r="M20" s="755">
        <f>EV!K11</f>
        <v>304.44235743008034</v>
      </c>
      <c r="N20" s="755">
        <f>EV!L11</f>
        <v>304.48952089724139</v>
      </c>
      <c r="O20" s="755">
        <f>EV!M11</f>
        <v>304.60895784017004</v>
      </c>
      <c r="P20" s="755">
        <f>EV!N11</f>
        <v>305.22347206379635</v>
      </c>
      <c r="Q20" s="755">
        <f>EV!O11</f>
        <v>305.22347206379635</v>
      </c>
      <c r="R20" s="755">
        <f>EV!P11</f>
        <v>305.27638823450548</v>
      </c>
      <c r="S20" s="755">
        <f>EV!Q11</f>
        <v>305.44098591609679</v>
      </c>
      <c r="T20" s="755">
        <f>EV!R11</f>
        <v>305.44098591609679</v>
      </c>
      <c r="U20" s="755">
        <f>EV!S11</f>
        <v>306.03546798487184</v>
      </c>
      <c r="V20" s="755">
        <f>EV!T11</f>
        <v>306.35481228863972</v>
      </c>
    </row>
    <row r="21" spans="4:22">
      <c r="D21" s="752" t="s">
        <v>1241</v>
      </c>
      <c r="E21" s="758">
        <f t="shared" ref="E21" si="37">E19-E20</f>
        <v>78.576914156159773</v>
      </c>
      <c r="F21" s="758">
        <f t="shared" ref="F21" si="38">F19-F20</f>
        <v>66.533451237297982</v>
      </c>
      <c r="G21" s="758">
        <f t="shared" ref="G21" si="39">G19-G20</f>
        <v>55.667445133750448</v>
      </c>
      <c r="H21" s="758">
        <f t="shared" ref="H21" si="40">H19-H20</f>
        <v>87.707628399904593</v>
      </c>
      <c r="I21" s="758">
        <f t="shared" ref="I21" si="41">I19-I20</f>
        <v>77.652336030284118</v>
      </c>
      <c r="J21" s="758">
        <f t="shared" ref="J21" si="42">J19-J20</f>
        <v>104.46072946634428</v>
      </c>
      <c r="K21" s="758">
        <f t="shared" ref="K21" si="43">K19-K20</f>
        <v>109.59202069024923</v>
      </c>
      <c r="L21" s="758">
        <f t="shared" ref="L21" si="44">L19-L20</f>
        <v>124.09768166275353</v>
      </c>
      <c r="M21" s="758">
        <f t="shared" ref="M21" si="45">M19-M20</f>
        <v>111.59905008863194</v>
      </c>
      <c r="N21" s="758">
        <f t="shared" ref="N21" si="46">N19-N20</f>
        <v>143.26695354093522</v>
      </c>
      <c r="O21" s="758">
        <f t="shared" ref="O21" si="47">O19-O20</f>
        <v>143.94297442018495</v>
      </c>
      <c r="P21" s="758">
        <f t="shared" ref="P21" si="48">P19-P20</f>
        <v>156.30375716177633</v>
      </c>
      <c r="Q21" s="758">
        <f t="shared" ref="Q21" si="49">Q19-Q20</f>
        <v>163.41550079982181</v>
      </c>
      <c r="R21" s="758">
        <f t="shared" ref="R21" si="50">R19-R20</f>
        <v>159.66002998221552</v>
      </c>
      <c r="S21" s="758">
        <f t="shared" ref="S21" si="51">S19-S20</f>
        <v>151.54488959907678</v>
      </c>
      <c r="T21" s="758">
        <f t="shared" ref="T21" si="52">T19-T20</f>
        <v>174.39418337483596</v>
      </c>
      <c r="U21" s="758">
        <f t="shared" ref="U21" si="53">U19-U20</f>
        <v>42.096092973841792</v>
      </c>
      <c r="V21" s="758">
        <f t="shared" ref="V21" si="54">V19-V20</f>
        <v>-387.1732796318235</v>
      </c>
    </row>
    <row r="22" spans="4:22">
      <c r="D22" s="750" t="s">
        <v>1303</v>
      </c>
      <c r="E22" s="750">
        <f>'RK Debt'!D15</f>
        <v>0</v>
      </c>
      <c r="F22" s="755">
        <f>'RK Debt'!E15</f>
        <v>971.64522000000011</v>
      </c>
      <c r="G22" s="755">
        <f>'RK Debt'!F15</f>
        <v>914.48961882352955</v>
      </c>
      <c r="H22" s="755">
        <f>'RK Debt'!G15</f>
        <v>857.33401764705889</v>
      </c>
      <c r="I22" s="755">
        <f>'RK Debt'!H15</f>
        <v>800.17841647058833</v>
      </c>
      <c r="J22" s="755">
        <f>'RK Debt'!I15</f>
        <v>743.02281529411766</v>
      </c>
      <c r="K22" s="755">
        <f>'RK Debt'!J15</f>
        <v>685.86721411764699</v>
      </c>
      <c r="L22" s="755">
        <f>'RK Debt'!K15</f>
        <v>628.71161294117644</v>
      </c>
      <c r="M22" s="755">
        <f>'RK Debt'!L15</f>
        <v>571.55601176470577</v>
      </c>
      <c r="N22" s="755">
        <f>'RK Debt'!M15</f>
        <v>514.4004105882351</v>
      </c>
      <c r="O22" s="755">
        <f>'RK Debt'!N15</f>
        <v>457.24480941176449</v>
      </c>
      <c r="P22" s="755">
        <f>'RK Debt'!O15</f>
        <v>400.08920823529388</v>
      </c>
      <c r="Q22" s="755">
        <f>'RK Debt'!P15</f>
        <v>342.93360705882327</v>
      </c>
      <c r="R22" s="755">
        <f>'RK Debt'!Q15</f>
        <v>285.77800588235266</v>
      </c>
      <c r="S22" s="755">
        <f>'RK Debt'!R15</f>
        <v>228.62240470588205</v>
      </c>
      <c r="T22" s="755">
        <f>'RK Debt'!S15</f>
        <v>171.46680352941144</v>
      </c>
      <c r="U22" s="755">
        <f>'RK Debt'!T15</f>
        <v>114.31120235294085</v>
      </c>
      <c r="V22" s="755">
        <f>'RK Debt'!U15</f>
        <v>57.155601176470256</v>
      </c>
    </row>
    <row r="23" spans="4:22">
      <c r="D23" s="756" t="s">
        <v>1144</v>
      </c>
      <c r="E23" s="769">
        <f t="shared" ref="E23" si="55">E21-E22</f>
        <v>78.576914156159773</v>
      </c>
      <c r="F23" s="769">
        <f t="shared" ref="F23" si="56">F21-F22</f>
        <v>-905.11176876270213</v>
      </c>
      <c r="G23" s="769">
        <f t="shared" ref="G23" si="57">G21-G22</f>
        <v>-858.82217368977911</v>
      </c>
      <c r="H23" s="769">
        <f t="shared" ref="H23" si="58">H21-H22</f>
        <v>-769.62638924715429</v>
      </c>
      <c r="I23" s="769">
        <f t="shared" ref="I23" si="59">I21-I22</f>
        <v>-722.52608044030421</v>
      </c>
      <c r="J23" s="769">
        <f t="shared" ref="J23" si="60">J21-J22</f>
        <v>-638.56208582777344</v>
      </c>
      <c r="K23" s="769">
        <f t="shared" ref="K23" si="61">K21-K22</f>
        <v>-576.27519342739777</v>
      </c>
      <c r="L23" s="769">
        <f t="shared" ref="L23" si="62">L21-L22</f>
        <v>-504.61393127842291</v>
      </c>
      <c r="M23" s="769">
        <f t="shared" ref="M23" si="63">M21-M22</f>
        <v>-459.95696167607383</v>
      </c>
      <c r="N23" s="769">
        <f t="shared" ref="N23" si="64">N21-N22</f>
        <v>-371.13345704729988</v>
      </c>
      <c r="O23" s="769">
        <f t="shared" ref="O23" si="65">O21-O22</f>
        <v>-313.30183499157954</v>
      </c>
      <c r="P23" s="769">
        <f t="shared" ref="P23" si="66">P21-P22</f>
        <v>-243.78545107351755</v>
      </c>
      <c r="Q23" s="769">
        <f t="shared" ref="Q23" si="67">Q21-Q22</f>
        <v>-179.51810625900146</v>
      </c>
      <c r="R23" s="769">
        <f t="shared" ref="R23" si="68">R21-R22</f>
        <v>-126.11797590013714</v>
      </c>
      <c r="S23" s="769">
        <f t="shared" ref="S23" si="69">S21-S22</f>
        <v>-77.077515106805265</v>
      </c>
      <c r="T23" s="769">
        <f t="shared" ref="T23" si="70">T21-T22</f>
        <v>2.9273798454245252</v>
      </c>
      <c r="U23" s="769">
        <f t="shared" ref="U23" si="71">U21-U22</f>
        <v>-72.215109379099061</v>
      </c>
      <c r="V23" s="769">
        <f t="shared" ref="V23" si="72">V21-V22</f>
        <v>-444.32888080829377</v>
      </c>
    </row>
    <row r="24" spans="4:22">
      <c r="D24" s="750" t="s">
        <v>96</v>
      </c>
      <c r="E24" s="760">
        <f>EV!C13</f>
        <v>0</v>
      </c>
      <c r="F24" s="760">
        <v>0</v>
      </c>
      <c r="G24" s="760">
        <v>0</v>
      </c>
      <c r="H24" s="760">
        <v>0</v>
      </c>
      <c r="I24" s="760">
        <v>0</v>
      </c>
      <c r="J24" s="760">
        <v>0</v>
      </c>
      <c r="K24" s="760">
        <v>0</v>
      </c>
      <c r="L24" s="760">
        <v>0</v>
      </c>
      <c r="M24" s="760">
        <v>0</v>
      </c>
      <c r="N24" s="760">
        <v>0</v>
      </c>
      <c r="O24" s="760">
        <v>0</v>
      </c>
      <c r="P24" s="760">
        <v>0</v>
      </c>
      <c r="Q24" s="760">
        <v>0</v>
      </c>
      <c r="R24" s="760">
        <v>0</v>
      </c>
      <c r="S24" s="760">
        <v>0</v>
      </c>
      <c r="T24" s="760">
        <v>0</v>
      </c>
      <c r="U24" s="760">
        <v>0</v>
      </c>
      <c r="V24" s="760">
        <v>0</v>
      </c>
    </row>
    <row r="25" spans="4:22">
      <c r="D25" s="765" t="s">
        <v>1145</v>
      </c>
      <c r="E25" s="766">
        <f>E23-E24</f>
        <v>78.576914156159773</v>
      </c>
      <c r="F25" s="766">
        <f t="shared" ref="F25:V25" si="73">F23-F24</f>
        <v>-905.11176876270213</v>
      </c>
      <c r="G25" s="766">
        <f t="shared" si="73"/>
        <v>-858.82217368977911</v>
      </c>
      <c r="H25" s="766">
        <f t="shared" si="73"/>
        <v>-769.62638924715429</v>
      </c>
      <c r="I25" s="766">
        <f t="shared" si="73"/>
        <v>-722.52608044030421</v>
      </c>
      <c r="J25" s="766">
        <f t="shared" si="73"/>
        <v>-638.56208582777344</v>
      </c>
      <c r="K25" s="766">
        <f t="shared" si="73"/>
        <v>-576.27519342739777</v>
      </c>
      <c r="L25" s="766">
        <f t="shared" si="73"/>
        <v>-504.61393127842291</v>
      </c>
      <c r="M25" s="766">
        <f t="shared" si="73"/>
        <v>-459.95696167607383</v>
      </c>
      <c r="N25" s="766">
        <f t="shared" si="73"/>
        <v>-371.13345704729988</v>
      </c>
      <c r="O25" s="766">
        <f t="shared" si="73"/>
        <v>-313.30183499157954</v>
      </c>
      <c r="P25" s="766">
        <f t="shared" si="73"/>
        <v>-243.78545107351755</v>
      </c>
      <c r="Q25" s="766">
        <f t="shared" si="73"/>
        <v>-179.51810625900146</v>
      </c>
      <c r="R25" s="766">
        <f t="shared" si="73"/>
        <v>-126.11797590013714</v>
      </c>
      <c r="S25" s="766">
        <f t="shared" si="73"/>
        <v>-77.077515106805265</v>
      </c>
      <c r="T25" s="766">
        <f t="shared" si="73"/>
        <v>2.9273798454245252</v>
      </c>
      <c r="U25" s="766">
        <f t="shared" si="73"/>
        <v>-72.215109379099061</v>
      </c>
      <c r="V25" s="766">
        <f t="shared" si="73"/>
        <v>-444.32888080829377</v>
      </c>
    </row>
    <row r="26" spans="4:22">
      <c r="D26" s="750" t="s">
        <v>1150</v>
      </c>
      <c r="E26" s="750">
        <f>'Financials (2)'!N48</f>
        <v>0.12</v>
      </c>
      <c r="F26" s="750">
        <f>'Financials (2)'!O48</f>
        <v>0.12</v>
      </c>
      <c r="G26" s="750">
        <f>'Financials (2)'!P48</f>
        <v>0.12</v>
      </c>
      <c r="H26" s="750">
        <f>'Financials (2)'!Q48</f>
        <v>0.12</v>
      </c>
      <c r="I26" s="750">
        <f>'Financials (2)'!R48</f>
        <v>0.12</v>
      </c>
      <c r="J26" s="750">
        <f>'Financials (2)'!S48</f>
        <v>0.12</v>
      </c>
      <c r="K26" s="750">
        <f>'Financials (2)'!T48</f>
        <v>0.12</v>
      </c>
      <c r="L26" s="750">
        <f>'Financials (2)'!U48</f>
        <v>0.12</v>
      </c>
      <c r="M26" s="750">
        <f>'Financials (2)'!V48</f>
        <v>0.12</v>
      </c>
      <c r="N26" s="750">
        <f>'Financials (2)'!W48</f>
        <v>0.12</v>
      </c>
      <c r="O26" s="750">
        <f>'Financials (2)'!X48</f>
        <v>0.12</v>
      </c>
      <c r="P26" s="750">
        <f>'Financials (2)'!Y48</f>
        <v>0.12</v>
      </c>
      <c r="Q26" s="750">
        <f>'Financials (2)'!Z48</f>
        <v>0.12</v>
      </c>
      <c r="R26" s="750">
        <f>'Financials (2)'!AA48</f>
        <v>0.12</v>
      </c>
      <c r="S26" s="750">
        <f>'Financials (2)'!AB48</f>
        <v>0.12</v>
      </c>
      <c r="T26" s="750">
        <f>'Financials (2)'!AC48</f>
        <v>0.12</v>
      </c>
      <c r="U26" s="750">
        <f>'Financials (2)'!AD48</f>
        <v>0.12</v>
      </c>
      <c r="V26" s="750">
        <f>'Financials (2)'!AE48</f>
        <v>0.12</v>
      </c>
    </row>
    <row r="27" spans="4:22">
      <c r="D27" s="765" t="s">
        <v>1151</v>
      </c>
      <c r="E27" s="766">
        <f>E25+E26</f>
        <v>78.696914156159778</v>
      </c>
      <c r="F27" s="766">
        <f t="shared" ref="F27:V27" si="74">F25+F26</f>
        <v>-904.99176876270212</v>
      </c>
      <c r="G27" s="766">
        <f t="shared" si="74"/>
        <v>-858.7021736897791</v>
      </c>
      <c r="H27" s="766">
        <f t="shared" si="74"/>
        <v>-769.50638924715429</v>
      </c>
      <c r="I27" s="766">
        <f t="shared" si="74"/>
        <v>-722.40608044030421</v>
      </c>
      <c r="J27" s="766">
        <f t="shared" si="74"/>
        <v>-638.44208582777344</v>
      </c>
      <c r="K27" s="766">
        <f t="shared" si="74"/>
        <v>-576.15519342739776</v>
      </c>
      <c r="L27" s="766">
        <f t="shared" si="74"/>
        <v>-504.49393127842291</v>
      </c>
      <c r="M27" s="766">
        <f t="shared" si="74"/>
        <v>-459.83696167607383</v>
      </c>
      <c r="N27" s="766">
        <f t="shared" si="74"/>
        <v>-371.01345704729988</v>
      </c>
      <c r="O27" s="766">
        <f t="shared" si="74"/>
        <v>-313.18183499157954</v>
      </c>
      <c r="P27" s="766">
        <f t="shared" si="74"/>
        <v>-243.66545107351754</v>
      </c>
      <c r="Q27" s="766">
        <f t="shared" si="74"/>
        <v>-179.39810625900145</v>
      </c>
      <c r="R27" s="766">
        <f t="shared" si="74"/>
        <v>-125.99797590013713</v>
      </c>
      <c r="S27" s="766">
        <f t="shared" si="74"/>
        <v>-76.957515106805261</v>
      </c>
      <c r="T27" s="766">
        <f t="shared" si="74"/>
        <v>3.0473798454245253</v>
      </c>
      <c r="U27" s="766">
        <f t="shared" si="74"/>
        <v>-72.095109379099057</v>
      </c>
      <c r="V27" s="766">
        <f t="shared" si="74"/>
        <v>-444.20888080829377</v>
      </c>
    </row>
    <row r="29" spans="4:22">
      <c r="D29" s="752" t="s">
        <v>1433</v>
      </c>
      <c r="E29" s="751">
        <f>E19/E5</f>
        <v>0.1210390881664169</v>
      </c>
      <c r="F29" s="751">
        <f t="shared" ref="F29:V29" si="75">F19/F5</f>
        <v>0.11763060707494248</v>
      </c>
      <c r="G29" s="751">
        <f t="shared" si="75"/>
        <v>0.11423713742868961</v>
      </c>
      <c r="H29" s="751">
        <f t="shared" si="75"/>
        <v>0.11583591183183464</v>
      </c>
      <c r="I29" s="751">
        <f t="shared" si="75"/>
        <v>0.11255256341407273</v>
      </c>
      <c r="J29" s="751">
        <f t="shared" si="75"/>
        <v>0.1134149997505976</v>
      </c>
      <c r="K29" s="751">
        <f t="shared" si="75"/>
        <v>0.11184315063918475</v>
      </c>
      <c r="L29" s="751">
        <f t="shared" si="75"/>
        <v>0.11120524854270851</v>
      </c>
      <c r="M29" s="751">
        <f t="shared" si="75"/>
        <v>0.10770365165025408</v>
      </c>
      <c r="N29" s="751">
        <f t="shared" si="75"/>
        <v>0.10881592077775061</v>
      </c>
      <c r="O29" s="751">
        <f t="shared" si="75"/>
        <v>0.10669275587913182</v>
      </c>
      <c r="P29" s="751">
        <f t="shared" si="75"/>
        <v>0.10577244423055421</v>
      </c>
      <c r="Q29" s="751">
        <f t="shared" si="75"/>
        <v>0.10424612775558711</v>
      </c>
      <c r="R29" s="751">
        <f t="shared" si="75"/>
        <v>0.10164761031241468</v>
      </c>
      <c r="S29" s="751">
        <f t="shared" si="75"/>
        <v>9.8604733224578966E-2</v>
      </c>
      <c r="T29" s="751">
        <f t="shared" si="75"/>
        <v>9.8604733224579078E-2</v>
      </c>
      <c r="U29" s="751">
        <f t="shared" si="75"/>
        <v>8.1525187841215985E-2</v>
      </c>
      <c r="V29" s="751">
        <f t="shared" si="75"/>
        <v>-3.8901606777013861E-2</v>
      </c>
    </row>
    <row r="30" spans="4:22">
      <c r="D30" s="752" t="s">
        <v>1434</v>
      </c>
      <c r="E30" s="751">
        <f>E21/E5</f>
        <v>2.4902357598698327E-2</v>
      </c>
      <c r="F30" s="751">
        <f t="shared" ref="F30:V30" si="76">F21/F5</f>
        <v>2.1143348525936818E-2</v>
      </c>
      <c r="G30" s="751">
        <f t="shared" si="76"/>
        <v>1.7690292208252967E-2</v>
      </c>
      <c r="H30" s="751">
        <f t="shared" si="76"/>
        <v>2.5949409473659535E-2</v>
      </c>
      <c r="I30" s="751">
        <f t="shared" si="76"/>
        <v>2.2911652592395367E-2</v>
      </c>
      <c r="J30" s="751">
        <f t="shared" si="76"/>
        <v>2.9006846358696773E-2</v>
      </c>
      <c r="K30" s="751">
        <f t="shared" si="76"/>
        <v>2.9614563091828094E-2</v>
      </c>
      <c r="L30" s="751">
        <f t="shared" si="76"/>
        <v>3.2214082040081908E-2</v>
      </c>
      <c r="M30" s="751">
        <f t="shared" si="76"/>
        <v>2.8890454166403293E-2</v>
      </c>
      <c r="N30" s="751">
        <f t="shared" si="76"/>
        <v>3.4817420532313521E-2</v>
      </c>
      <c r="O30" s="751">
        <f t="shared" si="76"/>
        <v>3.4238337917614381E-2</v>
      </c>
      <c r="P30" s="751">
        <f t="shared" si="76"/>
        <v>3.5821571059114495E-2</v>
      </c>
      <c r="Q30" s="751">
        <f t="shared" si="76"/>
        <v>3.6350867426851993E-2</v>
      </c>
      <c r="R30" s="751">
        <f t="shared" si="76"/>
        <v>3.4905978267625891E-2</v>
      </c>
      <c r="S30" s="751">
        <f t="shared" si="76"/>
        <v>3.2699136255840526E-2</v>
      </c>
      <c r="T30" s="751">
        <f t="shared" si="76"/>
        <v>3.5837498016256748E-2</v>
      </c>
      <c r="U30" s="751">
        <f t="shared" si="76"/>
        <v>9.8580314798885661E-3</v>
      </c>
      <c r="V30" s="751">
        <f t="shared" si="76"/>
        <v>-0.18636412164124422</v>
      </c>
    </row>
    <row r="31" spans="4:22">
      <c r="D31" s="752" t="s">
        <v>1435</v>
      </c>
      <c r="E31" s="751">
        <f>E25/E5</f>
        <v>2.4902357598698327E-2</v>
      </c>
      <c r="F31" s="751">
        <f t="shared" ref="F31:V31" si="77">F25/F5</f>
        <v>-0.28763115735004713</v>
      </c>
      <c r="G31" s="751">
        <f t="shared" si="77"/>
        <v>-0.27292100743973191</v>
      </c>
      <c r="H31" s="751">
        <f t="shared" si="77"/>
        <v>-0.22770368644844363</v>
      </c>
      <c r="I31" s="751">
        <f t="shared" si="77"/>
        <v>-0.21318439843892473</v>
      </c>
      <c r="J31" s="751">
        <f t="shared" si="77"/>
        <v>-0.17731708756698755</v>
      </c>
      <c r="K31" s="751">
        <f t="shared" si="77"/>
        <v>-0.15572427596938671</v>
      </c>
      <c r="L31" s="751">
        <f t="shared" si="77"/>
        <v>-0.13099096101527188</v>
      </c>
      <c r="M31" s="751">
        <f t="shared" si="77"/>
        <v>-0.11907238914011464</v>
      </c>
      <c r="N31" s="751">
        <f t="shared" si="77"/>
        <v>-9.0194628476796782E-2</v>
      </c>
      <c r="O31" s="751">
        <f t="shared" si="77"/>
        <v>-7.4522109466331393E-2</v>
      </c>
      <c r="P31" s="751">
        <f t="shared" si="77"/>
        <v>-5.5870556264170632E-2</v>
      </c>
      <c r="Q31" s="751">
        <f t="shared" si="77"/>
        <v>-3.9932802270294832E-2</v>
      </c>
      <c r="R31" s="751">
        <f t="shared" si="77"/>
        <v>-2.7572782783627941E-2</v>
      </c>
      <c r="S31" s="751">
        <f t="shared" si="77"/>
        <v>-1.663116569227014E-2</v>
      </c>
      <c r="T31" s="751">
        <f t="shared" si="77"/>
        <v>6.0156805332057476E-4</v>
      </c>
      <c r="U31" s="751">
        <f t="shared" si="77"/>
        <v>-1.6911280151940072E-2</v>
      </c>
      <c r="V31" s="751">
        <f t="shared" si="77"/>
        <v>-0.21387571391914953</v>
      </c>
    </row>
    <row r="32" spans="4:22">
      <c r="D32" s="752" t="s">
        <v>1436</v>
      </c>
      <c r="E32" s="750"/>
      <c r="F32" s="751">
        <f>F5/E5-1</f>
        <v>-2.732240437158362E-3</v>
      </c>
      <c r="G32" s="751">
        <f t="shared" ref="G32:V32" si="78">G5/F5-1</f>
        <v>0</v>
      </c>
      <c r="H32" s="751">
        <f t="shared" si="78"/>
        <v>7.4097252507631772E-2</v>
      </c>
      <c r="I32" s="751">
        <f t="shared" si="78"/>
        <v>2.739726027397138E-3</v>
      </c>
      <c r="J32" s="751">
        <f t="shared" si="78"/>
        <v>6.2562365959883293E-2</v>
      </c>
      <c r="K32" s="751">
        <f t="shared" si="78"/>
        <v>2.7592829705505695E-2</v>
      </c>
      <c r="L32" s="751">
        <f t="shared" si="78"/>
        <v>4.0984595975328553E-2</v>
      </c>
      <c r="M32" s="751">
        <f t="shared" si="78"/>
        <v>2.73972602739736E-3</v>
      </c>
      <c r="N32" s="751">
        <f t="shared" si="78"/>
        <v>6.5229792099172457E-2</v>
      </c>
      <c r="O32" s="751">
        <f t="shared" si="78"/>
        <v>2.1711697719939194E-2</v>
      </c>
      <c r="P32" s="751">
        <f t="shared" si="78"/>
        <v>3.7879633061860263E-2</v>
      </c>
      <c r="Q32" s="751">
        <f t="shared" si="78"/>
        <v>3.0276234787991463E-2</v>
      </c>
      <c r="R32" s="751">
        <f t="shared" si="78"/>
        <v>1.7461352914369455E-2</v>
      </c>
      <c r="S32" s="751">
        <f t="shared" si="78"/>
        <v>1.3231358153431794E-2</v>
      </c>
      <c r="T32" s="751">
        <f t="shared" si="78"/>
        <v>5.0000000000000044E-2</v>
      </c>
      <c r="U32" s="751">
        <f t="shared" si="78"/>
        <v>-0.12247949075535891</v>
      </c>
      <c r="V32" s="751">
        <f t="shared" si="78"/>
        <v>-0.51349032507058623</v>
      </c>
    </row>
    <row r="34" spans="2:22">
      <c r="B34" t="s">
        <v>425</v>
      </c>
      <c r="D34" s="768" t="s">
        <v>1469</v>
      </c>
      <c r="E34" s="13">
        <f>E6/1200</f>
        <v>2.10360040128</v>
      </c>
      <c r="F34" s="13">
        <f t="shared" ref="F34:V34" si="79">F6/1200</f>
        <v>2.0978528592000001</v>
      </c>
      <c r="G34" s="13">
        <f t="shared" si="79"/>
        <v>2.0978528592000001</v>
      </c>
      <c r="H34" s="13">
        <f t="shared" si="79"/>
        <v>2.253297992232</v>
      </c>
      <c r="I34" s="13">
        <f t="shared" si="79"/>
        <v>2.2594714113887999</v>
      </c>
      <c r="J34" s="13">
        <f t="shared" si="79"/>
        <v>2.4008292887040001</v>
      </c>
      <c r="K34" s="13">
        <f t="shared" si="79"/>
        <v>2.4670749624192001</v>
      </c>
      <c r="L34" s="13">
        <f t="shared" si="79"/>
        <v>2.5681870329947998</v>
      </c>
      <c r="M34" s="13">
        <f t="shared" si="79"/>
        <v>2.5752231618523203</v>
      </c>
      <c r="N34" s="13">
        <f t="shared" si="79"/>
        <v>2.7432044333089207</v>
      </c>
      <c r="O34" s="13">
        <f t="shared" si="79"/>
        <v>2.8027640587489215</v>
      </c>
      <c r="P34" s="13">
        <f t="shared" si="79"/>
        <v>2.9089317328533006</v>
      </c>
      <c r="Q34" s="13">
        <f t="shared" si="79"/>
        <v>2.9970032329794063</v>
      </c>
      <c r="R34" s="13">
        <f t="shared" si="79"/>
        <v>3.0493349641159657</v>
      </c>
      <c r="S34" s="13">
        <f t="shared" si="79"/>
        <v>3.0896818071559662</v>
      </c>
      <c r="T34" s="13">
        <f t="shared" si="79"/>
        <v>3.2441658975137639</v>
      </c>
      <c r="U34" s="13">
        <f t="shared" si="79"/>
        <v>2.8468221104603764</v>
      </c>
      <c r="V34" s="13">
        <f t="shared" si="79"/>
        <v>1.3850064995419455</v>
      </c>
    </row>
  </sheetData>
  <phoneticPr fontId="389" type="noConversion"/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-0.249977111117893"/>
  </sheetPr>
  <dimension ref="A1:J33"/>
  <sheetViews>
    <sheetView showGridLines="0" workbookViewId="0">
      <selection activeCell="E25" sqref="E25"/>
    </sheetView>
  </sheetViews>
  <sheetFormatPr defaultColWidth="9.109375" defaultRowHeight="14.4"/>
  <cols>
    <col min="1" max="1" width="4.6640625" style="566" customWidth="1"/>
    <col min="2" max="2" width="43.5546875" style="566" customWidth="1"/>
    <col min="3" max="8" width="18.6640625" style="566" customWidth="1"/>
    <col min="9" max="9" width="9.109375" style="566"/>
    <col min="10" max="10" width="10" style="566" bestFit="1" customWidth="1"/>
    <col min="11" max="16384" width="9.109375" style="566"/>
  </cols>
  <sheetData>
    <row r="1" spans="1:10">
      <c r="A1" s="565"/>
      <c r="B1" s="565"/>
      <c r="C1" s="565"/>
      <c r="D1" s="565"/>
      <c r="E1" s="565"/>
      <c r="F1" s="565"/>
      <c r="G1" s="565"/>
      <c r="H1" s="565"/>
    </row>
    <row r="2" spans="1:10" s="567" customFormat="1">
      <c r="B2" s="568" t="s">
        <v>1422</v>
      </c>
      <c r="C2" s="569"/>
      <c r="D2" s="569"/>
      <c r="E2" s="569"/>
      <c r="F2" s="565"/>
      <c r="G2" s="565"/>
      <c r="H2" s="565"/>
      <c r="I2" s="566"/>
    </row>
    <row r="3" spans="1:10" ht="7.5" customHeight="1">
      <c r="A3" s="565"/>
      <c r="B3" s="565"/>
      <c r="C3" s="565"/>
      <c r="D3" s="565"/>
      <c r="E3" s="565"/>
      <c r="F3" s="565"/>
      <c r="G3" s="565"/>
      <c r="H3" s="565"/>
    </row>
    <row r="4" spans="1:10">
      <c r="A4" s="565"/>
      <c r="B4" s="570" t="s">
        <v>1339</v>
      </c>
      <c r="C4" s="571"/>
      <c r="D4" s="571"/>
      <c r="E4" s="571"/>
      <c r="F4" s="565"/>
      <c r="G4" s="565"/>
      <c r="H4" s="565"/>
    </row>
    <row r="5" spans="1:10" ht="7.5" customHeight="1">
      <c r="A5" s="565"/>
      <c r="B5" s="565"/>
      <c r="C5" s="565"/>
      <c r="D5" s="565"/>
      <c r="E5" s="565"/>
      <c r="F5" s="565"/>
      <c r="G5" s="565"/>
      <c r="H5" s="565"/>
    </row>
    <row r="6" spans="1:10">
      <c r="A6" s="565"/>
      <c r="B6" s="803" t="s">
        <v>1248</v>
      </c>
      <c r="C6" s="803"/>
      <c r="D6" s="572"/>
      <c r="E6" s="572"/>
      <c r="F6" s="565"/>
      <c r="G6" s="565"/>
      <c r="H6" s="565"/>
    </row>
    <row r="7" spans="1:10">
      <c r="A7" s="565"/>
      <c r="B7" s="573" t="s">
        <v>1249</v>
      </c>
      <c r="C7" s="574">
        <v>45280</v>
      </c>
      <c r="D7" s="572"/>
      <c r="E7" s="572"/>
      <c r="F7" s="565"/>
      <c r="G7" s="565"/>
      <c r="H7" s="565"/>
    </row>
    <row r="8" spans="1:10">
      <c r="A8" s="575" t="s">
        <v>1340</v>
      </c>
      <c r="B8" s="573" t="s">
        <v>1341</v>
      </c>
      <c r="C8" s="576">
        <v>0.12</v>
      </c>
      <c r="D8" s="572"/>
      <c r="E8" s="572"/>
      <c r="F8" s="737">
        <f>C9-10.1%</f>
        <v>3.5500000000000018E-2</v>
      </c>
      <c r="G8" s="565"/>
      <c r="H8" s="565"/>
    </row>
    <row r="9" spans="1:10">
      <c r="A9" s="565"/>
      <c r="B9" s="573" t="s">
        <v>1297</v>
      </c>
      <c r="C9" s="576">
        <v>0.13650000000000001</v>
      </c>
      <c r="D9" s="572"/>
      <c r="E9" s="572"/>
      <c r="F9" s="565"/>
      <c r="G9" s="565"/>
      <c r="H9" s="565"/>
    </row>
    <row r="10" spans="1:10" ht="15.75" customHeight="1">
      <c r="B10" s="573" t="s">
        <v>99</v>
      </c>
      <c r="C10" s="576">
        <f>E22</f>
        <v>0.11470077291424455</v>
      </c>
      <c r="D10" s="572"/>
      <c r="E10" s="577"/>
      <c r="F10" s="565"/>
      <c r="G10" s="565"/>
      <c r="H10" s="565"/>
    </row>
    <row r="11" spans="1:10">
      <c r="A11" s="565"/>
      <c r="B11" s="573" t="s">
        <v>1250</v>
      </c>
      <c r="C11" s="578">
        <v>0.01</v>
      </c>
      <c r="D11" s="572"/>
      <c r="E11" s="572"/>
      <c r="F11" s="565"/>
      <c r="G11" s="565"/>
      <c r="H11" s="565"/>
    </row>
    <row r="12" spans="1:10">
      <c r="A12" s="565"/>
      <c r="B12" s="573" t="s">
        <v>1300</v>
      </c>
      <c r="C12" s="576">
        <f>Assum!B76</f>
        <v>0.34939999999999999</v>
      </c>
      <c r="D12" s="572"/>
      <c r="E12" s="572"/>
      <c r="F12" s="565"/>
      <c r="G12" s="565"/>
      <c r="H12" s="733">
        <v>0.3</v>
      </c>
      <c r="I12" s="734">
        <v>0.04</v>
      </c>
      <c r="J12" s="734">
        <v>0.12</v>
      </c>
    </row>
    <row r="13" spans="1:10">
      <c r="A13" s="565"/>
      <c r="B13" s="579"/>
      <c r="C13" s="580"/>
      <c r="D13" s="572"/>
      <c r="E13" s="572"/>
      <c r="F13" s="565"/>
      <c r="G13" s="565"/>
      <c r="H13" s="565"/>
      <c r="I13" s="736"/>
      <c r="J13" s="735">
        <f>H12*J12</f>
        <v>3.5999999999999997E-2</v>
      </c>
    </row>
    <row r="14" spans="1:10">
      <c r="A14" s="565"/>
      <c r="B14" s="572"/>
      <c r="C14" s="572"/>
      <c r="D14" s="572"/>
      <c r="E14" s="572"/>
      <c r="F14" s="565"/>
      <c r="G14" s="565"/>
      <c r="H14" s="738">
        <f>H12+J13</f>
        <v>0.33599999999999997</v>
      </c>
      <c r="I14" s="739">
        <f>H12*I12</f>
        <v>1.2E-2</v>
      </c>
      <c r="J14" s="739">
        <f>H14+I14</f>
        <v>0.34799999999999998</v>
      </c>
    </row>
    <row r="15" spans="1:10">
      <c r="A15" s="565"/>
      <c r="B15" s="803" t="s">
        <v>1295</v>
      </c>
      <c r="C15" s="803"/>
      <c r="D15" s="803"/>
      <c r="E15" s="803"/>
      <c r="F15" s="565"/>
      <c r="G15" s="565"/>
      <c r="H15" s="565"/>
    </row>
    <row r="16" spans="1:10">
      <c r="A16" s="565"/>
      <c r="B16" s="581" t="s">
        <v>1342</v>
      </c>
      <c r="C16" s="581" t="s">
        <v>86</v>
      </c>
      <c r="D16" s="581" t="s">
        <v>1343</v>
      </c>
      <c r="E16" s="581" t="s">
        <v>99</v>
      </c>
      <c r="F16" s="565"/>
      <c r="G16" s="565"/>
      <c r="H16" s="565"/>
    </row>
    <row r="17" spans="1:8">
      <c r="A17" s="565"/>
      <c r="B17" s="804" t="s">
        <v>1344</v>
      </c>
      <c r="C17" s="805"/>
      <c r="D17" s="805"/>
      <c r="E17" s="806"/>
      <c r="F17" s="565"/>
      <c r="G17" s="565"/>
      <c r="H17" s="565"/>
    </row>
    <row r="18" spans="1:8">
      <c r="A18" s="565"/>
      <c r="B18" s="573" t="s">
        <v>1345</v>
      </c>
      <c r="C18" s="582">
        <v>210</v>
      </c>
      <c r="D18" s="583">
        <f>C18/$C$20</f>
        <v>2.8656110301462277E-2</v>
      </c>
      <c r="E18" s="584">
        <f>C8</f>
        <v>0.12</v>
      </c>
      <c r="F18" s="565"/>
      <c r="G18" s="565"/>
      <c r="H18" s="565"/>
    </row>
    <row r="19" spans="1:8">
      <c r="A19" s="565"/>
      <c r="B19" s="573" t="s">
        <v>109</v>
      </c>
      <c r="C19" s="582">
        <f>'RK Debt'!E7</f>
        <v>7118.2800000000007</v>
      </c>
      <c r="D19" s="583">
        <f>C19/$C$20</f>
        <v>0.97134388969853769</v>
      </c>
      <c r="E19" s="584">
        <f>C9</f>
        <v>0.13650000000000001</v>
      </c>
      <c r="F19" s="585"/>
      <c r="G19" s="565"/>
      <c r="H19" s="565"/>
    </row>
    <row r="20" spans="1:8">
      <c r="A20" s="565"/>
      <c r="B20" s="586" t="s">
        <v>33</v>
      </c>
      <c r="C20" s="587">
        <f>SUM(C18:C19)</f>
        <v>7328.2800000000007</v>
      </c>
      <c r="D20" s="588"/>
      <c r="E20" s="589">
        <f>E18*D18+(E19*(1-C12))*D19</f>
        <v>8.9700772914244553E-2</v>
      </c>
      <c r="F20" s="565"/>
      <c r="G20" s="565"/>
      <c r="H20" s="565"/>
    </row>
    <row r="21" spans="1:8">
      <c r="A21" s="565"/>
      <c r="B21" s="586" t="s">
        <v>1346</v>
      </c>
      <c r="C21" s="590"/>
      <c r="D21" s="590"/>
      <c r="E21" s="589">
        <v>2.5000000000000001E-2</v>
      </c>
      <c r="F21" s="565"/>
      <c r="G21" s="565"/>
      <c r="H21" s="565"/>
    </row>
    <row r="22" spans="1:8">
      <c r="B22" s="591" t="s">
        <v>1347</v>
      </c>
      <c r="C22" s="592"/>
      <c r="D22" s="592"/>
      <c r="E22" s="593">
        <f>E20+E21</f>
        <v>0.11470077291424455</v>
      </c>
      <c r="F22" s="565"/>
      <c r="G22" s="565"/>
      <c r="H22" s="565"/>
    </row>
    <row r="23" spans="1:8">
      <c r="B23" s="572"/>
      <c r="C23" s="572"/>
      <c r="D23" s="572"/>
      <c r="E23" s="572"/>
    </row>
    <row r="24" spans="1:8">
      <c r="B24" s="572"/>
      <c r="C24" s="572"/>
      <c r="D24" s="572"/>
      <c r="E24" s="572"/>
    </row>
    <row r="25" spans="1:8">
      <c r="B25" s="572"/>
      <c r="C25" s="572"/>
      <c r="D25" s="572"/>
      <c r="E25" s="572"/>
    </row>
    <row r="26" spans="1:8">
      <c r="B26" s="572"/>
      <c r="C26" s="572"/>
      <c r="D26" s="572"/>
      <c r="E26" s="572"/>
    </row>
    <row r="27" spans="1:8">
      <c r="B27" s="572"/>
      <c r="C27" s="572"/>
      <c r="D27" s="572"/>
      <c r="E27" s="572"/>
    </row>
    <row r="28" spans="1:8">
      <c r="B28" s="572"/>
      <c r="C28" s="572"/>
      <c r="D28" s="572"/>
      <c r="E28" s="572"/>
    </row>
    <row r="29" spans="1:8">
      <c r="B29" s="572"/>
      <c r="C29" s="572"/>
      <c r="D29" s="572"/>
      <c r="E29" s="572"/>
    </row>
    <row r="30" spans="1:8">
      <c r="B30" s="572"/>
      <c r="C30" s="572"/>
      <c r="D30" s="572"/>
      <c r="E30" s="572"/>
    </row>
    <row r="31" spans="1:8">
      <c r="B31" s="572"/>
      <c r="C31" s="572"/>
      <c r="D31" s="572"/>
      <c r="E31" s="572"/>
    </row>
    <row r="32" spans="1:8">
      <c r="B32" s="572"/>
      <c r="C32" s="572"/>
      <c r="D32" s="572"/>
      <c r="E32" s="572"/>
    </row>
    <row r="33" spans="2:5">
      <c r="B33" s="572"/>
      <c r="C33" s="572"/>
      <c r="D33" s="572"/>
      <c r="E33" s="572"/>
    </row>
  </sheetData>
  <mergeCells count="3">
    <mergeCell ref="B6:C6"/>
    <mergeCell ref="B15:E15"/>
    <mergeCell ref="B17:E17"/>
  </mergeCells>
  <hyperlinks>
    <hyperlink ref="A8" r:id="rId1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499984740745262"/>
  </sheetPr>
  <dimension ref="B2:AJ60"/>
  <sheetViews>
    <sheetView showGridLines="0" topLeftCell="A7" workbookViewId="0">
      <selection activeCell="C32" sqref="C32"/>
    </sheetView>
  </sheetViews>
  <sheetFormatPr defaultColWidth="9.109375" defaultRowHeight="14.4"/>
  <cols>
    <col min="1" max="1" width="4.6640625" style="566" customWidth="1"/>
    <col min="2" max="2" width="44.6640625" style="566" customWidth="1"/>
    <col min="3" max="3" width="14.44140625" style="566" customWidth="1"/>
    <col min="4" max="4" width="12.77734375" style="566" customWidth="1"/>
    <col min="5" max="5" width="13.109375" style="566" customWidth="1"/>
    <col min="6" max="6" width="13.44140625" style="566" customWidth="1"/>
    <col min="7" max="7" width="13.109375" style="566" customWidth="1"/>
    <col min="8" max="8" width="13" style="566" customWidth="1"/>
    <col min="9" max="9" width="12.5546875" style="566" customWidth="1"/>
    <col min="10" max="10" width="9.109375" style="566" customWidth="1"/>
    <col min="11" max="11" width="12.109375" style="566" customWidth="1"/>
    <col min="12" max="16384" width="9.109375" style="566"/>
  </cols>
  <sheetData>
    <row r="2" spans="2:36" s="567" customFormat="1" ht="18" customHeight="1">
      <c r="B2" s="568" t="s">
        <v>1421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</row>
    <row r="3" spans="2:36" ht="6.75" customHeight="1"/>
    <row r="4" spans="2:36" ht="16.5" customHeight="1">
      <c r="B4" s="594" t="s">
        <v>1348</v>
      </c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  <c r="P4" s="595"/>
      <c r="Q4" s="595"/>
      <c r="R4" s="595"/>
      <c r="S4" s="595"/>
      <c r="T4" s="595"/>
    </row>
    <row r="5" spans="2:36" ht="9" customHeight="1">
      <c r="B5" s="596"/>
      <c r="C5" s="773" t="s">
        <v>1473</v>
      </c>
    </row>
    <row r="6" spans="2:36" ht="16.5" customHeight="1">
      <c r="B6" s="717" t="s">
        <v>717</v>
      </c>
      <c r="C6" s="718">
        <v>45382</v>
      </c>
      <c r="D6" s="718">
        <f>EDATE(C6,12)</f>
        <v>45747</v>
      </c>
      <c r="E6" s="718">
        <f>EDATE(D6,12)</f>
        <v>46112</v>
      </c>
      <c r="F6" s="718">
        <f>EDATE(E6,12)</f>
        <v>46477</v>
      </c>
      <c r="G6" s="718">
        <f>EDATE(F6,12)</f>
        <v>46843</v>
      </c>
      <c r="H6" s="718">
        <f>EDATE(G6,12)</f>
        <v>47208</v>
      </c>
      <c r="I6" s="718">
        <f t="shared" ref="I6:M6" si="0">EDATE(H6,12)</f>
        <v>47573</v>
      </c>
      <c r="J6" s="718">
        <f t="shared" si="0"/>
        <v>47938</v>
      </c>
      <c r="K6" s="718">
        <f t="shared" si="0"/>
        <v>48304</v>
      </c>
      <c r="L6" s="718">
        <f t="shared" si="0"/>
        <v>48669</v>
      </c>
      <c r="M6" s="718">
        <f t="shared" si="0"/>
        <v>49034</v>
      </c>
      <c r="N6" s="718">
        <f t="shared" ref="N6:R6" si="1">EDATE(M6,12)</f>
        <v>49399</v>
      </c>
      <c r="O6" s="718">
        <f t="shared" si="1"/>
        <v>49765</v>
      </c>
      <c r="P6" s="718">
        <f t="shared" si="1"/>
        <v>50130</v>
      </c>
      <c r="Q6" s="718">
        <f t="shared" si="1"/>
        <v>50495</v>
      </c>
      <c r="R6" s="718">
        <f t="shared" si="1"/>
        <v>50860</v>
      </c>
      <c r="S6" s="718">
        <f t="shared" ref="S6:T6" si="2">EDATE(R6,12)</f>
        <v>51226</v>
      </c>
      <c r="T6" s="718">
        <f t="shared" si="2"/>
        <v>51591</v>
      </c>
    </row>
    <row r="7" spans="2:36" s="716" customFormat="1" ht="16.5" customHeight="1">
      <c r="B7" s="719" t="str">
        <f>Projected!D3</f>
        <v xml:space="preserve">Revenue from sale of power </v>
      </c>
      <c r="C7" s="720">
        <f>Projected!E3</f>
        <v>3155.4006019199996</v>
      </c>
      <c r="D7" s="720">
        <f>Projected!F3</f>
        <v>3146.7792887999999</v>
      </c>
      <c r="E7" s="720">
        <f>Projected!G3</f>
        <v>3146.7792887999999</v>
      </c>
      <c r="F7" s="720">
        <f>Projected!H3</f>
        <v>3379.9469883479996</v>
      </c>
      <c r="G7" s="720">
        <f>Projected!I3</f>
        <v>3389.2071170831996</v>
      </c>
      <c r="H7" s="720">
        <f>Projected!J3</f>
        <v>3601.2439330560001</v>
      </c>
      <c r="I7" s="720">
        <f>Projected!K3</f>
        <v>3700.6124436288001</v>
      </c>
      <c r="J7" s="720">
        <f>Projected!L3</f>
        <v>3852.2805494922</v>
      </c>
      <c r="K7" s="720">
        <f>Projected!M3</f>
        <v>3862.8347427784802</v>
      </c>
      <c r="L7" s="720">
        <f>Projected!N3</f>
        <v>4114.8066499633806</v>
      </c>
      <c r="M7" s="720">
        <f>Projected!O3</f>
        <v>4204.1460881233816</v>
      </c>
      <c r="N7" s="720">
        <f>Projected!P3</f>
        <v>4363.3975992799506</v>
      </c>
      <c r="O7" s="720">
        <f>Projected!Q3</f>
        <v>4495.5048494691091</v>
      </c>
      <c r="P7" s="720">
        <f>Projected!R3</f>
        <v>4574.0024461739486</v>
      </c>
      <c r="Q7" s="720">
        <f>Projected!S3</f>
        <v>4634.5227107339488</v>
      </c>
      <c r="R7" s="720">
        <f>Projected!T3</f>
        <v>4866.248846270646</v>
      </c>
      <c r="S7" s="720">
        <f>Projected!U3</f>
        <v>4270.2331656905644</v>
      </c>
      <c r="T7" s="720">
        <f>Projected!V3</f>
        <v>2077.5097493129183</v>
      </c>
    </row>
    <row r="8" spans="2:36" s="716" customFormat="1" ht="16.5" customHeight="1">
      <c r="B8" s="719" t="str">
        <f>Projected!D5</f>
        <v>Total revenue</v>
      </c>
      <c r="C8" s="720">
        <f>C7</f>
        <v>3155.4006019199996</v>
      </c>
      <c r="D8" s="720">
        <f>Projected!F5</f>
        <v>3146.7792887999999</v>
      </c>
      <c r="E8" s="720">
        <f>Projected!G5</f>
        <v>3146.7792887999999</v>
      </c>
      <c r="F8" s="720">
        <f>Projected!H5</f>
        <v>3379.9469883479996</v>
      </c>
      <c r="G8" s="720">
        <f>Projected!I5</f>
        <v>3389.2071170831996</v>
      </c>
      <c r="H8" s="720">
        <f>Projected!J5</f>
        <v>3601.2439330560001</v>
      </c>
      <c r="I8" s="720">
        <f>Projected!K5</f>
        <v>3700.6124436288001</v>
      </c>
      <c r="J8" s="720">
        <f>Projected!L5</f>
        <v>3852.2805494922</v>
      </c>
      <c r="K8" s="720">
        <f>Projected!M5</f>
        <v>3862.8347427784802</v>
      </c>
      <c r="L8" s="720">
        <f>Projected!N5</f>
        <v>4114.8066499633806</v>
      </c>
      <c r="M8" s="720">
        <f>Projected!O5</f>
        <v>4204.1460881233816</v>
      </c>
      <c r="N8" s="720">
        <f>Projected!P5</f>
        <v>4363.3975992799506</v>
      </c>
      <c r="O8" s="720">
        <f>Projected!Q5</f>
        <v>4495.5048494691091</v>
      </c>
      <c r="P8" s="720">
        <f>Projected!R5</f>
        <v>4574.0024461739486</v>
      </c>
      <c r="Q8" s="720">
        <f>Projected!S5</f>
        <v>4634.5227107339488</v>
      </c>
      <c r="R8" s="720">
        <f>Projected!T5</f>
        <v>4866.248846270646</v>
      </c>
      <c r="S8" s="720">
        <f>Projected!U5</f>
        <v>4270.2331656905644</v>
      </c>
      <c r="T8" s="720">
        <f>Projected!V5</f>
        <v>2077.5097493129183</v>
      </c>
    </row>
    <row r="9" spans="2:36" s="716" customFormat="1" ht="16.5" customHeight="1">
      <c r="B9" s="719" t="str">
        <f>Projected!D18</f>
        <v>Total  Expenses</v>
      </c>
      <c r="C9" s="720">
        <f>Projected!E18</f>
        <v>2773.4737902638399</v>
      </c>
      <c r="D9" s="720">
        <f>Projected!F18</f>
        <v>2776.6217307276002</v>
      </c>
      <c r="E9" s="720">
        <f>Projected!G18</f>
        <v>2787.3002307276001</v>
      </c>
      <c r="F9" s="720">
        <f>Projected!H18</f>
        <v>2988.4277470094457</v>
      </c>
      <c r="G9" s="720">
        <f>Projected!I18</f>
        <v>3007.7431681142662</v>
      </c>
      <c r="H9" s="720">
        <f>Projected!J18</f>
        <v>3192.8088532866127</v>
      </c>
      <c r="I9" s="720">
        <f>Projected!K18</f>
        <v>3286.7242886387826</v>
      </c>
      <c r="J9" s="720">
        <f>Projected!L18</f>
        <v>3423.8867335296782</v>
      </c>
      <c r="K9" s="720">
        <f>Projected!M18</f>
        <v>3446.7933352597679</v>
      </c>
      <c r="L9" s="720">
        <f>Projected!N18</f>
        <v>3667.0501755252039</v>
      </c>
      <c r="M9" s="720">
        <f>Projected!O18</f>
        <v>3755.5941558630266</v>
      </c>
      <c r="N9" s="720">
        <f>Projected!P18</f>
        <v>3901.8703700543779</v>
      </c>
      <c r="O9" s="720">
        <f>Projected!Q18</f>
        <v>4026.8658766054909</v>
      </c>
      <c r="P9" s="720">
        <f>Projected!R18</f>
        <v>4109.0660279572276</v>
      </c>
      <c r="Q9" s="720">
        <f>Projected!S18</f>
        <v>4177.5368352187752</v>
      </c>
      <c r="R9" s="720">
        <f>Projected!T18</f>
        <v>4386.4136769797133</v>
      </c>
      <c r="S9" s="720">
        <f>Projected!U18</f>
        <v>3922.1016047318508</v>
      </c>
      <c r="T9" s="720">
        <f>Projected!V18</f>
        <v>2158.3282166561021</v>
      </c>
    </row>
    <row r="10" spans="2:36">
      <c r="B10" s="721" t="s">
        <v>1140</v>
      </c>
      <c r="C10" s="720">
        <f>'Financials (2)'!N34</f>
        <v>381.04785074432584</v>
      </c>
      <c r="D10" s="720">
        <f>'Financials (2)'!O34</f>
        <v>370.15755807239975</v>
      </c>
      <c r="E10" s="720">
        <f>'Financials (2)'!P34</f>
        <v>359.47905807239977</v>
      </c>
      <c r="F10" s="720">
        <f>'Financials (2)'!Q34</f>
        <v>391.51924133855391</v>
      </c>
      <c r="G10" s="720">
        <f>'Financials (2)'!R34</f>
        <v>381.46394896893344</v>
      </c>
      <c r="H10" s="720">
        <f>'Financials (2)'!S34</f>
        <v>408.43507976938736</v>
      </c>
      <c r="I10" s="720">
        <f>'Financials (2)'!T34</f>
        <v>413.88815499001748</v>
      </c>
      <c r="J10" s="720">
        <f>'Financials (2)'!U34</f>
        <v>428.39381596252178</v>
      </c>
      <c r="K10" s="720">
        <f>'Financials (2)'!V34</f>
        <v>416.04140751871228</v>
      </c>
      <c r="L10" s="720">
        <f>'Financials (2)'!W34</f>
        <v>447.75647443817661</v>
      </c>
      <c r="M10" s="720">
        <f>'Financials (2)'!X34</f>
        <v>448.55193226035499</v>
      </c>
      <c r="N10" s="720">
        <f>'Financials (2)'!Y34</f>
        <v>461.52722922557268</v>
      </c>
      <c r="O10" s="720">
        <f>'Financials (2)'!Z34</f>
        <v>468.63897286361816</v>
      </c>
      <c r="P10" s="720">
        <f>'Financials (2)'!AA34</f>
        <v>464.93641821672099</v>
      </c>
      <c r="Q10" s="720">
        <f>'Financials (2)'!AB34</f>
        <v>456.98587551517357</v>
      </c>
      <c r="R10" s="720">
        <f>'Financials (2)'!AC34</f>
        <v>479.83516929093275</v>
      </c>
      <c r="S10" s="720">
        <f>'Financials (2)'!AD34</f>
        <v>348.13156095871364</v>
      </c>
      <c r="T10" s="720">
        <f>'Financials (2)'!AE34</f>
        <v>-80.818467343183784</v>
      </c>
      <c r="U10" s="599"/>
      <c r="V10" s="599"/>
      <c r="W10" s="599"/>
      <c r="X10" s="599"/>
      <c r="Y10" s="599"/>
      <c r="Z10" s="599"/>
      <c r="AA10" s="599"/>
      <c r="AB10" s="599"/>
      <c r="AC10" s="599"/>
      <c r="AD10" s="599"/>
      <c r="AE10" s="599"/>
      <c r="AF10" s="599"/>
      <c r="AG10" s="599"/>
      <c r="AH10" s="599"/>
      <c r="AI10" s="599"/>
      <c r="AJ10" s="599"/>
    </row>
    <row r="11" spans="2:36">
      <c r="B11" s="721" t="s">
        <v>93</v>
      </c>
      <c r="C11" s="720">
        <f>'Depreciation Schedule'!E101</f>
        <v>303.3498975</v>
      </c>
      <c r="D11" s="720">
        <f>'Depreciation Schedule'!F101</f>
        <v>303.62410683510177</v>
      </c>
      <c r="E11" s="720">
        <f>'Depreciation Schedule'!G101</f>
        <v>303.81161293864932</v>
      </c>
      <c r="F11" s="720">
        <f>'Depreciation Schedule'!H101</f>
        <v>303.81161293864932</v>
      </c>
      <c r="G11" s="720">
        <f>'Depreciation Schedule'!I101</f>
        <v>303.81161293864932</v>
      </c>
      <c r="H11" s="720">
        <f>'Depreciation Schedule'!J101</f>
        <v>303.97435030304308</v>
      </c>
      <c r="I11" s="720">
        <f>'Depreciation Schedule'!K101</f>
        <v>304.29613429976826</v>
      </c>
      <c r="J11" s="720">
        <f>'Depreciation Schedule'!L101</f>
        <v>304.29613429976826</v>
      </c>
      <c r="K11" s="720">
        <f>'Depreciation Schedule'!M101</f>
        <v>304.44235743008034</v>
      </c>
      <c r="L11" s="720">
        <f>'Depreciation Schedule'!N101</f>
        <v>304.48952089724139</v>
      </c>
      <c r="M11" s="720">
        <f>'Depreciation Schedule'!O101</f>
        <v>304.60895784017004</v>
      </c>
      <c r="N11" s="720">
        <f>'Depreciation Schedule'!P101</f>
        <v>305.22347206379635</v>
      </c>
      <c r="O11" s="720">
        <f>'Depreciation Schedule'!Q101</f>
        <v>305.22347206379635</v>
      </c>
      <c r="P11" s="720">
        <f>'Depreciation Schedule'!R101</f>
        <v>305.27638823450548</v>
      </c>
      <c r="Q11" s="720">
        <f>'Depreciation Schedule'!S101</f>
        <v>305.44098591609679</v>
      </c>
      <c r="R11" s="720">
        <f>'Depreciation Schedule'!T101</f>
        <v>305.44098591609679</v>
      </c>
      <c r="S11" s="720">
        <f>'Depreciation Schedule'!U101</f>
        <v>306.03546798487184</v>
      </c>
      <c r="T11" s="720">
        <f>'Depreciation Schedule'!V101</f>
        <v>306.35481228863972</v>
      </c>
    </row>
    <row r="12" spans="2:36">
      <c r="B12" s="721" t="s">
        <v>1241</v>
      </c>
      <c r="C12" s="720">
        <f>C10-C11</f>
        <v>77.697953244325845</v>
      </c>
      <c r="D12" s="720">
        <f>D10-D11</f>
        <v>66.533451237297982</v>
      </c>
      <c r="E12" s="720">
        <f>E10-E11</f>
        <v>55.667445133750448</v>
      </c>
      <c r="F12" s="720">
        <f>F10-F11</f>
        <v>87.707628399904593</v>
      </c>
      <c r="G12" s="720">
        <f>G10-G11</f>
        <v>77.652336030284118</v>
      </c>
      <c r="H12" s="720">
        <f t="shared" ref="H12:T12" si="3">H10-H11</f>
        <v>104.46072946634428</v>
      </c>
      <c r="I12" s="720">
        <f t="shared" si="3"/>
        <v>109.59202069024923</v>
      </c>
      <c r="J12" s="720">
        <f t="shared" si="3"/>
        <v>124.09768166275353</v>
      </c>
      <c r="K12" s="720">
        <f t="shared" si="3"/>
        <v>111.59905008863194</v>
      </c>
      <c r="L12" s="720">
        <f t="shared" si="3"/>
        <v>143.26695354093522</v>
      </c>
      <c r="M12" s="720">
        <f t="shared" si="3"/>
        <v>143.94297442018495</v>
      </c>
      <c r="N12" s="720">
        <f t="shared" si="3"/>
        <v>156.30375716177633</v>
      </c>
      <c r="O12" s="720">
        <f t="shared" si="3"/>
        <v>163.41550079982181</v>
      </c>
      <c r="P12" s="720">
        <f t="shared" si="3"/>
        <v>159.66002998221552</v>
      </c>
      <c r="Q12" s="720">
        <f t="shared" si="3"/>
        <v>151.54488959907678</v>
      </c>
      <c r="R12" s="720">
        <f t="shared" si="3"/>
        <v>174.39418337483596</v>
      </c>
      <c r="S12" s="720">
        <f t="shared" si="3"/>
        <v>42.096092973841792</v>
      </c>
      <c r="T12" s="720">
        <f t="shared" si="3"/>
        <v>-387.1732796318235</v>
      </c>
    </row>
    <row r="13" spans="2:36">
      <c r="B13" s="721" t="s">
        <v>1258</v>
      </c>
      <c r="C13" s="720">
        <v>0</v>
      </c>
      <c r="D13" s="720">
        <v>0</v>
      </c>
      <c r="E13" s="720">
        <v>0</v>
      </c>
      <c r="F13" s="720">
        <v>0</v>
      </c>
      <c r="G13" s="720">
        <v>0</v>
      </c>
      <c r="H13" s="720">
        <v>0</v>
      </c>
      <c r="I13" s="720">
        <v>0</v>
      </c>
      <c r="J13" s="720">
        <v>0</v>
      </c>
      <c r="K13" s="720">
        <v>0</v>
      </c>
      <c r="L13" s="720">
        <v>0</v>
      </c>
      <c r="M13" s="720">
        <v>0</v>
      </c>
      <c r="N13" s="720">
        <v>0</v>
      </c>
      <c r="O13" s="720">
        <v>0</v>
      </c>
      <c r="P13" s="720">
        <v>0</v>
      </c>
      <c r="Q13" s="720">
        <v>0</v>
      </c>
      <c r="R13" s="720">
        <v>0</v>
      </c>
      <c r="S13" s="720">
        <v>0</v>
      </c>
      <c r="T13" s="720">
        <v>0</v>
      </c>
    </row>
    <row r="14" spans="2:36">
      <c r="B14" s="721" t="s">
        <v>1243</v>
      </c>
      <c r="C14" s="720">
        <f>C12-C13</f>
        <v>77.697953244325845</v>
      </c>
      <c r="D14" s="720">
        <f t="shared" ref="D14:T14" si="4">D12-D13</f>
        <v>66.533451237297982</v>
      </c>
      <c r="E14" s="720">
        <f t="shared" si="4"/>
        <v>55.667445133750448</v>
      </c>
      <c r="F14" s="720">
        <f t="shared" si="4"/>
        <v>87.707628399904593</v>
      </c>
      <c r="G14" s="720">
        <f t="shared" si="4"/>
        <v>77.652336030284118</v>
      </c>
      <c r="H14" s="720">
        <f t="shared" si="4"/>
        <v>104.46072946634428</v>
      </c>
      <c r="I14" s="720">
        <f t="shared" si="4"/>
        <v>109.59202069024923</v>
      </c>
      <c r="J14" s="720">
        <f t="shared" si="4"/>
        <v>124.09768166275353</v>
      </c>
      <c r="K14" s="720">
        <f t="shared" si="4"/>
        <v>111.59905008863194</v>
      </c>
      <c r="L14" s="720">
        <f t="shared" si="4"/>
        <v>143.26695354093522</v>
      </c>
      <c r="M14" s="720">
        <f t="shared" si="4"/>
        <v>143.94297442018495</v>
      </c>
      <c r="N14" s="720">
        <f t="shared" si="4"/>
        <v>156.30375716177633</v>
      </c>
      <c r="O14" s="720">
        <f t="shared" si="4"/>
        <v>163.41550079982181</v>
      </c>
      <c r="P14" s="720">
        <f t="shared" si="4"/>
        <v>159.66002998221552</v>
      </c>
      <c r="Q14" s="720">
        <f t="shared" si="4"/>
        <v>151.54488959907678</v>
      </c>
      <c r="R14" s="720">
        <f t="shared" si="4"/>
        <v>174.39418337483596</v>
      </c>
      <c r="S14" s="720">
        <f t="shared" si="4"/>
        <v>42.096092973841792</v>
      </c>
      <c r="T14" s="720">
        <f t="shared" si="4"/>
        <v>-387.1732796318235</v>
      </c>
    </row>
    <row r="15" spans="2:36">
      <c r="B15" s="721" t="s">
        <v>1155</v>
      </c>
      <c r="C15" s="720">
        <f>C11</f>
        <v>303.3498975</v>
      </c>
      <c r="D15" s="720">
        <f t="shared" ref="D15:T15" si="5">D11</f>
        <v>303.62410683510177</v>
      </c>
      <c r="E15" s="720">
        <f t="shared" si="5"/>
        <v>303.81161293864932</v>
      </c>
      <c r="F15" s="720">
        <f t="shared" si="5"/>
        <v>303.81161293864932</v>
      </c>
      <c r="G15" s="720">
        <f t="shared" si="5"/>
        <v>303.81161293864932</v>
      </c>
      <c r="H15" s="720">
        <f t="shared" si="5"/>
        <v>303.97435030304308</v>
      </c>
      <c r="I15" s="720">
        <f t="shared" si="5"/>
        <v>304.29613429976826</v>
      </c>
      <c r="J15" s="720">
        <f t="shared" si="5"/>
        <v>304.29613429976826</v>
      </c>
      <c r="K15" s="720">
        <f t="shared" si="5"/>
        <v>304.44235743008034</v>
      </c>
      <c r="L15" s="720">
        <f t="shared" si="5"/>
        <v>304.48952089724139</v>
      </c>
      <c r="M15" s="720">
        <f t="shared" si="5"/>
        <v>304.60895784017004</v>
      </c>
      <c r="N15" s="720">
        <f t="shared" si="5"/>
        <v>305.22347206379635</v>
      </c>
      <c r="O15" s="720">
        <f t="shared" si="5"/>
        <v>305.22347206379635</v>
      </c>
      <c r="P15" s="720">
        <f t="shared" si="5"/>
        <v>305.27638823450548</v>
      </c>
      <c r="Q15" s="720">
        <f t="shared" si="5"/>
        <v>305.44098591609679</v>
      </c>
      <c r="R15" s="720">
        <f t="shared" si="5"/>
        <v>305.44098591609679</v>
      </c>
      <c r="S15" s="720">
        <f t="shared" si="5"/>
        <v>306.03546798487184</v>
      </c>
      <c r="T15" s="720">
        <f t="shared" si="5"/>
        <v>306.35481228863972</v>
      </c>
    </row>
    <row r="16" spans="2:36">
      <c r="B16" s="721" t="s">
        <v>1246</v>
      </c>
      <c r="C16" s="720">
        <f>'Depreciation Schedule'!E99</f>
        <v>8.6319403952747564E-2</v>
      </c>
      <c r="D16" s="720">
        <f>'Depreciation Schedule'!F99</f>
        <v>5.8043653999088972E-2</v>
      </c>
      <c r="E16" s="720">
        <f>'Depreciation Schedule'!G99</f>
        <v>0</v>
      </c>
      <c r="F16" s="720">
        <f>'Depreciation Schedule'!H99</f>
        <v>0</v>
      </c>
      <c r="G16" s="720">
        <f>'Depreciation Schedule'!I99</f>
        <v>4.8607187178802205E-2</v>
      </c>
      <c r="H16" s="720">
        <f>'Depreciation Schedule'!J99</f>
        <v>0.10253385859084581</v>
      </c>
      <c r="I16" s="720">
        <f>'Depreciation Schedule'!K99</f>
        <v>0</v>
      </c>
      <c r="J16" s="720">
        <f>'Depreciation Schedule'!L99</f>
        <v>4.4092538625787346E-2</v>
      </c>
      <c r="K16" s="720">
        <f>'Depreciation Schedule'!M99</f>
        <v>1.3699975427156799E-2</v>
      </c>
      <c r="L16" s="720">
        <f>'Depreciation Schedule'!N99</f>
        <v>3.8057612377863509E-2</v>
      </c>
      <c r="M16" s="720">
        <f>'Depreciation Schedule'!O99</f>
        <v>0.19278101830427555</v>
      </c>
      <c r="N16" s="720">
        <f>'Depreciation Schedule'!P99</f>
        <v>0</v>
      </c>
      <c r="O16" s="720">
        <f>'Depreciation Schedule'!Q99</f>
        <v>1.5371012396918373E-2</v>
      </c>
      <c r="P16" s="720">
        <f>'Depreciation Schedule'!R99</f>
        <v>6.4710395300500934E-2</v>
      </c>
      <c r="Q16" s="720">
        <f>'Depreciation Schedule'!S99</f>
        <v>0</v>
      </c>
      <c r="R16" s="720">
        <f>'Depreciation Schedule'!T99</f>
        <v>0.18942688572121744</v>
      </c>
      <c r="S16" s="720">
        <f>'Depreciation Schedule'!U99</f>
        <v>9.5639096255511508E-2</v>
      </c>
      <c r="T16" s="720">
        <f>'Depreciation Schedule'!V99</f>
        <v>0</v>
      </c>
    </row>
    <row r="17" spans="2:20">
      <c r="B17" s="721" t="s">
        <v>1245</v>
      </c>
      <c r="C17" s="720">
        <f>'Working Capital RK'!D49</f>
        <v>293.29313011898205</v>
      </c>
      <c r="D17" s="720">
        <f>'Working Capital RK'!E49</f>
        <v>0</v>
      </c>
      <c r="E17" s="720">
        <f>'Working Capital RK'!F49</f>
        <v>0</v>
      </c>
      <c r="F17" s="720">
        <f>'Working Capital RK'!G49</f>
        <v>42.909209887861266</v>
      </c>
      <c r="G17" s="720">
        <f>'Working Capital RK'!H49</f>
        <v>0</v>
      </c>
      <c r="H17" s="720">
        <f>'Working Capital RK'!I49</f>
        <v>40.724667552261735</v>
      </c>
      <c r="I17" s="720">
        <f>'Working Capital RK'!J49</f>
        <v>18.286513460817787</v>
      </c>
      <c r="J17" s="720">
        <f>'Working Capital RK'!K49</f>
        <v>27.911064012737484</v>
      </c>
      <c r="K17" s="720">
        <f>'Working Capital RK'!L49</f>
        <v>0</v>
      </c>
      <c r="L17" s="720">
        <f>'Working Capital RK'!M49</f>
        <v>48.311955592462141</v>
      </c>
      <c r="M17" s="720">
        <f>'Working Capital RK'!N49</f>
        <v>16.440890872545197</v>
      </c>
      <c r="N17" s="720">
        <f>'Working Capital RK'!O49</f>
        <v>29.306617213374466</v>
      </c>
      <c r="O17" s="720">
        <f>'Working Capital RK'!P49</f>
        <v>22.050963692790674</v>
      </c>
      <c r="P17" s="720">
        <f>'Working Capital RK'!Q49</f>
        <v>16.706066531779697</v>
      </c>
      <c r="Q17" s="720">
        <f>'Working Capital RK'!R49</f>
        <v>11.137377687853359</v>
      </c>
      <c r="R17" s="720">
        <f>'Working Capital RK'!S49</f>
        <v>42.643922831173086</v>
      </c>
      <c r="S17" s="720">
        <f>'Working Capital RK'!T49</f>
        <v>-111.83022678377063</v>
      </c>
      <c r="T17" s="720">
        <f>'Working Capital RK'!U49</f>
        <v>-401.3737524372437</v>
      </c>
    </row>
    <row r="18" spans="2:20">
      <c r="B18" s="722" t="s">
        <v>1349</v>
      </c>
      <c r="C18" s="723">
        <f>C14+C15-C17-C16</f>
        <v>87.668401221391051</v>
      </c>
      <c r="D18" s="723">
        <f t="shared" ref="D18:T18" si="6">D14+D15-D17-D16</f>
        <v>370.09951441840064</v>
      </c>
      <c r="E18" s="723">
        <f t="shared" si="6"/>
        <v>359.47905807239977</v>
      </c>
      <c r="F18" s="723">
        <f t="shared" si="6"/>
        <v>348.61003145069265</v>
      </c>
      <c r="G18" s="723">
        <f t="shared" si="6"/>
        <v>381.41534178175465</v>
      </c>
      <c r="H18" s="723">
        <f t="shared" si="6"/>
        <v>367.60787835853478</v>
      </c>
      <c r="I18" s="723">
        <f t="shared" si="6"/>
        <v>395.6016415291997</v>
      </c>
      <c r="J18" s="723">
        <f t="shared" si="6"/>
        <v>400.43865941115854</v>
      </c>
      <c r="K18" s="723">
        <f t="shared" si="6"/>
        <v>416.02770754328515</v>
      </c>
      <c r="L18" s="723">
        <f t="shared" si="6"/>
        <v>399.40646123333659</v>
      </c>
      <c r="M18" s="723">
        <f t="shared" si="6"/>
        <v>431.9182603695055</v>
      </c>
      <c r="N18" s="723">
        <f t="shared" si="6"/>
        <v>432.22061201219822</v>
      </c>
      <c r="O18" s="723">
        <f t="shared" si="6"/>
        <v>446.57263815843055</v>
      </c>
      <c r="P18" s="723">
        <f t="shared" si="6"/>
        <v>448.1656412896408</v>
      </c>
      <c r="Q18" s="723">
        <f t="shared" si="6"/>
        <v>445.84849782732022</v>
      </c>
      <c r="R18" s="723">
        <f t="shared" si="6"/>
        <v>437.00181957403845</v>
      </c>
      <c r="S18" s="723">
        <f t="shared" si="6"/>
        <v>459.86614864622874</v>
      </c>
      <c r="T18" s="723">
        <f t="shared" si="6"/>
        <v>320.55528509405991</v>
      </c>
    </row>
    <row r="19" spans="2:20">
      <c r="B19" s="724" t="s">
        <v>1350</v>
      </c>
      <c r="C19" s="725">
        <f>C18*(C6-C22)/366</f>
        <v>24.432177389567997</v>
      </c>
      <c r="D19" s="725">
        <f>D18</f>
        <v>370.09951441840064</v>
      </c>
      <c r="E19" s="725">
        <f t="shared" ref="E19:T19" si="7">E18</f>
        <v>359.47905807239977</v>
      </c>
      <c r="F19" s="725">
        <f t="shared" si="7"/>
        <v>348.61003145069265</v>
      </c>
      <c r="G19" s="725">
        <f t="shared" si="7"/>
        <v>381.41534178175465</v>
      </c>
      <c r="H19" s="725">
        <f t="shared" si="7"/>
        <v>367.60787835853478</v>
      </c>
      <c r="I19" s="725">
        <f t="shared" si="7"/>
        <v>395.6016415291997</v>
      </c>
      <c r="J19" s="725">
        <f t="shared" si="7"/>
        <v>400.43865941115854</v>
      </c>
      <c r="K19" s="725">
        <f t="shared" si="7"/>
        <v>416.02770754328515</v>
      </c>
      <c r="L19" s="725">
        <f t="shared" si="7"/>
        <v>399.40646123333659</v>
      </c>
      <c r="M19" s="725">
        <f t="shared" si="7"/>
        <v>431.9182603695055</v>
      </c>
      <c r="N19" s="725">
        <f t="shared" si="7"/>
        <v>432.22061201219822</v>
      </c>
      <c r="O19" s="725">
        <f t="shared" si="7"/>
        <v>446.57263815843055</v>
      </c>
      <c r="P19" s="725">
        <f t="shared" si="7"/>
        <v>448.1656412896408</v>
      </c>
      <c r="Q19" s="725">
        <f t="shared" si="7"/>
        <v>445.84849782732022</v>
      </c>
      <c r="R19" s="725">
        <f t="shared" si="7"/>
        <v>437.00181957403845</v>
      </c>
      <c r="S19" s="725">
        <f t="shared" si="7"/>
        <v>459.86614864622874</v>
      </c>
      <c r="T19" s="725">
        <f t="shared" si="7"/>
        <v>320.55528509405991</v>
      </c>
    </row>
    <row r="20" spans="2:20">
      <c r="C20" s="600"/>
      <c r="D20" s="600"/>
      <c r="E20" s="600"/>
      <c r="F20" s="600"/>
      <c r="G20" s="600"/>
    </row>
    <row r="21" spans="2:20">
      <c r="B21" s="601" t="s">
        <v>99</v>
      </c>
      <c r="C21" s="602">
        <f>F46</f>
        <v>0.11470077291424455</v>
      </c>
      <c r="D21" s="565"/>
      <c r="E21" s="565"/>
      <c r="F21" s="565"/>
      <c r="G21" s="565"/>
    </row>
    <row r="22" spans="2:20">
      <c r="B22" s="601" t="s">
        <v>1249</v>
      </c>
      <c r="C22" s="603">
        <f>'WACC RK'!C7</f>
        <v>45280</v>
      </c>
      <c r="D22" s="565"/>
      <c r="E22" s="565"/>
      <c r="F22" s="565"/>
      <c r="G22" s="565"/>
    </row>
    <row r="23" spans="2:20">
      <c r="B23" s="717" t="s">
        <v>717</v>
      </c>
      <c r="C23" s="718">
        <v>45382</v>
      </c>
      <c r="D23" s="718">
        <f>EDATE(C23,12)</f>
        <v>45747</v>
      </c>
      <c r="E23" s="718">
        <f>EDATE(D23,12)</f>
        <v>46112</v>
      </c>
      <c r="F23" s="718">
        <f>EDATE(E23,12)</f>
        <v>46477</v>
      </c>
      <c r="G23" s="718">
        <f>EDATE(F23,12)</f>
        <v>46843</v>
      </c>
      <c r="H23" s="718">
        <f>EDATE(G23,12)</f>
        <v>47208</v>
      </c>
      <c r="I23" s="718">
        <f t="shared" ref="I23" si="8">EDATE(H23,12)</f>
        <v>47573</v>
      </c>
      <c r="J23" s="718">
        <f t="shared" ref="J23" si="9">EDATE(I23,12)</f>
        <v>47938</v>
      </c>
      <c r="K23" s="718">
        <f t="shared" ref="K23" si="10">EDATE(J23,12)</f>
        <v>48304</v>
      </c>
      <c r="L23" s="718">
        <f t="shared" ref="L23" si="11">EDATE(K23,12)</f>
        <v>48669</v>
      </c>
      <c r="M23" s="718">
        <f t="shared" ref="M23" si="12">EDATE(L23,12)</f>
        <v>49034</v>
      </c>
      <c r="N23" s="718">
        <f t="shared" ref="N23" si="13">EDATE(M23,12)</f>
        <v>49399</v>
      </c>
      <c r="O23" s="718">
        <f t="shared" ref="O23" si="14">EDATE(N23,12)</f>
        <v>49765</v>
      </c>
      <c r="P23" s="718">
        <f t="shared" ref="P23" si="15">EDATE(O23,12)</f>
        <v>50130</v>
      </c>
      <c r="Q23" s="718">
        <f t="shared" ref="Q23" si="16">EDATE(P23,12)</f>
        <v>50495</v>
      </c>
      <c r="R23" s="718">
        <f t="shared" ref="R23" si="17">EDATE(Q23,12)</f>
        <v>50860</v>
      </c>
      <c r="S23" s="718">
        <f t="shared" ref="S23" si="18">EDATE(R23,12)</f>
        <v>51226</v>
      </c>
      <c r="T23" s="718">
        <f t="shared" ref="T23" si="19">EDATE(S23,12)</f>
        <v>51591</v>
      </c>
    </row>
    <row r="24" spans="2:20">
      <c r="B24" s="721" t="s">
        <v>1351</v>
      </c>
      <c r="C24" s="720">
        <f>(C6-C22)/366</f>
        <v>0.27868852459016391</v>
      </c>
      <c r="D24" s="720">
        <f>C24+1</f>
        <v>1.278688524590164</v>
      </c>
      <c r="E24" s="720">
        <f>D24+1</f>
        <v>2.278688524590164</v>
      </c>
      <c r="F24" s="720">
        <f>E24+1</f>
        <v>3.278688524590164</v>
      </c>
      <c r="G24" s="720">
        <f>F24+1</f>
        <v>4.278688524590164</v>
      </c>
      <c r="H24" s="720">
        <f t="shared" ref="H24:T24" si="20">G24+1</f>
        <v>5.278688524590164</v>
      </c>
      <c r="I24" s="720">
        <f t="shared" si="20"/>
        <v>6.278688524590164</v>
      </c>
      <c r="J24" s="720">
        <f t="shared" si="20"/>
        <v>7.278688524590164</v>
      </c>
      <c r="K24" s="720">
        <f t="shared" si="20"/>
        <v>8.278688524590164</v>
      </c>
      <c r="L24" s="720">
        <f t="shared" si="20"/>
        <v>9.278688524590164</v>
      </c>
      <c r="M24" s="720">
        <f t="shared" si="20"/>
        <v>10.278688524590164</v>
      </c>
      <c r="N24" s="720">
        <f t="shared" si="20"/>
        <v>11.278688524590164</v>
      </c>
      <c r="O24" s="720">
        <f t="shared" si="20"/>
        <v>12.278688524590164</v>
      </c>
      <c r="P24" s="720">
        <f t="shared" si="20"/>
        <v>13.278688524590164</v>
      </c>
      <c r="Q24" s="720">
        <f t="shared" si="20"/>
        <v>14.278688524590164</v>
      </c>
      <c r="R24" s="720">
        <f t="shared" si="20"/>
        <v>15.278688524590164</v>
      </c>
      <c r="S24" s="720">
        <f t="shared" si="20"/>
        <v>16.278688524590166</v>
      </c>
      <c r="T24" s="720">
        <f t="shared" si="20"/>
        <v>17.278688524590166</v>
      </c>
    </row>
    <row r="25" spans="2:20">
      <c r="B25" s="721" t="s">
        <v>1352</v>
      </c>
      <c r="C25" s="720">
        <f>1/(1+$C$21)^C24</f>
        <v>0.9701916271925316</v>
      </c>
      <c r="D25" s="720">
        <f>1/(1+$C$21)^D24</f>
        <v>0.87036059431096269</v>
      </c>
      <c r="E25" s="720">
        <f>1/(1+$C$21)^E24</f>
        <v>0.78080200127206767</v>
      </c>
      <c r="F25" s="720">
        <f>1/(1+$C$21)^F24</f>
        <v>0.70045883186279601</v>
      </c>
      <c r="G25" s="720">
        <f>1/(1+$C$21)^G24</f>
        <v>0.62838283500202008</v>
      </c>
      <c r="H25" s="720">
        <f t="shared" ref="H25:T25" si="21">1/(1+$C$21)^H24</f>
        <v>0.56372333299742161</v>
      </c>
      <c r="I25" s="720">
        <f t="shared" si="21"/>
        <v>0.50571718141330257</v>
      </c>
      <c r="J25" s="720">
        <f t="shared" si="21"/>
        <v>0.45367976205055355</v>
      </c>
      <c r="K25" s="720">
        <f t="shared" si="21"/>
        <v>0.40699690273333622</v>
      </c>
      <c r="L25" s="720">
        <f t="shared" si="21"/>
        <v>0.36511762853567792</v>
      </c>
      <c r="M25" s="720">
        <f t="shared" si="21"/>
        <v>0.32754765889425541</v>
      </c>
      <c r="N25" s="720">
        <f t="shared" si="21"/>
        <v>0.29384357385697629</v>
      </c>
      <c r="O25" s="720">
        <f t="shared" si="21"/>
        <v>0.26360758061444539</v>
      </c>
      <c r="P25" s="720">
        <f t="shared" si="21"/>
        <v>0.23648281854625125</v>
      </c>
      <c r="Q25" s="720">
        <f t="shared" si="21"/>
        <v>0.2121491473698334</v>
      </c>
      <c r="R25" s="720">
        <f t="shared" si="21"/>
        <v>0.19031936868151281</v>
      </c>
      <c r="S25" s="720">
        <f t="shared" si="21"/>
        <v>0.17073583629438666</v>
      </c>
      <c r="T25" s="720">
        <f t="shared" si="21"/>
        <v>0.15316741536656459</v>
      </c>
    </row>
    <row r="26" spans="2:20">
      <c r="B26" s="721" t="s">
        <v>1275</v>
      </c>
      <c r="C26" s="720"/>
      <c r="D26" s="720"/>
      <c r="E26" s="720"/>
      <c r="F26" s="720"/>
      <c r="G26" s="720"/>
      <c r="H26" s="740"/>
      <c r="I26" s="740"/>
      <c r="J26" s="740"/>
      <c r="K26" s="740"/>
      <c r="L26" s="740"/>
      <c r="M26" s="740"/>
      <c r="N26" s="740"/>
      <c r="O26" s="740"/>
      <c r="P26" s="740"/>
      <c r="Q26" s="740"/>
      <c r="R26" s="740"/>
      <c r="S26" s="740"/>
      <c r="T26" s="779">
        <f>'Depreciation Schedule'!V102*75%</f>
        <v>877.08092038747691</v>
      </c>
    </row>
    <row r="27" spans="2:20">
      <c r="B27" s="741" t="s">
        <v>1353</v>
      </c>
      <c r="C27" s="723">
        <f t="shared" ref="C27:T27" si="22">C25*C19</f>
        <v>23.703893937441553</v>
      </c>
      <c r="D27" s="723">
        <f t="shared" si="22"/>
        <v>322.12003332339788</v>
      </c>
      <c r="E27" s="723">
        <f t="shared" si="22"/>
        <v>280.68196795832756</v>
      </c>
      <c r="F27" s="723">
        <f t="shared" si="22"/>
        <v>244.18697540560476</v>
      </c>
      <c r="G27" s="723">
        <f t="shared" si="22"/>
        <v>239.67485378208343</v>
      </c>
      <c r="H27" s="723">
        <f t="shared" si="22"/>
        <v>207.22913842438396</v>
      </c>
      <c r="I27" s="723">
        <f t="shared" si="22"/>
        <v>200.06254711662257</v>
      </c>
      <c r="J27" s="723">
        <f t="shared" si="22"/>
        <v>181.67091571749705</v>
      </c>
      <c r="K27" s="723">
        <f t="shared" si="22"/>
        <v>169.32198842136728</v>
      </c>
      <c r="L27" s="723">
        <f t="shared" si="22"/>
        <v>145.83033994734302</v>
      </c>
      <c r="M27" s="723">
        <f t="shared" si="22"/>
        <v>141.47381501771099</v>
      </c>
      <c r="N27" s="723">
        <f t="shared" si="22"/>
        <v>127.00524932831387</v>
      </c>
      <c r="O27" s="723">
        <f t="shared" si="22"/>
        <v>117.71993271355403</v>
      </c>
      <c r="P27" s="723">
        <f t="shared" si="22"/>
        <v>105.98347402776245</v>
      </c>
      <c r="Q27" s="723">
        <f t="shared" si="22"/>
        <v>94.586378670187003</v>
      </c>
      <c r="R27" s="723">
        <f t="shared" si="22"/>
        <v>83.169910414003368</v>
      </c>
      <c r="S27" s="723">
        <f t="shared" si="22"/>
        <v>78.515631472592588</v>
      </c>
      <c r="T27" s="723">
        <f t="shared" si="22"/>
        <v>49.098624499949402</v>
      </c>
    </row>
    <row r="28" spans="2:20">
      <c r="B28" s="741" t="s">
        <v>1354</v>
      </c>
      <c r="C28" s="720"/>
      <c r="D28" s="720"/>
      <c r="E28" s="720"/>
      <c r="F28" s="720"/>
      <c r="G28" s="723"/>
      <c r="H28" s="740"/>
      <c r="I28" s="740"/>
      <c r="J28" s="740"/>
      <c r="K28" s="742"/>
      <c r="L28" s="740"/>
      <c r="M28" s="740"/>
      <c r="N28" s="740"/>
      <c r="O28" s="740"/>
      <c r="P28" s="740"/>
      <c r="Q28" s="740"/>
      <c r="R28" s="740"/>
      <c r="S28" s="740"/>
      <c r="T28" s="723">
        <f>T26*T25</f>
        <v>134.34021764307744</v>
      </c>
    </row>
    <row r="29" spans="2:20">
      <c r="B29" s="741" t="s">
        <v>1355</v>
      </c>
      <c r="C29" s="723">
        <f>C27+C28</f>
        <v>23.703893937441553</v>
      </c>
      <c r="D29" s="723">
        <f>D27+D28</f>
        <v>322.12003332339788</v>
      </c>
      <c r="E29" s="723">
        <f>E27+E28</f>
        <v>280.68196795832756</v>
      </c>
      <c r="F29" s="723">
        <f>F27+F28</f>
        <v>244.18697540560476</v>
      </c>
      <c r="G29" s="723">
        <f>G27+G28</f>
        <v>239.67485378208343</v>
      </c>
      <c r="H29" s="723">
        <f t="shared" ref="H29:T29" si="23">H27+H28</f>
        <v>207.22913842438396</v>
      </c>
      <c r="I29" s="723">
        <f t="shared" si="23"/>
        <v>200.06254711662257</v>
      </c>
      <c r="J29" s="723">
        <f t="shared" si="23"/>
        <v>181.67091571749705</v>
      </c>
      <c r="K29" s="723">
        <f t="shared" si="23"/>
        <v>169.32198842136728</v>
      </c>
      <c r="L29" s="723">
        <f t="shared" si="23"/>
        <v>145.83033994734302</v>
      </c>
      <c r="M29" s="723">
        <f t="shared" si="23"/>
        <v>141.47381501771099</v>
      </c>
      <c r="N29" s="723">
        <f t="shared" si="23"/>
        <v>127.00524932831387</v>
      </c>
      <c r="O29" s="723">
        <f t="shared" si="23"/>
        <v>117.71993271355403</v>
      </c>
      <c r="P29" s="723">
        <f t="shared" si="23"/>
        <v>105.98347402776245</v>
      </c>
      <c r="Q29" s="723">
        <f t="shared" si="23"/>
        <v>94.586378670187003</v>
      </c>
      <c r="R29" s="723">
        <f t="shared" si="23"/>
        <v>83.169910414003368</v>
      </c>
      <c r="S29" s="723">
        <f t="shared" si="23"/>
        <v>78.515631472592588</v>
      </c>
      <c r="T29" s="723">
        <f t="shared" si="23"/>
        <v>183.43884214302685</v>
      </c>
    </row>
    <row r="30" spans="2:20">
      <c r="B30" s="721"/>
      <c r="C30" s="721"/>
      <c r="D30" s="721"/>
      <c r="E30" s="721"/>
      <c r="F30" s="721"/>
      <c r="G30" s="721"/>
      <c r="H30" s="740"/>
      <c r="I30" s="740"/>
      <c r="J30" s="740"/>
      <c r="K30" s="740"/>
      <c r="L30" s="740"/>
      <c r="M30" s="740"/>
      <c r="N30" s="740"/>
      <c r="O30" s="740"/>
      <c r="P30" s="740"/>
      <c r="Q30" s="740"/>
      <c r="R30" s="740"/>
      <c r="S30" s="740"/>
      <c r="T30" s="740"/>
    </row>
    <row r="31" spans="2:20">
      <c r="B31" s="565"/>
      <c r="C31" s="565"/>
      <c r="D31" s="565"/>
      <c r="E31" s="565"/>
      <c r="F31" s="565"/>
      <c r="G31" s="565"/>
    </row>
    <row r="32" spans="2:20" ht="15.6">
      <c r="B32" s="604" t="s">
        <v>1356</v>
      </c>
      <c r="C32" s="605">
        <f>SUM(C29:T29)</f>
        <v>2946.3758878212202</v>
      </c>
      <c r="D32" s="606" t="s">
        <v>1419</v>
      </c>
      <c r="E32" s="607"/>
      <c r="F32" s="607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7"/>
      <c r="R32" s="607"/>
      <c r="S32" s="607"/>
      <c r="T32" s="607"/>
    </row>
    <row r="34" spans="2:8" ht="15.6" hidden="1">
      <c r="B34" s="604" t="s">
        <v>1357</v>
      </c>
      <c r="C34" s="604"/>
      <c r="D34" s="604"/>
      <c r="E34" s="604"/>
      <c r="F34" s="604"/>
      <c r="G34" s="604"/>
    </row>
    <row r="35" spans="2:8" hidden="1"/>
    <row r="36" spans="2:8" ht="15" hidden="1" thickBot="1">
      <c r="B36" s="608" t="s">
        <v>1358</v>
      </c>
      <c r="C36" s="609"/>
      <c r="D36" s="608" t="s">
        <v>1354</v>
      </c>
      <c r="E36" s="608"/>
      <c r="F36" s="608" t="s">
        <v>1359</v>
      </c>
      <c r="G36" s="565"/>
    </row>
    <row r="37" spans="2:8" ht="15" hidden="1" thickBot="1">
      <c r="B37" s="610">
        <f>SUM(C27:J27)</f>
        <v>1699.3303256653587</v>
      </c>
      <c r="C37" s="611" t="s">
        <v>1360</v>
      </c>
      <c r="D37" s="610">
        <f>G28</f>
        <v>0</v>
      </c>
      <c r="E37" s="610" t="s">
        <v>1361</v>
      </c>
      <c r="F37" s="612">
        <f>B37+D37</f>
        <v>1699.3303256653587</v>
      </c>
      <c r="G37" s="565"/>
    </row>
    <row r="38" spans="2:8">
      <c r="B38" s="609"/>
      <c r="C38" s="609"/>
      <c r="D38" s="609"/>
      <c r="E38" s="608"/>
      <c r="F38" s="608"/>
      <c r="G38" s="608"/>
    </row>
    <row r="39" spans="2:8" ht="15.6">
      <c r="B39" s="726" t="s">
        <v>1438</v>
      </c>
      <c r="C39" s="726"/>
    </row>
    <row r="40" spans="2:8">
      <c r="B40" s="727" t="s">
        <v>1439</v>
      </c>
      <c r="C40" s="728" t="s">
        <v>1440</v>
      </c>
    </row>
    <row r="41" spans="2:8">
      <c r="B41" s="727" t="s">
        <v>1441</v>
      </c>
      <c r="C41" s="729" t="s">
        <v>1442</v>
      </c>
    </row>
    <row r="42" spans="2:8">
      <c r="B42" s="727" t="s">
        <v>1443</v>
      </c>
      <c r="C42" s="730">
        <f>1.14*1200</f>
        <v>1367.9999999999998</v>
      </c>
      <c r="D42" s="731" t="s">
        <v>1419</v>
      </c>
      <c r="G42" s="732">
        <f>C32/1200</f>
        <v>2.4553132398510167</v>
      </c>
      <c r="H42" s="708" t="s">
        <v>1428</v>
      </c>
    </row>
    <row r="44" spans="2:8" ht="28.8">
      <c r="B44" s="613" t="s">
        <v>1362</v>
      </c>
      <c r="C44" s="613" t="s">
        <v>99</v>
      </c>
      <c r="D44" s="613" t="s">
        <v>1363</v>
      </c>
    </row>
    <row r="45" spans="2:8">
      <c r="B45" s="614"/>
      <c r="C45" s="614"/>
      <c r="D45" s="615">
        <f>C32</f>
        <v>2946.3758878212202</v>
      </c>
    </row>
    <row r="46" spans="2:8">
      <c r="B46" s="616" t="s">
        <v>1278</v>
      </c>
      <c r="C46" s="617">
        <f>C47-1%</f>
        <v>0.10470077291424455</v>
      </c>
      <c r="D46" s="615">
        <f t="dataTable" ref="D46:D48" dt2D="0" dtr="0" r1="F46"/>
        <v>3155.7671052974492</v>
      </c>
      <c r="F46" s="618">
        <v>0.11470077291424455</v>
      </c>
    </row>
    <row r="47" spans="2:8">
      <c r="B47" s="616" t="s">
        <v>1276</v>
      </c>
      <c r="C47" s="619">
        <f>'WACC RK'!E22</f>
        <v>0.11470077291424455</v>
      </c>
      <c r="D47" s="620">
        <v>2946.3758878212202</v>
      </c>
    </row>
    <row r="48" spans="2:8">
      <c r="B48" s="616" t="s">
        <v>1277</v>
      </c>
      <c r="C48" s="617">
        <f>C47+1%</f>
        <v>0.12470077291424454</v>
      </c>
      <c r="D48" s="615">
        <v>2757.9739958596883</v>
      </c>
    </row>
    <row r="54" spans="2:6" ht="15" hidden="1" thickBot="1"/>
    <row r="55" spans="2:6" ht="15.75" hidden="1" customHeight="1" thickBot="1">
      <c r="B55" s="621" t="s">
        <v>1364</v>
      </c>
      <c r="C55" s="622"/>
      <c r="D55" s="807"/>
      <c r="E55" s="808"/>
      <c r="F55" s="809"/>
    </row>
    <row r="56" spans="2:6" ht="15.75" hidden="1" customHeight="1" thickBot="1">
      <c r="B56" s="623"/>
      <c r="C56" s="624">
        <f>C32</f>
        <v>2946.3758878212202</v>
      </c>
      <c r="D56" s="625">
        <f>E56-0.5%</f>
        <v>1.4999999999999999E-2</v>
      </c>
      <c r="E56" s="625">
        <v>0.02</v>
      </c>
      <c r="F56" s="625">
        <f>E56+0.5%</f>
        <v>2.5000000000000001E-2</v>
      </c>
    </row>
    <row r="57" spans="2:6" ht="15" hidden="1" thickBot="1">
      <c r="B57" s="810"/>
      <c r="C57" s="625">
        <f>C58-1%</f>
        <v>0.13975949961000778</v>
      </c>
      <c r="D57" s="626" t="e">
        <f t="dataTable" ref="D57:F59" dt2D="1" dtr="1" del1="1" r1="C19" r2="F46"/>
        <v>#REF!</v>
      </c>
      <c r="E57" s="626" t="e">
        <v>#REF!</v>
      </c>
      <c r="F57" s="626" t="e">
        <v>#REF!</v>
      </c>
    </row>
    <row r="58" spans="2:6" ht="15" hidden="1" thickBot="1">
      <c r="B58" s="811"/>
      <c r="C58" s="625">
        <v>0.14975949961000778</v>
      </c>
      <c r="D58" s="626" t="e">
        <v>#REF!</v>
      </c>
      <c r="E58" s="627" t="e">
        <v>#REF!</v>
      </c>
      <c r="F58" s="626" t="e">
        <v>#REF!</v>
      </c>
    </row>
    <row r="59" spans="2:6" ht="15" hidden="1" thickBot="1">
      <c r="B59" s="812"/>
      <c r="C59" s="625">
        <f>C58+1%</f>
        <v>0.15975949961000779</v>
      </c>
      <c r="D59" s="626" t="e">
        <v>#REF!</v>
      </c>
      <c r="E59" s="626" t="e">
        <v>#REF!</v>
      </c>
      <c r="F59" s="626" t="e">
        <v>#REF!</v>
      </c>
    </row>
    <row r="60" spans="2:6" hidden="1"/>
  </sheetData>
  <mergeCells count="2">
    <mergeCell ref="D55:F55"/>
    <mergeCell ref="B57:B59"/>
  </mergeCells>
  <dataValidations count="1">
    <dataValidation type="list" allowBlank="1" showInputMessage="1" showErrorMessage="1" sqref="F46" xr:uid="{00000000-0002-0000-0A00-000000000000}">
      <formula1>$C$46:$C$48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7548D-E45C-4A3B-B9F4-06BC7AC782B5}">
  <dimension ref="B3:Q33"/>
  <sheetViews>
    <sheetView workbookViewId="0">
      <selection activeCell="B12" sqref="B12"/>
    </sheetView>
  </sheetViews>
  <sheetFormatPr defaultRowHeight="14.4"/>
  <cols>
    <col min="2" max="2" width="34.21875" customWidth="1"/>
    <col min="3" max="3" width="13" customWidth="1"/>
    <col min="4" max="4" width="12.6640625" customWidth="1"/>
    <col min="5" max="5" width="12.77734375" customWidth="1"/>
    <col min="6" max="6" width="13.6640625" customWidth="1"/>
    <col min="7" max="7" width="12.33203125" bestFit="1" customWidth="1"/>
    <col min="8" max="8" width="11" bestFit="1" customWidth="1"/>
    <col min="10" max="10" width="9.88671875" bestFit="1" customWidth="1"/>
  </cols>
  <sheetData>
    <row r="3" spans="2:17" ht="29.4" customHeight="1">
      <c r="B3" s="750"/>
      <c r="C3" s="775" t="s">
        <v>1490</v>
      </c>
      <c r="D3" s="775" t="s">
        <v>1477</v>
      </c>
      <c r="E3" s="775" t="s">
        <v>1478</v>
      </c>
      <c r="F3" s="775" t="s">
        <v>1479</v>
      </c>
    </row>
    <row r="4" spans="2:17">
      <c r="B4" s="750"/>
      <c r="C4" s="750"/>
      <c r="D4" s="750"/>
      <c r="E4" s="750"/>
      <c r="F4" s="750"/>
    </row>
    <row r="5" spans="2:17">
      <c r="B5" s="777" t="s">
        <v>1482</v>
      </c>
      <c r="C5" s="760">
        <v>2259807</v>
      </c>
      <c r="D5" s="760">
        <v>1571730</v>
      </c>
      <c r="E5" s="760">
        <v>802168</v>
      </c>
      <c r="F5" s="760">
        <v>1462445.12</v>
      </c>
    </row>
    <row r="6" spans="2:17">
      <c r="B6" s="750" t="s">
        <v>1480</v>
      </c>
      <c r="C6" s="760">
        <v>1933.64</v>
      </c>
      <c r="D6" s="760">
        <v>1651.74</v>
      </c>
      <c r="E6" s="776">
        <v>587.4</v>
      </c>
      <c r="F6" s="776">
        <v>707.68</v>
      </c>
    </row>
    <row r="7" spans="2:17">
      <c r="B7" s="750"/>
      <c r="C7" s="750"/>
      <c r="D7" s="750"/>
      <c r="E7" s="750"/>
      <c r="F7" s="750"/>
    </row>
    <row r="8" spans="2:17">
      <c r="B8" s="750" t="s">
        <v>1481</v>
      </c>
      <c r="C8" s="755">
        <f>(C6*10^7)/C5</f>
        <v>8556.6599271530704</v>
      </c>
      <c r="D8" s="755">
        <f t="shared" ref="D8:F8" si="0">(D6*10^7)/D5</f>
        <v>10509.056899085721</v>
      </c>
      <c r="E8" s="755">
        <f t="shared" si="0"/>
        <v>7322.6556033150164</v>
      </c>
      <c r="F8" s="755">
        <f t="shared" si="0"/>
        <v>4839.0191899987321</v>
      </c>
    </row>
    <row r="10" spans="2:17" ht="115.2">
      <c r="B10" s="784" t="s">
        <v>1494</v>
      </c>
    </row>
    <row r="11" spans="2:17">
      <c r="B11" s="784"/>
    </row>
    <row r="12" spans="2:17" ht="28.8">
      <c r="B12" s="787" t="s">
        <v>1495</v>
      </c>
    </row>
    <row r="13" spans="2:17">
      <c r="B13" s="784"/>
    </row>
    <row r="14" spans="2:17" ht="28.8">
      <c r="B14" s="785" t="s">
        <v>1496</v>
      </c>
      <c r="C14" s="780">
        <v>44986</v>
      </c>
      <c r="D14" s="780">
        <v>45017</v>
      </c>
      <c r="E14" s="780">
        <v>45047</v>
      </c>
      <c r="F14" s="782">
        <v>45078</v>
      </c>
      <c r="G14" s="780">
        <v>45108</v>
      </c>
      <c r="H14" s="780">
        <v>45139</v>
      </c>
      <c r="I14" s="780">
        <v>45170</v>
      </c>
      <c r="J14" s="782">
        <v>45200</v>
      </c>
      <c r="K14" s="780">
        <v>45231</v>
      </c>
      <c r="L14" s="782">
        <v>45261</v>
      </c>
      <c r="M14" s="781" t="s">
        <v>1485</v>
      </c>
      <c r="N14" s="781" t="s">
        <v>1488</v>
      </c>
      <c r="O14" s="781" t="s">
        <v>1489</v>
      </c>
      <c r="P14" s="781" t="s">
        <v>1492</v>
      </c>
      <c r="Q14" s="781" t="s">
        <v>1493</v>
      </c>
    </row>
    <row r="15" spans="2:17">
      <c r="B15" s="781" t="s">
        <v>1484</v>
      </c>
      <c r="C15">
        <v>102.26</v>
      </c>
      <c r="D15">
        <v>87.81</v>
      </c>
      <c r="E15">
        <v>82.23</v>
      </c>
      <c r="F15">
        <v>78.349999999999994</v>
      </c>
      <c r="G15">
        <v>75.2</v>
      </c>
      <c r="H15">
        <v>57.38</v>
      </c>
      <c r="I15">
        <v>53.83</v>
      </c>
      <c r="J15">
        <v>50.41</v>
      </c>
      <c r="K15">
        <v>52.86</v>
      </c>
      <c r="L15">
        <v>57.7</v>
      </c>
      <c r="M15" s="13">
        <f>AVERAGE(C15:L15)</f>
        <v>69.802999999999997</v>
      </c>
      <c r="N15">
        <v>15</v>
      </c>
    </row>
    <row r="16" spans="2:17">
      <c r="B16" s="781" t="s">
        <v>1486</v>
      </c>
      <c r="C16">
        <v>83.26</v>
      </c>
      <c r="D16" s="781" t="s">
        <v>1487</v>
      </c>
      <c r="M16" s="49">
        <f>M15*C16</f>
        <v>5811.7977799999999</v>
      </c>
      <c r="N16">
        <f>N15*C16</f>
        <v>1248.9000000000001</v>
      </c>
      <c r="O16">
        <v>300</v>
      </c>
      <c r="P16" s="49">
        <f>M17*5%</f>
        <v>388.03488900000002</v>
      </c>
      <c r="Q16">
        <v>400</v>
      </c>
    </row>
    <row r="17" spans="2:13">
      <c r="M17" s="49">
        <f>M16+N16+O16+Q16</f>
        <v>7760.6977800000004</v>
      </c>
    </row>
    <row r="18" spans="2:13">
      <c r="M18" s="49">
        <f>M17+P16</f>
        <v>8148.7326690000009</v>
      </c>
    </row>
    <row r="24" spans="2:13">
      <c r="C24" s="782">
        <v>45200</v>
      </c>
      <c r="D24" s="780">
        <v>45231</v>
      </c>
      <c r="M24" s="786" t="s">
        <v>1501</v>
      </c>
    </row>
    <row r="25" spans="2:13">
      <c r="B25" s="777" t="s">
        <v>1482</v>
      </c>
      <c r="C25" s="783">
        <v>371298</v>
      </c>
      <c r="D25" s="783">
        <v>224941</v>
      </c>
    </row>
    <row r="26" spans="2:13">
      <c r="B26" s="750" t="s">
        <v>1480</v>
      </c>
      <c r="C26">
        <v>287.33999999999997</v>
      </c>
      <c r="D26">
        <v>180.23</v>
      </c>
    </row>
    <row r="27" spans="2:13">
      <c r="B27" s="750"/>
    </row>
    <row r="28" spans="2:13">
      <c r="B28" s="750" t="s">
        <v>1481</v>
      </c>
      <c r="C28" s="755">
        <f>(C26*10^7)/C25</f>
        <v>7738.797408011892</v>
      </c>
      <c r="D28" s="755">
        <f>(D26*10^7)/D25</f>
        <v>8012.3232314251291</v>
      </c>
    </row>
    <row r="29" spans="2:13">
      <c r="B29" s="781" t="s">
        <v>1491</v>
      </c>
      <c r="C29">
        <v>66</v>
      </c>
      <c r="D29">
        <v>42</v>
      </c>
      <c r="F29">
        <v>50</v>
      </c>
      <c r="G29">
        <v>60</v>
      </c>
    </row>
    <row r="30" spans="2:13">
      <c r="C30" s="13">
        <f>C25/C29</f>
        <v>5625.727272727273</v>
      </c>
      <c r="D30" s="13">
        <f>D25/D29</f>
        <v>5355.7380952380954</v>
      </c>
      <c r="E30" s="9">
        <f>AVERAGE(C30:D30)</f>
        <v>5490.7326839826837</v>
      </c>
      <c r="F30" s="49">
        <f>E30*F29*12</f>
        <v>3294439.6103896103</v>
      </c>
      <c r="G30" s="49">
        <f>E30*G29</f>
        <v>329443.96103896102</v>
      </c>
      <c r="J30">
        <v>2406.37</v>
      </c>
    </row>
    <row r="31" spans="2:13">
      <c r="G31" s="49">
        <f>F30+G30</f>
        <v>3623883.5714285714</v>
      </c>
      <c r="H31">
        <f>(G31*M18)/10^7</f>
        <v>2953.0058447152396</v>
      </c>
    </row>
    <row r="32" spans="2:13">
      <c r="G32" s="49">
        <f>H31*10^7/G31</f>
        <v>8148.7326690000009</v>
      </c>
      <c r="J32" s="49">
        <f>J30*10^7/G31</f>
        <v>6640.3071527250659</v>
      </c>
    </row>
    <row r="33" spans="3:3">
      <c r="C33">
        <f>C25/C29*F29</f>
        <v>281286.36363636365</v>
      </c>
    </row>
  </sheetData>
  <hyperlinks>
    <hyperlink ref="B12" r:id="rId1" xr:uid="{9C4BF9CF-EEE7-4DE2-BE37-5A68F7DB6EEF}"/>
    <hyperlink ref="B14" r:id="rId2" xr:uid="{A2C93231-5C9C-48F1-A56E-EC7A90B5D4CB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174"/>
  <sheetViews>
    <sheetView zoomScale="85" zoomScaleNormal="85" workbookViewId="0">
      <pane xSplit="1" ySplit="1" topLeftCell="E2" activePane="bottomRight" state="frozen"/>
      <selection pane="topRight"/>
      <selection pane="bottomLeft"/>
      <selection pane="bottomRight" activeCell="T3" sqref="T3"/>
    </sheetView>
  </sheetViews>
  <sheetFormatPr defaultColWidth="9" defaultRowHeight="14.4"/>
  <cols>
    <col min="1" max="1" width="39" customWidth="1"/>
    <col min="2" max="2" width="36.88671875" customWidth="1"/>
    <col min="3" max="3" width="10.6640625" customWidth="1"/>
    <col min="4" max="4" width="12.5546875" customWidth="1"/>
    <col min="5" max="5" width="10.5546875" customWidth="1"/>
    <col min="6" max="6" width="10.109375" customWidth="1"/>
    <col min="7" max="7" width="10.5546875" customWidth="1"/>
    <col min="8" max="8" width="10.6640625" customWidth="1"/>
    <col min="9" max="9" width="10.5546875" customWidth="1"/>
    <col min="10" max="16" width="10.6640625" customWidth="1"/>
    <col min="17" max="17" width="11.33203125" customWidth="1"/>
    <col min="18" max="18" width="13.33203125" customWidth="1"/>
    <col min="19" max="19" width="13.5546875" customWidth="1"/>
    <col min="20" max="20" width="12.6640625" customWidth="1"/>
    <col min="21" max="21" width="13.44140625" customWidth="1"/>
    <col min="22" max="23" width="12.44140625" customWidth="1"/>
    <col min="24" max="24" width="12.33203125" customWidth="1"/>
    <col min="25" max="25" width="11.6640625" customWidth="1"/>
    <col min="26" max="26" width="13.109375" customWidth="1"/>
    <col min="27" max="27" width="13.44140625" customWidth="1"/>
    <col min="28" max="28" width="14.109375" customWidth="1"/>
    <col min="29" max="29" width="14.33203125" customWidth="1"/>
    <col min="30" max="30" width="12.6640625" customWidth="1"/>
    <col min="31" max="31" width="13.33203125" customWidth="1"/>
  </cols>
  <sheetData>
    <row r="1" spans="1:39">
      <c r="B1" t="s">
        <v>1122</v>
      </c>
      <c r="C1" s="7">
        <f>DATE(2015,3,31)</f>
        <v>42094</v>
      </c>
      <c r="D1" s="7">
        <f>EOMONTH(C1,12)</f>
        <v>42460</v>
      </c>
      <c r="E1" s="7">
        <f>EOMONTH(D1,12)</f>
        <v>42825</v>
      </c>
      <c r="F1" s="7">
        <f>EOMONTH(E1,6)</f>
        <v>43008</v>
      </c>
      <c r="G1" s="7">
        <f>EOMONTH(E1,12)</f>
        <v>43190</v>
      </c>
      <c r="H1" s="7">
        <f>G1</f>
        <v>43190</v>
      </c>
      <c r="I1" s="7">
        <f>EOMONTH(G1,12)</f>
        <v>43555</v>
      </c>
      <c r="J1" s="7">
        <f t="shared" ref="J1:AE1" si="0">EOMONTH(I1,12)</f>
        <v>43921</v>
      </c>
      <c r="K1" s="7">
        <f t="shared" si="0"/>
        <v>44286</v>
      </c>
      <c r="L1" s="7">
        <f t="shared" si="0"/>
        <v>44651</v>
      </c>
      <c r="M1" s="7">
        <f t="shared" si="0"/>
        <v>45016</v>
      </c>
      <c r="N1" s="7">
        <f t="shared" si="0"/>
        <v>45382</v>
      </c>
      <c r="O1" s="7">
        <f t="shared" si="0"/>
        <v>45747</v>
      </c>
      <c r="P1" s="7">
        <f t="shared" si="0"/>
        <v>46112</v>
      </c>
      <c r="Q1" s="7">
        <f t="shared" si="0"/>
        <v>46477</v>
      </c>
      <c r="R1" s="7">
        <f t="shared" si="0"/>
        <v>46843</v>
      </c>
      <c r="S1" s="7">
        <f t="shared" si="0"/>
        <v>47208</v>
      </c>
      <c r="T1" s="7">
        <f t="shared" si="0"/>
        <v>47573</v>
      </c>
      <c r="U1" s="7">
        <f t="shared" si="0"/>
        <v>47938</v>
      </c>
      <c r="V1" s="7">
        <f t="shared" si="0"/>
        <v>48304</v>
      </c>
      <c r="W1" s="7">
        <f t="shared" si="0"/>
        <v>48669</v>
      </c>
      <c r="X1" s="7">
        <f t="shared" si="0"/>
        <v>49034</v>
      </c>
      <c r="Y1" s="7">
        <f t="shared" si="0"/>
        <v>49399</v>
      </c>
      <c r="Z1" s="7">
        <f t="shared" si="0"/>
        <v>49765</v>
      </c>
      <c r="AA1" s="7">
        <f t="shared" si="0"/>
        <v>50130</v>
      </c>
      <c r="AB1" s="7">
        <f t="shared" si="0"/>
        <v>50495</v>
      </c>
      <c r="AC1" s="7">
        <f t="shared" si="0"/>
        <v>50860</v>
      </c>
      <c r="AD1" s="7">
        <f t="shared" si="0"/>
        <v>51226</v>
      </c>
      <c r="AE1" s="7">
        <f t="shared" si="0"/>
        <v>51591</v>
      </c>
    </row>
    <row r="2" spans="1:39">
      <c r="A2" s="8" t="s">
        <v>1123</v>
      </c>
      <c r="B2" s="8"/>
      <c r="E2" s="9"/>
      <c r="I2" s="9"/>
      <c r="J2" s="9"/>
    </row>
    <row r="3" spans="1:39" ht="28.8">
      <c r="A3" s="10" t="s">
        <v>1124</v>
      </c>
      <c r="B3" s="1"/>
      <c r="C3" s="11">
        <f>4533140732/Cr</f>
        <v>453.3140732</v>
      </c>
      <c r="D3" s="11">
        <v>1576.24</v>
      </c>
      <c r="E3" s="12">
        <v>1833.56</v>
      </c>
      <c r="F3" s="13" t="e">
        <f>Gen!C57</f>
        <v>#REF!</v>
      </c>
      <c r="G3" s="13" t="e">
        <f>Gen!D57</f>
        <v>#REF!</v>
      </c>
      <c r="H3" s="12">
        <v>1815.88</v>
      </c>
      <c r="I3" s="12">
        <v>1523.48</v>
      </c>
      <c r="J3" s="12">
        <v>1550.95</v>
      </c>
      <c r="K3" s="12">
        <v>1897.29</v>
      </c>
      <c r="L3" s="12">
        <v>913.89</v>
      </c>
      <c r="M3" s="12">
        <v>1886.48</v>
      </c>
      <c r="N3" s="13">
        <f>Gen!K57</f>
        <v>3155.4006019199996</v>
      </c>
      <c r="O3" s="13">
        <f>Gen!L57</f>
        <v>3146.7792887999999</v>
      </c>
      <c r="P3" s="13">
        <f>Gen!M57</f>
        <v>3146.7792887999999</v>
      </c>
      <c r="Q3" s="13">
        <f>Gen!N57</f>
        <v>3379.9469883479996</v>
      </c>
      <c r="R3" s="13">
        <f>Gen!O57</f>
        <v>3389.2071170831996</v>
      </c>
      <c r="S3" s="13">
        <f>Gen!P57</f>
        <v>3601.2439330560001</v>
      </c>
      <c r="T3" s="13">
        <f>Gen!Q57</f>
        <v>3700.6124436288001</v>
      </c>
      <c r="U3" s="13">
        <f>Gen!R57</f>
        <v>3852.2805494922</v>
      </c>
      <c r="V3" s="13">
        <f>Gen!S57</f>
        <v>3862.8347427784802</v>
      </c>
      <c r="W3" s="13">
        <f>Gen!T57</f>
        <v>4114.8066499633806</v>
      </c>
      <c r="X3" s="13">
        <f>Gen!U57</f>
        <v>4204.1460881233816</v>
      </c>
      <c r="Y3" s="13">
        <f>Gen!V57</f>
        <v>4363.3975992799506</v>
      </c>
      <c r="Z3" s="13">
        <f>Gen!W57</f>
        <v>4495.5048494691091</v>
      </c>
      <c r="AA3" s="13">
        <f>Gen!X57</f>
        <v>4574.0024461739486</v>
      </c>
      <c r="AB3" s="13">
        <f>Gen!Y57</f>
        <v>4634.5227107339488</v>
      </c>
      <c r="AC3" s="13">
        <f>Gen!Z57</f>
        <v>4866.248846270646</v>
      </c>
      <c r="AD3" s="13">
        <f>Gen!AA57</f>
        <v>4270.2331656905644</v>
      </c>
      <c r="AE3" s="13">
        <f>Gen!AB57</f>
        <v>2077.5097493129183</v>
      </c>
      <c r="AF3" s="18"/>
      <c r="AG3" s="18"/>
      <c r="AH3" s="18"/>
      <c r="AI3" s="18"/>
      <c r="AJ3" s="18"/>
      <c r="AK3" s="18"/>
      <c r="AL3" s="18"/>
      <c r="AM3" s="18"/>
    </row>
    <row r="4" spans="1:39" ht="28.8">
      <c r="A4" s="1" t="s">
        <v>1125</v>
      </c>
      <c r="B4" s="14" t="s">
        <v>1126</v>
      </c>
      <c r="C4" s="12">
        <f>503275/Cr</f>
        <v>5.0327499999999997E-2</v>
      </c>
      <c r="D4" s="12">
        <v>40.380000000000003</v>
      </c>
      <c r="E4" s="12">
        <v>4.72</v>
      </c>
      <c r="F4" s="15"/>
      <c r="G4" s="15"/>
      <c r="H4" s="12">
        <v>99.84</v>
      </c>
      <c r="I4" s="12">
        <v>55.05</v>
      </c>
      <c r="J4" s="12">
        <v>23.01</v>
      </c>
      <c r="K4" s="12">
        <v>41.65</v>
      </c>
      <c r="L4" s="12">
        <v>40.72</v>
      </c>
      <c r="M4" s="12">
        <v>18.350000000000001</v>
      </c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8"/>
      <c r="AG4" s="18"/>
      <c r="AH4" s="18"/>
      <c r="AI4" s="18"/>
      <c r="AJ4" s="18"/>
      <c r="AK4" s="18"/>
      <c r="AL4" s="18"/>
      <c r="AM4" s="18"/>
    </row>
    <row r="5" spans="1:39">
      <c r="A5" t="s">
        <v>1127</v>
      </c>
      <c r="C5" s="16">
        <f>2295987489/Cr</f>
        <v>229.5987489</v>
      </c>
      <c r="D5" s="16">
        <f>6644447354/Cr</f>
        <v>664.44473540000001</v>
      </c>
      <c r="E5" s="12">
        <v>924.92</v>
      </c>
      <c r="F5" s="13">
        <f>Gen!C58</f>
        <v>940.76545725628489</v>
      </c>
      <c r="G5" s="13">
        <f>Gen!D58</f>
        <v>1013.593384275214</v>
      </c>
      <c r="H5" s="12">
        <v>1174.0999999999999</v>
      </c>
      <c r="I5" s="12">
        <v>1020.59</v>
      </c>
      <c r="J5" s="12">
        <v>1049.8800000000001</v>
      </c>
      <c r="K5" s="12">
        <v>707.68</v>
      </c>
      <c r="L5" s="12">
        <v>587.4</v>
      </c>
      <c r="M5" s="12">
        <v>1651.77</v>
      </c>
      <c r="N5" s="13">
        <f>Gen!K58</f>
        <v>3727.239251185511</v>
      </c>
      <c r="O5" s="13">
        <f>Gen!L58</f>
        <v>3792.7168775876962</v>
      </c>
      <c r="P5" s="13">
        <f>Gen!M58</f>
        <v>3870.0261392942884</v>
      </c>
      <c r="Q5" s="13">
        <f>Gen!N58</f>
        <v>4129.7087531421039</v>
      </c>
      <c r="R5" s="13">
        <f>Gen!O58</f>
        <v>4225.6688090327425</v>
      </c>
      <c r="S5" s="13">
        <f>Gen!P58</f>
        <v>4488.5391728953582</v>
      </c>
      <c r="T5" s="13">
        <f>Gen!Q58</f>
        <v>4580.5473106422724</v>
      </c>
      <c r="U5" s="13">
        <f>Gen!R58</f>
        <v>4870.5275395857443</v>
      </c>
      <c r="V5" s="13">
        <f>Gen!S58</f>
        <v>4984.2676469389462</v>
      </c>
      <c r="W5" s="13">
        <f>Gen!T58</f>
        <v>5277.0733538681361</v>
      </c>
      <c r="X5" s="13">
        <f>Gen!U58</f>
        <v>5385.8630093158699</v>
      </c>
      <c r="Y5" s="13">
        <f>Gen!V58</f>
        <v>5709.6613760406999</v>
      </c>
      <c r="Z5" s="13">
        <f>Gen!W58</f>
        <v>5843.6753118995784</v>
      </c>
      <c r="AA5" s="13">
        <f>Gen!X58</f>
        <v>6083.6682895522554</v>
      </c>
      <c r="AB5" s="13">
        <f>Gen!Y58</f>
        <v>6301.8828794577857</v>
      </c>
      <c r="AC5" s="13">
        <f>Gen!Z58</f>
        <v>6432.7465492341707</v>
      </c>
      <c r="AD5" s="13">
        <f>Gen!AA58</f>
        <v>5664.6016352577935</v>
      </c>
      <c r="AE5" s="13">
        <f>Gen!AB58</f>
        <v>2575.664755802743</v>
      </c>
      <c r="AF5" s="18"/>
      <c r="AG5" s="18"/>
      <c r="AH5" s="18"/>
      <c r="AI5" s="18"/>
      <c r="AJ5" s="18"/>
      <c r="AK5" s="18"/>
      <c r="AL5" s="18"/>
      <c r="AM5" s="18"/>
    </row>
    <row r="6" spans="1:39">
      <c r="A6" t="s">
        <v>1128</v>
      </c>
      <c r="C6" s="16">
        <f>64514586/Cr</f>
        <v>6.4514585999999996</v>
      </c>
      <c r="D6" s="16">
        <f>156810661/Cr</f>
        <v>15.681066100000001</v>
      </c>
      <c r="E6" s="12">
        <v>15.35</v>
      </c>
      <c r="F6" s="13">
        <f>Gen!C59</f>
        <v>24.013814973119995</v>
      </c>
      <c r="G6" s="13">
        <f>Gen!D59</f>
        <v>25.872807935519997</v>
      </c>
      <c r="H6" s="12">
        <v>6.67</v>
      </c>
      <c r="I6" s="12">
        <v>10.1</v>
      </c>
      <c r="J6" s="12">
        <v>11.78</v>
      </c>
      <c r="K6" s="12">
        <v>8.73</v>
      </c>
      <c r="L6" s="12">
        <v>10.66</v>
      </c>
      <c r="M6" s="12">
        <v>15.11</v>
      </c>
      <c r="N6" s="13">
        <f>Gen!K59</f>
        <v>99.159338541585242</v>
      </c>
      <c r="O6" s="13">
        <f>Gen!L59</f>
        <v>100.86617961484205</v>
      </c>
      <c r="P6" s="13">
        <f>Gen!M59</f>
        <v>102.88350320713892</v>
      </c>
      <c r="Q6" s="13">
        <f>Gen!N59</f>
        <v>109.71122660179446</v>
      </c>
      <c r="R6" s="13">
        <f>Gen!O59</f>
        <v>112.21204141090936</v>
      </c>
      <c r="S6" s="13">
        <f>Gen!P59</f>
        <v>119.10632364157252</v>
      </c>
      <c r="T6" s="13">
        <f>Gen!Q59</f>
        <v>121.48845011440395</v>
      </c>
      <c r="U6" s="13">
        <f>Gen!R59</f>
        <v>129.08147824655418</v>
      </c>
      <c r="V6" s="13">
        <f>Gen!S59</f>
        <v>132.02382865480439</v>
      </c>
      <c r="W6" s="13">
        <f>Gen!T59</f>
        <v>139.66822476642358</v>
      </c>
      <c r="X6" s="13">
        <f>Gen!U59</f>
        <v>142.46158926175207</v>
      </c>
      <c r="Y6" s="13">
        <f>Gen!V59</f>
        <v>150.89969877956355</v>
      </c>
      <c r="Z6" s="13">
        <f>Gen!W59</f>
        <v>154.33938506407304</v>
      </c>
      <c r="AA6" s="13">
        <f>Gen!X59</f>
        <v>160.48484764604143</v>
      </c>
      <c r="AB6" s="13">
        <f>Gen!Y59</f>
        <v>166.06692930329501</v>
      </c>
      <c r="AC6" s="13">
        <f>Gen!Z59</f>
        <v>169.38826788936092</v>
      </c>
      <c r="AD6" s="13">
        <f>Gen!AA59</f>
        <v>149.58144248246251</v>
      </c>
      <c r="AE6" s="13">
        <f>Gen!AB59</f>
        <v>69.285556127082401</v>
      </c>
      <c r="AF6" s="18"/>
      <c r="AG6" s="18"/>
      <c r="AH6" s="18"/>
      <c r="AI6" s="18"/>
      <c r="AJ6" s="18"/>
      <c r="AK6" s="18"/>
      <c r="AL6" s="18"/>
      <c r="AM6" s="18"/>
    </row>
    <row r="7" spans="1:39">
      <c r="A7" t="s">
        <v>1304</v>
      </c>
      <c r="C7" s="16"/>
      <c r="D7" s="16"/>
      <c r="E7" s="12"/>
      <c r="F7" s="13"/>
      <c r="G7" s="13"/>
      <c r="H7" s="12">
        <v>48.22</v>
      </c>
      <c r="I7" s="12">
        <v>79.13</v>
      </c>
      <c r="J7" s="12">
        <v>81.81</v>
      </c>
      <c r="K7" s="12">
        <v>165.35</v>
      </c>
      <c r="L7" s="12">
        <v>0</v>
      </c>
      <c r="M7" s="12">
        <v>0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8"/>
      <c r="AG7" s="18"/>
      <c r="AH7" s="18"/>
      <c r="AI7" s="18"/>
      <c r="AJ7" s="18"/>
      <c r="AK7" s="18"/>
      <c r="AL7" s="18"/>
      <c r="AM7" s="18"/>
    </row>
    <row r="8" spans="1:39">
      <c r="A8" t="s">
        <v>1129</v>
      </c>
      <c r="C8" s="16">
        <f>(198965493+45978124+122509210+20308827)/Cr</f>
        <v>38.776165399999996</v>
      </c>
      <c r="D8" s="16">
        <v>50.008000000000003</v>
      </c>
      <c r="E8" s="12">
        <v>67.63</v>
      </c>
      <c r="F8" s="13">
        <f>Gen!C60</f>
        <v>59.888178904109594</v>
      </c>
      <c r="G8" s="13">
        <f>Gen!D60</f>
        <v>59.560921095890407</v>
      </c>
      <c r="H8" s="12">
        <v>62.19</v>
      </c>
      <c r="I8" s="12">
        <v>61.16</v>
      </c>
      <c r="J8" s="12">
        <v>67.81</v>
      </c>
      <c r="K8" s="12">
        <v>66.739999999999995</v>
      </c>
      <c r="L8" s="12">
        <v>149.56</v>
      </c>
      <c r="M8" s="12">
        <v>115.97</v>
      </c>
      <c r="N8" s="13">
        <f>Gen!K60</f>
        <v>142.62847217332217</v>
      </c>
      <c r="O8" s="13">
        <f>Gen!L60</f>
        <v>146.90732633852184</v>
      </c>
      <c r="P8" s="13">
        <f>Gen!M60</f>
        <v>151.31454612867751</v>
      </c>
      <c r="Q8" s="13">
        <f>Gen!N60</f>
        <v>155.85398251253784</v>
      </c>
      <c r="R8" s="13">
        <f>Gen!O60</f>
        <v>160.52960198791399</v>
      </c>
      <c r="S8" s="13">
        <f>Gen!P60</f>
        <v>165.34549004755141</v>
      </c>
      <c r="T8" s="13">
        <f>Gen!Q60</f>
        <v>170.30585474897796</v>
      </c>
      <c r="U8" s="13">
        <f>Gen!R60</f>
        <v>175.41503039144732</v>
      </c>
      <c r="V8" s="13">
        <f>Gen!S60</f>
        <v>180.67748130319075</v>
      </c>
      <c r="W8" s="13">
        <f>Gen!T60</f>
        <v>186.09780574228648</v>
      </c>
      <c r="X8" s="13">
        <f>Gen!U60</f>
        <v>191.68073991455509</v>
      </c>
      <c r="Y8" s="13">
        <f>Gen!V60</f>
        <v>197.43116211199174</v>
      </c>
      <c r="Z8" s="13">
        <f>Gen!W60</f>
        <v>203.3540969753515</v>
      </c>
      <c r="AA8" s="13">
        <f>Gen!X60</f>
        <v>209.45471988461205</v>
      </c>
      <c r="AB8" s="13">
        <f>Gen!Y60</f>
        <v>215.73836148115041</v>
      </c>
      <c r="AC8" s="13">
        <f>Gen!Z60</f>
        <v>222.21051232558492</v>
      </c>
      <c r="AD8" s="13">
        <f>Gen!AA60</f>
        <v>197.60950150746277</v>
      </c>
      <c r="AE8" s="13">
        <f>Gen!AB60</f>
        <v>92.682574020579636</v>
      </c>
      <c r="AF8" s="18"/>
      <c r="AG8" s="18"/>
      <c r="AH8" s="18"/>
      <c r="AI8" s="18"/>
      <c r="AJ8" s="18"/>
      <c r="AK8" s="18"/>
      <c r="AL8" s="18"/>
      <c r="AM8" s="18"/>
    </row>
    <row r="9" spans="1:39">
      <c r="A9" t="s">
        <v>1130</v>
      </c>
      <c r="B9" s="1"/>
      <c r="C9" s="16"/>
      <c r="D9" s="16">
        <v>7</v>
      </c>
      <c r="E9" s="17">
        <v>34.85</v>
      </c>
      <c r="F9" s="18"/>
      <c r="G9" s="18"/>
      <c r="H9" s="12">
        <v>35.21</v>
      </c>
      <c r="I9" s="12">
        <v>27.25</v>
      </c>
      <c r="J9" s="12">
        <v>50.76</v>
      </c>
      <c r="K9" s="12">
        <v>15.25</v>
      </c>
      <c r="L9" s="12">
        <v>16.72</v>
      </c>
      <c r="M9" s="12">
        <v>20.32</v>
      </c>
      <c r="N9" s="18">
        <f>Assum!$B40*Assum!$E11*100+Assum!$B40*Assum!$E12*100</f>
        <v>102</v>
      </c>
      <c r="O9" s="18">
        <f>Assum!$B40*Assum!$E11*100+Assum!$B40*Assum!$E12*100</f>
        <v>102</v>
      </c>
      <c r="P9" s="18">
        <f>Assum!$B40*Assum!$E11*100+Assum!$B40*Assum!$E12*100</f>
        <v>102</v>
      </c>
      <c r="Q9" s="18">
        <f>Assum!$B40*Assum!$E11*100+Assum!$B40*Assum!$E12*100</f>
        <v>102</v>
      </c>
      <c r="R9" s="18">
        <f>Assum!$B40*Assum!$E11*100+Assum!$B40*Assum!$E12*100</f>
        <v>102</v>
      </c>
      <c r="S9" s="18">
        <f>Assum!$B40*Assum!$E11*100+Assum!$B40*Assum!$E12*100</f>
        <v>102</v>
      </c>
      <c r="T9" s="18">
        <f>Assum!$B40*Assum!$E11*100+Assum!$B40*Assum!$E12*100</f>
        <v>102</v>
      </c>
      <c r="U9" s="18">
        <f>Assum!$B40*Assum!$E11*100+Assum!$B40*Assum!$E12*100</f>
        <v>102</v>
      </c>
      <c r="V9" s="18">
        <f>Assum!$B40*Assum!$E11*100+Assum!$B40*Assum!$E12*100</f>
        <v>102</v>
      </c>
      <c r="W9" s="18">
        <f>Assum!$B40*Assum!$E11*100+Assum!$B40*Assum!$E12*100</f>
        <v>102</v>
      </c>
      <c r="X9" s="18">
        <f>Assum!$B40*Assum!$E11*100+Assum!$B40*Assum!$E12*100</f>
        <v>102</v>
      </c>
      <c r="Y9" s="18">
        <f>Assum!$B40*Assum!$E11*100+Assum!$B40*Assum!$E12*100</f>
        <v>102</v>
      </c>
      <c r="Z9" s="18">
        <f>Assum!$B40*Assum!$E11*100+Assum!$B40*Assum!$E12*100</f>
        <v>102</v>
      </c>
      <c r="AA9" s="18">
        <f>Assum!$B40*Assum!$E11*100+Assum!$B40*Assum!$E12*100</f>
        <v>102</v>
      </c>
      <c r="AB9" s="18">
        <f>Assum!$B40*Assum!$E11*100+Assum!$B40*Assum!$E12*100</f>
        <v>102</v>
      </c>
      <c r="AC9" s="18">
        <f>Assum!$B40*Assum!$E11*0.75*100+Assum!$B40*Assum!$E12*100</f>
        <v>89.25</v>
      </c>
      <c r="AD9" s="18">
        <f>Assum!$B40*Assum!$E12*100</f>
        <v>51</v>
      </c>
      <c r="AE9" s="18">
        <f>Assum!$B40*Assum!$E12*100*(289/365)</f>
        <v>40.38082191780822</v>
      </c>
      <c r="AF9" s="18"/>
      <c r="AG9" s="18"/>
      <c r="AH9" s="18"/>
      <c r="AI9" s="18"/>
      <c r="AJ9" s="18"/>
      <c r="AK9" s="18"/>
      <c r="AL9" s="18"/>
      <c r="AM9" s="18"/>
    </row>
    <row r="10" spans="1:39">
      <c r="A10" s="1" t="s">
        <v>1131</v>
      </c>
      <c r="B10" s="1"/>
      <c r="C10" s="16"/>
      <c r="D10" s="17">
        <v>10.1637</v>
      </c>
      <c r="E10" s="17">
        <v>20.71</v>
      </c>
      <c r="F10" s="18"/>
      <c r="G10" s="18"/>
      <c r="H10" s="12">
        <v>19.989999999999998</v>
      </c>
      <c r="I10" s="12">
        <v>18.18</v>
      </c>
      <c r="J10" s="12">
        <v>17.010000000000002</v>
      </c>
      <c r="K10" s="12">
        <v>16.93</v>
      </c>
      <c r="L10" s="12">
        <v>12.56</v>
      </c>
      <c r="M10" s="12">
        <v>12.11</v>
      </c>
      <c r="N10" s="18">
        <f>M10*(1+Assum!$B41)</f>
        <v>12.7155</v>
      </c>
      <c r="O10" s="18">
        <f>N10*(1+Assum!$B41)</f>
        <v>13.351275000000001</v>
      </c>
      <c r="P10" s="18">
        <f>O10*(1+Assum!$B41)</f>
        <v>14.018838750000002</v>
      </c>
      <c r="Q10" s="18">
        <f>P10*(1+Assum!$B41)</f>
        <v>14.719780687500004</v>
      </c>
      <c r="R10" s="18">
        <f>Q10*(1+Assum!$B41)</f>
        <v>15.455769721875004</v>
      </c>
      <c r="S10" s="18">
        <f>R10*(1+Assum!$B41)</f>
        <v>16.228558207968756</v>
      </c>
      <c r="T10" s="18">
        <f>S10*(1+Assum!$B41)</f>
        <v>17.039986118367196</v>
      </c>
      <c r="U10" s="18">
        <f>T10*(1+Assum!$B41)</f>
        <v>17.891985424285558</v>
      </c>
      <c r="V10" s="18">
        <f>U10*(1+Assum!$B41)</f>
        <v>18.786584695499837</v>
      </c>
      <c r="W10" s="18">
        <f>V10*(1+Assum!$B41)</f>
        <v>19.725913930274828</v>
      </c>
      <c r="X10" s="18">
        <f>W10*(1+Assum!$B41)</f>
        <v>20.712209626788571</v>
      </c>
      <c r="Y10" s="18">
        <f>X10*(1+Assum!$B41)</f>
        <v>21.747820108128</v>
      </c>
      <c r="Z10" s="18">
        <f>Y10*(1+Assum!$B41)</f>
        <v>22.835211113534402</v>
      </c>
      <c r="AA10" s="18">
        <f>Z10*(1+Assum!$B41)</f>
        <v>23.976971669211125</v>
      </c>
      <c r="AB10" s="18">
        <f>AA10*(1+Assum!$B41)</f>
        <v>25.175820252671681</v>
      </c>
      <c r="AC10" s="18">
        <f>AB10*(1+Assum!$B41)</f>
        <v>26.434611265305264</v>
      </c>
      <c r="AD10" s="18">
        <f>AC10*(1+Assum!$B41)</f>
        <v>27.75634182857053</v>
      </c>
      <c r="AE10" s="18">
        <f>AD10*(1+Assum!$B41)</f>
        <v>29.144158919999057</v>
      </c>
      <c r="AF10" s="18"/>
      <c r="AG10" s="18"/>
      <c r="AH10" s="18"/>
      <c r="AI10" s="18"/>
      <c r="AJ10" s="18"/>
      <c r="AK10" s="18"/>
      <c r="AL10" s="18"/>
      <c r="AM10" s="18"/>
    </row>
    <row r="11" spans="1:39">
      <c r="A11" s="1" t="s">
        <v>1132</v>
      </c>
      <c r="B11" s="1"/>
      <c r="C11" s="16"/>
      <c r="D11" s="16">
        <v>3.4950000000000001</v>
      </c>
      <c r="E11" s="17">
        <v>3.0659999999999998</v>
      </c>
      <c r="F11" s="18"/>
      <c r="G11" s="18"/>
      <c r="H11" s="12">
        <f>0.31+2.82+5.49+0.33+1.05+1.09</f>
        <v>11.090000000000002</v>
      </c>
      <c r="I11" s="12">
        <f>0.94+2.71+4.86+0.32+0.93+0.85</f>
        <v>10.61</v>
      </c>
      <c r="J11" s="12">
        <f>1.66+2.83+1.43+0.21+0.87+1.56</f>
        <v>8.56</v>
      </c>
      <c r="K11" s="12">
        <f>0.2+1.16+1.4+0.13+9.1+0.53</f>
        <v>12.519999999999998</v>
      </c>
      <c r="L11" s="12">
        <f>0.2+1.17+0.84+0.07+5.58+0.48</f>
        <v>8.34</v>
      </c>
      <c r="M11" s="12">
        <f>3.33+1.36+0.63+1.09+6.9+1.87+0.14</f>
        <v>15.32</v>
      </c>
      <c r="N11" s="18">
        <f>M11*(1+Assum!$B42)</f>
        <v>15.549799999999999</v>
      </c>
      <c r="O11" s="18">
        <f>N11*(1+Assum!$B42)</f>
        <v>15.783046999999998</v>
      </c>
      <c r="P11" s="18">
        <f>O11*(1+Assum!$B42)</f>
        <v>16.019792704999997</v>
      </c>
      <c r="Q11" s="18">
        <f>P11*(1+Assum!$B42)</f>
        <v>16.260089595574996</v>
      </c>
      <c r="R11" s="18">
        <f>Q11*(1+Assum!$B42)</f>
        <v>16.503990939508618</v>
      </c>
      <c r="S11" s="18">
        <f>R11*(1+Assum!$B42)</f>
        <v>16.751550803601248</v>
      </c>
      <c r="T11" s="18">
        <f>S11*(1+Assum!$B42)</f>
        <v>17.002824065655265</v>
      </c>
      <c r="U11" s="18">
        <f>T11*(1+Assum!$B42)</f>
        <v>17.257866426640092</v>
      </c>
      <c r="V11" s="18">
        <f>U11*(1+Assum!$B42)</f>
        <v>17.516734423039694</v>
      </c>
      <c r="W11" s="18">
        <f>V11*(1+Assum!$B42)</f>
        <v>17.779485439385287</v>
      </c>
      <c r="X11" s="18">
        <f>W11*(1+Assum!$B42)</f>
        <v>18.046177720976065</v>
      </c>
      <c r="Y11" s="18">
        <f>X11*(1+Assum!$B42)</f>
        <v>18.316870386790704</v>
      </c>
      <c r="Z11" s="18">
        <f>Y11*(1+Assum!$B42)</f>
        <v>18.591623442592564</v>
      </c>
      <c r="AA11" s="18">
        <f>Z11*(1+Assum!$B42)</f>
        <v>18.870497794231451</v>
      </c>
      <c r="AB11" s="18">
        <f>AA11*(1+Assum!$B42)</f>
        <v>19.15355526114492</v>
      </c>
      <c r="AC11" s="18">
        <f>AB11*(1+Assum!$B42)</f>
        <v>19.440858590062092</v>
      </c>
      <c r="AD11" s="18">
        <f>AC11*(1+Assum!$B42)</f>
        <v>19.732471468913023</v>
      </c>
      <c r="AE11" s="18">
        <f>AD11*(1+Assum!$B42)</f>
        <v>20.028458540946716</v>
      </c>
      <c r="AF11" s="18"/>
      <c r="AG11" s="18"/>
      <c r="AH11" s="18"/>
      <c r="AI11" s="18"/>
      <c r="AJ11" s="18"/>
      <c r="AK11" s="18"/>
      <c r="AL11" s="18"/>
      <c r="AM11" s="18"/>
    </row>
    <row r="12" spans="1:39">
      <c r="A12" s="1" t="s">
        <v>1133</v>
      </c>
      <c r="B12" s="1"/>
      <c r="C12" s="16"/>
      <c r="D12" s="16">
        <v>5.64</v>
      </c>
      <c r="E12" s="17">
        <v>9.4</v>
      </c>
      <c r="F12" s="18"/>
      <c r="G12" s="18"/>
      <c r="H12" s="12">
        <v>12.82</v>
      </c>
      <c r="I12" s="12">
        <v>7.04</v>
      </c>
      <c r="J12" s="12">
        <v>7.28</v>
      </c>
      <c r="K12" s="12">
        <v>10.7</v>
      </c>
      <c r="L12" s="12">
        <v>8.4</v>
      </c>
      <c r="M12" s="12">
        <v>6.81</v>
      </c>
      <c r="N12" s="18">
        <f t="shared" ref="N12:AE12" si="1">M12</f>
        <v>6.81</v>
      </c>
      <c r="O12" s="18">
        <f t="shared" si="1"/>
        <v>6.81</v>
      </c>
      <c r="P12" s="18">
        <f t="shared" si="1"/>
        <v>6.81</v>
      </c>
      <c r="Q12" s="18">
        <f t="shared" si="1"/>
        <v>6.81</v>
      </c>
      <c r="R12" s="18">
        <f t="shared" si="1"/>
        <v>6.81</v>
      </c>
      <c r="S12" s="18">
        <f t="shared" si="1"/>
        <v>6.81</v>
      </c>
      <c r="T12" s="18">
        <f t="shared" si="1"/>
        <v>6.81</v>
      </c>
      <c r="U12" s="18">
        <f t="shared" si="1"/>
        <v>6.81</v>
      </c>
      <c r="V12" s="18">
        <f t="shared" si="1"/>
        <v>6.81</v>
      </c>
      <c r="W12" s="18">
        <f t="shared" si="1"/>
        <v>6.81</v>
      </c>
      <c r="X12" s="18">
        <f t="shared" si="1"/>
        <v>6.81</v>
      </c>
      <c r="Y12" s="18">
        <f t="shared" si="1"/>
        <v>6.81</v>
      </c>
      <c r="Z12" s="18">
        <f t="shared" si="1"/>
        <v>6.81</v>
      </c>
      <c r="AA12" s="18">
        <f t="shared" si="1"/>
        <v>6.81</v>
      </c>
      <c r="AB12" s="18">
        <f t="shared" si="1"/>
        <v>6.81</v>
      </c>
      <c r="AC12" s="18">
        <f t="shared" si="1"/>
        <v>6.81</v>
      </c>
      <c r="AD12" s="18">
        <f t="shared" si="1"/>
        <v>6.81</v>
      </c>
      <c r="AE12" s="18">
        <f t="shared" si="1"/>
        <v>6.81</v>
      </c>
      <c r="AF12" s="18"/>
      <c r="AG12" s="18"/>
      <c r="AH12" s="18"/>
      <c r="AI12" s="18"/>
      <c r="AJ12" s="18"/>
      <c r="AK12" s="18"/>
      <c r="AL12" s="18"/>
      <c r="AM12" s="18"/>
    </row>
    <row r="13" spans="1:39">
      <c r="A13" s="1" t="s">
        <v>1134</v>
      </c>
      <c r="B13" s="1"/>
      <c r="C13" s="16"/>
      <c r="D13" s="16">
        <v>13.72</v>
      </c>
      <c r="E13" s="17">
        <v>19.53</v>
      </c>
      <c r="F13" s="18"/>
      <c r="G13" s="18"/>
      <c r="H13" s="12">
        <v>16.059999999999999</v>
      </c>
      <c r="I13" s="12">
        <v>18.47</v>
      </c>
      <c r="J13" s="12">
        <v>10.63</v>
      </c>
      <c r="K13" s="12">
        <v>9.52</v>
      </c>
      <c r="L13" s="12">
        <v>16.309999999999999</v>
      </c>
      <c r="M13" s="12">
        <v>8.58</v>
      </c>
      <c r="N13" s="18">
        <f>M13*(1+Assum!$B45)</f>
        <v>9.2664000000000009</v>
      </c>
      <c r="O13" s="18">
        <f>N13*(1+Assum!$B45)</f>
        <v>10.007712000000001</v>
      </c>
      <c r="P13" s="18">
        <f>O13*(1+Assum!$B45)</f>
        <v>10.808328960000003</v>
      </c>
      <c r="Q13" s="18">
        <f>P13*(1+Assum!$B45)</f>
        <v>11.672995276800004</v>
      </c>
      <c r="R13" s="18">
        <f>Q13*(1+Assum!$B45)</f>
        <v>12.606834898944005</v>
      </c>
      <c r="S13" s="18">
        <f>R13*(1+Assum!$B45)</f>
        <v>13.615381690859525</v>
      </c>
      <c r="T13" s="18">
        <f>S13*(1+Assum!$B45)</f>
        <v>14.704612226128289</v>
      </c>
      <c r="U13" s="18">
        <f>T13*(1+Assum!$B45)</f>
        <v>15.880981204218553</v>
      </c>
      <c r="V13" s="18">
        <f>U13*(1+Assum!$B45)</f>
        <v>17.151459700556039</v>
      </c>
      <c r="W13" s="18">
        <f>V13*(1+Assum!$B45)</f>
        <v>18.523576476600525</v>
      </c>
      <c r="X13" s="18">
        <f>W13*(1+Assum!$B45)</f>
        <v>20.005462594728566</v>
      </c>
      <c r="Y13" s="18">
        <f>X13*(1+Assum!$B45)</f>
        <v>21.605899602306852</v>
      </c>
      <c r="Z13" s="18">
        <f>Y13*(1+Assum!$B45)</f>
        <v>23.334371570491403</v>
      </c>
      <c r="AA13" s="18">
        <f>Z13*(1+Assum!$B45)</f>
        <v>25.201121296130715</v>
      </c>
      <c r="AB13" s="18">
        <f>AA13*(1+Assum!$B45)</f>
        <v>27.217210999821173</v>
      </c>
      <c r="AC13" s="18">
        <f>AB13*(1+Assum!$B45)</f>
        <v>29.39458787980687</v>
      </c>
      <c r="AD13" s="18">
        <f>AC13*(1+Assum!$B45)*0.5</f>
        <v>15.873077455095711</v>
      </c>
      <c r="AE13" s="18">
        <f>AD13*(1+Assum!$B45)*(289/365)</f>
        <v>13.573438178861572</v>
      </c>
      <c r="AF13" s="18"/>
      <c r="AG13" s="18"/>
      <c r="AH13" s="18"/>
      <c r="AI13" s="18"/>
      <c r="AJ13" s="18"/>
      <c r="AK13" s="18"/>
      <c r="AL13" s="18"/>
      <c r="AM13" s="18"/>
    </row>
    <row r="14" spans="1:39">
      <c r="A14" s="1" t="s">
        <v>1135</v>
      </c>
      <c r="B14" s="1"/>
      <c r="C14" s="19"/>
      <c r="D14" s="19">
        <v>4.09</v>
      </c>
      <c r="E14" s="12">
        <v>3.68</v>
      </c>
      <c r="F14" s="15"/>
      <c r="G14" s="15"/>
      <c r="H14" s="12">
        <v>4.49</v>
      </c>
      <c r="I14" s="12">
        <v>10.97</v>
      </c>
      <c r="J14" s="12">
        <v>12.52</v>
      </c>
      <c r="K14" s="12">
        <v>9.6300000000000008</v>
      </c>
      <c r="L14" s="12">
        <v>5.55</v>
      </c>
      <c r="M14" s="12">
        <v>5.24</v>
      </c>
      <c r="N14" s="15">
        <f t="shared" ref="N14:AE14" si="2">M14</f>
        <v>5.24</v>
      </c>
      <c r="O14" s="15">
        <f t="shared" si="2"/>
        <v>5.24</v>
      </c>
      <c r="P14" s="15">
        <f t="shared" si="2"/>
        <v>5.24</v>
      </c>
      <c r="Q14" s="15">
        <f t="shared" si="2"/>
        <v>5.24</v>
      </c>
      <c r="R14" s="15">
        <f t="shared" si="2"/>
        <v>5.24</v>
      </c>
      <c r="S14" s="15">
        <f t="shared" si="2"/>
        <v>5.24</v>
      </c>
      <c r="T14" s="15">
        <f t="shared" si="2"/>
        <v>5.24</v>
      </c>
      <c r="U14" s="15">
        <f t="shared" si="2"/>
        <v>5.24</v>
      </c>
      <c r="V14" s="15">
        <f t="shared" si="2"/>
        <v>5.24</v>
      </c>
      <c r="W14" s="15">
        <f t="shared" si="2"/>
        <v>5.24</v>
      </c>
      <c r="X14" s="15">
        <f t="shared" si="2"/>
        <v>5.24</v>
      </c>
      <c r="Y14" s="15">
        <f t="shared" si="2"/>
        <v>5.24</v>
      </c>
      <c r="Z14" s="15">
        <f t="shared" si="2"/>
        <v>5.24</v>
      </c>
      <c r="AA14" s="15">
        <f t="shared" si="2"/>
        <v>5.24</v>
      </c>
      <c r="AB14" s="15">
        <f t="shared" si="2"/>
        <v>5.24</v>
      </c>
      <c r="AC14" s="15">
        <f t="shared" si="2"/>
        <v>5.24</v>
      </c>
      <c r="AD14" s="15">
        <f t="shared" si="2"/>
        <v>5.24</v>
      </c>
      <c r="AE14" s="15">
        <f t="shared" si="2"/>
        <v>5.24</v>
      </c>
      <c r="AF14" s="15"/>
      <c r="AG14" s="15"/>
      <c r="AH14" s="15"/>
      <c r="AI14" s="15"/>
      <c r="AJ14" s="15"/>
      <c r="AK14" s="15"/>
      <c r="AL14" s="15"/>
      <c r="AM14" s="15"/>
    </row>
    <row r="15" spans="1:39">
      <c r="A15" s="1" t="s">
        <v>1136</v>
      </c>
      <c r="B15" t="s">
        <v>1137</v>
      </c>
      <c r="C15" s="19"/>
      <c r="D15" s="19">
        <v>1.19</v>
      </c>
      <c r="E15" s="12">
        <v>2.88</v>
      </c>
      <c r="F15" s="15"/>
      <c r="G15" s="15"/>
      <c r="H15" s="12">
        <v>1.19</v>
      </c>
      <c r="I15" s="12">
        <v>0.73</v>
      </c>
      <c r="J15" s="12">
        <v>0.74</v>
      </c>
      <c r="K15" s="12">
        <v>0.68</v>
      </c>
      <c r="L15" s="12">
        <v>0.7</v>
      </c>
      <c r="M15" s="12">
        <v>0.52</v>
      </c>
      <c r="N15" s="33">
        <f>M15*(1+Assum!$B50)</f>
        <v>0.54600000000000004</v>
      </c>
      <c r="O15" s="33">
        <f>N15*(1+Assum!$B50)</f>
        <v>0.57330000000000003</v>
      </c>
      <c r="P15" s="33">
        <f>O15*(1+Assum!$B50)</f>
        <v>0.60196500000000008</v>
      </c>
      <c r="Q15" s="33">
        <f>P15*(1+Assum!$B50)</f>
        <v>0.63206325000000008</v>
      </c>
      <c r="R15" s="33">
        <f>Q15*(1+Assum!$B50)</f>
        <v>0.66366641250000014</v>
      </c>
      <c r="S15" s="33">
        <f>R15*(1+Assum!$B50)</f>
        <v>0.6968497331250002</v>
      </c>
      <c r="T15" s="33">
        <f>S15*(1+Assum!$B50)</f>
        <v>0.73169221978125021</v>
      </c>
      <c r="U15" s="33">
        <f>T15*(1+Assum!$B50)</f>
        <v>0.76827683077031272</v>
      </c>
      <c r="V15" s="33">
        <f>U15*(1+Assum!$B50)</f>
        <v>0.8066906723088284</v>
      </c>
      <c r="W15" s="33">
        <f>V15*(1+Assum!$B50)</f>
        <v>0.84702520592426989</v>
      </c>
      <c r="X15" s="33">
        <f>W15*(1+Assum!$B50)</f>
        <v>0.88937646622048339</v>
      </c>
      <c r="Y15" s="33">
        <f>X15*(1+Assum!$B50)</f>
        <v>0.93384528953150758</v>
      </c>
      <c r="Z15" s="33">
        <f>Y15*(1+Assum!$B50)</f>
        <v>0.98053755400808296</v>
      </c>
      <c r="AA15" s="33">
        <f>Z15*(1+Assum!$B50)</f>
        <v>1.0295644317084871</v>
      </c>
      <c r="AB15" s="33">
        <f>AA15*(1+Assum!$B50)</f>
        <v>1.0810426532939115</v>
      </c>
      <c r="AC15" s="33">
        <f>AB15*(1+Assum!$B50)</f>
        <v>1.1350947859586071</v>
      </c>
      <c r="AD15" s="33">
        <f>AC15*(1+Assum!$B50)</f>
        <v>1.1918495252565375</v>
      </c>
      <c r="AE15" s="33">
        <f>AD15*(1+Assum!$B50)</f>
        <v>1.2514420015193644</v>
      </c>
      <c r="AF15" s="15"/>
      <c r="AG15" s="15"/>
      <c r="AH15" s="15"/>
      <c r="AI15" s="15"/>
      <c r="AJ15" s="15"/>
      <c r="AK15" s="15"/>
      <c r="AL15" s="15"/>
      <c r="AM15" s="15"/>
    </row>
    <row r="16" spans="1:39">
      <c r="A16" s="1" t="s">
        <v>1138</v>
      </c>
      <c r="B16" s="1"/>
      <c r="C16" s="19"/>
      <c r="D16" s="19">
        <v>19.14</v>
      </c>
      <c r="E16" s="12">
        <f>28.78+24.13</f>
        <v>52.91</v>
      </c>
      <c r="F16" s="15"/>
      <c r="G16" s="15"/>
      <c r="H16" s="12">
        <f>0.88+0.95+0.38+0.19+0.38+0.39+0.15+0.13+0.07+0.35</f>
        <v>3.8699999999999997</v>
      </c>
      <c r="I16" s="12">
        <f>0.71+0.14+0.47+0.2+0.28+0.52+0.07+0.13+0.05+18.25+0.41</f>
        <v>21.23</v>
      </c>
      <c r="J16" s="12">
        <f>1.13+0.18+0.39+0.37+0.2+0.32+0.07+0.13+0.11+0.08+27.59+0.41</f>
        <v>30.98</v>
      </c>
      <c r="K16" s="12">
        <f>1.94+0.12+0.31+0.5+0.47+0.16+0.08+0.13+14.59+0.51+0.23+0.09</f>
        <v>19.130000000000003</v>
      </c>
      <c r="L16" s="12">
        <f>1.75+0.14+0.36+0.36+0.35+0.12+0.06+0.13+0.31+0.12+0.18+11.5+0.27</f>
        <v>15.65</v>
      </c>
      <c r="M16" s="12">
        <f>2.16+0.12+0.25+0.07+0.57+0.04+0.13+0.07+43.39+27.32+0.22</f>
        <v>74.34</v>
      </c>
      <c r="N16" s="15">
        <f>Assum!$B51</f>
        <v>36.5</v>
      </c>
      <c r="O16" s="15">
        <f>Assum!$B51</f>
        <v>36.5</v>
      </c>
      <c r="P16" s="15">
        <f>Assum!$B51</f>
        <v>36.5</v>
      </c>
      <c r="Q16" s="15">
        <f>Assum!$B51</f>
        <v>36.5</v>
      </c>
      <c r="R16" s="15">
        <f>Assum!$B51</f>
        <v>36.5</v>
      </c>
      <c r="S16" s="15">
        <f>Assum!$B51</f>
        <v>36.5</v>
      </c>
      <c r="T16" s="15">
        <f>Assum!$B51</f>
        <v>36.5</v>
      </c>
      <c r="U16" s="15">
        <f>Assum!$B51</f>
        <v>36.5</v>
      </c>
      <c r="V16" s="15">
        <f>Assum!$B51</f>
        <v>36.5</v>
      </c>
      <c r="W16" s="15">
        <f>Assum!$B51</f>
        <v>36.5</v>
      </c>
      <c r="X16" s="15">
        <f>Assum!$B51</f>
        <v>36.5</v>
      </c>
      <c r="Y16" s="15">
        <f>Assum!$B51</f>
        <v>36.5</v>
      </c>
      <c r="Z16" s="15">
        <f>Assum!$B51</f>
        <v>36.5</v>
      </c>
      <c r="AA16" s="15">
        <f>Assum!$B51</f>
        <v>36.5</v>
      </c>
      <c r="AB16" s="15">
        <f>Assum!$B51</f>
        <v>36.5</v>
      </c>
      <c r="AC16" s="15">
        <f>Assum!$B51</f>
        <v>36.5</v>
      </c>
      <c r="AD16" s="15">
        <f>Assum!$B51</f>
        <v>36.5</v>
      </c>
      <c r="AE16" s="15">
        <f>Assum!$B51</f>
        <v>36.5</v>
      </c>
      <c r="AF16" s="15"/>
      <c r="AG16" s="15"/>
      <c r="AH16" s="15"/>
      <c r="AI16" s="15"/>
      <c r="AJ16" s="15"/>
      <c r="AK16" s="15"/>
      <c r="AL16" s="15"/>
      <c r="AM16" s="15"/>
    </row>
    <row r="17" spans="1:39">
      <c r="A17" s="1" t="s">
        <v>1139</v>
      </c>
      <c r="B17" s="1"/>
      <c r="C17" s="13">
        <f>SUM(C5:C13)</f>
        <v>274.82637290000002</v>
      </c>
      <c r="D17" s="20">
        <f t="shared" ref="D17:AE17" si="3">SUM(D5:D16)</f>
        <v>794.57250150000004</v>
      </c>
      <c r="E17" s="13">
        <f t="shared" si="3"/>
        <v>1154.9260000000004</v>
      </c>
      <c r="F17" s="13">
        <f t="shared" si="3"/>
        <v>1024.6674511335145</v>
      </c>
      <c r="G17" s="13">
        <f t="shared" si="3"/>
        <v>1099.0271133066244</v>
      </c>
      <c r="H17" s="13">
        <f t="shared" si="3"/>
        <v>1395.8999999999999</v>
      </c>
      <c r="I17" s="13">
        <f t="shared" si="3"/>
        <v>1285.4600000000003</v>
      </c>
      <c r="J17" s="13">
        <f t="shared" si="3"/>
        <v>1349.76</v>
      </c>
      <c r="K17" s="13">
        <f t="shared" si="3"/>
        <v>1042.8599999999999</v>
      </c>
      <c r="L17" s="13">
        <f t="shared" si="3"/>
        <v>831.8499999999998</v>
      </c>
      <c r="M17" s="13">
        <f t="shared" si="3"/>
        <v>1926.0899999999995</v>
      </c>
      <c r="N17" s="13">
        <f t="shared" si="3"/>
        <v>4157.6547619004195</v>
      </c>
      <c r="O17" s="13">
        <f t="shared" si="3"/>
        <v>4230.7557175410602</v>
      </c>
      <c r="P17" s="13">
        <f t="shared" si="3"/>
        <v>4316.2231140451049</v>
      </c>
      <c r="Q17" s="13">
        <f t="shared" si="3"/>
        <v>4589.108891066312</v>
      </c>
      <c r="R17" s="13">
        <f t="shared" si="3"/>
        <v>4694.1907144043935</v>
      </c>
      <c r="S17" s="13">
        <f t="shared" si="3"/>
        <v>4970.8333270200374</v>
      </c>
      <c r="T17" s="13">
        <f t="shared" si="3"/>
        <v>5072.3707301355871</v>
      </c>
      <c r="U17" s="13">
        <f t="shared" si="3"/>
        <v>5377.3731581096608</v>
      </c>
      <c r="V17" s="13">
        <f t="shared" si="3"/>
        <v>5501.7804263883463</v>
      </c>
      <c r="W17" s="13">
        <f t="shared" si="3"/>
        <v>5810.2653854290311</v>
      </c>
      <c r="X17" s="13">
        <f t="shared" si="3"/>
        <v>5930.2085649008914</v>
      </c>
      <c r="Y17" s="13">
        <f t="shared" si="3"/>
        <v>6271.1466723190115</v>
      </c>
      <c r="Z17" s="13">
        <f t="shared" si="3"/>
        <v>6417.6605376196294</v>
      </c>
      <c r="AA17" s="13">
        <f t="shared" si="3"/>
        <v>6673.2360122741902</v>
      </c>
      <c r="AB17" s="13">
        <f t="shared" si="3"/>
        <v>6906.8657994091627</v>
      </c>
      <c r="AC17" s="13">
        <f t="shared" si="3"/>
        <v>7038.5504819702492</v>
      </c>
      <c r="AD17" s="13">
        <f t="shared" si="3"/>
        <v>6175.8963195255546</v>
      </c>
      <c r="AE17" s="13">
        <f t="shared" si="3"/>
        <v>2890.5612055095398</v>
      </c>
      <c r="AF17" s="13"/>
      <c r="AG17" s="13"/>
      <c r="AH17" s="13"/>
      <c r="AI17" s="13"/>
      <c r="AJ17" s="13"/>
      <c r="AK17" s="13"/>
      <c r="AL17" s="13"/>
      <c r="AM17" s="13"/>
    </row>
    <row r="18" spans="1:39">
      <c r="A18" s="1" t="s">
        <v>1140</v>
      </c>
      <c r="B18" s="1"/>
      <c r="C18" s="13">
        <f t="shared" ref="C18:AE18" si="4">C3+C4-C17</f>
        <v>178.53802779999995</v>
      </c>
      <c r="D18" s="13">
        <f t="shared" si="4"/>
        <v>822.04749850000007</v>
      </c>
      <c r="E18" s="13">
        <f t="shared" si="4"/>
        <v>683.35399999999959</v>
      </c>
      <c r="F18" s="13" t="e">
        <f t="shared" si="4"/>
        <v>#REF!</v>
      </c>
      <c r="G18" s="13" t="e">
        <f t="shared" si="4"/>
        <v>#REF!</v>
      </c>
      <c r="H18" s="13">
        <f t="shared" si="4"/>
        <v>519.82000000000016</v>
      </c>
      <c r="I18" s="13">
        <f t="shared" si="4"/>
        <v>293.06999999999971</v>
      </c>
      <c r="J18" s="13">
        <f t="shared" si="4"/>
        <v>224.20000000000005</v>
      </c>
      <c r="K18" s="13">
        <f t="shared" si="4"/>
        <v>896.08000000000015</v>
      </c>
      <c r="L18" s="13">
        <f t="shared" si="4"/>
        <v>122.76000000000022</v>
      </c>
      <c r="M18" s="13">
        <f t="shared" si="4"/>
        <v>-21.259999999999536</v>
      </c>
      <c r="N18" s="13">
        <f t="shared" si="4"/>
        <v>-1002.2541599804199</v>
      </c>
      <c r="O18" s="13">
        <f t="shared" si="4"/>
        <v>-1083.9764287410603</v>
      </c>
      <c r="P18" s="13">
        <f t="shared" si="4"/>
        <v>-1169.443825245105</v>
      </c>
      <c r="Q18" s="13">
        <f t="shared" si="4"/>
        <v>-1209.1619027183124</v>
      </c>
      <c r="R18" s="13">
        <f t="shared" si="4"/>
        <v>-1304.9835973211939</v>
      </c>
      <c r="S18" s="13">
        <f t="shared" si="4"/>
        <v>-1369.5893939640373</v>
      </c>
      <c r="T18" s="13">
        <f t="shared" si="4"/>
        <v>-1371.758286506787</v>
      </c>
      <c r="U18" s="13">
        <f t="shared" si="4"/>
        <v>-1525.0926086174609</v>
      </c>
      <c r="V18" s="13">
        <f t="shared" si="4"/>
        <v>-1638.9456836098661</v>
      </c>
      <c r="W18" s="13">
        <f t="shared" si="4"/>
        <v>-1695.4587354656505</v>
      </c>
      <c r="X18" s="13">
        <f t="shared" si="4"/>
        <v>-1726.0624767775098</v>
      </c>
      <c r="Y18" s="13">
        <f t="shared" si="4"/>
        <v>-1907.7490730390609</v>
      </c>
      <c r="Z18" s="13">
        <f t="shared" si="4"/>
        <v>-1922.1556881505203</v>
      </c>
      <c r="AA18" s="13">
        <f t="shared" si="4"/>
        <v>-2099.2335661002417</v>
      </c>
      <c r="AB18" s="13">
        <f t="shared" si="4"/>
        <v>-2272.3430886752139</v>
      </c>
      <c r="AC18" s="13">
        <f t="shared" si="4"/>
        <v>-2172.3016356996031</v>
      </c>
      <c r="AD18" s="13">
        <f t="shared" si="4"/>
        <v>-1905.6631538349902</v>
      </c>
      <c r="AE18" s="13">
        <f t="shared" si="4"/>
        <v>-813.05145619662153</v>
      </c>
      <c r="AF18" s="13"/>
      <c r="AG18" s="13"/>
      <c r="AH18" s="13"/>
      <c r="AI18" s="13"/>
      <c r="AJ18" s="13"/>
      <c r="AK18" s="13"/>
      <c r="AL18" s="13"/>
      <c r="AM18" s="13"/>
    </row>
    <row r="19" spans="1:39">
      <c r="A19" s="21" t="s">
        <v>93</v>
      </c>
      <c r="B19" s="14"/>
      <c r="C19" s="22">
        <f>326015562/Cr</f>
        <v>32.601556199999997</v>
      </c>
      <c r="D19" s="22">
        <v>120.49</v>
      </c>
      <c r="E19" s="23">
        <v>196.54</v>
      </c>
      <c r="F19" s="24">
        <f>Dep!D6*0+Dep!D12*1</f>
        <v>264.7038633935536</v>
      </c>
      <c r="G19" s="24">
        <f>Dep!E6*0+Dep!E12*1</f>
        <v>269.39651443024161</v>
      </c>
      <c r="H19" s="12">
        <v>200.35</v>
      </c>
      <c r="I19" s="12">
        <v>201.57</v>
      </c>
      <c r="J19" s="12">
        <v>200.79</v>
      </c>
      <c r="K19" s="12">
        <v>200.3</v>
      </c>
      <c r="L19" s="12">
        <v>199.75</v>
      </c>
      <c r="M19" s="12">
        <v>201.49</v>
      </c>
      <c r="N19" s="24">
        <f>Dep!L6*1+Dep!L12*0</f>
        <v>293.76993008219182</v>
      </c>
      <c r="O19" s="24">
        <f>Dep!M6*1+Dep!M12*0</f>
        <v>292.96728000000002</v>
      </c>
      <c r="P19" s="24">
        <f>Dep!N6*1+Dep!N12*0</f>
        <v>292.96728000000002</v>
      </c>
      <c r="Q19" s="24">
        <f>Dep!O6*1+Dep!O12*0</f>
        <v>292.96728000000002</v>
      </c>
      <c r="R19" s="24">
        <f>Dep!P6*1+Dep!P12*0</f>
        <v>293.76993008219182</v>
      </c>
      <c r="S19" s="24">
        <f>Dep!Q6*1+Dep!Q12*0</f>
        <v>292.96728000000002</v>
      </c>
      <c r="T19" s="24">
        <f>Dep!R6*1+Dep!R12*0</f>
        <v>292.96728000000002</v>
      </c>
      <c r="U19" s="24">
        <f>Dep!S6*1+Dep!S12*0</f>
        <v>292.96728000000002</v>
      </c>
      <c r="V19" s="24">
        <f>Dep!T6*1+Dep!T12*0</f>
        <v>293.76993008219182</v>
      </c>
      <c r="W19" s="24">
        <f>Dep!U6*1+Dep!U12*0</f>
        <v>292.96728000000002</v>
      </c>
      <c r="X19" s="24">
        <f>Dep!V6*1+Dep!V12*0</f>
        <v>292.96728000000002</v>
      </c>
      <c r="Y19" s="24">
        <f>Dep!W6*1+Dep!W12*0</f>
        <v>292.96728000000002</v>
      </c>
      <c r="Z19" s="24">
        <f>Dep!X6*1+Dep!X12*0</f>
        <v>293.76993008219182</v>
      </c>
      <c r="AA19" s="24">
        <f>Dep!Y6*1+Dep!Y12*0</f>
        <v>292.96728000000002</v>
      </c>
      <c r="AB19" s="24">
        <f>Dep!Z6*1+Dep!Z12*0</f>
        <v>292.96728000000002</v>
      </c>
      <c r="AC19" s="24">
        <f>Dep!AA6*1+Dep!AA12*0</f>
        <v>292.96728000000002</v>
      </c>
      <c r="AD19" s="24">
        <f>Dep!AB6*1+Dep!AB12*0</f>
        <v>293.76993008219182</v>
      </c>
      <c r="AE19" s="24">
        <f>Dep!AC6*1+Dep!AC12*0</f>
        <v>292.96728000000002</v>
      </c>
      <c r="AF19" s="15"/>
      <c r="AG19" s="13"/>
      <c r="AH19" s="13"/>
      <c r="AI19" s="13"/>
      <c r="AJ19" s="13"/>
      <c r="AK19" s="13"/>
      <c r="AL19" s="13"/>
      <c r="AM19" s="13"/>
    </row>
    <row r="20" spans="1:39">
      <c r="A20" s="25" t="s">
        <v>261</v>
      </c>
      <c r="B20" t="s">
        <v>1141</v>
      </c>
      <c r="C20" s="16">
        <f>1025554214/Cr</f>
        <v>102.5554214</v>
      </c>
      <c r="D20" s="16">
        <v>479.98</v>
      </c>
      <c r="E20" s="12">
        <v>920.92</v>
      </c>
      <c r="F20" s="13">
        <f>Debt!D37</f>
        <v>0</v>
      </c>
      <c r="G20" s="13">
        <f>Debt!D37</f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</row>
    <row r="21" spans="1:39" ht="13.95" customHeight="1">
      <c r="A21" t="s">
        <v>1142</v>
      </c>
      <c r="C21" s="13"/>
      <c r="D21" s="13"/>
      <c r="E21" s="13"/>
      <c r="F21" s="13">
        <f>WC!D12</f>
        <v>0</v>
      </c>
      <c r="G21" s="13">
        <f>WC!E12</f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f>WC!L12</f>
        <v>110.42819158495566</v>
      </c>
      <c r="O21" s="13">
        <f>WC!M12</f>
        <v>115.17087754822269</v>
      </c>
      <c r="P21" s="13">
        <f>WC!N12</f>
        <v>115.15997343255441</v>
      </c>
      <c r="Q21" s="13">
        <f>WC!O12</f>
        <v>123.19532385684194</v>
      </c>
      <c r="R21" s="13">
        <f>WC!P12</f>
        <v>123.95160736463066</v>
      </c>
      <c r="S21" s="13">
        <f>WC!Q12</f>
        <v>131.25486651258413</v>
      </c>
      <c r="T21" s="13">
        <f>WC!R12</f>
        <v>135.31541183137807</v>
      </c>
      <c r="U21" s="13">
        <f>WC!S12</f>
        <v>140.33666425693445</v>
      </c>
      <c r="V21" s="13">
        <f>WC!T12</f>
        <v>141.16875717615278</v>
      </c>
      <c r="W21" s="13">
        <f>WC!U12</f>
        <v>149.89341136898696</v>
      </c>
      <c r="X21" s="13">
        <f>WC!V12</f>
        <v>153.61827402501825</v>
      </c>
      <c r="Y21" s="13">
        <f>WC!W12</f>
        <v>158.86821428332465</v>
      </c>
      <c r="Z21" s="13">
        <f>WC!X12</f>
        <v>164.16165272471022</v>
      </c>
      <c r="AA21" s="13">
        <f>WC!Y12</f>
        <v>166.75239288986958</v>
      </c>
      <c r="AB21" s="13">
        <f>WC!Z12</f>
        <v>169.00598683079815</v>
      </c>
      <c r="AC21" s="13">
        <f>WC!AA12</f>
        <v>177.67894276513275</v>
      </c>
      <c r="AD21" s="13">
        <f>WC!AB12</f>
        <v>158.34351006049096</v>
      </c>
      <c r="AE21" s="13">
        <f>WC!AC12</f>
        <v>83.896975771249842</v>
      </c>
      <c r="AF21" s="13"/>
      <c r="AG21" s="13"/>
      <c r="AH21" s="13"/>
      <c r="AI21" s="13"/>
      <c r="AJ21" s="13"/>
      <c r="AK21" s="13"/>
      <c r="AL21" s="13"/>
      <c r="AM21" s="13"/>
    </row>
    <row r="22" spans="1:39" ht="13.95" customHeight="1">
      <c r="A22" s="1" t="s">
        <v>1241</v>
      </c>
      <c r="C22" s="13"/>
      <c r="D22" s="13"/>
      <c r="E22" s="13"/>
      <c r="F22" s="13"/>
      <c r="G22" s="13"/>
      <c r="H22" s="13">
        <f t="shared" ref="H22:M22" si="5">H18-H19</f>
        <v>319.47000000000014</v>
      </c>
      <c r="I22" s="13">
        <f t="shared" si="5"/>
        <v>91.499999999999716</v>
      </c>
      <c r="J22" s="13">
        <f t="shared" si="5"/>
        <v>23.410000000000053</v>
      </c>
      <c r="K22" s="13">
        <f t="shared" si="5"/>
        <v>695.7800000000002</v>
      </c>
      <c r="L22" s="13">
        <f t="shared" si="5"/>
        <v>-76.989999999999782</v>
      </c>
      <c r="M22" s="13">
        <f t="shared" si="5"/>
        <v>-222.74999999999955</v>
      </c>
      <c r="N22" s="13">
        <f t="shared" ref="N22:AE22" si="6">N18-N19</f>
        <v>-1296.0240900626118</v>
      </c>
      <c r="O22" s="13">
        <f t="shared" si="6"/>
        <v>-1376.9437087410604</v>
      </c>
      <c r="P22" s="13">
        <f t="shared" si="6"/>
        <v>-1462.4111052451051</v>
      </c>
      <c r="Q22" s="13">
        <f t="shared" si="6"/>
        <v>-1502.1291827183124</v>
      </c>
      <c r="R22" s="13">
        <f t="shared" si="6"/>
        <v>-1598.7535274033858</v>
      </c>
      <c r="S22" s="13">
        <f t="shared" si="6"/>
        <v>-1662.5566739640374</v>
      </c>
      <c r="T22" s="13">
        <f t="shared" si="6"/>
        <v>-1664.7255665067871</v>
      </c>
      <c r="U22" s="13">
        <f t="shared" si="6"/>
        <v>-1818.059888617461</v>
      </c>
      <c r="V22" s="13">
        <f t="shared" si="6"/>
        <v>-1932.715613692058</v>
      </c>
      <c r="W22" s="13">
        <f t="shared" si="6"/>
        <v>-1988.4260154656506</v>
      </c>
      <c r="X22" s="13">
        <f t="shared" si="6"/>
        <v>-2019.0297567775099</v>
      </c>
      <c r="Y22" s="13">
        <f t="shared" si="6"/>
        <v>-2200.7163530390608</v>
      </c>
      <c r="Z22" s="13">
        <f t="shared" si="6"/>
        <v>-2215.9256182327122</v>
      </c>
      <c r="AA22" s="13">
        <f t="shared" si="6"/>
        <v>-2392.2008461002415</v>
      </c>
      <c r="AB22" s="13">
        <f t="shared" si="6"/>
        <v>-2565.3103686752138</v>
      </c>
      <c r="AC22" s="13">
        <f t="shared" si="6"/>
        <v>-2465.268915699603</v>
      </c>
      <c r="AD22" s="13">
        <f t="shared" si="6"/>
        <v>-2199.4330839171821</v>
      </c>
      <c r="AE22" s="13">
        <f t="shared" si="6"/>
        <v>-1106.0187361966216</v>
      </c>
      <c r="AF22" s="13"/>
      <c r="AG22" s="13"/>
      <c r="AH22" s="13"/>
      <c r="AI22" s="13"/>
      <c r="AJ22" s="13"/>
      <c r="AK22" s="13"/>
      <c r="AL22" s="13"/>
      <c r="AM22" s="13"/>
    </row>
    <row r="23" spans="1:39" ht="13.95" customHeight="1">
      <c r="A23" t="s">
        <v>1143</v>
      </c>
      <c r="C23" s="13"/>
      <c r="D23" s="13"/>
      <c r="E23" s="13"/>
      <c r="F23" s="13">
        <f>WC!D15</f>
        <v>0</v>
      </c>
      <c r="G23" s="13">
        <f>WC!E15</f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f>WC!L15</f>
        <v>0</v>
      </c>
      <c r="O23" s="13">
        <f>WC!M15</f>
        <v>0</v>
      </c>
      <c r="P23" s="13">
        <f>WC!N15</f>
        <v>0</v>
      </c>
      <c r="Q23" s="13">
        <f>WC!O15</f>
        <v>0</v>
      </c>
      <c r="R23" s="13">
        <f>WC!P15</f>
        <v>0</v>
      </c>
      <c r="S23" s="13">
        <f>WC!Q15</f>
        <v>0</v>
      </c>
      <c r="T23" s="13">
        <f>WC!R15</f>
        <v>0</v>
      </c>
      <c r="U23" s="13">
        <f>WC!S15</f>
        <v>0</v>
      </c>
      <c r="V23" s="13">
        <f>WC!T15</f>
        <v>0</v>
      </c>
      <c r="W23" s="13">
        <f>WC!U15</f>
        <v>0</v>
      </c>
      <c r="X23" s="13">
        <f>WC!V15</f>
        <v>0</v>
      </c>
      <c r="Y23" s="13">
        <f>WC!W15</f>
        <v>0</v>
      </c>
      <c r="Z23" s="13">
        <f>WC!X15</f>
        <v>0</v>
      </c>
      <c r="AA23" s="13">
        <f>WC!Y15</f>
        <v>0</v>
      </c>
      <c r="AB23" s="13">
        <f>WC!Z15</f>
        <v>0</v>
      </c>
      <c r="AC23" s="13">
        <f>WC!AA15</f>
        <v>0</v>
      </c>
      <c r="AD23" s="13">
        <f>WC!AB15</f>
        <v>0</v>
      </c>
      <c r="AE23" s="13">
        <f>WC!AC15</f>
        <v>0</v>
      </c>
      <c r="AF23" s="13"/>
      <c r="AG23" s="13"/>
      <c r="AH23" s="13"/>
      <c r="AI23" s="13"/>
      <c r="AJ23" s="13"/>
      <c r="AK23" s="13"/>
      <c r="AL23" s="13"/>
      <c r="AM23" s="13"/>
    </row>
    <row r="24" spans="1:39" ht="13.95" customHeight="1">
      <c r="A24" t="s">
        <v>1303</v>
      </c>
      <c r="C24" s="13"/>
      <c r="D24" s="13"/>
      <c r="E24" s="13"/>
      <c r="F24" s="13"/>
      <c r="G24" s="13">
        <f>Debt!D114</f>
        <v>0</v>
      </c>
      <c r="H24" s="12">
        <v>974.67</v>
      </c>
      <c r="I24" s="12">
        <v>1080.08</v>
      </c>
      <c r="J24" s="12">
        <v>310.31</v>
      </c>
      <c r="K24" s="12">
        <v>4.3</v>
      </c>
      <c r="L24" s="12">
        <v>2.2200000000000002</v>
      </c>
      <c r="M24" s="12">
        <v>1.59</v>
      </c>
      <c r="N24" s="13">
        <f>Debt!J114</f>
        <v>0</v>
      </c>
      <c r="O24" s="13">
        <f>Debt!K114</f>
        <v>0</v>
      </c>
      <c r="P24" s="13">
        <f>Debt!L114</f>
        <v>0</v>
      </c>
      <c r="Q24" s="13">
        <f>Debt!M114</f>
        <v>0</v>
      </c>
      <c r="R24" s="13">
        <f>Debt!N114</f>
        <v>0</v>
      </c>
      <c r="S24" s="13">
        <f>Debt!O114</f>
        <v>0</v>
      </c>
      <c r="T24" s="13">
        <f>Debt!P114</f>
        <v>0</v>
      </c>
      <c r="U24" s="13">
        <f>Debt!Q114</f>
        <v>0</v>
      </c>
      <c r="V24" s="13">
        <f>Debt!R114</f>
        <v>0</v>
      </c>
      <c r="W24" s="13">
        <f>Debt!S114</f>
        <v>0</v>
      </c>
      <c r="X24" s="13">
        <f>Debt!T114</f>
        <v>0</v>
      </c>
      <c r="Y24" s="13">
        <f>Debt!U114</f>
        <v>0</v>
      </c>
      <c r="Z24" s="13">
        <f>Debt!V114</f>
        <v>0</v>
      </c>
      <c r="AA24" s="13">
        <f>Debt!W114</f>
        <v>0</v>
      </c>
      <c r="AB24" s="13">
        <f>Debt!X114</f>
        <v>0</v>
      </c>
      <c r="AC24" s="13">
        <f>Debt!Y114</f>
        <v>0</v>
      </c>
      <c r="AD24" s="13">
        <f>Debt!Z114</f>
        <v>0</v>
      </c>
      <c r="AE24" s="13">
        <f>Debt!AA114</f>
        <v>0</v>
      </c>
      <c r="AF24" s="13"/>
      <c r="AG24" s="13"/>
      <c r="AH24" s="13"/>
      <c r="AI24" s="13"/>
      <c r="AJ24" s="13"/>
      <c r="AK24" s="13"/>
      <c r="AL24" s="13"/>
      <c r="AM24" s="13"/>
    </row>
    <row r="25" spans="1:39">
      <c r="A25" t="s">
        <v>1144</v>
      </c>
      <c r="C25" s="13">
        <f>C18+C4-SUM(C19:C23)</f>
        <v>43.431377699999956</v>
      </c>
      <c r="D25" s="13">
        <f>D3+D4-D17-D19-D20</f>
        <v>221.57749850000005</v>
      </c>
      <c r="E25" s="13">
        <f>E3+E4-E17-E19-E20</f>
        <v>-434.10600000000034</v>
      </c>
      <c r="F25" s="13" t="e">
        <f>F3+F4-F17-F19-F20</f>
        <v>#REF!</v>
      </c>
      <c r="G25" s="13" t="e">
        <f>G3+G4-G17-G19-G20</f>
        <v>#REF!</v>
      </c>
      <c r="H25" s="13">
        <f t="shared" ref="H25:M25" si="7">H22-H24</f>
        <v>-655.19999999999982</v>
      </c>
      <c r="I25" s="13">
        <f t="shared" si="7"/>
        <v>-988.58000000000015</v>
      </c>
      <c r="J25" s="13">
        <f t="shared" si="7"/>
        <v>-286.89999999999998</v>
      </c>
      <c r="K25" s="13">
        <f t="shared" si="7"/>
        <v>691.48000000000025</v>
      </c>
      <c r="L25" s="13">
        <f t="shared" si="7"/>
        <v>-79.209999999999781</v>
      </c>
      <c r="M25" s="13">
        <f t="shared" si="7"/>
        <v>-224.33999999999955</v>
      </c>
      <c r="N25" s="13">
        <f t="shared" ref="N25:AE25" si="8">N3+N4-N17-N19-N20</f>
        <v>-1296.0240900626118</v>
      </c>
      <c r="O25" s="13">
        <f t="shared" si="8"/>
        <v>-1376.9437087410604</v>
      </c>
      <c r="P25" s="13">
        <f t="shared" si="8"/>
        <v>-1462.4111052451051</v>
      </c>
      <c r="Q25" s="13">
        <f t="shared" si="8"/>
        <v>-1502.1291827183124</v>
      </c>
      <c r="R25" s="13">
        <f t="shared" si="8"/>
        <v>-1598.7535274033858</v>
      </c>
      <c r="S25" s="13">
        <f t="shared" si="8"/>
        <v>-1662.5566739640374</v>
      </c>
      <c r="T25" s="13">
        <f t="shared" si="8"/>
        <v>-1664.7255665067871</v>
      </c>
      <c r="U25" s="13">
        <f t="shared" si="8"/>
        <v>-1818.059888617461</v>
      </c>
      <c r="V25" s="13">
        <f t="shared" si="8"/>
        <v>-1932.715613692058</v>
      </c>
      <c r="W25" s="13">
        <f t="shared" si="8"/>
        <v>-1988.4260154656506</v>
      </c>
      <c r="X25" s="13">
        <f t="shared" si="8"/>
        <v>-2019.0297567775099</v>
      </c>
      <c r="Y25" s="13">
        <f t="shared" si="8"/>
        <v>-2200.7163530390608</v>
      </c>
      <c r="Z25" s="13">
        <f t="shared" si="8"/>
        <v>-2215.9256182327122</v>
      </c>
      <c r="AA25" s="13">
        <f t="shared" si="8"/>
        <v>-2392.2008461002415</v>
      </c>
      <c r="AB25" s="13">
        <f t="shared" si="8"/>
        <v>-2565.3103686752138</v>
      </c>
      <c r="AC25" s="13">
        <f t="shared" si="8"/>
        <v>-2465.268915699603</v>
      </c>
      <c r="AD25" s="13">
        <f t="shared" si="8"/>
        <v>-2199.4330839171821</v>
      </c>
      <c r="AE25" s="13">
        <f t="shared" si="8"/>
        <v>-1106.0187361966216</v>
      </c>
      <c r="AF25" s="13"/>
      <c r="AG25" s="13"/>
      <c r="AH25" s="13"/>
      <c r="AI25" s="13"/>
      <c r="AJ25" s="13"/>
      <c r="AK25" s="13"/>
      <c r="AL25" s="13"/>
      <c r="AM25" s="13"/>
    </row>
    <row r="26" spans="1:39">
      <c r="A26" t="s">
        <v>96</v>
      </c>
      <c r="C26" s="11">
        <f>8.8268375</f>
        <v>8.8268374999999999</v>
      </c>
      <c r="D26" s="11">
        <f>41.0668301</f>
        <v>41.066830099999997</v>
      </c>
      <c r="E26" s="11">
        <v>0</v>
      </c>
      <c r="F26" s="11"/>
      <c r="G26" s="11"/>
      <c r="H26" s="26">
        <f>Dep!F45</f>
        <v>0</v>
      </c>
      <c r="I26" s="26">
        <f>Dep!G45</f>
        <v>0</v>
      </c>
      <c r="J26" s="26">
        <f>Dep!H45</f>
        <v>0</v>
      </c>
      <c r="K26" s="26">
        <v>169.32</v>
      </c>
      <c r="L26" s="26">
        <v>-19.54</v>
      </c>
      <c r="M26" s="26">
        <v>-149.78</v>
      </c>
      <c r="N26" s="26">
        <f>Dep!L45</f>
        <v>0</v>
      </c>
      <c r="O26" s="26">
        <f>Dep!M45</f>
        <v>0</v>
      </c>
      <c r="P26" s="26">
        <f>Dep!N45</f>
        <v>0</v>
      </c>
      <c r="Q26" s="26">
        <f>Dep!O45</f>
        <v>0</v>
      </c>
      <c r="R26" s="26">
        <f>Dep!P45</f>
        <v>0</v>
      </c>
      <c r="S26" s="26">
        <f>Dep!Q45</f>
        <v>0</v>
      </c>
      <c r="T26" s="26">
        <f>Dep!R45</f>
        <v>0</v>
      </c>
      <c r="U26" s="26">
        <f>Dep!S45</f>
        <v>0</v>
      </c>
      <c r="V26" s="26">
        <f>Dep!T45</f>
        <v>0</v>
      </c>
      <c r="W26" s="26">
        <f>Dep!U45</f>
        <v>0</v>
      </c>
      <c r="X26" s="26">
        <f>Dep!V45</f>
        <v>0</v>
      </c>
      <c r="Y26" s="26">
        <f>Dep!W45</f>
        <v>0</v>
      </c>
      <c r="Z26" s="26">
        <f>Dep!X45</f>
        <v>0</v>
      </c>
      <c r="AA26" s="26">
        <f>Dep!Y45</f>
        <v>0</v>
      </c>
      <c r="AB26" s="26">
        <f>Dep!Z45</f>
        <v>0</v>
      </c>
      <c r="AC26" s="26">
        <f>Dep!AA45</f>
        <v>0</v>
      </c>
      <c r="AD26" s="26">
        <f>Dep!AB45</f>
        <v>0</v>
      </c>
      <c r="AE26" s="26">
        <f>Dep!AC45</f>
        <v>0</v>
      </c>
      <c r="AF26" s="13"/>
      <c r="AG26" s="13"/>
      <c r="AH26" s="13"/>
      <c r="AI26" s="13"/>
      <c r="AJ26" s="13"/>
      <c r="AK26" s="13"/>
      <c r="AL26" s="13"/>
      <c r="AM26" s="13"/>
    </row>
    <row r="27" spans="1:39">
      <c r="A27" t="s">
        <v>1145</v>
      </c>
      <c r="C27" s="13">
        <f>C25-C26</f>
        <v>34.60454019999996</v>
      </c>
      <c r="D27" s="13">
        <f>D25-D26</f>
        <v>180.51066840000004</v>
      </c>
      <c r="E27" s="13">
        <f t="shared" ref="E27:AE27" si="9">E25-E26</f>
        <v>-434.10600000000034</v>
      </c>
      <c r="F27" s="13" t="e">
        <f t="shared" si="9"/>
        <v>#REF!</v>
      </c>
      <c r="G27" s="13" t="e">
        <f t="shared" si="9"/>
        <v>#REF!</v>
      </c>
      <c r="H27" s="13">
        <f t="shared" si="9"/>
        <v>-655.19999999999982</v>
      </c>
      <c r="I27" s="13">
        <f t="shared" si="9"/>
        <v>-988.58000000000015</v>
      </c>
      <c r="J27" s="13">
        <f t="shared" si="9"/>
        <v>-286.89999999999998</v>
      </c>
      <c r="K27" s="13">
        <f t="shared" si="9"/>
        <v>522.16000000000031</v>
      </c>
      <c r="L27" s="13">
        <f t="shared" si="9"/>
        <v>-59.669999999999781</v>
      </c>
      <c r="M27" s="13">
        <f t="shared" si="9"/>
        <v>-74.559999999999548</v>
      </c>
      <c r="N27" s="13">
        <f t="shared" si="9"/>
        <v>-1296.0240900626118</v>
      </c>
      <c r="O27" s="13">
        <f t="shared" si="9"/>
        <v>-1376.9437087410604</v>
      </c>
      <c r="P27" s="13">
        <f t="shared" si="9"/>
        <v>-1462.4111052451051</v>
      </c>
      <c r="Q27" s="13">
        <f t="shared" si="9"/>
        <v>-1502.1291827183124</v>
      </c>
      <c r="R27" s="13">
        <f t="shared" si="9"/>
        <v>-1598.7535274033858</v>
      </c>
      <c r="S27" s="13">
        <f t="shared" si="9"/>
        <v>-1662.5566739640374</v>
      </c>
      <c r="T27" s="13">
        <f t="shared" si="9"/>
        <v>-1664.7255665067871</v>
      </c>
      <c r="U27" s="13">
        <f t="shared" si="9"/>
        <v>-1818.059888617461</v>
      </c>
      <c r="V27" s="13">
        <f t="shared" si="9"/>
        <v>-1932.715613692058</v>
      </c>
      <c r="W27" s="13">
        <f t="shared" si="9"/>
        <v>-1988.4260154656506</v>
      </c>
      <c r="X27" s="13">
        <f t="shared" si="9"/>
        <v>-2019.0297567775099</v>
      </c>
      <c r="Y27" s="13">
        <f t="shared" si="9"/>
        <v>-2200.7163530390608</v>
      </c>
      <c r="Z27" s="13">
        <f t="shared" si="9"/>
        <v>-2215.9256182327122</v>
      </c>
      <c r="AA27" s="13">
        <f t="shared" si="9"/>
        <v>-2392.2008461002415</v>
      </c>
      <c r="AB27" s="13">
        <f t="shared" si="9"/>
        <v>-2565.3103686752138</v>
      </c>
      <c r="AC27" s="13">
        <f t="shared" si="9"/>
        <v>-2465.268915699603</v>
      </c>
      <c r="AD27" s="13">
        <f t="shared" si="9"/>
        <v>-2199.4330839171821</v>
      </c>
      <c r="AE27" s="13">
        <f t="shared" si="9"/>
        <v>-1106.0187361966216</v>
      </c>
      <c r="AF27" s="13"/>
      <c r="AG27" s="13"/>
      <c r="AH27" s="13"/>
      <c r="AI27" s="13"/>
      <c r="AJ27" s="13"/>
      <c r="AK27" s="13"/>
      <c r="AL27" s="13"/>
      <c r="AM27" s="13"/>
    </row>
    <row r="28" spans="1:39">
      <c r="A28" t="s">
        <v>1146</v>
      </c>
      <c r="C28" s="13"/>
      <c r="D28" s="13"/>
      <c r="E28" s="13"/>
      <c r="F28" s="13"/>
      <c r="G28" s="13"/>
      <c r="H28" s="13">
        <f>Debt!D61</f>
        <v>0</v>
      </c>
      <c r="I28" s="13">
        <f>Debt!E61</f>
        <v>0</v>
      </c>
      <c r="J28" s="13">
        <f>Debt!F61</f>
        <v>0</v>
      </c>
      <c r="K28" s="13" t="e">
        <f ca="1">Debt!G61</f>
        <v>#DIV/0!</v>
      </c>
      <c r="L28" s="13">
        <f>Debt!H61</f>
        <v>0</v>
      </c>
      <c r="M28" s="13">
        <f>Debt!I61</f>
        <v>0</v>
      </c>
      <c r="N28" s="13">
        <f>Debt!J61</f>
        <v>0</v>
      </c>
      <c r="O28" s="13">
        <f>Debt!K61</f>
        <v>0</v>
      </c>
      <c r="P28" s="13">
        <f>Debt!L61</f>
        <v>0</v>
      </c>
      <c r="Q28" s="13">
        <f>Debt!M61</f>
        <v>0</v>
      </c>
      <c r="R28" s="13">
        <f>Debt!N61</f>
        <v>0</v>
      </c>
      <c r="S28" s="13">
        <f>Debt!O61</f>
        <v>0</v>
      </c>
      <c r="T28" s="13">
        <f>Debt!P61</f>
        <v>0</v>
      </c>
      <c r="U28" s="13">
        <f>Debt!Q61</f>
        <v>0</v>
      </c>
      <c r="V28" s="13">
        <f>Debt!R61</f>
        <v>0</v>
      </c>
      <c r="W28" s="13">
        <f>Debt!S61</f>
        <v>0</v>
      </c>
      <c r="X28" s="13">
        <f>Debt!T61</f>
        <v>0</v>
      </c>
      <c r="Y28" s="13">
        <f>Debt!U61</f>
        <v>0</v>
      </c>
      <c r="Z28" s="13">
        <f>Debt!V61</f>
        <v>0</v>
      </c>
      <c r="AA28" s="13">
        <f>Debt!W61</f>
        <v>0</v>
      </c>
      <c r="AB28" s="13">
        <f>Debt!X61</f>
        <v>0</v>
      </c>
      <c r="AC28" s="13">
        <f>Debt!Y61</f>
        <v>0</v>
      </c>
      <c r="AD28" s="13">
        <f>Debt!Z61</f>
        <v>0</v>
      </c>
      <c r="AE28" s="13">
        <f>Debt!AA61</f>
        <v>0</v>
      </c>
      <c r="AF28" s="13"/>
      <c r="AG28" s="13"/>
      <c r="AH28" s="13"/>
      <c r="AI28" s="13"/>
      <c r="AJ28" s="13"/>
      <c r="AK28" s="13"/>
      <c r="AL28" s="13"/>
      <c r="AM28" s="13"/>
    </row>
    <row r="29" spans="1:39">
      <c r="A29" t="s">
        <v>1147</v>
      </c>
      <c r="C29" s="13">
        <f t="shared" ref="C29:H29" si="10">C27-C28</f>
        <v>34.60454019999996</v>
      </c>
      <c r="D29" s="13">
        <f t="shared" si="10"/>
        <v>180.51066840000004</v>
      </c>
      <c r="E29" s="13">
        <f t="shared" si="10"/>
        <v>-434.10600000000034</v>
      </c>
      <c r="F29" s="13" t="e">
        <f t="shared" si="10"/>
        <v>#REF!</v>
      </c>
      <c r="G29" s="13" t="e">
        <f t="shared" si="10"/>
        <v>#REF!</v>
      </c>
      <c r="H29" s="13">
        <f t="shared" si="10"/>
        <v>-655.19999999999982</v>
      </c>
      <c r="I29" s="13">
        <f t="shared" ref="I29:AE29" si="11">I27-I28</f>
        <v>-988.58000000000015</v>
      </c>
      <c r="J29" s="13">
        <f t="shared" si="11"/>
        <v>-286.89999999999998</v>
      </c>
      <c r="K29" s="13">
        <f>K27</f>
        <v>522.16000000000031</v>
      </c>
      <c r="L29" s="13">
        <f t="shared" si="11"/>
        <v>-59.669999999999781</v>
      </c>
      <c r="M29" s="13">
        <f t="shared" si="11"/>
        <v>-74.559999999999548</v>
      </c>
      <c r="N29" s="13">
        <f t="shared" si="11"/>
        <v>-1296.0240900626118</v>
      </c>
      <c r="O29" s="13">
        <f t="shared" si="11"/>
        <v>-1376.9437087410604</v>
      </c>
      <c r="P29" s="13">
        <f t="shared" si="11"/>
        <v>-1462.4111052451051</v>
      </c>
      <c r="Q29" s="13">
        <f t="shared" si="11"/>
        <v>-1502.1291827183124</v>
      </c>
      <c r="R29" s="13">
        <f t="shared" si="11"/>
        <v>-1598.7535274033858</v>
      </c>
      <c r="S29" s="13">
        <f t="shared" si="11"/>
        <v>-1662.5566739640374</v>
      </c>
      <c r="T29" s="13">
        <f t="shared" si="11"/>
        <v>-1664.7255665067871</v>
      </c>
      <c r="U29" s="13">
        <f t="shared" si="11"/>
        <v>-1818.059888617461</v>
      </c>
      <c r="V29" s="13">
        <f t="shared" si="11"/>
        <v>-1932.715613692058</v>
      </c>
      <c r="W29" s="13">
        <f t="shared" si="11"/>
        <v>-1988.4260154656506</v>
      </c>
      <c r="X29" s="13">
        <f t="shared" si="11"/>
        <v>-2019.0297567775099</v>
      </c>
      <c r="Y29" s="13">
        <f t="shared" si="11"/>
        <v>-2200.7163530390608</v>
      </c>
      <c r="Z29" s="13">
        <f t="shared" si="11"/>
        <v>-2215.9256182327122</v>
      </c>
      <c r="AA29" s="13">
        <f t="shared" si="11"/>
        <v>-2392.2008461002415</v>
      </c>
      <c r="AB29" s="13">
        <f t="shared" si="11"/>
        <v>-2565.3103686752138</v>
      </c>
      <c r="AC29" s="13">
        <f t="shared" si="11"/>
        <v>-2465.268915699603</v>
      </c>
      <c r="AD29" s="13">
        <f t="shared" si="11"/>
        <v>-2199.4330839171821</v>
      </c>
      <c r="AE29" s="13">
        <f t="shared" si="11"/>
        <v>-1106.0187361966216</v>
      </c>
      <c r="AF29" s="13"/>
      <c r="AG29" s="13"/>
      <c r="AH29" s="13"/>
      <c r="AI29" s="13"/>
      <c r="AJ29" s="13"/>
      <c r="AK29" s="13"/>
      <c r="AL29" s="13"/>
      <c r="AM29" s="13"/>
    </row>
    <row r="30" spans="1:39">
      <c r="A30" t="s">
        <v>1148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</row>
    <row r="31" spans="1:39">
      <c r="A31" t="s">
        <v>1149</v>
      </c>
      <c r="C31" s="13">
        <v>43.38</v>
      </c>
      <c r="D31" s="13">
        <v>175.59</v>
      </c>
      <c r="E31" s="13">
        <f t="shared" ref="E31:J31" si="12">E29-E30</f>
        <v>-434.10600000000034</v>
      </c>
      <c r="F31" s="13" t="e">
        <f t="shared" si="12"/>
        <v>#REF!</v>
      </c>
      <c r="G31" s="13" t="e">
        <f t="shared" si="12"/>
        <v>#REF!</v>
      </c>
      <c r="H31" s="13">
        <f t="shared" si="12"/>
        <v>-655.19999999999982</v>
      </c>
      <c r="I31" s="13">
        <f t="shared" si="12"/>
        <v>-988.58000000000015</v>
      </c>
      <c r="J31" s="13">
        <f t="shared" si="12"/>
        <v>-286.89999999999998</v>
      </c>
      <c r="K31" s="13">
        <f>K29</f>
        <v>522.16000000000031</v>
      </c>
      <c r="L31" s="13">
        <f t="shared" ref="L31:AE31" si="13">L29-L30</f>
        <v>-59.669999999999781</v>
      </c>
      <c r="M31" s="13">
        <f t="shared" si="13"/>
        <v>-74.559999999999548</v>
      </c>
      <c r="N31" s="13">
        <f t="shared" si="13"/>
        <v>-1296.0240900626118</v>
      </c>
      <c r="O31" s="13">
        <f t="shared" si="13"/>
        <v>-1376.9437087410604</v>
      </c>
      <c r="P31" s="13">
        <f t="shared" si="13"/>
        <v>-1462.4111052451051</v>
      </c>
      <c r="Q31" s="13">
        <f t="shared" si="13"/>
        <v>-1502.1291827183124</v>
      </c>
      <c r="R31" s="13">
        <f t="shared" si="13"/>
        <v>-1598.7535274033858</v>
      </c>
      <c r="S31" s="13">
        <f t="shared" si="13"/>
        <v>-1662.5566739640374</v>
      </c>
      <c r="T31" s="13">
        <f t="shared" si="13"/>
        <v>-1664.7255665067871</v>
      </c>
      <c r="U31" s="13">
        <f t="shared" si="13"/>
        <v>-1818.059888617461</v>
      </c>
      <c r="V31" s="13">
        <f t="shared" si="13"/>
        <v>-1932.715613692058</v>
      </c>
      <c r="W31" s="13">
        <f t="shared" si="13"/>
        <v>-1988.4260154656506</v>
      </c>
      <c r="X31" s="13">
        <f t="shared" si="13"/>
        <v>-2019.0297567775099</v>
      </c>
      <c r="Y31" s="13">
        <f t="shared" si="13"/>
        <v>-2200.7163530390608</v>
      </c>
      <c r="Z31" s="13">
        <f t="shared" si="13"/>
        <v>-2215.9256182327122</v>
      </c>
      <c r="AA31" s="13">
        <f t="shared" si="13"/>
        <v>-2392.2008461002415</v>
      </c>
      <c r="AB31" s="13">
        <f t="shared" si="13"/>
        <v>-2565.3103686752138</v>
      </c>
      <c r="AC31" s="13">
        <f t="shared" si="13"/>
        <v>-2465.268915699603</v>
      </c>
      <c r="AD31" s="13">
        <f t="shared" si="13"/>
        <v>-2199.4330839171821</v>
      </c>
      <c r="AE31" s="13">
        <f t="shared" si="13"/>
        <v>-1106.0187361966216</v>
      </c>
      <c r="AF31" s="13"/>
      <c r="AG31" s="13"/>
      <c r="AH31" s="13"/>
      <c r="AI31" s="13"/>
      <c r="AJ31" s="13"/>
      <c r="AK31" s="13"/>
      <c r="AL31" s="13"/>
      <c r="AM31" s="13"/>
    </row>
    <row r="32" spans="1:39">
      <c r="A32" t="s">
        <v>1150</v>
      </c>
      <c r="C32" s="15"/>
      <c r="D32" s="15">
        <v>-0.15509999999999999</v>
      </c>
      <c r="E32" s="15">
        <v>0.13730000000000001</v>
      </c>
      <c r="F32" s="15"/>
      <c r="G32" s="15"/>
      <c r="H32" s="15">
        <v>0.43</v>
      </c>
      <c r="I32" s="12">
        <v>0.69</v>
      </c>
      <c r="J32" s="12">
        <v>-0.06</v>
      </c>
      <c r="K32" s="12">
        <v>0.64</v>
      </c>
      <c r="L32" s="12">
        <v>-0.28999999999999998</v>
      </c>
      <c r="M32" s="12">
        <v>0.12</v>
      </c>
      <c r="N32" s="12">
        <v>-0.28999999999999998</v>
      </c>
      <c r="O32" s="12">
        <v>-0.28999999999999998</v>
      </c>
      <c r="P32" s="12">
        <v>-0.28999999999999998</v>
      </c>
      <c r="Q32" s="12">
        <v>-0.28999999999999998</v>
      </c>
      <c r="R32" s="12">
        <v>-0.28999999999999998</v>
      </c>
      <c r="S32" s="12">
        <v>-0.28999999999999998</v>
      </c>
      <c r="T32" s="12">
        <v>-0.28999999999999998</v>
      </c>
      <c r="U32" s="12">
        <v>-0.28999999999999998</v>
      </c>
      <c r="V32" s="12">
        <v>-0.28999999999999998</v>
      </c>
      <c r="W32" s="12">
        <v>-0.28999999999999998</v>
      </c>
      <c r="X32" s="12">
        <v>-0.28999999999999998</v>
      </c>
      <c r="Y32" s="12">
        <v>-0.28999999999999998</v>
      </c>
      <c r="Z32" s="12">
        <v>-0.28999999999999998</v>
      </c>
      <c r="AA32" s="12">
        <v>-0.28999999999999998</v>
      </c>
      <c r="AB32" s="12">
        <v>-0.28999999999999998</v>
      </c>
      <c r="AC32" s="12">
        <v>-0.28999999999999998</v>
      </c>
      <c r="AD32" s="12">
        <v>-0.28999999999999998</v>
      </c>
      <c r="AE32" s="12">
        <v>-0.28999999999999998</v>
      </c>
      <c r="AF32" s="15"/>
      <c r="AG32" s="15"/>
      <c r="AH32" s="15"/>
      <c r="AI32" s="15"/>
      <c r="AJ32" s="15"/>
      <c r="AK32" s="15"/>
      <c r="AL32" s="15"/>
      <c r="AM32" s="15"/>
    </row>
    <row r="33" spans="1:39">
      <c r="A33" t="s">
        <v>1151</v>
      </c>
      <c r="C33" s="13"/>
      <c r="D33" s="13">
        <f>D31+D32</f>
        <v>175.4349</v>
      </c>
      <c r="E33" s="13">
        <f>E32+E27</f>
        <v>-433.96870000000035</v>
      </c>
      <c r="F33" s="13" t="e">
        <f t="shared" ref="F33:AE33" si="14">F32+F27</f>
        <v>#REF!</v>
      </c>
      <c r="G33" s="13" t="e">
        <f t="shared" si="14"/>
        <v>#REF!</v>
      </c>
      <c r="H33" s="13">
        <f t="shared" si="14"/>
        <v>-654.76999999999987</v>
      </c>
      <c r="I33" s="13">
        <f t="shared" si="14"/>
        <v>-987.8900000000001</v>
      </c>
      <c r="J33" s="13">
        <f t="shared" si="14"/>
        <v>-286.95999999999998</v>
      </c>
      <c r="K33" s="13">
        <f>K32+K31</f>
        <v>522.8000000000003</v>
      </c>
      <c r="L33" s="13">
        <f>L31+L32</f>
        <v>-59.959999999999781</v>
      </c>
      <c r="M33" s="13">
        <f t="shared" si="14"/>
        <v>-74.439999999999543</v>
      </c>
      <c r="N33" s="13">
        <f t="shared" si="14"/>
        <v>-1296.3140900626117</v>
      </c>
      <c r="O33" s="13">
        <f t="shared" si="14"/>
        <v>-1377.2337087410604</v>
      </c>
      <c r="P33" s="13">
        <f t="shared" si="14"/>
        <v>-1462.7011052451051</v>
      </c>
      <c r="Q33" s="13">
        <f t="shared" si="14"/>
        <v>-1502.4191827183124</v>
      </c>
      <c r="R33" s="13">
        <f t="shared" si="14"/>
        <v>-1599.0435274033857</v>
      </c>
      <c r="S33" s="13">
        <f t="shared" si="14"/>
        <v>-1662.8466739640373</v>
      </c>
      <c r="T33" s="13">
        <f t="shared" si="14"/>
        <v>-1665.0155665067871</v>
      </c>
      <c r="U33" s="13">
        <f t="shared" si="14"/>
        <v>-1818.3498886174609</v>
      </c>
      <c r="V33" s="13">
        <f t="shared" si="14"/>
        <v>-1933.005613692058</v>
      </c>
      <c r="W33" s="13">
        <f t="shared" si="14"/>
        <v>-1988.7160154656506</v>
      </c>
      <c r="X33" s="13">
        <f t="shared" si="14"/>
        <v>-2019.3197567775098</v>
      </c>
      <c r="Y33" s="13">
        <f t="shared" si="14"/>
        <v>-2201.0063530390607</v>
      </c>
      <c r="Z33" s="13">
        <f t="shared" si="14"/>
        <v>-2216.2156182327121</v>
      </c>
      <c r="AA33" s="13">
        <f t="shared" si="14"/>
        <v>-2392.4908461002415</v>
      </c>
      <c r="AB33" s="13">
        <f t="shared" si="14"/>
        <v>-2565.6003686752138</v>
      </c>
      <c r="AC33" s="13">
        <f t="shared" si="14"/>
        <v>-2465.5589156996029</v>
      </c>
      <c r="AD33" s="13">
        <f t="shared" si="14"/>
        <v>-2199.7230839171821</v>
      </c>
      <c r="AE33" s="13">
        <f t="shared" si="14"/>
        <v>-1106.3087361966216</v>
      </c>
      <c r="AF33" s="13"/>
      <c r="AG33" s="13"/>
      <c r="AH33" s="13"/>
      <c r="AI33" s="13"/>
      <c r="AJ33" s="13"/>
      <c r="AK33" s="13"/>
      <c r="AL33" s="13"/>
      <c r="AM33" s="13"/>
    </row>
    <row r="34" spans="1:39">
      <c r="D34" s="18"/>
      <c r="E34" s="18"/>
      <c r="F34" s="18"/>
      <c r="G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</row>
    <row r="35" spans="1:39">
      <c r="C35" s="13"/>
      <c r="D35" s="13"/>
      <c r="E35" s="13"/>
      <c r="F35" s="13"/>
      <c r="G35" s="13"/>
      <c r="H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</row>
    <row r="36" spans="1:39"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</row>
    <row r="37" spans="1:39"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</row>
    <row r="38" spans="1:39"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</row>
    <row r="39" spans="1:39"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</row>
    <row r="40" spans="1:39"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</row>
    <row r="41" spans="1:39"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</row>
    <row r="42" spans="1:39"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</row>
    <row r="43" spans="1:39">
      <c r="A43" s="8" t="s">
        <v>1152</v>
      </c>
      <c r="B43" s="8"/>
      <c r="C43" s="27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</row>
    <row r="44" spans="1:39">
      <c r="A44" s="4" t="s">
        <v>1153</v>
      </c>
      <c r="B44" s="4"/>
    </row>
    <row r="45" spans="1:39">
      <c r="A45" t="s">
        <v>1154</v>
      </c>
      <c r="C45" s="9"/>
      <c r="D45" s="9"/>
      <c r="E45" s="9"/>
      <c r="F45" s="9"/>
      <c r="G45" s="9"/>
      <c r="H45" s="9">
        <f>H31</f>
        <v>-655.19999999999982</v>
      </c>
      <c r="I45" s="9">
        <f>I31</f>
        <v>-988.58000000000015</v>
      </c>
      <c r="J45" s="9">
        <f t="shared" ref="J45:AE45" si="15">J31</f>
        <v>-286.89999999999998</v>
      </c>
      <c r="K45" s="9">
        <f t="shared" si="15"/>
        <v>522.16000000000031</v>
      </c>
      <c r="L45" s="9">
        <f t="shared" si="15"/>
        <v>-59.669999999999781</v>
      </c>
      <c r="M45" s="9">
        <f t="shared" si="15"/>
        <v>-74.559999999999548</v>
      </c>
      <c r="N45" s="9">
        <f t="shared" si="15"/>
        <v>-1296.0240900626118</v>
      </c>
      <c r="O45" s="9">
        <f t="shared" si="15"/>
        <v>-1376.9437087410604</v>
      </c>
      <c r="P45" s="9">
        <f t="shared" si="15"/>
        <v>-1462.4111052451051</v>
      </c>
      <c r="Q45" s="9">
        <f t="shared" si="15"/>
        <v>-1502.1291827183124</v>
      </c>
      <c r="R45" s="9">
        <f t="shared" si="15"/>
        <v>-1598.7535274033858</v>
      </c>
      <c r="S45" s="9">
        <f t="shared" si="15"/>
        <v>-1662.5566739640374</v>
      </c>
      <c r="T45" s="9">
        <f t="shared" si="15"/>
        <v>-1664.7255665067871</v>
      </c>
      <c r="U45" s="9">
        <f t="shared" si="15"/>
        <v>-1818.059888617461</v>
      </c>
      <c r="V45" s="9">
        <f t="shared" si="15"/>
        <v>-1932.715613692058</v>
      </c>
      <c r="W45" s="9">
        <f t="shared" si="15"/>
        <v>-1988.4260154656506</v>
      </c>
      <c r="X45" s="9">
        <f t="shared" si="15"/>
        <v>-2019.0297567775099</v>
      </c>
      <c r="Y45" s="9">
        <f t="shared" si="15"/>
        <v>-2200.7163530390608</v>
      </c>
      <c r="Z45" s="9">
        <f t="shared" si="15"/>
        <v>-2215.9256182327122</v>
      </c>
      <c r="AA45" s="9">
        <f t="shared" si="15"/>
        <v>-2392.2008461002415</v>
      </c>
      <c r="AB45" s="9">
        <f t="shared" si="15"/>
        <v>-2565.3103686752138</v>
      </c>
      <c r="AC45" s="9">
        <f t="shared" si="15"/>
        <v>-2465.268915699603</v>
      </c>
      <c r="AD45" s="9">
        <f t="shared" si="15"/>
        <v>-2199.4330839171821</v>
      </c>
      <c r="AE45" s="9">
        <f t="shared" si="15"/>
        <v>-1106.0187361966216</v>
      </c>
    </row>
    <row r="46" spans="1:39">
      <c r="A46" t="s">
        <v>1155</v>
      </c>
      <c r="E46" s="9"/>
      <c r="F46" s="9"/>
      <c r="G46" s="9"/>
      <c r="H46" s="9">
        <f t="shared" ref="H46:AE46" si="16">H19</f>
        <v>200.35</v>
      </c>
      <c r="I46" s="9">
        <f t="shared" si="16"/>
        <v>201.57</v>
      </c>
      <c r="J46" s="9">
        <f t="shared" si="16"/>
        <v>200.79</v>
      </c>
      <c r="K46" s="9">
        <f t="shared" si="16"/>
        <v>200.3</v>
      </c>
      <c r="L46" s="9">
        <f t="shared" si="16"/>
        <v>199.75</v>
      </c>
      <c r="M46" s="9">
        <f t="shared" si="16"/>
        <v>201.49</v>
      </c>
      <c r="N46" s="9">
        <f t="shared" si="16"/>
        <v>293.76993008219182</v>
      </c>
      <c r="O46" s="9">
        <f t="shared" si="16"/>
        <v>292.96728000000002</v>
      </c>
      <c r="P46" s="9">
        <f t="shared" si="16"/>
        <v>292.96728000000002</v>
      </c>
      <c r="Q46" s="9">
        <f t="shared" si="16"/>
        <v>292.96728000000002</v>
      </c>
      <c r="R46" s="9">
        <f t="shared" si="16"/>
        <v>293.76993008219182</v>
      </c>
      <c r="S46" s="9">
        <f t="shared" si="16"/>
        <v>292.96728000000002</v>
      </c>
      <c r="T46" s="9">
        <f t="shared" si="16"/>
        <v>292.96728000000002</v>
      </c>
      <c r="U46" s="9">
        <f t="shared" si="16"/>
        <v>292.96728000000002</v>
      </c>
      <c r="V46" s="9">
        <f t="shared" si="16"/>
        <v>293.76993008219182</v>
      </c>
      <c r="W46" s="9">
        <f t="shared" si="16"/>
        <v>292.96728000000002</v>
      </c>
      <c r="X46" s="9">
        <f t="shared" si="16"/>
        <v>292.96728000000002</v>
      </c>
      <c r="Y46" s="9">
        <f t="shared" si="16"/>
        <v>292.96728000000002</v>
      </c>
      <c r="Z46" s="9">
        <f t="shared" si="16"/>
        <v>293.76993008219182</v>
      </c>
      <c r="AA46" s="9">
        <f t="shared" si="16"/>
        <v>292.96728000000002</v>
      </c>
      <c r="AB46" s="9">
        <f t="shared" si="16"/>
        <v>292.96728000000002</v>
      </c>
      <c r="AC46" s="9">
        <f t="shared" si="16"/>
        <v>292.96728000000002</v>
      </c>
      <c r="AD46" s="9">
        <f t="shared" si="16"/>
        <v>293.76993008219182</v>
      </c>
      <c r="AE46" s="9">
        <f t="shared" si="16"/>
        <v>292.96728000000002</v>
      </c>
    </row>
    <row r="47" spans="1:39">
      <c r="A47" t="s">
        <v>1156</v>
      </c>
      <c r="E47" s="9"/>
      <c r="F47" s="9"/>
      <c r="G47" s="9"/>
      <c r="H47" s="9">
        <f>WC!F3-WC!C3</f>
        <v>133.01333333333332</v>
      </c>
      <c r="I47" s="9">
        <f>WC!G3-WC!F3</f>
        <v>-25.58499999999998</v>
      </c>
      <c r="J47" s="9">
        <f>WC!H3-WC!G3</f>
        <v>4.881666666666689</v>
      </c>
      <c r="K47" s="9">
        <f>WC!I3-WC!H3</f>
        <v>-57.03333333333336</v>
      </c>
      <c r="L47" s="9">
        <f>WC!J3-WC!I3</f>
        <v>-20.046666666666667</v>
      </c>
      <c r="M47" s="9">
        <f>WC!K3-WC!J3</f>
        <v>177.39500000000004</v>
      </c>
      <c r="N47" s="9">
        <f>WC!L3-WC!K3</f>
        <v>345.91154186425177</v>
      </c>
      <c r="O47" s="9">
        <f>WC!M3-WC!L3</f>
        <v>10.912937733697618</v>
      </c>
      <c r="P47" s="9">
        <f>WC!N3-WC!M3</f>
        <v>12.884876951098704</v>
      </c>
      <c r="Q47" s="9">
        <f>WC!O3-WC!N3</f>
        <v>43.280435641302574</v>
      </c>
      <c r="R47" s="9">
        <f>WC!P3-WC!O3</f>
        <v>15.993342648439693</v>
      </c>
      <c r="S47" s="9">
        <f>WC!Q3-WC!P3</f>
        <v>43.811727310436027</v>
      </c>
      <c r="T47" s="9">
        <f>WC!R3-WC!Q3</f>
        <v>15.334689624485691</v>
      </c>
      <c r="U47" s="9">
        <f>WC!S3-WC!R3</f>
        <v>48.330038157245326</v>
      </c>
      <c r="V47" s="9">
        <f>WC!T3-WC!S3</f>
        <v>18.956684558866982</v>
      </c>
      <c r="W47" s="9">
        <f>WC!U3-WC!T3</f>
        <v>48.800951154864947</v>
      </c>
      <c r="X47" s="9">
        <f>WC!V3-WC!U3</f>
        <v>18.13160924128897</v>
      </c>
      <c r="Y47" s="9">
        <f>WC!W3-WC!V3</f>
        <v>53.966394454138367</v>
      </c>
      <c r="Z47" s="9">
        <f>WC!X3-WC!W3</f>
        <v>22.335655976479757</v>
      </c>
      <c r="AA47" s="9">
        <f>WC!Y3-WC!X3</f>
        <v>39.998829608779488</v>
      </c>
      <c r="AB47" s="9">
        <f>WC!Z3-WC!Y3</f>
        <v>36.369098317588282</v>
      </c>
      <c r="AC47" s="9">
        <f>WC!AA3-WC!Z3</f>
        <v>21.810611629397499</v>
      </c>
      <c r="AD47" s="9">
        <f>WC!AB3-WC!AA3</f>
        <v>-128.02415232939609</v>
      </c>
      <c r="AE47" s="9">
        <f>WC!AC3-WC!AB3</f>
        <v>-514.82281324250846</v>
      </c>
    </row>
    <row r="48" spans="1:39">
      <c r="A48" t="s">
        <v>1157</v>
      </c>
      <c r="E48" s="9"/>
      <c r="F48" s="9"/>
      <c r="G48" s="9"/>
      <c r="H48" s="9">
        <f>WC!F4-WC!C4</f>
        <v>-2.0841666666666669</v>
      </c>
      <c r="I48" s="9">
        <f>WC!G4-WC!F4</f>
        <v>0.28583333333333338</v>
      </c>
      <c r="J48" s="9">
        <f>WC!H4-WC!G4</f>
        <v>0.1399999999999999</v>
      </c>
      <c r="K48" s="9">
        <f>WC!I4-WC!H4</f>
        <v>-0.25416666666666654</v>
      </c>
      <c r="L48" s="9">
        <f>WC!J4-WC!I4</f>
        <v>0.16083333333333327</v>
      </c>
      <c r="M48" s="9">
        <f>WC!K4-WC!J4</f>
        <v>0.37083333333333324</v>
      </c>
      <c r="N48" s="9">
        <f>WC!L4-WC!K4</f>
        <v>7.0041115451321039</v>
      </c>
      <c r="O48" s="9">
        <f>WC!M4-WC!L4</f>
        <v>0.14223675610473485</v>
      </c>
      <c r="P48" s="9">
        <f>WC!N4-WC!M4</f>
        <v>0.1681102993580712</v>
      </c>
      <c r="Q48" s="9">
        <f>WC!O4-WC!N4</f>
        <v>0.56897694955462974</v>
      </c>
      <c r="R48" s="9">
        <f>WC!P4-WC!O4</f>
        <v>0.20840123409290712</v>
      </c>
      <c r="S48" s="9">
        <f>WC!Q4-WC!P4</f>
        <v>0.57452351922193046</v>
      </c>
      <c r="T48" s="9">
        <f>WC!R4-WC!Q4</f>
        <v>0.1985105394026192</v>
      </c>
      <c r="U48" s="9">
        <f>WC!S4-WC!R4</f>
        <v>0.63275234434585315</v>
      </c>
      <c r="V48" s="9">
        <f>WC!T4-WC!S4</f>
        <v>0.24519586735418386</v>
      </c>
      <c r="W48" s="9">
        <f>WC!U4-WC!T4</f>
        <v>0.63703300930159834</v>
      </c>
      <c r="X48" s="9">
        <f>WC!V4-WC!U4</f>
        <v>0.23278037461070689</v>
      </c>
      <c r="Y48" s="9">
        <f>WC!W4-WC!V4</f>
        <v>0.70317579315095813</v>
      </c>
      <c r="Z48" s="9">
        <f>WC!X4-WC!W4</f>
        <v>0.2866405237091243</v>
      </c>
      <c r="AA48" s="9">
        <f>WC!Y4-WC!X4</f>
        <v>0.51212188183069784</v>
      </c>
      <c r="AB48" s="9">
        <f>WC!Z4-WC!Y4</f>
        <v>0.46517347143779908</v>
      </c>
      <c r="AC48" s="9">
        <f>WC!AA4-WC!Z4</f>
        <v>0.27677821550549275</v>
      </c>
      <c r="AD48" s="9">
        <f>WC!AB4-WC!AA4</f>
        <v>-1.6505687839082022</v>
      </c>
      <c r="AE48" s="9">
        <f>WC!AC4-WC!AB4</f>
        <v>-6.6913238629483418</v>
      </c>
    </row>
    <row r="49" spans="1:31">
      <c r="A49" t="s">
        <v>1158</v>
      </c>
      <c r="E49" s="9"/>
      <c r="F49" s="9"/>
      <c r="G49" s="9"/>
      <c r="H49" s="9">
        <f>WC!F2-WC!C2</f>
        <v>100.23666666666679</v>
      </c>
      <c r="I49" s="9">
        <f>WC!G2-WC!F2</f>
        <v>-121.83333333333348</v>
      </c>
      <c r="J49" s="9">
        <f>WC!H2-WC!G2</f>
        <v>11.445833333333326</v>
      </c>
      <c r="K49" s="9">
        <f>WC!I2-WC!H2</f>
        <v>144.30833333333339</v>
      </c>
      <c r="L49" s="9">
        <f>WC!J2-WC!I2</f>
        <v>-409.75000000000006</v>
      </c>
      <c r="M49" s="9">
        <f>WC!K2-WC!J2</f>
        <v>405.24583333333334</v>
      </c>
      <c r="N49" s="9">
        <f>WC!L2-WC!K2</f>
        <v>528.71691746666647</v>
      </c>
      <c r="O49" s="9">
        <f>WC!M2-WC!L2</f>
        <v>-3.592213799999854</v>
      </c>
      <c r="P49" s="9">
        <f>WC!N2-WC!M2</f>
        <v>0</v>
      </c>
      <c r="Q49" s="9">
        <f>WC!O2-WC!N2</f>
        <v>97.15320814499978</v>
      </c>
      <c r="R49" s="9">
        <f>WC!P2-WC!O2</f>
        <v>3.8583869730000515</v>
      </c>
      <c r="S49" s="9">
        <f>WC!Q2-WC!P2</f>
        <v>88.348673322000423</v>
      </c>
      <c r="T49" s="9">
        <f>WC!R2-WC!Q2</f>
        <v>41.403546071999926</v>
      </c>
      <c r="U49" s="9">
        <f>WC!S2-WC!R2</f>
        <v>63.195044109749915</v>
      </c>
      <c r="V49" s="9">
        <f>WC!T2-WC!S2</f>
        <v>4.3975805359500555</v>
      </c>
      <c r="W49" s="9">
        <f>WC!U2-WC!T2</f>
        <v>104.988294660375</v>
      </c>
      <c r="X49" s="9">
        <f>WC!V2-WC!U2</f>
        <v>37.224765900000421</v>
      </c>
      <c r="Y49" s="9">
        <f>WC!W2-WC!V2</f>
        <v>66.354796315237081</v>
      </c>
      <c r="Z49" s="9">
        <f>WC!X2-WC!W2</f>
        <v>55.044687578816138</v>
      </c>
      <c r="AA49" s="9">
        <f>WC!Y2-WC!X2</f>
        <v>32.707331960349848</v>
      </c>
      <c r="AB49" s="9">
        <f>WC!Z2-WC!Y2</f>
        <v>25.216776900000013</v>
      </c>
      <c r="AC49" s="9">
        <f>WC!AA2-WC!Z2</f>
        <v>96.552556473624009</v>
      </c>
      <c r="AD49" s="9">
        <f>WC!AB2-WC!AA2</f>
        <v>-248.33986690836718</v>
      </c>
      <c r="AE49" s="9">
        <f>WC!AC2-WC!AB2</f>
        <v>-913.63475682401952</v>
      </c>
    </row>
    <row r="50" spans="1:31">
      <c r="A50" t="s">
        <v>1159</v>
      </c>
      <c r="E50" s="9"/>
      <c r="F50" s="9"/>
      <c r="G50" s="9"/>
      <c r="H50" s="9">
        <f>WC!F5-WC!C5</f>
        <v>5.1825000000000001</v>
      </c>
      <c r="I50" s="9">
        <f>WC!G5-WC!F5</f>
        <v>-8.5833333333333428E-2</v>
      </c>
      <c r="J50" s="9">
        <f>WC!H5-WC!G5</f>
        <v>0.55416666666666714</v>
      </c>
      <c r="K50" s="9">
        <f>WC!I5-WC!H5</f>
        <v>-8.9166666666667282E-2</v>
      </c>
      <c r="L50" s="9">
        <f>WC!J5-WC!I5</f>
        <v>6.9016666666666664</v>
      </c>
      <c r="M50" s="9">
        <f>WC!K5-WC!J5</f>
        <v>-2.7991666666666664</v>
      </c>
      <c r="N50" s="9">
        <f>WC!L5-WC!K5</f>
        <v>2.2215393477768473</v>
      </c>
      <c r="O50" s="9">
        <f>WC!M5-WC!L5</f>
        <v>0.35657118043330627</v>
      </c>
      <c r="P50" s="9">
        <f>WC!N5-WC!M5</f>
        <v>0.36726831584630482</v>
      </c>
      <c r="Q50" s="9">
        <f>WC!O5-WC!N5</f>
        <v>0.37828636532169568</v>
      </c>
      <c r="R50" s="9">
        <f>WC!P5-WC!O5</f>
        <v>0.38963495628134481</v>
      </c>
      <c r="S50" s="9">
        <f>WC!Q5-WC!P5</f>
        <v>0.40132400496978526</v>
      </c>
      <c r="T50" s="9">
        <f>WC!R5-WC!Q5</f>
        <v>0.41336372511887909</v>
      </c>
      <c r="U50" s="9">
        <f>WC!S5-WC!R5</f>
        <v>0.42576463687244726</v>
      </c>
      <c r="V50" s="9">
        <f>WC!T5-WC!S5</f>
        <v>0.43853757597861787</v>
      </c>
      <c r="W50" s="9">
        <f>WC!U5-WC!T5</f>
        <v>0.45169370325797864</v>
      </c>
      <c r="X50" s="9">
        <f>WC!V5-WC!U5</f>
        <v>0.46524451435571734</v>
      </c>
      <c r="Y50" s="9">
        <f>WC!W5-WC!V5</f>
        <v>0.47920184978638858</v>
      </c>
      <c r="Z50" s="9">
        <f>WC!X5-WC!W5</f>
        <v>0.49357790527997736</v>
      </c>
      <c r="AA50" s="9">
        <f>WC!Y5-WC!X5</f>
        <v>0.50838524243837924</v>
      </c>
      <c r="AB50" s="9">
        <f>WC!Z5-WC!Y5</f>
        <v>0.52363679971153232</v>
      </c>
      <c r="AC50" s="9">
        <f>WC!AA5-WC!Z5</f>
        <v>0.53934590370287339</v>
      </c>
      <c r="AD50" s="9">
        <f>WC!AB5-WC!AA5</f>
        <v>-2.05008423484351</v>
      </c>
      <c r="AE50" s="9">
        <f>WC!AC5-WC!AB5</f>
        <v>-8.7439106239069275</v>
      </c>
    </row>
    <row r="51" spans="1:31">
      <c r="A51" t="s">
        <v>1160</v>
      </c>
      <c r="E51" s="9"/>
      <c r="F51" s="9"/>
      <c r="G51" s="9"/>
      <c r="H51" s="9">
        <f>WC!F6-WC!C6</f>
        <v>-9.7600999999999996</v>
      </c>
      <c r="I51" s="9">
        <f>WC!G6-WC!F6</f>
        <v>-0.20600000000000129</v>
      </c>
      <c r="J51" s="9">
        <f>WC!H6-WC!G6</f>
        <v>1.3300000000000018</v>
      </c>
      <c r="K51" s="9">
        <f>WC!I6-WC!H6</f>
        <v>-0.21400000000000219</v>
      </c>
      <c r="L51" s="9">
        <f>WC!J6-WC!I6</f>
        <v>16.564000000000004</v>
      </c>
      <c r="M51" s="9">
        <f>WC!K6-WC!J6</f>
        <v>-6.718</v>
      </c>
      <c r="N51" s="9">
        <f>WC!L6-WC!K6</f>
        <v>5.3316944346644313</v>
      </c>
      <c r="O51" s="9">
        <f>WC!M6-WC!L6</f>
        <v>0.85577083303993717</v>
      </c>
      <c r="P51" s="9">
        <f>WC!N6-WC!M6</f>
        <v>0.88144395803113085</v>
      </c>
      <c r="Q51" s="9">
        <f>WC!O6-WC!N6</f>
        <v>0.90788727677206893</v>
      </c>
      <c r="R51" s="9">
        <f>WC!P6-WC!O6</f>
        <v>0.93512389507522897</v>
      </c>
      <c r="S51" s="9">
        <f>WC!Q6-WC!P6</f>
        <v>0.96317761192748463</v>
      </c>
      <c r="T51" s="9">
        <f>WC!R6-WC!Q6</f>
        <v>0.99207294028531123</v>
      </c>
      <c r="U51" s="9">
        <f>WC!S6-WC!R6</f>
        <v>1.0218351284938691</v>
      </c>
      <c r="V51" s="9">
        <f>WC!T6-WC!S6</f>
        <v>1.0524901823486843</v>
      </c>
      <c r="W51" s="9">
        <f>WC!U6-WC!T6</f>
        <v>1.0840648878191459</v>
      </c>
      <c r="X51" s="9">
        <f>WC!V6-WC!U6</f>
        <v>1.1165868344537273</v>
      </c>
      <c r="Y51" s="9">
        <f>WC!W6-WC!V6</f>
        <v>1.1500844394873297</v>
      </c>
      <c r="Z51" s="9">
        <f>WC!X6-WC!W6</f>
        <v>1.1845869726719513</v>
      </c>
      <c r="AA51" s="9">
        <f>WC!Y6-WC!X6</f>
        <v>1.2201245818521116</v>
      </c>
      <c r="AB51" s="9">
        <f>WC!Z6-WC!Y6</f>
        <v>1.256728319307669</v>
      </c>
      <c r="AC51" s="9">
        <f>WC!AA6-WC!Z6</f>
        <v>1.2944301688869047</v>
      </c>
      <c r="AD51" s="9">
        <f>WC!AB6-WC!AA6</f>
        <v>-4.9202021636244311</v>
      </c>
      <c r="AE51" s="9">
        <f>WC!AC6-WC!AB6</f>
        <v>-20.98538549737663</v>
      </c>
    </row>
    <row r="52" spans="1:31">
      <c r="A52" t="s">
        <v>1161</v>
      </c>
      <c r="F52" s="11"/>
      <c r="G52" s="11"/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</row>
    <row r="53" spans="1:31">
      <c r="A53" t="s">
        <v>1162</v>
      </c>
      <c r="E53" s="9"/>
      <c r="F53" s="9"/>
      <c r="G53" s="9"/>
      <c r="H53" s="9">
        <f>WC!F11-WC!C11</f>
        <v>-79.301436906666595</v>
      </c>
      <c r="I53" s="9">
        <f>WC!G11-WC!F11</f>
        <v>-130.67901666666671</v>
      </c>
      <c r="J53" s="9">
        <f>WC!H11-WC!G11</f>
        <v>32.276666666666642</v>
      </c>
      <c r="K53" s="9">
        <f>WC!I11-WC!H11</f>
        <v>110.86433333333321</v>
      </c>
      <c r="L53" s="9">
        <f>WC!J11-WC!I11</f>
        <v>-367.71849999999989</v>
      </c>
      <c r="M53" s="9">
        <f>WC!K11-WC!J11</f>
        <v>372.44616666666678</v>
      </c>
      <c r="N53" s="9">
        <f>WC!L11-WC!K11</f>
        <v>492.61414192330267</v>
      </c>
      <c r="O53" s="9">
        <f>WC!M11-WC!L11</f>
        <v>54.202125294480538</v>
      </c>
      <c r="P53" s="9">
        <f>WC!N11-WC!M11</f>
        <v>-0.12461846478049665</v>
      </c>
      <c r="Q53" s="9">
        <f>WC!O11-WC!N11</f>
        <v>91.832576277571889</v>
      </c>
      <c r="R53" s="9">
        <f>WC!P11-WC!O11</f>
        <v>8.6432400890139434</v>
      </c>
      <c r="S53" s="9">
        <f>WC!Q11-WC!P11</f>
        <v>83.465818833753929</v>
      </c>
      <c r="T53" s="9">
        <f>WC!R11-WC!Q11</f>
        <v>46.406232214787906</v>
      </c>
      <c r="U53" s="9">
        <f>WC!S11-WC!R11</f>
        <v>57.385742006358669</v>
      </c>
      <c r="V53" s="9">
        <f>WC!T11-WC!S11</f>
        <v>9.5096333624951512</v>
      </c>
      <c r="W53" s="9">
        <f>WC!U11-WC!T11</f>
        <v>99.710333632390757</v>
      </c>
      <c r="X53" s="9">
        <f>WC!V11-WC!U11</f>
        <v>42.569858926071902</v>
      </c>
      <c r="Y53" s="9">
        <f>WC!W11-WC!V11</f>
        <v>59.999317237787182</v>
      </c>
      <c r="Z53" s="9">
        <f>WC!X11-WC!W11</f>
        <v>60.496439330120893</v>
      </c>
      <c r="AA53" s="9">
        <f>WC!Y11-WC!X11</f>
        <v>29.608459030392623</v>
      </c>
      <c r="AB53" s="9">
        <f>WC!Z11-WC!Y11</f>
        <v>25.755359324898109</v>
      </c>
      <c r="AC53" s="9">
        <f>WC!AA11-WC!Z11</f>
        <v>99.119496392395376</v>
      </c>
      <c r="AD53" s="9">
        <f>WC!AB11-WC!AA11</f>
        <v>-220.97637376733496</v>
      </c>
      <c r="AE53" s="9">
        <f>WC!AC11-WC!AB11</f>
        <v>-850.81753473418416</v>
      </c>
    </row>
    <row r="54" spans="1:31">
      <c r="A54" t="s">
        <v>1163</v>
      </c>
      <c r="E54" s="9"/>
      <c r="F54" s="9"/>
      <c r="G54" s="28"/>
      <c r="H54" s="9">
        <f>WC!F7-WC!C7</f>
        <v>-168.42635000000001</v>
      </c>
      <c r="I54" s="9">
        <f>WC!G7-WC!F7</f>
        <v>-16.745316666666639</v>
      </c>
      <c r="J54" s="9">
        <f>WC!H7-WC!G7</f>
        <v>-13.925000000000011</v>
      </c>
      <c r="K54" s="9">
        <f>WC!I7-WC!H7</f>
        <v>-24.146666666666675</v>
      </c>
      <c r="L54" s="9">
        <f>WC!J7-WC!I7</f>
        <v>-38.451666666666711</v>
      </c>
      <c r="M54" s="9">
        <f>WC!K7-WC!J7</f>
        <v>201.04833333333335</v>
      </c>
      <c r="N54" s="9">
        <f>WC!L7-WC!K7</f>
        <v>396.57166273518885</v>
      </c>
      <c r="O54" s="9">
        <f>WC!M7-WC!L7</f>
        <v>-45.526822591205018</v>
      </c>
      <c r="P54" s="9">
        <f>WC!N7-WC!M7</f>
        <v>14.426317989114864</v>
      </c>
      <c r="Q54" s="9">
        <f>WC!O7-WC!N7</f>
        <v>50.456218100379033</v>
      </c>
      <c r="R54" s="9">
        <f>WC!P7-WC!O7</f>
        <v>12.741649617875169</v>
      </c>
      <c r="S54" s="9">
        <f>WC!Q7-WC!P7</f>
        <v>50.633606934801719</v>
      </c>
      <c r="T54" s="9">
        <f>WC!R7-WC!Q7</f>
        <v>11.935950686504839</v>
      </c>
      <c r="U54" s="9">
        <f>WC!S7-WC!R7</f>
        <v>56.219692370348753</v>
      </c>
      <c r="V54" s="9">
        <f>WC!T7-WC!S7</f>
        <v>15.580855358003078</v>
      </c>
      <c r="W54" s="9">
        <f>WC!U7-WC!T7</f>
        <v>56.251703783227526</v>
      </c>
      <c r="X54" s="9">
        <f>WC!V7-WC!U7</f>
        <v>14.601127938637774</v>
      </c>
      <c r="Y54" s="9">
        <f>WC!W7-WC!V7</f>
        <v>62.654335614013121</v>
      </c>
      <c r="Z54" s="9">
        <f>WC!X7-WC!W7</f>
        <v>18.848709626836126</v>
      </c>
      <c r="AA54" s="9">
        <f>WC!Y7-WC!X7</f>
        <v>45.338334244857833</v>
      </c>
      <c r="AB54" s="9">
        <f>WC!Z7-WC!Y7</f>
        <v>38.076054483147345</v>
      </c>
      <c r="AC54" s="9">
        <f>WC!AA7-WC!Z7</f>
        <v>21.354225998721176</v>
      </c>
      <c r="AD54" s="9">
        <f>WC!AB7-WC!AA7</f>
        <v>-164.00850065280463</v>
      </c>
      <c r="AE54" s="9">
        <f>WC!AC7-WC!AB7</f>
        <v>-614.06065531657532</v>
      </c>
    </row>
    <row r="55" spans="1:31">
      <c r="F55" s="11"/>
      <c r="G55" s="11"/>
      <c r="H55" s="12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</row>
    <row r="56" spans="1:31">
      <c r="A56" s="29" t="s">
        <v>1164</v>
      </c>
      <c r="B56" s="29"/>
      <c r="C56" s="30"/>
      <c r="D56" s="30"/>
      <c r="E56" s="30"/>
      <c r="F56" s="30"/>
      <c r="G56" s="30"/>
      <c r="H56" s="30">
        <f>SUM(H45:H46,H53:H55)-SUM(H47:H52)</f>
        <v>-929.16602023999985</v>
      </c>
      <c r="I56" s="30">
        <f>SUM(I45:I46,I53:I55)-SUM(I47:I52)</f>
        <v>-787.0100000000001</v>
      </c>
      <c r="J56" s="30">
        <f>SUM(J45:J46,J53:J55)-SUM(J47:J52)</f>
        <v>-86.110000000000042</v>
      </c>
      <c r="K56" s="30">
        <f t="shared" ref="K56:AE56" si="17">SUM(K45:K46,K53:K55)-SUM(K47:K52)</f>
        <v>722.46000000000015</v>
      </c>
      <c r="L56" s="30">
        <f t="shared" si="17"/>
        <v>140.08000000000033</v>
      </c>
      <c r="M56" s="30">
        <f t="shared" si="17"/>
        <v>126.9300000000004</v>
      </c>
      <c r="N56" s="30">
        <f t="shared" si="17"/>
        <v>-1002.2541599804199</v>
      </c>
      <c r="O56" s="30">
        <f t="shared" si="17"/>
        <v>-1083.9764287410605</v>
      </c>
      <c r="P56" s="30">
        <f t="shared" si="17"/>
        <v>-1169.443825245105</v>
      </c>
      <c r="Q56" s="30">
        <f t="shared" si="17"/>
        <v>-1209.1619027183121</v>
      </c>
      <c r="R56" s="30">
        <f t="shared" si="17"/>
        <v>-1304.9835973211939</v>
      </c>
      <c r="S56" s="30">
        <f t="shared" si="17"/>
        <v>-1369.5893939640373</v>
      </c>
      <c r="T56" s="30">
        <f t="shared" si="17"/>
        <v>-1371.7582865067868</v>
      </c>
      <c r="U56" s="30">
        <f t="shared" si="17"/>
        <v>-1525.0926086174609</v>
      </c>
      <c r="V56" s="30">
        <f t="shared" si="17"/>
        <v>-1638.9456836098664</v>
      </c>
      <c r="W56" s="30">
        <f t="shared" si="17"/>
        <v>-1695.4587354656508</v>
      </c>
      <c r="X56" s="30">
        <f t="shared" si="17"/>
        <v>-1726.0624767775096</v>
      </c>
      <c r="Y56" s="30">
        <f t="shared" si="17"/>
        <v>-1907.7490730390607</v>
      </c>
      <c r="Z56" s="30">
        <f t="shared" si="17"/>
        <v>-1922.1556881505203</v>
      </c>
      <c r="AA56" s="30">
        <f t="shared" si="17"/>
        <v>-2099.2335661002417</v>
      </c>
      <c r="AB56" s="30">
        <f t="shared" si="17"/>
        <v>-2272.3430886752139</v>
      </c>
      <c r="AC56" s="30">
        <f t="shared" si="17"/>
        <v>-2172.3016356996031</v>
      </c>
      <c r="AD56" s="30">
        <f t="shared" si="17"/>
        <v>-1905.6631538349902</v>
      </c>
      <c r="AE56" s="30">
        <f t="shared" si="17"/>
        <v>-813.0514561966213</v>
      </c>
    </row>
    <row r="57" spans="1:31">
      <c r="H57" s="9"/>
    </row>
    <row r="58" spans="1:31">
      <c r="A58" s="4" t="s">
        <v>1165</v>
      </c>
      <c r="B58" s="4"/>
      <c r="H58" s="9"/>
    </row>
    <row r="59" spans="1:31" ht="13.5" customHeight="1">
      <c r="A59" t="s">
        <v>1166</v>
      </c>
      <c r="F59" s="31"/>
      <c r="G59" s="11"/>
      <c r="H59" s="9">
        <f>Assum!C136</f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</row>
    <row r="60" spans="1:31" ht="13.5" customHeight="1">
      <c r="A60" t="s">
        <v>1167</v>
      </c>
      <c r="F60" s="31"/>
      <c r="G60" s="11"/>
      <c r="H60" s="9">
        <f>Assum!C137</f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</row>
    <row r="61" spans="1:31" ht="13.5" customHeight="1">
      <c r="A61" t="s">
        <v>1168</v>
      </c>
      <c r="F61" s="31"/>
      <c r="G61" s="11"/>
      <c r="H61" s="9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</row>
    <row r="62" spans="1:31" ht="13.5" customHeight="1">
      <c r="A62" t="s">
        <v>1169</v>
      </c>
      <c r="F62" s="31"/>
      <c r="G62" s="11"/>
      <c r="H62" s="9">
        <f>Assum!B88-Assum!B85-Assum!C136</f>
        <v>15.635263703472773</v>
      </c>
      <c r="I62" s="11">
        <f>Debt!B24*(1-Assum!$B$100)</f>
        <v>1.3986666591803794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</row>
    <row r="63" spans="1:31">
      <c r="A63" t="s">
        <v>1170</v>
      </c>
      <c r="F63" s="9"/>
      <c r="G63" s="9"/>
      <c r="H63" s="9" t="e">
        <f ca="1">Debt!D52</f>
        <v>#DIV/0!</v>
      </c>
      <c r="I63" s="9" t="e">
        <f ca="1">Debt!E52</f>
        <v>#DIV/0!</v>
      </c>
      <c r="J63" s="9" t="e">
        <f ca="1">Debt!F52</f>
        <v>#DIV/0!</v>
      </c>
      <c r="K63" s="9" t="e">
        <f ca="1">Debt!G52</f>
        <v>#DIV/0!</v>
      </c>
      <c r="L63" s="9" t="e">
        <f ca="1">Debt!H52</f>
        <v>#DIV/0!</v>
      </c>
      <c r="M63" s="9" t="e">
        <f ca="1">Debt!I52</f>
        <v>#DIV/0!</v>
      </c>
      <c r="N63" s="9" t="e">
        <f ca="1">Debt!J52</f>
        <v>#DIV/0!</v>
      </c>
      <c r="O63" s="9" t="e">
        <f ca="1">Debt!K52</f>
        <v>#DIV/0!</v>
      </c>
      <c r="P63" s="9" t="e">
        <f ca="1">Debt!L52</f>
        <v>#DIV/0!</v>
      </c>
      <c r="Q63" s="9" t="e">
        <f ca="1">Debt!M52</f>
        <v>#DIV/0!</v>
      </c>
      <c r="R63" s="9" t="e">
        <f ca="1">Debt!N52</f>
        <v>#DIV/0!</v>
      </c>
      <c r="S63" s="9" t="e">
        <f ca="1">Debt!O52</f>
        <v>#DIV/0!</v>
      </c>
      <c r="T63" s="9" t="e">
        <f ca="1">Debt!P52</f>
        <v>#DIV/0!</v>
      </c>
      <c r="U63" s="9" t="e">
        <f ca="1">Debt!Q52</f>
        <v>#DIV/0!</v>
      </c>
      <c r="V63" s="9" t="e">
        <f ca="1">Debt!R52</f>
        <v>#DIV/0!</v>
      </c>
      <c r="W63" s="9" t="e">
        <f ca="1">Debt!S52</f>
        <v>#DIV/0!</v>
      </c>
      <c r="X63" s="9" t="e">
        <f ca="1">Debt!T52</f>
        <v>#DIV/0!</v>
      </c>
      <c r="Y63" s="9" t="e">
        <f ca="1">Debt!U52</f>
        <v>#DIV/0!</v>
      </c>
      <c r="Z63" s="9" t="e">
        <f ca="1">Debt!V52</f>
        <v>#DIV/0!</v>
      </c>
      <c r="AA63" s="9" t="e">
        <f ca="1">Debt!W52</f>
        <v>#DIV/0!</v>
      </c>
      <c r="AB63" s="9" t="e">
        <f ca="1">Debt!X52</f>
        <v>#DIV/0!</v>
      </c>
      <c r="AC63" s="9" t="e">
        <f ca="1">Debt!Y52</f>
        <v>#DIV/0!</v>
      </c>
      <c r="AD63" s="9" t="e">
        <f ca="1">Debt!Z52</f>
        <v>#DIV/0!</v>
      </c>
      <c r="AE63" s="9" t="e">
        <f ca="1">Debt!AA52</f>
        <v>#DIV/0!</v>
      </c>
    </row>
    <row r="64" spans="1:31">
      <c r="A64" t="s">
        <v>1171</v>
      </c>
      <c r="F64" s="11"/>
      <c r="G64" s="11"/>
      <c r="H64" s="9">
        <f>Debt!D112</f>
        <v>0</v>
      </c>
      <c r="I64" s="9">
        <f>Debt!E112</f>
        <v>0</v>
      </c>
      <c r="J64" s="9">
        <f>Debt!F112</f>
        <v>0</v>
      </c>
      <c r="K64" s="9">
        <f>Debt!G112</f>
        <v>0</v>
      </c>
      <c r="L64" s="9">
        <f>Debt!H112</f>
        <v>0</v>
      </c>
      <c r="M64" s="9">
        <f>Debt!I112</f>
        <v>0</v>
      </c>
      <c r="N64" s="9">
        <f>Debt!J112</f>
        <v>0</v>
      </c>
      <c r="O64" s="9">
        <f>Debt!K112</f>
        <v>0</v>
      </c>
      <c r="P64" s="9">
        <f>Debt!L112</f>
        <v>0</v>
      </c>
      <c r="Q64" s="9">
        <f>Debt!M112</f>
        <v>0</v>
      </c>
      <c r="R64" s="9">
        <f>Debt!N112</f>
        <v>0</v>
      </c>
      <c r="S64" s="9">
        <f>Debt!O112</f>
        <v>0</v>
      </c>
      <c r="T64" s="9">
        <f>Debt!P112</f>
        <v>0</v>
      </c>
      <c r="U64" s="9">
        <f>Debt!Q112</f>
        <v>0</v>
      </c>
      <c r="V64" s="9">
        <f>Debt!R112</f>
        <v>0</v>
      </c>
      <c r="W64" s="9">
        <f>Debt!S112</f>
        <v>0</v>
      </c>
      <c r="X64" s="9">
        <f>Debt!T112</f>
        <v>0</v>
      </c>
      <c r="Y64" s="9">
        <f>Debt!U112</f>
        <v>0</v>
      </c>
      <c r="Z64" s="9">
        <f>Debt!V112</f>
        <v>0</v>
      </c>
      <c r="AA64" s="9">
        <f>Debt!W112</f>
        <v>0</v>
      </c>
      <c r="AB64" s="9">
        <f>Debt!X112</f>
        <v>0</v>
      </c>
      <c r="AC64" s="9">
        <f>Debt!Y112</f>
        <v>0</v>
      </c>
      <c r="AD64" s="9">
        <f>Debt!Z112</f>
        <v>0</v>
      </c>
      <c r="AE64" s="9">
        <f>Debt!AA112</f>
        <v>0</v>
      </c>
    </row>
    <row r="65" spans="1:32">
      <c r="A65" t="s">
        <v>1172</v>
      </c>
      <c r="F65" s="11"/>
      <c r="G65" s="31"/>
      <c r="H65" s="9">
        <f>H103</f>
        <v>0</v>
      </c>
      <c r="I65" s="11">
        <f t="shared" ref="I65:P65" si="18">I103-H103</f>
        <v>0</v>
      </c>
      <c r="J65" s="11">
        <f t="shared" si="18"/>
        <v>0</v>
      </c>
      <c r="K65" s="11">
        <f t="shared" si="18"/>
        <v>0</v>
      </c>
      <c r="L65" s="11">
        <f t="shared" si="18"/>
        <v>0</v>
      </c>
      <c r="M65" s="11">
        <f t="shared" si="18"/>
        <v>0</v>
      </c>
      <c r="N65" s="11">
        <f t="shared" si="18"/>
        <v>0</v>
      </c>
      <c r="O65" s="11">
        <f t="shared" si="18"/>
        <v>0</v>
      </c>
      <c r="P65" s="11">
        <f t="shared" si="18"/>
        <v>0</v>
      </c>
      <c r="Q65" s="11">
        <f t="shared" ref="Q65:AE65" si="19">Q103-P103</f>
        <v>0</v>
      </c>
      <c r="R65" s="11">
        <f t="shared" si="19"/>
        <v>0</v>
      </c>
      <c r="S65" s="11">
        <f t="shared" si="19"/>
        <v>0</v>
      </c>
      <c r="T65" s="11">
        <f t="shared" si="19"/>
        <v>0</v>
      </c>
      <c r="U65" s="11">
        <f t="shared" si="19"/>
        <v>0</v>
      </c>
      <c r="V65" s="11">
        <f t="shared" si="19"/>
        <v>0</v>
      </c>
      <c r="W65" s="11">
        <f t="shared" si="19"/>
        <v>0</v>
      </c>
      <c r="X65" s="11">
        <f t="shared" si="19"/>
        <v>0</v>
      </c>
      <c r="Y65" s="11">
        <f t="shared" si="19"/>
        <v>0</v>
      </c>
      <c r="Z65" s="11">
        <f t="shared" si="19"/>
        <v>0</v>
      </c>
      <c r="AA65" s="11">
        <f t="shared" si="19"/>
        <v>0</v>
      </c>
      <c r="AB65" s="11">
        <f t="shared" si="19"/>
        <v>0</v>
      </c>
      <c r="AC65" s="11">
        <f t="shared" si="19"/>
        <v>0</v>
      </c>
      <c r="AD65" s="11">
        <f t="shared" si="19"/>
        <v>0</v>
      </c>
      <c r="AE65" s="11">
        <f t="shared" si="19"/>
        <v>0</v>
      </c>
    </row>
    <row r="66" spans="1:32">
      <c r="A66" s="29" t="s">
        <v>1173</v>
      </c>
      <c r="B66" s="29"/>
      <c r="C66" s="32"/>
      <c r="D66" s="32"/>
      <c r="E66" s="30"/>
      <c r="F66" s="30"/>
      <c r="G66" s="30"/>
      <c r="H66" s="30" t="e">
        <f ca="1">SUM(H59:H62,H65)-SUM(H63:H64)</f>
        <v>#DIV/0!</v>
      </c>
      <c r="I66" s="30" t="e">
        <f ca="1">SUM(I59:I62)-SUM(I63:I64)</f>
        <v>#DIV/0!</v>
      </c>
      <c r="J66" s="30" t="e">
        <f ca="1">SUM(J59:J62)-SUM(J63:J64)</f>
        <v>#DIV/0!</v>
      </c>
      <c r="K66" s="30" t="e">
        <f t="shared" ref="K66:AD66" ca="1" si="20">SUM(K59:K62)-SUM(K63:K64)</f>
        <v>#DIV/0!</v>
      </c>
      <c r="L66" s="30" t="e">
        <f t="shared" ca="1" si="20"/>
        <v>#DIV/0!</v>
      </c>
      <c r="M66" s="30" t="e">
        <f t="shared" ca="1" si="20"/>
        <v>#DIV/0!</v>
      </c>
      <c r="N66" s="30" t="e">
        <f t="shared" ca="1" si="20"/>
        <v>#DIV/0!</v>
      </c>
      <c r="O66" s="30" t="e">
        <f t="shared" ca="1" si="20"/>
        <v>#DIV/0!</v>
      </c>
      <c r="P66" s="30" t="e">
        <f t="shared" ca="1" si="20"/>
        <v>#DIV/0!</v>
      </c>
      <c r="Q66" s="30" t="e">
        <f t="shared" ca="1" si="20"/>
        <v>#DIV/0!</v>
      </c>
      <c r="R66" s="30" t="e">
        <f t="shared" ca="1" si="20"/>
        <v>#DIV/0!</v>
      </c>
      <c r="S66" s="30" t="e">
        <f t="shared" ca="1" si="20"/>
        <v>#DIV/0!</v>
      </c>
      <c r="T66" s="30" t="e">
        <f t="shared" ca="1" si="20"/>
        <v>#DIV/0!</v>
      </c>
      <c r="U66" s="30" t="e">
        <f t="shared" ca="1" si="20"/>
        <v>#DIV/0!</v>
      </c>
      <c r="V66" s="30" t="e">
        <f t="shared" ca="1" si="20"/>
        <v>#DIV/0!</v>
      </c>
      <c r="W66" s="30" t="e">
        <f t="shared" ca="1" si="20"/>
        <v>#DIV/0!</v>
      </c>
      <c r="X66" s="30" t="e">
        <f t="shared" ca="1" si="20"/>
        <v>#DIV/0!</v>
      </c>
      <c r="Y66" s="30" t="e">
        <f t="shared" ca="1" si="20"/>
        <v>#DIV/0!</v>
      </c>
      <c r="Z66" s="30" t="e">
        <f t="shared" ca="1" si="20"/>
        <v>#DIV/0!</v>
      </c>
      <c r="AA66" s="30" t="e">
        <f t="shared" ca="1" si="20"/>
        <v>#DIV/0!</v>
      </c>
      <c r="AB66" s="30" t="e">
        <f t="shared" ca="1" si="20"/>
        <v>#DIV/0!</v>
      </c>
      <c r="AC66" s="30" t="e">
        <f t="shared" ca="1" si="20"/>
        <v>#DIV/0!</v>
      </c>
      <c r="AD66" s="30" t="e">
        <f t="shared" ca="1" si="20"/>
        <v>#DIV/0!</v>
      </c>
      <c r="AE66" s="30" t="e">
        <f ca="1">SUM(AE59:AE62,AE65:AE71)-SUM(AE63:AE64)</f>
        <v>#DIV/0!</v>
      </c>
    </row>
    <row r="67" spans="1:32">
      <c r="H67" s="9"/>
    </row>
    <row r="68" spans="1:32">
      <c r="A68" s="4" t="s">
        <v>1174</v>
      </c>
      <c r="B68" s="4"/>
      <c r="H68" s="9"/>
    </row>
    <row r="69" spans="1:32">
      <c r="A69" t="s">
        <v>1175</v>
      </c>
      <c r="F69" s="31"/>
      <c r="G69" s="31"/>
      <c r="H69" s="11">
        <f>Dep!F4</f>
        <v>435.22978999999998</v>
      </c>
      <c r="I69" s="11">
        <f>Dep!G4</f>
        <v>0</v>
      </c>
      <c r="J69" s="11">
        <f>Dep!H4</f>
        <v>0</v>
      </c>
      <c r="K69" s="11">
        <f>Dep!I4</f>
        <v>0</v>
      </c>
      <c r="L69" s="11">
        <f>Dep!J4</f>
        <v>0</v>
      </c>
      <c r="M69" s="11">
        <f>Dep!K4</f>
        <v>0</v>
      </c>
      <c r="N69" s="11">
        <f>Dep!L4</f>
        <v>0</v>
      </c>
      <c r="O69" s="11">
        <f>Dep!M4</f>
        <v>0</v>
      </c>
      <c r="P69" s="11">
        <f>Dep!N4</f>
        <v>0</v>
      </c>
      <c r="Q69" s="11">
        <f>Dep!O4</f>
        <v>0</v>
      </c>
      <c r="R69" s="11">
        <f>Dep!P4</f>
        <v>0</v>
      </c>
      <c r="S69" s="11">
        <f>Dep!Q4</f>
        <v>0</v>
      </c>
      <c r="T69" s="11">
        <f>Dep!R4</f>
        <v>0</v>
      </c>
      <c r="U69" s="11">
        <f>Dep!S4</f>
        <v>0</v>
      </c>
      <c r="V69" s="11">
        <f>Dep!T4</f>
        <v>0</v>
      </c>
      <c r="W69" s="11">
        <f>Dep!U4</f>
        <v>0</v>
      </c>
      <c r="X69" s="11">
        <f>Dep!V4</f>
        <v>0</v>
      </c>
      <c r="Y69" s="11">
        <f>Dep!W4</f>
        <v>0</v>
      </c>
      <c r="Z69" s="11">
        <f>Dep!X4</f>
        <v>0</v>
      </c>
      <c r="AA69" s="11">
        <f>Dep!Y4</f>
        <v>0</v>
      </c>
      <c r="AB69" s="11">
        <f>Dep!Z4</f>
        <v>0</v>
      </c>
      <c r="AC69" s="11">
        <f>Dep!AA4</f>
        <v>0</v>
      </c>
      <c r="AD69" s="11">
        <f>Dep!AB4</f>
        <v>0</v>
      </c>
      <c r="AE69" s="11">
        <f>Dep!AC4</f>
        <v>0</v>
      </c>
    </row>
    <row r="70" spans="1:32">
      <c r="A70" t="s">
        <v>1176</v>
      </c>
      <c r="F70" s="11"/>
      <c r="G70" s="31"/>
      <c r="H70" s="9">
        <f>-E117</f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</row>
    <row r="71" spans="1:32">
      <c r="A71" t="s">
        <v>149</v>
      </c>
      <c r="F71" s="11"/>
      <c r="G71" s="31"/>
      <c r="H71" s="9">
        <f>IF(Assum!$D$122=H1,Assum!$B$122,0)</f>
        <v>42</v>
      </c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</row>
    <row r="72" spans="1:32">
      <c r="A72" t="s">
        <v>1177</v>
      </c>
      <c r="F72" s="11"/>
      <c r="G72" s="11"/>
      <c r="H72" s="9">
        <f>G72+F72</f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</row>
    <row r="73" spans="1:32">
      <c r="A73" t="s">
        <v>1178</v>
      </c>
      <c r="F73" s="11"/>
      <c r="G73" s="31"/>
      <c r="H73" s="9">
        <f>G73+F73</f>
        <v>0</v>
      </c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</row>
    <row r="74" spans="1:32">
      <c r="A74" s="29" t="s">
        <v>1179</v>
      </c>
      <c r="B74" s="29"/>
      <c r="C74" s="32"/>
      <c r="D74" s="32"/>
      <c r="E74" s="34"/>
      <c r="F74" s="34"/>
      <c r="G74" s="34"/>
      <c r="H74" s="34">
        <f>-SUM(H69:H73)</f>
        <v>-477.22978999999998</v>
      </c>
      <c r="I74" s="34">
        <f t="shared" ref="I74:AE74" si="21">SUM(I69:I73)</f>
        <v>0</v>
      </c>
      <c r="J74" s="34">
        <f t="shared" si="21"/>
        <v>0</v>
      </c>
      <c r="K74" s="34">
        <f t="shared" si="21"/>
        <v>0</v>
      </c>
      <c r="L74" s="34">
        <f t="shared" si="21"/>
        <v>0</v>
      </c>
      <c r="M74" s="34">
        <f t="shared" si="21"/>
        <v>0</v>
      </c>
      <c r="N74" s="34">
        <f t="shared" si="21"/>
        <v>0</v>
      </c>
      <c r="O74" s="34">
        <f t="shared" si="21"/>
        <v>0</v>
      </c>
      <c r="P74" s="34">
        <f t="shared" si="21"/>
        <v>0</v>
      </c>
      <c r="Q74" s="34">
        <f t="shared" si="21"/>
        <v>0</v>
      </c>
      <c r="R74" s="34">
        <f t="shared" si="21"/>
        <v>0</v>
      </c>
      <c r="S74" s="34">
        <f t="shared" si="21"/>
        <v>0</v>
      </c>
      <c r="T74" s="34">
        <f t="shared" si="21"/>
        <v>0</v>
      </c>
      <c r="U74" s="34">
        <f t="shared" si="21"/>
        <v>0</v>
      </c>
      <c r="V74" s="34">
        <f t="shared" si="21"/>
        <v>0</v>
      </c>
      <c r="W74" s="34">
        <f t="shared" si="21"/>
        <v>0</v>
      </c>
      <c r="X74" s="34">
        <f t="shared" si="21"/>
        <v>0</v>
      </c>
      <c r="Y74" s="34">
        <f t="shared" si="21"/>
        <v>0</v>
      </c>
      <c r="Z74" s="34">
        <f t="shared" si="21"/>
        <v>0</v>
      </c>
      <c r="AA74" s="34">
        <f t="shared" si="21"/>
        <v>0</v>
      </c>
      <c r="AB74" s="34">
        <f t="shared" si="21"/>
        <v>0</v>
      </c>
      <c r="AC74" s="34">
        <f t="shared" si="21"/>
        <v>0</v>
      </c>
      <c r="AD74" s="34">
        <f t="shared" si="21"/>
        <v>0</v>
      </c>
      <c r="AE74" s="34">
        <f t="shared" si="21"/>
        <v>0</v>
      </c>
    </row>
    <row r="75" spans="1:32">
      <c r="A75" s="1"/>
      <c r="B75" s="1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pans="1:32">
      <c r="A76" s="1" t="s">
        <v>1180</v>
      </c>
      <c r="B76" s="1"/>
      <c r="C76" s="1"/>
      <c r="D76" s="1"/>
      <c r="E76" s="35"/>
      <c r="F76" s="35"/>
      <c r="G76" s="35"/>
      <c r="H76" s="35" t="e">
        <f ca="1">H56+H66+H74</f>
        <v>#DIV/0!</v>
      </c>
      <c r="I76" s="35" t="e">
        <f t="shared" ref="I76:AE76" ca="1" si="22">I56+I66+I74</f>
        <v>#DIV/0!</v>
      </c>
      <c r="J76" s="35" t="e">
        <f t="shared" ca="1" si="22"/>
        <v>#DIV/0!</v>
      </c>
      <c r="K76" s="35" t="e">
        <f t="shared" ca="1" si="22"/>
        <v>#DIV/0!</v>
      </c>
      <c r="L76" s="35" t="e">
        <f t="shared" ca="1" si="22"/>
        <v>#DIV/0!</v>
      </c>
      <c r="M76" s="35" t="e">
        <f t="shared" ca="1" si="22"/>
        <v>#DIV/0!</v>
      </c>
      <c r="N76" s="35" t="e">
        <f t="shared" ca="1" si="22"/>
        <v>#DIV/0!</v>
      </c>
      <c r="O76" s="35" t="e">
        <f t="shared" ca="1" si="22"/>
        <v>#DIV/0!</v>
      </c>
      <c r="P76" s="35" t="e">
        <f t="shared" ca="1" si="22"/>
        <v>#DIV/0!</v>
      </c>
      <c r="Q76" s="35" t="e">
        <f t="shared" ca="1" si="22"/>
        <v>#DIV/0!</v>
      </c>
      <c r="R76" s="35" t="e">
        <f t="shared" ca="1" si="22"/>
        <v>#DIV/0!</v>
      </c>
      <c r="S76" s="35" t="e">
        <f t="shared" ca="1" si="22"/>
        <v>#DIV/0!</v>
      </c>
      <c r="T76" s="35" t="e">
        <f t="shared" ca="1" si="22"/>
        <v>#DIV/0!</v>
      </c>
      <c r="U76" s="35" t="e">
        <f t="shared" ca="1" si="22"/>
        <v>#DIV/0!</v>
      </c>
      <c r="V76" s="35" t="e">
        <f t="shared" ca="1" si="22"/>
        <v>#DIV/0!</v>
      </c>
      <c r="W76" s="35" t="e">
        <f t="shared" ca="1" si="22"/>
        <v>#DIV/0!</v>
      </c>
      <c r="X76" s="35" t="e">
        <f t="shared" ca="1" si="22"/>
        <v>#DIV/0!</v>
      </c>
      <c r="Y76" s="35" t="e">
        <f t="shared" ca="1" si="22"/>
        <v>#DIV/0!</v>
      </c>
      <c r="Z76" s="35" t="e">
        <f t="shared" ca="1" si="22"/>
        <v>#DIV/0!</v>
      </c>
      <c r="AA76" s="35" t="e">
        <f t="shared" ca="1" si="22"/>
        <v>#DIV/0!</v>
      </c>
      <c r="AB76" s="35" t="e">
        <f t="shared" ca="1" si="22"/>
        <v>#DIV/0!</v>
      </c>
      <c r="AC76" s="35" t="e">
        <f t="shared" ca="1" si="22"/>
        <v>#DIV/0!</v>
      </c>
      <c r="AD76" s="35" t="e">
        <f t="shared" ca="1" si="22"/>
        <v>#DIV/0!</v>
      </c>
      <c r="AE76" s="35" t="e">
        <f t="shared" ca="1" si="22"/>
        <v>#DIV/0!</v>
      </c>
      <c r="AF76" s="35"/>
    </row>
    <row r="77" spans="1:32" s="3" customFormat="1">
      <c r="A77" s="4" t="s">
        <v>1181</v>
      </c>
      <c r="B77" s="4"/>
      <c r="C77" s="4"/>
      <c r="D77" s="4"/>
      <c r="E77" s="4"/>
      <c r="F77" s="36"/>
      <c r="G77" s="36"/>
      <c r="H77" s="36" t="e">
        <f ca="1">H76+E87</f>
        <v>#DIV/0!</v>
      </c>
      <c r="I77" s="36" t="e">
        <f t="shared" ref="I77:AE77" ca="1" si="23">I76+H87</f>
        <v>#DIV/0!</v>
      </c>
      <c r="J77" s="36" t="e">
        <f t="shared" ca="1" si="23"/>
        <v>#DIV/0!</v>
      </c>
      <c r="K77" s="36" t="e">
        <f t="shared" ca="1" si="23"/>
        <v>#DIV/0!</v>
      </c>
      <c r="L77" s="36" t="e">
        <f t="shared" ca="1" si="23"/>
        <v>#DIV/0!</v>
      </c>
      <c r="M77" s="36" t="e">
        <f t="shared" ca="1" si="23"/>
        <v>#DIV/0!</v>
      </c>
      <c r="N77" s="36" t="e">
        <f t="shared" ca="1" si="23"/>
        <v>#DIV/0!</v>
      </c>
      <c r="O77" s="36" t="e">
        <f t="shared" ca="1" si="23"/>
        <v>#DIV/0!</v>
      </c>
      <c r="P77" s="36" t="e">
        <f t="shared" ca="1" si="23"/>
        <v>#DIV/0!</v>
      </c>
      <c r="Q77" s="36" t="e">
        <f t="shared" ca="1" si="23"/>
        <v>#DIV/0!</v>
      </c>
      <c r="R77" s="36" t="e">
        <f t="shared" ca="1" si="23"/>
        <v>#DIV/0!</v>
      </c>
      <c r="S77" s="36" t="e">
        <f t="shared" ca="1" si="23"/>
        <v>#DIV/0!</v>
      </c>
      <c r="T77" s="36" t="e">
        <f t="shared" ca="1" si="23"/>
        <v>#DIV/0!</v>
      </c>
      <c r="U77" s="36" t="e">
        <f t="shared" ca="1" si="23"/>
        <v>#DIV/0!</v>
      </c>
      <c r="V77" s="36" t="e">
        <f t="shared" ca="1" si="23"/>
        <v>#DIV/0!</v>
      </c>
      <c r="W77" s="36" t="e">
        <f t="shared" ca="1" si="23"/>
        <v>#DIV/0!</v>
      </c>
      <c r="X77" s="36" t="e">
        <f t="shared" ca="1" si="23"/>
        <v>#DIV/0!</v>
      </c>
      <c r="Y77" s="36" t="e">
        <f t="shared" ca="1" si="23"/>
        <v>#DIV/0!</v>
      </c>
      <c r="Z77" s="36" t="e">
        <f t="shared" ca="1" si="23"/>
        <v>#DIV/0!</v>
      </c>
      <c r="AA77" s="36" t="e">
        <f t="shared" ca="1" si="23"/>
        <v>#DIV/0!</v>
      </c>
      <c r="AB77" s="36" t="e">
        <f t="shared" ca="1" si="23"/>
        <v>#DIV/0!</v>
      </c>
      <c r="AC77" s="36" t="e">
        <f t="shared" ca="1" si="23"/>
        <v>#DIV/0!</v>
      </c>
      <c r="AD77" s="36" t="e">
        <f t="shared" ca="1" si="23"/>
        <v>#DIV/0!</v>
      </c>
      <c r="AE77" s="36" t="e">
        <f t="shared" ca="1" si="23"/>
        <v>#DIV/0!</v>
      </c>
    </row>
    <row r="78" spans="1:32" s="3" customFormat="1">
      <c r="A78" s="3" t="s">
        <v>146</v>
      </c>
      <c r="F78" s="37"/>
      <c r="G78" s="37"/>
      <c r="H78" s="37" t="e">
        <f ca="1">IF(H77&gt;Assum!$B$68,MIN(Assum!$B$119-Assum!$C$141-SUM($G78:G78),H77-Assum!$B$68),0)*0</f>
        <v>#DIV/0!</v>
      </c>
      <c r="I78" s="37" t="e">
        <f ca="1">IF(I77&gt;Assum!$B$68,MIN(Assum!$B$119-Assum!$C$141-SUM($H78:H78),I77-Assum!$B$68),0)*0</f>
        <v>#DIV/0!</v>
      </c>
      <c r="J78" s="37" t="e">
        <f ca="1">IF(J77&gt;Assum!$B$68,MIN(Assum!$B$119-Assum!$C$141-SUM($H78:I78),J77-Assum!$B$68),0)</f>
        <v>#DIV/0!</v>
      </c>
      <c r="K78" s="37" t="e">
        <f ca="1">IF(K77&gt;Assum!$B$68,MIN(Assum!$B$119-Assum!$C$141-SUM($H78:J78),K77-Assum!$B$68),0)</f>
        <v>#DIV/0!</v>
      </c>
      <c r="L78" s="37" t="e">
        <f ca="1">IF(L77&gt;Assum!$B$68,MIN(Assum!$B$119-Assum!$C$141-SUM($H78:K78),L77-Assum!$B$68),0)</f>
        <v>#DIV/0!</v>
      </c>
      <c r="M78" s="37" t="e">
        <f ca="1">IF(M77&gt;Assum!$B$68,MIN(Assum!$B$119-Assum!$C$141-SUM($H78:L78),M77-Assum!$B$68),0)</f>
        <v>#DIV/0!</v>
      </c>
      <c r="N78" s="37" t="e">
        <f ca="1">IF(N77&gt;Assum!$B$68,MIN(Assum!$B$119-Assum!$C$141-SUM($H78:M78),N77-Assum!$B$68),0)</f>
        <v>#DIV/0!</v>
      </c>
      <c r="O78" s="37" t="e">
        <f ca="1">IF(O77&gt;Assum!$B$68,MIN(Assum!$B$119-Assum!$C$141-SUM($H78:N78),O77-Assum!$B$68),0)</f>
        <v>#DIV/0!</v>
      </c>
      <c r="P78" s="37" t="e">
        <f ca="1">IF(P77&gt;Assum!$B$68,MIN(Assum!$B$119-Assum!$C$141-SUM($H78:O78),P77-Assum!$B$68),0)</f>
        <v>#DIV/0!</v>
      </c>
      <c r="Q78" s="37" t="e">
        <f ca="1">IF(Q77&gt;Assum!$B$68,MIN(Assum!$B$119-Assum!$C$141-SUM($H78:P78),Q77-Assum!$B$68),0)</f>
        <v>#DIV/0!</v>
      </c>
      <c r="R78" s="37" t="e">
        <f ca="1">IF(R77&gt;Assum!$B$68,MIN(Assum!$B$119-Assum!$C$141-SUM($H78:Q78),R77-Assum!$B$68),0)</f>
        <v>#DIV/0!</v>
      </c>
      <c r="S78" s="37" t="e">
        <f ca="1">IF(S77&gt;Assum!$B$68,MIN(Assum!$B$119-Assum!$C$141-SUM($H78:R78),S77-Assum!$B$68),0)</f>
        <v>#DIV/0!</v>
      </c>
      <c r="T78" s="37" t="e">
        <f ca="1">IF(T77&gt;Assum!$B$68,MIN(Assum!$B$119-Assum!$C$141-SUM($H78:S78),T77-Assum!$B$68),0)</f>
        <v>#DIV/0!</v>
      </c>
      <c r="U78" s="37" t="e">
        <f ca="1">IF(U77&gt;Assum!$B$68,MIN(Assum!$B$119-Assum!$C$141-SUM($H78:T78),U77-Assum!$B$68),0)</f>
        <v>#DIV/0!</v>
      </c>
      <c r="V78" s="37" t="e">
        <f ca="1">IF(V77&gt;Assum!$B$68,MIN(Assum!$B$119-Assum!$C$141-SUM($H78:U78),V77-Assum!$B$68),0)</f>
        <v>#DIV/0!</v>
      </c>
      <c r="W78" s="37" t="e">
        <f ca="1">IF(W77&gt;Assum!$B$68,MIN(Assum!$B$119-Assum!$C$141-SUM($H78:V78),W77-Assum!$B$68),0)</f>
        <v>#DIV/0!</v>
      </c>
      <c r="X78" s="37" t="e">
        <f ca="1">IF(X77&gt;Assum!$B$68,MIN(Assum!$B$119-Assum!$C$141-SUM($H78:W78),X77-Assum!$B$68),0)</f>
        <v>#DIV/0!</v>
      </c>
      <c r="Y78" s="37" t="e">
        <f ca="1">IF(Y77&gt;Assum!$B$68,MIN(Assum!$B$119-Assum!$C$141-SUM($H78:X78),Y77-Assum!$B$68),0)</f>
        <v>#DIV/0!</v>
      </c>
      <c r="Z78" s="37" t="e">
        <f ca="1">IF(Z77&gt;Assum!$B$68,MIN(Assum!$B$119-Assum!$C$141-SUM($H78:Y78),Z77-Assum!$B$68),0)</f>
        <v>#DIV/0!</v>
      </c>
      <c r="AA78" s="37" t="e">
        <f ca="1">IF(AA77&gt;Assum!$B$68,MIN(Assum!$B$119-Assum!$C$141-SUM($H78:Z78),AA77-Assum!$B$68),0)</f>
        <v>#DIV/0!</v>
      </c>
      <c r="AB78" s="37" t="e">
        <f ca="1">IF(AB77&gt;Assum!$B$68,MIN(Assum!$B$119-Assum!$C$141-SUM($H78:AA78),AB77-Assum!$B$68),0)</f>
        <v>#DIV/0!</v>
      </c>
      <c r="AC78" s="37" t="e">
        <f ca="1">IF(AC77&gt;Assum!$B$68,MIN(Assum!$B$119-Assum!$C$141-SUM($H78:AB78),AC77-Assum!$B$68),0)</f>
        <v>#DIV/0!</v>
      </c>
      <c r="AD78" s="37" t="e">
        <f ca="1">IF(AD77&gt;Assum!$B$68,MIN(Assum!$B$119-Assum!$C$141-SUM($H78:AC78),AD77-Assum!$B$68),0)</f>
        <v>#DIV/0!</v>
      </c>
      <c r="AE78" s="37" t="e">
        <f ca="1">IF(AE77&gt;Assum!$B$68,MIN(Assum!$B$119-Assum!$C$141-SUM($H78:AD78),AE77-Assum!$B$68),0)</f>
        <v>#DIV/0!</v>
      </c>
    </row>
    <row r="79" spans="1:32" s="3" customFormat="1">
      <c r="A79" s="4" t="s">
        <v>1182</v>
      </c>
      <c r="B79" s="4"/>
      <c r="F79" s="37"/>
      <c r="G79" s="37"/>
      <c r="H79" s="37" t="e">
        <f t="shared" ref="H79:AE79" ca="1" si="24">H77-H78</f>
        <v>#DIV/0!</v>
      </c>
      <c r="I79" s="37" t="e">
        <f t="shared" ca="1" si="24"/>
        <v>#DIV/0!</v>
      </c>
      <c r="J79" s="37" t="e">
        <f t="shared" ca="1" si="24"/>
        <v>#DIV/0!</v>
      </c>
      <c r="K79" s="37" t="e">
        <f t="shared" ca="1" si="24"/>
        <v>#DIV/0!</v>
      </c>
      <c r="L79" s="37" t="e">
        <f t="shared" ca="1" si="24"/>
        <v>#DIV/0!</v>
      </c>
      <c r="M79" s="37" t="e">
        <f t="shared" ca="1" si="24"/>
        <v>#DIV/0!</v>
      </c>
      <c r="N79" s="37" t="e">
        <f t="shared" ca="1" si="24"/>
        <v>#DIV/0!</v>
      </c>
      <c r="O79" s="37" t="e">
        <f t="shared" ca="1" si="24"/>
        <v>#DIV/0!</v>
      </c>
      <c r="P79" s="37" t="e">
        <f t="shared" ca="1" si="24"/>
        <v>#DIV/0!</v>
      </c>
      <c r="Q79" s="37" t="e">
        <f t="shared" ca="1" si="24"/>
        <v>#DIV/0!</v>
      </c>
      <c r="R79" s="37" t="e">
        <f t="shared" ca="1" si="24"/>
        <v>#DIV/0!</v>
      </c>
      <c r="S79" s="37" t="e">
        <f t="shared" ca="1" si="24"/>
        <v>#DIV/0!</v>
      </c>
      <c r="T79" s="37" t="e">
        <f t="shared" ca="1" si="24"/>
        <v>#DIV/0!</v>
      </c>
      <c r="U79" s="37" t="e">
        <f t="shared" ca="1" si="24"/>
        <v>#DIV/0!</v>
      </c>
      <c r="V79" s="37" t="e">
        <f t="shared" ca="1" si="24"/>
        <v>#DIV/0!</v>
      </c>
      <c r="W79" s="37" t="e">
        <f t="shared" ca="1" si="24"/>
        <v>#DIV/0!</v>
      </c>
      <c r="X79" s="37" t="e">
        <f t="shared" ca="1" si="24"/>
        <v>#DIV/0!</v>
      </c>
      <c r="Y79" s="37" t="e">
        <f t="shared" ca="1" si="24"/>
        <v>#DIV/0!</v>
      </c>
      <c r="Z79" s="37" t="e">
        <f t="shared" ca="1" si="24"/>
        <v>#DIV/0!</v>
      </c>
      <c r="AA79" s="37" t="e">
        <f t="shared" ca="1" si="24"/>
        <v>#DIV/0!</v>
      </c>
      <c r="AB79" s="37" t="e">
        <f t="shared" ca="1" si="24"/>
        <v>#DIV/0!</v>
      </c>
      <c r="AC79" s="37" t="e">
        <f t="shared" ca="1" si="24"/>
        <v>#DIV/0!</v>
      </c>
      <c r="AD79" s="37" t="e">
        <f t="shared" ca="1" si="24"/>
        <v>#DIV/0!</v>
      </c>
      <c r="AE79" s="37" t="e">
        <f t="shared" ca="1" si="24"/>
        <v>#DIV/0!</v>
      </c>
    </row>
    <row r="80" spans="1:32" s="3" customFormat="1">
      <c r="A80" s="3" t="s">
        <v>149</v>
      </c>
      <c r="F80" s="37"/>
      <c r="G80" s="37"/>
      <c r="H80" s="37" t="e">
        <f ca="1">IF(H79&gt;Assum!$B$68,MIN(Assum!$B$122-SUM($F80:G80),H79-Assum!$B$68),0)*0</f>
        <v>#DIV/0!</v>
      </c>
      <c r="I80" s="37" t="e">
        <f ca="1">IF(I79&gt;Assum!$B$68,MIN(Assum!$B$122-SUM($H80:H80),I79-Assum!$B$68),0)*0</f>
        <v>#DIV/0!</v>
      </c>
      <c r="J80" s="37" t="e">
        <f ca="1">IF(J79&gt;Assum!$B$68,MIN(Assum!$B$122-SUM($H80:I80),J79-Assum!$B$68),0)</f>
        <v>#DIV/0!</v>
      </c>
      <c r="K80" s="37" t="e">
        <f ca="1">IF(K79&gt;Assum!$B$68,MIN(Assum!$B$122-SUM($H80:J80),K79-Assum!$B$68),0)</f>
        <v>#DIV/0!</v>
      </c>
      <c r="L80" s="37" t="e">
        <f ca="1">IF(L79&gt;Assum!$B$68,MIN(Assum!$B$122-SUM($H80:K80),L79-Assum!$B$68),0)</f>
        <v>#DIV/0!</v>
      </c>
      <c r="M80" s="37" t="e">
        <f ca="1">IF(M79&gt;Assum!$B$68,MIN(Assum!$B$122-SUM($H80:L80),M79-Assum!$B$68),0)</f>
        <v>#DIV/0!</v>
      </c>
      <c r="N80" s="37" t="e">
        <f ca="1">IF(N79&gt;Assum!$B$68,MIN(Assum!$B$122-SUM($H80:M80),N79-Assum!$B$68),0)</f>
        <v>#DIV/0!</v>
      </c>
      <c r="O80" s="37" t="e">
        <f ca="1">IF(O79&gt;Assum!$B$68,MIN(Assum!$B$122-SUM($H80:N80),O79-Assum!$B$68),0)</f>
        <v>#DIV/0!</v>
      </c>
      <c r="P80" s="37" t="e">
        <f ca="1">IF(P79&gt;Assum!$B$68,MIN(Assum!$B$122-SUM($H80:O80),P79-Assum!$B$68),0)</f>
        <v>#DIV/0!</v>
      </c>
      <c r="Q80" s="37" t="e">
        <f ca="1">IF(Q79&gt;Assum!$B$68,MIN(Assum!$B$122-SUM($H80:P80),Q79-Assum!$B$68),0)</f>
        <v>#DIV/0!</v>
      </c>
      <c r="R80" s="37" t="e">
        <f ca="1">IF(R79&gt;Assum!$B$68,MIN(Assum!$B$122-SUM($H80:Q80),R79-Assum!$B$68),0)</f>
        <v>#DIV/0!</v>
      </c>
      <c r="S80" s="37" t="e">
        <f ca="1">IF(S79&gt;Assum!$B$68,MIN(Assum!$B$122-SUM($H80:R80),S79-Assum!$B$68),0)</f>
        <v>#DIV/0!</v>
      </c>
      <c r="T80" s="37" t="e">
        <f ca="1">IF(T79&gt;Assum!$B$68,MIN(Assum!$B$122-SUM($H80:S80),T79-Assum!$B$68),0)</f>
        <v>#DIV/0!</v>
      </c>
      <c r="U80" s="37" t="e">
        <f ca="1">IF(U79&gt;Assum!$B$68,MIN(Assum!$B$122-SUM($H80:T80),U79-Assum!$B$68),0)</f>
        <v>#DIV/0!</v>
      </c>
      <c r="V80" s="37" t="e">
        <f ca="1">IF(V79&gt;Assum!$B$68,MIN(Assum!$B$122-SUM($H80:U80),V79-Assum!$B$68),0)</f>
        <v>#DIV/0!</v>
      </c>
      <c r="W80" s="37" t="e">
        <f ca="1">IF(W79&gt;Assum!$B$68,MIN(Assum!$B$122-SUM($H80:V80),W79-Assum!$B$68),0)</f>
        <v>#DIV/0!</v>
      </c>
      <c r="X80" s="37" t="e">
        <f ca="1">IF(X79&gt;Assum!$B$68,MIN(Assum!$B$122-SUM($H80:W80),X79-Assum!$B$68),0)</f>
        <v>#DIV/0!</v>
      </c>
      <c r="Y80" s="37" t="e">
        <f ca="1">IF(Y79&gt;Assum!$B$68,MIN(Assum!$B$122-SUM($H80:X80),Y79-Assum!$B$68),0)</f>
        <v>#DIV/0!</v>
      </c>
      <c r="Z80" s="37" t="e">
        <f ca="1">IF(Z79&gt;Assum!$B$68,MIN(Assum!$B$122-SUM($H80:Y80),Z79-Assum!$B$68),0)</f>
        <v>#DIV/0!</v>
      </c>
      <c r="AA80" s="37" t="e">
        <f ca="1">IF(AA79&gt;Assum!$B$68,MIN(Assum!$B$122-SUM($H80:Z80),AA79-Assum!$B$68),0)</f>
        <v>#DIV/0!</v>
      </c>
      <c r="AB80" s="37" t="e">
        <f ca="1">IF(AB79&gt;Assum!$B$68,MIN(Assum!$B$122-SUM($H80:AA80),AB79-Assum!$B$68),0)</f>
        <v>#DIV/0!</v>
      </c>
      <c r="AC80" s="37" t="e">
        <f ca="1">IF(AC79&gt;Assum!$B$68,MIN(Assum!$B$122-SUM($H80:AB80),AC79-Assum!$B$68),0)</f>
        <v>#DIV/0!</v>
      </c>
      <c r="AD80" s="37" t="e">
        <f ca="1">IF(AD79&gt;Assum!$B$68,MIN(Assum!$B$122-SUM($H80:AC80),AD79-Assum!$B$68),0)</f>
        <v>#DIV/0!</v>
      </c>
      <c r="AE80" s="37" t="e">
        <f ca="1">IF(AE79&gt;Assum!$B$68,MIN(Assum!$B$122-SUM($H80:AD80),AE79-Assum!$B$68),0)</f>
        <v>#DIV/0!</v>
      </c>
    </row>
    <row r="81" spans="1:31" s="4" customFormat="1">
      <c r="A81" s="4" t="s">
        <v>1183</v>
      </c>
      <c r="F81" s="36"/>
      <c r="G81" s="36"/>
      <c r="H81" s="36" t="e">
        <f ca="1">H79-H80</f>
        <v>#DIV/0!</v>
      </c>
      <c r="I81" s="36" t="e">
        <f t="shared" ref="I81:AE81" ca="1" si="25">I79-I80</f>
        <v>#DIV/0!</v>
      </c>
      <c r="J81" s="36" t="e">
        <f t="shared" ca="1" si="25"/>
        <v>#DIV/0!</v>
      </c>
      <c r="K81" s="36" t="e">
        <f t="shared" ca="1" si="25"/>
        <v>#DIV/0!</v>
      </c>
      <c r="L81" s="36" t="e">
        <f t="shared" ca="1" si="25"/>
        <v>#DIV/0!</v>
      </c>
      <c r="M81" s="36" t="e">
        <f t="shared" ca="1" si="25"/>
        <v>#DIV/0!</v>
      </c>
      <c r="N81" s="36" t="e">
        <f t="shared" ca="1" si="25"/>
        <v>#DIV/0!</v>
      </c>
      <c r="O81" s="36" t="e">
        <f t="shared" ca="1" si="25"/>
        <v>#DIV/0!</v>
      </c>
      <c r="P81" s="36" t="e">
        <f t="shared" ca="1" si="25"/>
        <v>#DIV/0!</v>
      </c>
      <c r="Q81" s="36" t="e">
        <f t="shared" ca="1" si="25"/>
        <v>#DIV/0!</v>
      </c>
      <c r="R81" s="36" t="e">
        <f t="shared" ca="1" si="25"/>
        <v>#DIV/0!</v>
      </c>
      <c r="S81" s="36" t="e">
        <f t="shared" ca="1" si="25"/>
        <v>#DIV/0!</v>
      </c>
      <c r="T81" s="36" t="e">
        <f t="shared" ca="1" si="25"/>
        <v>#DIV/0!</v>
      </c>
      <c r="U81" s="36" t="e">
        <f t="shared" ca="1" si="25"/>
        <v>#DIV/0!</v>
      </c>
      <c r="V81" s="36" t="e">
        <f t="shared" ca="1" si="25"/>
        <v>#DIV/0!</v>
      </c>
      <c r="W81" s="36" t="e">
        <f t="shared" ca="1" si="25"/>
        <v>#DIV/0!</v>
      </c>
      <c r="X81" s="36" t="e">
        <f t="shared" ca="1" si="25"/>
        <v>#DIV/0!</v>
      </c>
      <c r="Y81" s="36" t="e">
        <f t="shared" ca="1" si="25"/>
        <v>#DIV/0!</v>
      </c>
      <c r="Z81" s="36" t="e">
        <f t="shared" ca="1" si="25"/>
        <v>#DIV/0!</v>
      </c>
      <c r="AA81" s="36" t="e">
        <f t="shared" ca="1" si="25"/>
        <v>#DIV/0!</v>
      </c>
      <c r="AB81" s="36" t="e">
        <f t="shared" ca="1" si="25"/>
        <v>#DIV/0!</v>
      </c>
      <c r="AC81" s="36" t="e">
        <f t="shared" ca="1" si="25"/>
        <v>#DIV/0!</v>
      </c>
      <c r="AD81" s="36" t="e">
        <f t="shared" ca="1" si="25"/>
        <v>#DIV/0!</v>
      </c>
      <c r="AE81" s="36" t="e">
        <f t="shared" ca="1" si="25"/>
        <v>#DIV/0!</v>
      </c>
    </row>
    <row r="82" spans="1:31">
      <c r="A82" t="s">
        <v>1184</v>
      </c>
      <c r="F82" s="9"/>
      <c r="G82" s="9"/>
      <c r="H82" s="9"/>
      <c r="I82" s="9">
        <f>Debt!E88</f>
        <v>0</v>
      </c>
      <c r="J82" s="9" t="e">
        <f ca="1">Debt!F88</f>
        <v>#DIV/0!</v>
      </c>
      <c r="K82" s="9" t="e">
        <f ca="1">Debt!G88</f>
        <v>#DIV/0!</v>
      </c>
      <c r="L82" s="9" t="e">
        <f ca="1">Debt!H88</f>
        <v>#DIV/0!</v>
      </c>
      <c r="M82" s="9" t="e">
        <f ca="1">Debt!I88</f>
        <v>#DIV/0!</v>
      </c>
      <c r="N82" s="9" t="e">
        <f ca="1">Debt!J88</f>
        <v>#DIV/0!</v>
      </c>
      <c r="O82" s="9" t="e">
        <f ca="1">Debt!K88</f>
        <v>#DIV/0!</v>
      </c>
      <c r="P82" s="9" t="e">
        <f ca="1">Debt!L88</f>
        <v>#DIV/0!</v>
      </c>
      <c r="Q82" s="9" t="e">
        <f ca="1">Debt!M88</f>
        <v>#DIV/0!</v>
      </c>
      <c r="R82" s="9" t="e">
        <f ca="1">Debt!N88</f>
        <v>#DIV/0!</v>
      </c>
      <c r="S82" s="9" t="e">
        <f ca="1">Debt!O88</f>
        <v>#DIV/0!</v>
      </c>
      <c r="T82" s="9" t="e">
        <f ca="1">Debt!P88</f>
        <v>#DIV/0!</v>
      </c>
      <c r="U82" s="9" t="e">
        <f ca="1">Debt!Q88</f>
        <v>#DIV/0!</v>
      </c>
      <c r="V82" s="9" t="e">
        <f ca="1">Debt!R88</f>
        <v>#DIV/0!</v>
      </c>
      <c r="W82" s="9" t="e">
        <f ca="1">Debt!S88</f>
        <v>#DIV/0!</v>
      </c>
      <c r="X82" s="9" t="e">
        <f ca="1">Debt!T88</f>
        <v>#DIV/0!</v>
      </c>
      <c r="Y82" s="9" t="e">
        <f ca="1">Debt!U88</f>
        <v>#DIV/0!</v>
      </c>
      <c r="Z82" s="9" t="e">
        <f ca="1">Debt!V88</f>
        <v>#DIV/0!</v>
      </c>
      <c r="AA82" s="9" t="e">
        <f ca="1">Debt!W88</f>
        <v>#DIV/0!</v>
      </c>
      <c r="AB82" s="9" t="e">
        <f ca="1">Debt!X88</f>
        <v>#DIV/0!</v>
      </c>
      <c r="AC82" s="9" t="e">
        <f ca="1">Debt!Y88</f>
        <v>#DIV/0!</v>
      </c>
      <c r="AD82" s="9" t="e">
        <f ca="1">Debt!Z88</f>
        <v>#DIV/0!</v>
      </c>
      <c r="AE82" s="9">
        <f>Debt!AA88</f>
        <v>0</v>
      </c>
    </row>
    <row r="83" spans="1:31">
      <c r="A83" t="s">
        <v>1185</v>
      </c>
      <c r="F83" s="13"/>
      <c r="G83" s="13"/>
      <c r="H83" s="13"/>
      <c r="I83" s="13" t="e">
        <f ca="1">IF(I81&gt;Assum!$B$68,IF((I81-Assum!$B$68)&gt;=I82,MIN(I81-Assum!$B$68,I82-SUM($H$83:H83)),IF((I81-Assum!$B$68)&lt;I82,MIN(I81-Assum!$B$68,I82-SUM($H$83:H83)),0)),0)</f>
        <v>#DIV/0!</v>
      </c>
      <c r="J83" s="13" t="e">
        <f ca="1">IF(J81&gt;Assum!$B$68,IF((J81-Assum!$B$68)&gt;=J82,MIN(J81-Assum!$B$68,J82-SUM($H$83:I83)),IF((J81-Assum!$B$68)&lt;J82,MIN(J81-Assum!$B$68,J82-SUM($H$83:I83)),0)),0)</f>
        <v>#DIV/0!</v>
      </c>
      <c r="K83" s="13" t="e">
        <f ca="1">IF(K81&gt;Assum!$B$68,IF((K81-Assum!$B$68)&gt;=K82,MIN(K81-Assum!$B$68,K82-SUM($H$83:J83)),IF((K81-Assum!$B$68)&lt;K82,MIN(K81-Assum!$B$68,K82-SUM($H$83:J83)),0)),0)</f>
        <v>#DIV/0!</v>
      </c>
      <c r="L83" s="13" t="e">
        <f ca="1">IF(L81&gt;Assum!$B$68,IF((L81-Assum!$B$68)&gt;=L82,MIN(L81-Assum!$B$68,L82-SUM($H$83:K83)),IF((L81-Assum!$B$68)&lt;L82,MIN(L81-Assum!$B$68,L82-SUM($H$83:K83)),0)),0)</f>
        <v>#DIV/0!</v>
      </c>
      <c r="M83" s="13" t="e">
        <f ca="1">IF(M81&gt;Assum!$B$68,IF((M81-Assum!$B$68)&gt;=M82,MIN(M81-Assum!$B$68,M82-SUM($H$83:L83)),IF((M81-Assum!$B$68)&lt;M82,MIN(M81-Assum!$B$68,M82-SUM($H$83:L83)),0)),0)</f>
        <v>#DIV/0!</v>
      </c>
      <c r="N83" s="13" t="e">
        <f ca="1">IF(N81&gt;Assum!$B$68,IF((N81-Assum!$B$68)&gt;=N82,MIN(N81-Assum!$B$68,N82-SUM($H$83:M83)),IF((N81-Assum!$B$68)&lt;N82,MIN(N81-Assum!$B$68,N82-SUM($H$83:M83)),0)),0)</f>
        <v>#DIV/0!</v>
      </c>
      <c r="O83" s="13" t="e">
        <f ca="1">IF(O81&gt;Assum!$B$68,IF((O81-Assum!$B$68)&gt;=O82,MIN(O81-Assum!$B$68,O82-SUM($H$83:N83)),IF((O81-Assum!$B$68)&lt;O82,MIN(O81-Assum!$B$68,O82-SUM($H$83:N83)),0)),0)</f>
        <v>#DIV/0!</v>
      </c>
      <c r="P83" s="13" t="e">
        <f ca="1">IF(P81&gt;Assum!$B$68,IF((P81-Assum!$B$68)&gt;=P82,MIN(P81-Assum!$B$68,P82-SUM($H$83:O83)),IF((P81-Assum!$B$68)&lt;P82,MIN(P81-Assum!$B$68,P82-SUM($H$83:O83)),0)),0)</f>
        <v>#DIV/0!</v>
      </c>
      <c r="Q83" s="13" t="e">
        <f ca="1">IF(Q81&gt;Assum!$B$68,IF((Q81-Assum!$B$68)&gt;=Q82,MIN(Q81-Assum!$B$68,Q82-SUM($H$83:P83)),IF((Q81-Assum!$B$68)&lt;Q82,MIN(Q81-Assum!$B$68,Q82-SUM($H$83:P83)),0)),0)</f>
        <v>#DIV/0!</v>
      </c>
      <c r="R83" s="13" t="e">
        <f ca="1">IF(R81&gt;Assum!$B$68,IF((R81-Assum!$B$68)&gt;=R82,MIN(R81-Assum!$B$68,R82-SUM($H$83:Q83)),IF((R81-Assum!$B$68)&lt;R82,MIN(R81-Assum!$B$68,R82-SUM($H$83:Q83)),0)),0)</f>
        <v>#DIV/0!</v>
      </c>
      <c r="S83" s="13" t="e">
        <f ca="1">IF(S81&gt;Assum!$B$68,IF((S81-Assum!$B$68)&gt;=S82,MIN(S81-Assum!$B$68,S82-SUM($H$83:R83)),IF((S81-Assum!$B$68)&lt;S82,MIN(S81-Assum!$B$68,S82-SUM($H$83:R83)),0)),0)</f>
        <v>#DIV/0!</v>
      </c>
      <c r="T83" s="13" t="e">
        <f ca="1">IF(T81&gt;Assum!$B$68,IF((T81-Assum!$B$68)&gt;=T82,MIN(T81-Assum!$B$68,T82-SUM($H$83:S83)),IF((T81-Assum!$B$68)&lt;T82,MIN(T81-Assum!$B$68,T82-SUM($H$83:S83)),0)),0)</f>
        <v>#DIV/0!</v>
      </c>
      <c r="U83" s="13" t="e">
        <f ca="1">IF(U81&gt;Assum!$B$68,IF((U81-Assum!$B$68)&gt;=U82,MIN(U81-Assum!$B$68,U82-SUM($H$83:T83)),IF((U81-Assum!$B$68)&lt;U82,MIN(U81-Assum!$B$68,U82-SUM($H$83:T83)),0)),0)</f>
        <v>#DIV/0!</v>
      </c>
      <c r="V83" s="13" t="e">
        <f ca="1">IF(V81&gt;Assum!$B$68,IF((V81-Assum!$B$68)&gt;=V82,MIN(V81-Assum!$B$68,V82-SUM($H$83:U83)),IF((V81-Assum!$B$68)&lt;V82,MIN(V81-Assum!$B$68,V82-SUM($H$83:U83)),0)),0)</f>
        <v>#DIV/0!</v>
      </c>
      <c r="W83" s="13" t="e">
        <f ca="1">IF(W81&gt;Assum!$B$68,IF((W81-Assum!$B$68)&gt;=W82,MIN(W81-Assum!$B$68,W82-SUM($H$83:V83)),IF((W81-Assum!$B$68)&lt;W82,MIN(W81-Assum!$B$68,W82-SUM($H$83:V83)),0)),0)</f>
        <v>#DIV/0!</v>
      </c>
      <c r="X83" s="13" t="e">
        <f ca="1">IF(X81&gt;Assum!$B$68,IF((X81-Assum!$B$68)&gt;=X82,MIN(X81-Assum!$B$68,X82-SUM($H$83:W83)),IF((X81-Assum!$B$68)&lt;X82,MIN(X81-Assum!$B$68,X82-SUM($H$83:W83)),0)),0)</f>
        <v>#DIV/0!</v>
      </c>
      <c r="Y83" s="13" t="e">
        <f ca="1">IF(Y81&gt;Assum!$B$68,IF((Y81-Assum!$B$68)&gt;=Y82,MIN(Y81-Assum!$B$68,Y82-SUM($H$83:X83)),IF((Y81-Assum!$B$68)&lt;Y82,MIN(Y81-Assum!$B$68,Y82-SUM($H$83:X83)),0)),0)</f>
        <v>#DIV/0!</v>
      </c>
      <c r="Z83" s="13" t="e">
        <f ca="1">IF(Z81&gt;Assum!$B$68,IF((Z81-Assum!$B$68)&gt;=Z82,MIN(Z81-Assum!$B$68,Z82-SUM($H$83:Y83)),IF((Z81-Assum!$B$68)&lt;Z82,MIN(Z81-Assum!$B$68,Z82-SUM($H$83:Y83)),0)),0)</f>
        <v>#DIV/0!</v>
      </c>
      <c r="AA83" s="13" t="e">
        <f ca="1">IF(AA81&gt;Assum!$B$68,IF((AA81-Assum!$B$68)&gt;=AA82,MIN(AA81-Assum!$B$68,AA82-SUM($H$83:Z83)),IF((AA81-Assum!$B$68)&lt;AA82,MIN(AA81-Assum!$B$68,AA82-SUM($H$83:Z83)),0)),0)</f>
        <v>#DIV/0!</v>
      </c>
      <c r="AB83" s="13" t="e">
        <f ca="1">IF(AB81&gt;Assum!$B$68,IF((AB81-Assum!$B$68)&gt;=AB82,MIN(AB81-Assum!$B$68,AB82-SUM($H$83:AA83)),IF((AB81-Assum!$B$68)&lt;AB82,MIN(AB81-Assum!$B$68,AB82-SUM($H$83:AA83)),0)),0)</f>
        <v>#DIV/0!</v>
      </c>
      <c r="AC83" s="13" t="e">
        <f ca="1">IF(AC81&gt;Assum!$B$68,IF((AC81-Assum!$B$68)&gt;=AC82,MIN(AC81-Assum!$B$68,AC82-SUM($H$83:AB83)),IF((AC81-Assum!$B$68)&lt;AC82,MIN(AC81-Assum!$B$68,AC82-SUM($H$83:AB83)),0)),0)</f>
        <v>#DIV/0!</v>
      </c>
      <c r="AD83" s="13" t="e">
        <f ca="1">IF(AD81&gt;Assum!$B$68,IF((AD81-Assum!$B$68)&gt;=AD82,MIN(AD81-Assum!$B$68,AD82-SUM($H$83:AC83)),IF((AD81-Assum!$B$68)&lt;AD82,MIN(AD81-Assum!$B$68,AD82-SUM($H$83:AC83)),0)),0)</f>
        <v>#DIV/0!</v>
      </c>
      <c r="AE83" s="13" t="e">
        <f ca="1">IF(AE81&gt;Assum!$B$68,IF((AE81-Assum!$B$68)&gt;=AE82,MIN(AE81-Assum!$B$68,AE82-SUM($H$83:AD83)),IF((AE81-Assum!$B$68)&lt;AE82,MIN(AE81-Assum!$B$68,AE82-SUM($H$83:AD83)),0)),0)</f>
        <v>#DIV/0!</v>
      </c>
    </row>
    <row r="84" spans="1:31">
      <c r="A84" t="s">
        <v>1186</v>
      </c>
      <c r="F84" s="13"/>
      <c r="G84" s="13"/>
      <c r="H84" s="13"/>
      <c r="I84" s="13" t="e">
        <f t="shared" ref="I84:N84" ca="1" si="26">IF(I83&lt;I82,MIN(I83+H84,I82),I83)</f>
        <v>#DIV/0!</v>
      </c>
      <c r="J84" s="13" t="e">
        <f t="shared" ca="1" si="26"/>
        <v>#DIV/0!</v>
      </c>
      <c r="K84" s="13" t="e">
        <f t="shared" ca="1" si="26"/>
        <v>#DIV/0!</v>
      </c>
      <c r="L84" s="13" t="e">
        <f t="shared" ca="1" si="26"/>
        <v>#DIV/0!</v>
      </c>
      <c r="M84" s="13" t="e">
        <f t="shared" ca="1" si="26"/>
        <v>#DIV/0!</v>
      </c>
      <c r="N84" s="13" t="e">
        <f t="shared" ca="1" si="26"/>
        <v>#DIV/0!</v>
      </c>
      <c r="O84" s="13" t="e">
        <f t="shared" ref="O84:AE84" ca="1" si="27">IF(O83&lt;O82,MIN(O83+N84,O82),O83)</f>
        <v>#DIV/0!</v>
      </c>
      <c r="P84" s="13" t="e">
        <f t="shared" ca="1" si="27"/>
        <v>#DIV/0!</v>
      </c>
      <c r="Q84" s="13" t="e">
        <f t="shared" ca="1" si="27"/>
        <v>#DIV/0!</v>
      </c>
      <c r="R84" s="13" t="e">
        <f t="shared" ca="1" si="27"/>
        <v>#DIV/0!</v>
      </c>
      <c r="S84" s="13" t="e">
        <f t="shared" ca="1" si="27"/>
        <v>#DIV/0!</v>
      </c>
      <c r="T84" s="13" t="e">
        <f t="shared" ca="1" si="27"/>
        <v>#DIV/0!</v>
      </c>
      <c r="U84" s="13" t="e">
        <f t="shared" ca="1" si="27"/>
        <v>#DIV/0!</v>
      </c>
      <c r="V84" s="13" t="e">
        <f t="shared" ca="1" si="27"/>
        <v>#DIV/0!</v>
      </c>
      <c r="W84" s="13" t="e">
        <f t="shared" ca="1" si="27"/>
        <v>#DIV/0!</v>
      </c>
      <c r="X84" s="13" t="e">
        <f t="shared" ca="1" si="27"/>
        <v>#DIV/0!</v>
      </c>
      <c r="Y84" s="13" t="e">
        <f t="shared" ca="1" si="27"/>
        <v>#DIV/0!</v>
      </c>
      <c r="Z84" s="13" t="e">
        <f t="shared" ca="1" si="27"/>
        <v>#DIV/0!</v>
      </c>
      <c r="AA84" s="13" t="e">
        <f t="shared" ca="1" si="27"/>
        <v>#DIV/0!</v>
      </c>
      <c r="AB84" s="13" t="e">
        <f t="shared" ca="1" si="27"/>
        <v>#DIV/0!</v>
      </c>
      <c r="AC84" s="13" t="e">
        <f t="shared" ca="1" si="27"/>
        <v>#DIV/0!</v>
      </c>
      <c r="AD84" s="13" t="e">
        <f t="shared" ca="1" si="27"/>
        <v>#DIV/0!</v>
      </c>
      <c r="AE84" s="13" t="e">
        <f t="shared" ca="1" si="27"/>
        <v>#DIV/0!</v>
      </c>
    </row>
    <row r="85" spans="1:31" s="4" customFormat="1">
      <c r="A85" s="4" t="s">
        <v>1187</v>
      </c>
      <c r="F85" s="36"/>
      <c r="G85" s="36"/>
      <c r="H85" s="36" t="e">
        <f ca="1">H81-H83</f>
        <v>#DIV/0!</v>
      </c>
      <c r="I85" s="36" t="e">
        <f ca="1">I81-I83</f>
        <v>#DIV/0!</v>
      </c>
      <c r="J85" s="36" t="e">
        <f ca="1">J81-J83</f>
        <v>#DIV/0!</v>
      </c>
      <c r="K85" s="36" t="e">
        <f ca="1">K81-K83</f>
        <v>#DIV/0!</v>
      </c>
      <c r="L85" s="36" t="e">
        <f t="shared" ref="L85:AE85" ca="1" si="28">L81-L83</f>
        <v>#DIV/0!</v>
      </c>
      <c r="M85" s="36" t="e">
        <f t="shared" ca="1" si="28"/>
        <v>#DIV/0!</v>
      </c>
      <c r="N85" s="36" t="e">
        <f t="shared" ca="1" si="28"/>
        <v>#DIV/0!</v>
      </c>
      <c r="O85" s="36" t="e">
        <f t="shared" ca="1" si="28"/>
        <v>#DIV/0!</v>
      </c>
      <c r="P85" s="36" t="e">
        <f t="shared" ca="1" si="28"/>
        <v>#DIV/0!</v>
      </c>
      <c r="Q85" s="36" t="e">
        <f t="shared" ca="1" si="28"/>
        <v>#DIV/0!</v>
      </c>
      <c r="R85" s="36" t="e">
        <f t="shared" ca="1" si="28"/>
        <v>#DIV/0!</v>
      </c>
      <c r="S85" s="36" t="e">
        <f t="shared" ca="1" si="28"/>
        <v>#DIV/0!</v>
      </c>
      <c r="T85" s="36" t="e">
        <f t="shared" ca="1" si="28"/>
        <v>#DIV/0!</v>
      </c>
      <c r="U85" s="36" t="e">
        <f t="shared" ca="1" si="28"/>
        <v>#DIV/0!</v>
      </c>
      <c r="V85" s="36" t="e">
        <f t="shared" ca="1" si="28"/>
        <v>#DIV/0!</v>
      </c>
      <c r="W85" s="36" t="e">
        <f t="shared" ca="1" si="28"/>
        <v>#DIV/0!</v>
      </c>
      <c r="X85" s="36" t="e">
        <f t="shared" ca="1" si="28"/>
        <v>#DIV/0!</v>
      </c>
      <c r="Y85" s="36" t="e">
        <f t="shared" ca="1" si="28"/>
        <v>#DIV/0!</v>
      </c>
      <c r="Z85" s="36" t="e">
        <f t="shared" ca="1" si="28"/>
        <v>#DIV/0!</v>
      </c>
      <c r="AA85" s="36" t="e">
        <f t="shared" ca="1" si="28"/>
        <v>#DIV/0!</v>
      </c>
      <c r="AB85" s="36" t="e">
        <f t="shared" ca="1" si="28"/>
        <v>#DIV/0!</v>
      </c>
      <c r="AC85" s="36" t="e">
        <f t="shared" ca="1" si="28"/>
        <v>#DIV/0!</v>
      </c>
      <c r="AD85" s="36" t="e">
        <f t="shared" ca="1" si="28"/>
        <v>#DIV/0!</v>
      </c>
      <c r="AE85" s="36" t="e">
        <f t="shared" ca="1" si="28"/>
        <v>#DIV/0!</v>
      </c>
    </row>
    <row r="86" spans="1:31">
      <c r="A86" t="s">
        <v>1188</v>
      </c>
      <c r="F86" s="13"/>
      <c r="G86" s="13"/>
      <c r="H86" s="15" t="e">
        <f ca="1">IF(H85&gt;Assum!$B$68,MIN(Assum!$B$108-SUM($G86:G86),H85-Assum!$B$68),0)*0</f>
        <v>#DIV/0!</v>
      </c>
      <c r="I86" s="13" t="e">
        <f ca="1">IF(I85&gt;Assum!$B$68,MIN(Assum!$B$108-SUM($H86:H86),I85-Assum!$B$68),0)</f>
        <v>#DIV/0!</v>
      </c>
      <c r="J86" s="13" t="e">
        <f ca="1">IF(J85&gt;Assum!$B$68,MIN(Assum!$B$108-SUM($H86:I86),J85-Assum!$B$68),0)*1</f>
        <v>#DIV/0!</v>
      </c>
      <c r="K86" s="13" t="e">
        <f ca="1">IF(K85&gt;Assum!$B$68,MIN(Assum!$B$108-SUM($H86:J86),K85-Assum!$B$68),0)*1</f>
        <v>#DIV/0!</v>
      </c>
      <c r="L86" s="13" t="e">
        <f ca="1">IF(L85&gt;Assum!$B$68,MIN(Assum!$B$108-SUM($H86:K86),L85-Assum!$B$68),0)*1</f>
        <v>#DIV/0!</v>
      </c>
      <c r="M86" s="13" t="e">
        <f ca="1">IF(M85&gt;Assum!$B$68,MIN(Assum!$B$108-SUM($H86:L86),M85-Assum!$B$68),0)*1</f>
        <v>#DIV/0!</v>
      </c>
      <c r="N86" s="13" t="e">
        <f ca="1">IF(N85&gt;Assum!$B$68,MIN(Assum!$B$108-SUM($H86:M86),N85-Assum!$B$68),0)*1</f>
        <v>#DIV/0!</v>
      </c>
      <c r="O86" s="13" t="e">
        <f ca="1">IF(O85&gt;Assum!$B$68,MIN(Assum!$B$108-SUM($H86:N86),O85-Assum!$B$68),0)*1</f>
        <v>#DIV/0!</v>
      </c>
      <c r="P86" s="13" t="e">
        <f ca="1">IF(P85&gt;Assum!$B$68,MIN(Assum!$B$108-SUM($H86:O86),P85-Assum!$B$68),0)*1</f>
        <v>#DIV/0!</v>
      </c>
      <c r="Q86" s="13" t="e">
        <f ca="1">IF(Q85&gt;Assum!$B$68,MIN(Assum!$B$108-SUM($H86:P86),Q85-Assum!$B$68),0)*1</f>
        <v>#DIV/0!</v>
      </c>
      <c r="R86" s="13" t="e">
        <f ca="1">IF(R85&gt;Assum!$B$68,MIN(Assum!$B$108-SUM($H86:Q86),R85-Assum!$B$68),0)*1</f>
        <v>#DIV/0!</v>
      </c>
      <c r="S86" s="13" t="e">
        <f ca="1">IF(S85&gt;Assum!$B$68,MIN(Assum!$B$108-SUM($H86:R86),S85-Assum!$B$68),0)*1</f>
        <v>#DIV/0!</v>
      </c>
      <c r="T86" s="13" t="e">
        <f ca="1">IF(T85&gt;Assum!$B$68,MIN(Assum!$B$108-SUM($H86:S86),T85-Assum!$B$68),0)*1</f>
        <v>#DIV/0!</v>
      </c>
      <c r="U86" s="13" t="e">
        <f ca="1">IF(U85&gt;Assum!$B$68,MIN(Assum!$B$108-SUM($H86:T86),U85-Assum!$B$68),0)*1</f>
        <v>#DIV/0!</v>
      </c>
      <c r="V86" s="13" t="e">
        <f ca="1">IF(V85&gt;Assum!$B$68,MIN(Assum!$B$108-SUM($H86:U86),V85-Assum!$B$68),0)*1</f>
        <v>#DIV/0!</v>
      </c>
      <c r="W86" s="13" t="e">
        <f ca="1">IF(W85&gt;Assum!$B$68,MIN(Assum!$B$108-SUM($H86:V86),W85-Assum!$B$68),0)*1</f>
        <v>#DIV/0!</v>
      </c>
      <c r="X86" s="13" t="e">
        <f ca="1">IF(X85&gt;Assum!$B$68,MIN(Assum!$B$108-SUM($H86:W86),X85-Assum!$B$68),0)*1</f>
        <v>#DIV/0!</v>
      </c>
      <c r="Y86" s="13" t="e">
        <f ca="1">IF(Y85&gt;Assum!$B$68,MIN(Assum!$B$108-SUM($H86:X86),Y85-Assum!$B$68),0)*1</f>
        <v>#DIV/0!</v>
      </c>
      <c r="Z86" s="13" t="e">
        <f ca="1">IF(Z85&gt;Assum!$B$68,MIN(Assum!$B$108-SUM($H86:Y86),Z85-Assum!$B$68),0)*1</f>
        <v>#DIV/0!</v>
      </c>
      <c r="AA86" s="13" t="e">
        <f ca="1">IF(AA85&gt;Assum!$B$68,MIN(Assum!$B$108-SUM($H86:Z86),AA85-Assum!$B$68),0)*1</f>
        <v>#DIV/0!</v>
      </c>
      <c r="AB86" s="13" t="e">
        <f ca="1">IF(AB85&gt;Assum!$B$68,MIN(Assum!$B$108-SUM($H86:AA86),AB85-Assum!$B$68),0)*1</f>
        <v>#DIV/0!</v>
      </c>
      <c r="AC86" s="13" t="e">
        <f ca="1">IF(AC85&gt;Assum!$B$68,MIN(Assum!$B$108-SUM($H86:AB86),AC85-Assum!$B$68),0)*1</f>
        <v>#DIV/0!</v>
      </c>
      <c r="AD86" s="13" t="e">
        <f ca="1">IF(AD85&gt;Assum!$B$68,MIN(Assum!$B$108-SUM($H86:AC86),AD85-Assum!$B$68),0)*1</f>
        <v>#DIV/0!</v>
      </c>
      <c r="AE86" s="13" t="e">
        <f ca="1">IF(AE85&gt;Assum!$B$68,MIN(Assum!$B$108-SUM($H86:AD86),AE85-Assum!$B$68),0)*1</f>
        <v>#DIV/0!</v>
      </c>
    </row>
    <row r="87" spans="1:31">
      <c r="A87" s="29" t="s">
        <v>229</v>
      </c>
      <c r="B87" s="29"/>
      <c r="C87" s="32"/>
      <c r="D87" s="32">
        <v>155.44999999999999</v>
      </c>
      <c r="E87" s="38">
        <f>E127</f>
        <v>59.745933600000001</v>
      </c>
      <c r="F87" s="34"/>
      <c r="G87" s="34"/>
      <c r="H87" s="34" t="e">
        <f ca="1">H85-H86</f>
        <v>#DIV/0!</v>
      </c>
      <c r="I87" s="34" t="e">
        <f ca="1">I85-I86</f>
        <v>#DIV/0!</v>
      </c>
      <c r="J87" s="34" t="e">
        <f ca="1">J85-J86</f>
        <v>#DIV/0!</v>
      </c>
      <c r="K87" s="34" t="e">
        <f ca="1">K85-K86</f>
        <v>#DIV/0!</v>
      </c>
      <c r="L87" s="34" t="e">
        <f t="shared" ref="L87:AE87" ca="1" si="29">L85-L86</f>
        <v>#DIV/0!</v>
      </c>
      <c r="M87" s="34" t="e">
        <f t="shared" ca="1" si="29"/>
        <v>#DIV/0!</v>
      </c>
      <c r="N87" s="34" t="e">
        <f t="shared" ca="1" si="29"/>
        <v>#DIV/0!</v>
      </c>
      <c r="O87" s="34" t="e">
        <f t="shared" ca="1" si="29"/>
        <v>#DIV/0!</v>
      </c>
      <c r="P87" s="34" t="e">
        <f t="shared" ca="1" si="29"/>
        <v>#DIV/0!</v>
      </c>
      <c r="Q87" s="34" t="e">
        <f t="shared" ca="1" si="29"/>
        <v>#DIV/0!</v>
      </c>
      <c r="R87" s="34" t="e">
        <f t="shared" ca="1" si="29"/>
        <v>#DIV/0!</v>
      </c>
      <c r="S87" s="34" t="e">
        <f t="shared" ca="1" si="29"/>
        <v>#DIV/0!</v>
      </c>
      <c r="T87" s="34" t="e">
        <f t="shared" ca="1" si="29"/>
        <v>#DIV/0!</v>
      </c>
      <c r="U87" s="34" t="e">
        <f t="shared" ca="1" si="29"/>
        <v>#DIV/0!</v>
      </c>
      <c r="V87" s="34" t="e">
        <f t="shared" ca="1" si="29"/>
        <v>#DIV/0!</v>
      </c>
      <c r="W87" s="34" t="e">
        <f t="shared" ca="1" si="29"/>
        <v>#DIV/0!</v>
      </c>
      <c r="X87" s="34" t="e">
        <f t="shared" ca="1" si="29"/>
        <v>#DIV/0!</v>
      </c>
      <c r="Y87" s="34" t="e">
        <f t="shared" ca="1" si="29"/>
        <v>#DIV/0!</v>
      </c>
      <c r="Z87" s="34" t="e">
        <f t="shared" ca="1" si="29"/>
        <v>#DIV/0!</v>
      </c>
      <c r="AA87" s="34" t="e">
        <f t="shared" ca="1" si="29"/>
        <v>#DIV/0!</v>
      </c>
      <c r="AB87" s="34" t="e">
        <f t="shared" ca="1" si="29"/>
        <v>#DIV/0!</v>
      </c>
      <c r="AC87" s="34" t="e">
        <f t="shared" ca="1" si="29"/>
        <v>#DIV/0!</v>
      </c>
      <c r="AD87" s="34" t="e">
        <f t="shared" ca="1" si="29"/>
        <v>#DIV/0!</v>
      </c>
      <c r="AE87" s="34" t="e">
        <f t="shared" ca="1" si="29"/>
        <v>#DIV/0!</v>
      </c>
    </row>
    <row r="89" spans="1:31">
      <c r="A89" s="8" t="s">
        <v>1189</v>
      </c>
      <c r="B89" s="8"/>
    </row>
    <row r="90" spans="1:31">
      <c r="A90" s="1" t="s">
        <v>1190</v>
      </c>
      <c r="B90" s="1"/>
    </row>
    <row r="91" spans="1:31">
      <c r="A91" s="4" t="s">
        <v>1191</v>
      </c>
      <c r="B91" s="4"/>
      <c r="F91" s="9"/>
      <c r="G91" s="9"/>
    </row>
    <row r="92" spans="1:31">
      <c r="A92" t="s">
        <v>1192</v>
      </c>
      <c r="C92" s="11">
        <f>1030554550/Cr</f>
        <v>103.05545499999999</v>
      </c>
      <c r="D92" s="11">
        <f>1033430750/Cr</f>
        <v>103.343075</v>
      </c>
      <c r="E92" s="39">
        <v>103.343075</v>
      </c>
      <c r="F92" s="9"/>
      <c r="G92" s="9"/>
      <c r="H92" s="11">
        <f>E92+H59</f>
        <v>103.343075</v>
      </c>
      <c r="I92" s="11">
        <f t="shared" ref="I92:AE92" si="30">H92+I59</f>
        <v>103.343075</v>
      </c>
      <c r="J92" s="11">
        <f t="shared" si="30"/>
        <v>103.343075</v>
      </c>
      <c r="K92" s="11">
        <v>210.9</v>
      </c>
      <c r="L92" s="11">
        <v>210.9</v>
      </c>
      <c r="M92" s="11">
        <v>210.9</v>
      </c>
      <c r="N92" s="9">
        <f t="shared" si="30"/>
        <v>210.9</v>
      </c>
      <c r="O92" s="9">
        <f t="shared" si="30"/>
        <v>210.9</v>
      </c>
      <c r="P92" s="9">
        <f t="shared" si="30"/>
        <v>210.9</v>
      </c>
      <c r="Q92" s="9">
        <f t="shared" si="30"/>
        <v>210.9</v>
      </c>
      <c r="R92" s="9">
        <f t="shared" si="30"/>
        <v>210.9</v>
      </c>
      <c r="S92" s="9">
        <f t="shared" si="30"/>
        <v>210.9</v>
      </c>
      <c r="T92" s="9">
        <f t="shared" si="30"/>
        <v>210.9</v>
      </c>
      <c r="U92" s="9">
        <f t="shared" si="30"/>
        <v>210.9</v>
      </c>
      <c r="V92" s="9">
        <f t="shared" si="30"/>
        <v>210.9</v>
      </c>
      <c r="W92" s="9">
        <f t="shared" si="30"/>
        <v>210.9</v>
      </c>
      <c r="X92" s="9">
        <f t="shared" si="30"/>
        <v>210.9</v>
      </c>
      <c r="Y92" s="9">
        <f t="shared" si="30"/>
        <v>210.9</v>
      </c>
      <c r="Z92" s="9">
        <f t="shared" si="30"/>
        <v>210.9</v>
      </c>
      <c r="AA92" s="9">
        <f t="shared" si="30"/>
        <v>210.9</v>
      </c>
      <c r="AB92" s="9">
        <f t="shared" si="30"/>
        <v>210.9</v>
      </c>
      <c r="AC92" s="9">
        <f t="shared" si="30"/>
        <v>210.9</v>
      </c>
      <c r="AD92" s="9">
        <f t="shared" si="30"/>
        <v>210.9</v>
      </c>
      <c r="AE92" s="9">
        <f t="shared" si="30"/>
        <v>210.9</v>
      </c>
    </row>
    <row r="93" spans="1:31">
      <c r="A93" t="s">
        <v>1193</v>
      </c>
      <c r="C93" s="11">
        <v>1030.4545519999999</v>
      </c>
      <c r="D93" s="11">
        <f>10333307520/Cr</f>
        <v>1033.3307520000001</v>
      </c>
      <c r="E93" s="39">
        <v>1033.3307520000001</v>
      </c>
      <c r="F93" s="9"/>
      <c r="G93" s="9"/>
      <c r="H93" s="11">
        <f>E93+H60</f>
        <v>1033.3307520000001</v>
      </c>
      <c r="I93" s="11">
        <f t="shared" ref="I93:AE93" si="31">H93+I60</f>
        <v>1033.3307520000001</v>
      </c>
      <c r="J93" s="11">
        <f t="shared" si="31"/>
        <v>1033.3307520000001</v>
      </c>
      <c r="K93" s="11">
        <f t="shared" si="31"/>
        <v>1033.3307520000001</v>
      </c>
      <c r="L93" s="11">
        <f t="shared" si="31"/>
        <v>1033.3307520000001</v>
      </c>
      <c r="M93" s="11">
        <f t="shared" si="31"/>
        <v>1033.3307520000001</v>
      </c>
      <c r="N93" s="9">
        <f t="shared" si="31"/>
        <v>1033.3307520000001</v>
      </c>
      <c r="O93" s="9">
        <f t="shared" si="31"/>
        <v>1033.3307520000001</v>
      </c>
      <c r="P93" s="9">
        <f t="shared" si="31"/>
        <v>1033.3307520000001</v>
      </c>
      <c r="Q93" s="9">
        <f t="shared" si="31"/>
        <v>1033.3307520000001</v>
      </c>
      <c r="R93" s="9">
        <f t="shared" si="31"/>
        <v>1033.3307520000001</v>
      </c>
      <c r="S93" s="9">
        <f t="shared" si="31"/>
        <v>1033.3307520000001</v>
      </c>
      <c r="T93" s="9">
        <f t="shared" si="31"/>
        <v>1033.3307520000001</v>
      </c>
      <c r="U93" s="9">
        <f t="shared" si="31"/>
        <v>1033.3307520000001</v>
      </c>
      <c r="V93" s="9">
        <f t="shared" si="31"/>
        <v>1033.3307520000001</v>
      </c>
      <c r="W93" s="9">
        <f t="shared" si="31"/>
        <v>1033.3307520000001</v>
      </c>
      <c r="X93" s="9">
        <f t="shared" si="31"/>
        <v>1033.3307520000001</v>
      </c>
      <c r="Y93" s="9">
        <f t="shared" si="31"/>
        <v>1033.3307520000001</v>
      </c>
      <c r="Z93" s="9">
        <f t="shared" si="31"/>
        <v>1033.3307520000001</v>
      </c>
      <c r="AA93" s="9">
        <f t="shared" si="31"/>
        <v>1033.3307520000001</v>
      </c>
      <c r="AB93" s="9">
        <f t="shared" si="31"/>
        <v>1033.3307520000001</v>
      </c>
      <c r="AC93" s="9">
        <f t="shared" si="31"/>
        <v>1033.3307520000001</v>
      </c>
      <c r="AD93" s="9">
        <f t="shared" si="31"/>
        <v>1033.3307520000001</v>
      </c>
      <c r="AE93" s="9">
        <f t="shared" si="31"/>
        <v>1033.3307520000001</v>
      </c>
    </row>
    <row r="94" spans="1:31">
      <c r="A94" t="s">
        <v>1194</v>
      </c>
      <c r="C94" s="11">
        <v>-16.147200000000002</v>
      </c>
      <c r="D94" s="11">
        <v>164.91</v>
      </c>
      <c r="E94" s="39">
        <v>-268.32</v>
      </c>
      <c r="F94" s="9"/>
      <c r="G94" s="9"/>
      <c r="H94" s="39">
        <v>-926.75</v>
      </c>
      <c r="I94" s="11">
        <v>-1914.63</v>
      </c>
      <c r="J94" s="11">
        <v>-2201.59</v>
      </c>
      <c r="K94" s="11">
        <v>-1678.78</v>
      </c>
      <c r="L94" s="11">
        <v>-1738.73</v>
      </c>
      <c r="M94" s="11">
        <v>-1813.62</v>
      </c>
      <c r="N94" s="11">
        <v>-1738.73</v>
      </c>
      <c r="O94" s="11">
        <v>-1738.73</v>
      </c>
      <c r="P94" s="11">
        <v>-1738.73</v>
      </c>
      <c r="Q94" s="11">
        <v>-1738.73</v>
      </c>
      <c r="R94" s="11">
        <v>-1738.73</v>
      </c>
      <c r="S94" s="11">
        <v>-1738.73</v>
      </c>
      <c r="T94" s="11">
        <v>-1738.73</v>
      </c>
      <c r="U94" s="11">
        <v>-1738.73</v>
      </c>
      <c r="V94" s="11">
        <v>-1738.73</v>
      </c>
      <c r="W94" s="11">
        <v>-1738.73</v>
      </c>
      <c r="X94" s="11">
        <v>-1738.73</v>
      </c>
      <c r="Y94" s="11">
        <v>-1738.73</v>
      </c>
      <c r="Z94" s="11">
        <v>-1738.73</v>
      </c>
      <c r="AA94" s="11">
        <v>-1738.73</v>
      </c>
      <c r="AB94" s="11">
        <v>-1738.73</v>
      </c>
      <c r="AC94" s="11">
        <v>-1738.73</v>
      </c>
      <c r="AD94" s="11">
        <v>-1738.73</v>
      </c>
      <c r="AE94" s="11">
        <v>-1738.73</v>
      </c>
    </row>
    <row r="95" spans="1:31">
      <c r="A95" t="s">
        <v>1195</v>
      </c>
      <c r="C95" s="11">
        <v>3.1638199999999999</v>
      </c>
      <c r="D95" s="11">
        <v>0</v>
      </c>
      <c r="E95" s="9"/>
      <c r="F95" s="9"/>
      <c r="G95" s="9"/>
      <c r="H95" s="9">
        <f>E95+H61</f>
        <v>0</v>
      </c>
      <c r="I95" s="9">
        <f>H95+I61</f>
        <v>0</v>
      </c>
      <c r="J95" s="9">
        <f t="shared" ref="J95:AE95" si="32">I95+J61</f>
        <v>0</v>
      </c>
      <c r="K95" s="9">
        <f t="shared" si="32"/>
        <v>0</v>
      </c>
      <c r="L95" s="9">
        <f t="shared" si="32"/>
        <v>0</v>
      </c>
      <c r="M95" s="9">
        <f t="shared" si="32"/>
        <v>0</v>
      </c>
      <c r="N95" s="9">
        <f t="shared" si="32"/>
        <v>0</v>
      </c>
      <c r="O95" s="9">
        <f t="shared" si="32"/>
        <v>0</v>
      </c>
      <c r="P95" s="9">
        <f t="shared" si="32"/>
        <v>0</v>
      </c>
      <c r="Q95" s="9">
        <f t="shared" si="32"/>
        <v>0</v>
      </c>
      <c r="R95" s="9">
        <f t="shared" si="32"/>
        <v>0</v>
      </c>
      <c r="S95" s="9">
        <f t="shared" si="32"/>
        <v>0</v>
      </c>
      <c r="T95" s="9">
        <f t="shared" si="32"/>
        <v>0</v>
      </c>
      <c r="U95" s="9">
        <f t="shared" si="32"/>
        <v>0</v>
      </c>
      <c r="V95" s="9">
        <f t="shared" si="32"/>
        <v>0</v>
      </c>
      <c r="W95" s="9">
        <f t="shared" si="32"/>
        <v>0</v>
      </c>
      <c r="X95" s="9">
        <f t="shared" si="32"/>
        <v>0</v>
      </c>
      <c r="Y95" s="9">
        <f t="shared" si="32"/>
        <v>0</v>
      </c>
      <c r="Z95" s="9">
        <f t="shared" si="32"/>
        <v>0</v>
      </c>
      <c r="AA95" s="9">
        <f t="shared" si="32"/>
        <v>0</v>
      </c>
      <c r="AB95" s="9">
        <f t="shared" si="32"/>
        <v>0</v>
      </c>
      <c r="AC95" s="9">
        <f t="shared" si="32"/>
        <v>0</v>
      </c>
      <c r="AD95" s="9">
        <f t="shared" si="32"/>
        <v>0</v>
      </c>
      <c r="AE95" s="9">
        <f t="shared" si="32"/>
        <v>0</v>
      </c>
    </row>
    <row r="96" spans="1:31">
      <c r="A96" t="s">
        <v>1196</v>
      </c>
      <c r="C96" s="11"/>
      <c r="D96" s="11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</row>
    <row r="97" spans="1:31">
      <c r="A97" s="1" t="s">
        <v>1197</v>
      </c>
      <c r="B97" s="1"/>
      <c r="C97" s="9">
        <f>SUM(C92:C96)</f>
        <v>1120.5266269999997</v>
      </c>
      <c r="D97" s="9">
        <f>SUM(D92:D96)</f>
        <v>1301.5838270000002</v>
      </c>
      <c r="E97" s="9">
        <f>SUM(E92:E96)</f>
        <v>868.35382700000014</v>
      </c>
      <c r="F97" s="9"/>
      <c r="G97" s="9"/>
      <c r="H97" s="9">
        <f>SUM(H92:H96)</f>
        <v>209.92382700000007</v>
      </c>
      <c r="I97" s="9">
        <f>SUM(I92:I96)</f>
        <v>-777.95617300000004</v>
      </c>
      <c r="J97" s="9">
        <f t="shared" ref="J97:AE97" si="33">SUM(J92:J96)</f>
        <v>-1064.9161730000001</v>
      </c>
      <c r="K97" s="9">
        <f t="shared" si="33"/>
        <v>-434.54924799999981</v>
      </c>
      <c r="L97" s="9">
        <f t="shared" si="33"/>
        <v>-494.49924799999985</v>
      </c>
      <c r="M97" s="9">
        <f t="shared" si="33"/>
        <v>-569.38924799999972</v>
      </c>
      <c r="N97" s="9">
        <f t="shared" si="33"/>
        <v>-494.49924799999985</v>
      </c>
      <c r="O97" s="9">
        <f t="shared" si="33"/>
        <v>-494.49924799999985</v>
      </c>
      <c r="P97" s="9">
        <f t="shared" si="33"/>
        <v>-494.49924799999985</v>
      </c>
      <c r="Q97" s="9">
        <f t="shared" si="33"/>
        <v>-494.49924799999985</v>
      </c>
      <c r="R97" s="9">
        <f t="shared" si="33"/>
        <v>-494.49924799999985</v>
      </c>
      <c r="S97" s="9">
        <f t="shared" si="33"/>
        <v>-494.49924799999985</v>
      </c>
      <c r="T97" s="9">
        <f t="shared" si="33"/>
        <v>-494.49924799999985</v>
      </c>
      <c r="U97" s="9">
        <f t="shared" si="33"/>
        <v>-494.49924799999985</v>
      </c>
      <c r="V97" s="9">
        <f t="shared" si="33"/>
        <v>-494.49924799999985</v>
      </c>
      <c r="W97" s="9">
        <f t="shared" si="33"/>
        <v>-494.49924799999985</v>
      </c>
      <c r="X97" s="9">
        <f t="shared" si="33"/>
        <v>-494.49924799999985</v>
      </c>
      <c r="Y97" s="9">
        <f t="shared" si="33"/>
        <v>-494.49924799999985</v>
      </c>
      <c r="Z97" s="9">
        <f t="shared" si="33"/>
        <v>-494.49924799999985</v>
      </c>
      <c r="AA97" s="9">
        <f t="shared" si="33"/>
        <v>-494.49924799999985</v>
      </c>
      <c r="AB97" s="9">
        <f t="shared" si="33"/>
        <v>-494.49924799999985</v>
      </c>
      <c r="AC97" s="9">
        <f t="shared" si="33"/>
        <v>-494.49924799999985</v>
      </c>
      <c r="AD97" s="9">
        <f t="shared" si="33"/>
        <v>-494.49924799999985</v>
      </c>
      <c r="AE97" s="9">
        <f t="shared" si="33"/>
        <v>-494.49924799999985</v>
      </c>
    </row>
    <row r="98" spans="1:31">
      <c r="A98" s="4" t="s">
        <v>1198</v>
      </c>
      <c r="B98" s="4"/>
      <c r="D98" s="9"/>
      <c r="E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pans="1:31">
      <c r="A99" t="s">
        <v>1199</v>
      </c>
      <c r="C99" s="11">
        <v>5150.42</v>
      </c>
      <c r="D99" s="11">
        <v>5768.52</v>
      </c>
      <c r="E99" s="39">
        <v>5306.0933000000005</v>
      </c>
      <c r="F99" s="9"/>
      <c r="G99" s="9"/>
      <c r="H99" s="11">
        <v>5103.5200000000004</v>
      </c>
      <c r="I99" s="11">
        <v>3702.57</v>
      </c>
      <c r="J99" s="11">
        <v>3279.84</v>
      </c>
      <c r="K99" s="11">
        <v>2825.19</v>
      </c>
      <c r="L99" s="11">
        <v>107.18</v>
      </c>
      <c r="M99" s="11">
        <v>107.18</v>
      </c>
      <c r="N99" s="9" t="e">
        <f t="shared" ref="N99:AE99" ca="1" si="34">M99+N62-N63</f>
        <v>#DIV/0!</v>
      </c>
      <c r="O99" s="9" t="e">
        <f t="shared" ca="1" si="34"/>
        <v>#DIV/0!</v>
      </c>
      <c r="P99" s="9" t="e">
        <f t="shared" ca="1" si="34"/>
        <v>#DIV/0!</v>
      </c>
      <c r="Q99" s="9" t="e">
        <f t="shared" ca="1" si="34"/>
        <v>#DIV/0!</v>
      </c>
      <c r="R99" s="9" t="e">
        <f t="shared" ca="1" si="34"/>
        <v>#DIV/0!</v>
      </c>
      <c r="S99" s="9" t="e">
        <f t="shared" ca="1" si="34"/>
        <v>#DIV/0!</v>
      </c>
      <c r="T99" s="9" t="e">
        <f t="shared" ca="1" si="34"/>
        <v>#DIV/0!</v>
      </c>
      <c r="U99" s="9" t="e">
        <f t="shared" ca="1" si="34"/>
        <v>#DIV/0!</v>
      </c>
      <c r="V99" s="9" t="e">
        <f t="shared" ca="1" si="34"/>
        <v>#DIV/0!</v>
      </c>
      <c r="W99" s="9" t="e">
        <f t="shared" ca="1" si="34"/>
        <v>#DIV/0!</v>
      </c>
      <c r="X99" s="9" t="e">
        <f t="shared" ca="1" si="34"/>
        <v>#DIV/0!</v>
      </c>
      <c r="Y99" s="9" t="e">
        <f t="shared" ca="1" si="34"/>
        <v>#DIV/0!</v>
      </c>
      <c r="Z99" s="9" t="e">
        <f t="shared" ca="1" si="34"/>
        <v>#DIV/0!</v>
      </c>
      <c r="AA99" s="9" t="e">
        <f t="shared" ca="1" si="34"/>
        <v>#DIV/0!</v>
      </c>
      <c r="AB99" s="9" t="e">
        <f t="shared" ca="1" si="34"/>
        <v>#DIV/0!</v>
      </c>
      <c r="AC99" s="9" t="e">
        <f t="shared" ca="1" si="34"/>
        <v>#DIV/0!</v>
      </c>
      <c r="AD99" s="9" t="e">
        <f t="shared" ca="1" si="34"/>
        <v>#DIV/0!</v>
      </c>
      <c r="AE99" s="9" t="e">
        <f t="shared" ca="1" si="34"/>
        <v>#DIV/0!</v>
      </c>
    </row>
    <row r="100" spans="1:31">
      <c r="A100" t="s">
        <v>1200</v>
      </c>
      <c r="C100" s="11">
        <v>0</v>
      </c>
      <c r="D100" s="11">
        <v>0</v>
      </c>
      <c r="E100" s="39">
        <v>0</v>
      </c>
      <c r="F100" s="9"/>
      <c r="G100" s="9"/>
      <c r="H100" s="9">
        <f>0</f>
        <v>0</v>
      </c>
      <c r="I100" s="9">
        <f>H100</f>
        <v>0</v>
      </c>
      <c r="J100" s="9">
        <f t="shared" ref="J100:AE100" si="35">I100</f>
        <v>0</v>
      </c>
      <c r="K100" s="9">
        <f t="shared" si="35"/>
        <v>0</v>
      </c>
      <c r="L100" s="9">
        <f t="shared" si="35"/>
        <v>0</v>
      </c>
      <c r="M100" s="9">
        <f t="shared" si="35"/>
        <v>0</v>
      </c>
      <c r="N100" s="9">
        <f t="shared" si="35"/>
        <v>0</v>
      </c>
      <c r="O100" s="9">
        <f t="shared" si="35"/>
        <v>0</v>
      </c>
      <c r="P100" s="9">
        <f t="shared" si="35"/>
        <v>0</v>
      </c>
      <c r="Q100" s="9">
        <f t="shared" si="35"/>
        <v>0</v>
      </c>
      <c r="R100" s="9">
        <f t="shared" si="35"/>
        <v>0</v>
      </c>
      <c r="S100" s="9">
        <f t="shared" si="35"/>
        <v>0</v>
      </c>
      <c r="T100" s="9">
        <f t="shared" si="35"/>
        <v>0</v>
      </c>
      <c r="U100" s="9">
        <f t="shared" si="35"/>
        <v>0</v>
      </c>
      <c r="V100" s="9">
        <f t="shared" si="35"/>
        <v>0</v>
      </c>
      <c r="W100" s="9">
        <f t="shared" si="35"/>
        <v>0</v>
      </c>
      <c r="X100" s="9">
        <f t="shared" si="35"/>
        <v>0</v>
      </c>
      <c r="Y100" s="9">
        <f t="shared" si="35"/>
        <v>0</v>
      </c>
      <c r="Z100" s="9">
        <f t="shared" si="35"/>
        <v>0</v>
      </c>
      <c r="AA100" s="9">
        <f t="shared" si="35"/>
        <v>0</v>
      </c>
      <c r="AB100" s="9">
        <f t="shared" si="35"/>
        <v>0</v>
      </c>
      <c r="AC100" s="9">
        <f t="shared" si="35"/>
        <v>0</v>
      </c>
      <c r="AD100" s="9">
        <f t="shared" si="35"/>
        <v>0</v>
      </c>
      <c r="AE100" s="9">
        <f t="shared" si="35"/>
        <v>0</v>
      </c>
    </row>
    <row r="101" spans="1:31">
      <c r="A101" s="553" t="s">
        <v>1312</v>
      </c>
      <c r="C101" s="11"/>
      <c r="D101" s="11"/>
      <c r="E101" s="39"/>
      <c r="F101" s="9"/>
      <c r="G101" s="9"/>
      <c r="H101" s="9"/>
      <c r="I101" s="9"/>
      <c r="J101" s="9">
        <v>0</v>
      </c>
      <c r="K101" s="11">
        <v>169.32</v>
      </c>
      <c r="L101" s="11">
        <v>149.78</v>
      </c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pans="1:31">
      <c r="A102" t="s">
        <v>1201</v>
      </c>
      <c r="B102" s="14"/>
      <c r="C102" s="11">
        <v>1.5165</v>
      </c>
      <c r="D102" s="11">
        <v>1.9784999999999999</v>
      </c>
      <c r="E102" s="39">
        <v>2.1743000000000001</v>
      </c>
      <c r="F102" s="9"/>
      <c r="G102" s="9"/>
      <c r="H102" s="11">
        <v>1.94</v>
      </c>
      <c r="I102" s="11">
        <v>0.82</v>
      </c>
      <c r="J102" s="11">
        <v>1.1200000000000001</v>
      </c>
      <c r="K102" s="11">
        <v>1.03</v>
      </c>
      <c r="L102" s="11">
        <v>1.45</v>
      </c>
      <c r="M102" s="11">
        <v>1.65</v>
      </c>
      <c r="N102" s="9">
        <f t="shared" ref="N102:AE102" si="36">M102</f>
        <v>1.65</v>
      </c>
      <c r="O102" s="9">
        <f t="shared" si="36"/>
        <v>1.65</v>
      </c>
      <c r="P102" s="9">
        <f t="shared" si="36"/>
        <v>1.65</v>
      </c>
      <c r="Q102" s="9">
        <f t="shared" si="36"/>
        <v>1.65</v>
      </c>
      <c r="R102" s="9">
        <f t="shared" si="36"/>
        <v>1.65</v>
      </c>
      <c r="S102" s="9">
        <f t="shared" si="36"/>
        <v>1.65</v>
      </c>
      <c r="T102" s="9">
        <f t="shared" si="36"/>
        <v>1.65</v>
      </c>
      <c r="U102" s="9">
        <f t="shared" si="36"/>
        <v>1.65</v>
      </c>
      <c r="V102" s="9">
        <f t="shared" si="36"/>
        <v>1.65</v>
      </c>
      <c r="W102" s="9">
        <f t="shared" si="36"/>
        <v>1.65</v>
      </c>
      <c r="X102" s="9">
        <f t="shared" si="36"/>
        <v>1.65</v>
      </c>
      <c r="Y102" s="9">
        <f t="shared" si="36"/>
        <v>1.65</v>
      </c>
      <c r="Z102" s="9">
        <f t="shared" si="36"/>
        <v>1.65</v>
      </c>
      <c r="AA102" s="9">
        <f t="shared" si="36"/>
        <v>1.65</v>
      </c>
      <c r="AB102" s="9">
        <f t="shared" si="36"/>
        <v>1.65</v>
      </c>
      <c r="AC102" s="9">
        <f t="shared" si="36"/>
        <v>1.65</v>
      </c>
      <c r="AD102" s="9">
        <f t="shared" si="36"/>
        <v>1.65</v>
      </c>
      <c r="AE102" s="9">
        <f t="shared" si="36"/>
        <v>1.65</v>
      </c>
    </row>
    <row r="103" spans="1:31" s="5" customFormat="1">
      <c r="A103" s="5" t="s">
        <v>1172</v>
      </c>
      <c r="C103" s="41"/>
      <c r="D103" s="41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</row>
    <row r="104" spans="1:31" s="5" customFormat="1">
      <c r="A104" s="5" t="s">
        <v>1202</v>
      </c>
      <c r="C104" s="41"/>
      <c r="D104" s="41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</row>
    <row r="105" spans="1:31">
      <c r="A105" s="4" t="s">
        <v>1203</v>
      </c>
      <c r="B105" s="4"/>
      <c r="H105" s="9"/>
    </row>
    <row r="106" spans="1:31">
      <c r="A106" t="s">
        <v>1204</v>
      </c>
      <c r="C106" s="11">
        <v>179.19661690000001</v>
      </c>
      <c r="D106" s="11">
        <v>331.05082420000002</v>
      </c>
      <c r="E106" s="39">
        <f>8315341202.4/Cr</f>
        <v>831.53412023999999</v>
      </c>
      <c r="F106" s="9"/>
      <c r="G106" s="9"/>
      <c r="H106" s="11">
        <v>885.24</v>
      </c>
      <c r="I106" s="11">
        <v>936.85</v>
      </c>
      <c r="J106" s="11">
        <v>921.2</v>
      </c>
      <c r="K106" s="11">
        <v>2735.39</v>
      </c>
      <c r="L106" s="11">
        <v>7118.61</v>
      </c>
      <c r="M106" s="11">
        <v>7118.28</v>
      </c>
      <c r="N106" s="9">
        <f>WC!L10</f>
        <v>1262.0364752566361</v>
      </c>
      <c r="O106" s="9">
        <f>WC!M10</f>
        <v>1316.2386005511166</v>
      </c>
      <c r="P106" s="9">
        <f>WC!N10</f>
        <v>1316.1139820863361</v>
      </c>
      <c r="Q106" s="9">
        <f>WC!O10</f>
        <v>1407.946558363908</v>
      </c>
      <c r="R106" s="9">
        <f>WC!P10</f>
        <v>1416.589798452922</v>
      </c>
      <c r="S106" s="9">
        <f>WC!Q10</f>
        <v>1500.0556172866759</v>
      </c>
      <c r="T106" s="9">
        <f>WC!R10</f>
        <v>1546.4618495014638</v>
      </c>
      <c r="U106" s="9">
        <f>WC!S10</f>
        <v>1603.8475915078225</v>
      </c>
      <c r="V106" s="9">
        <f>WC!T10</f>
        <v>1613.3572248703176</v>
      </c>
      <c r="W106" s="9">
        <f>WC!U10</f>
        <v>1713.0675585027084</v>
      </c>
      <c r="X106" s="9">
        <f>WC!V10</f>
        <v>1755.6374174287803</v>
      </c>
      <c r="Y106" s="9">
        <f>WC!W10</f>
        <v>1815.6367346665675</v>
      </c>
      <c r="Z106" s="9">
        <f>WC!X10</f>
        <v>1876.1331739966884</v>
      </c>
      <c r="AA106" s="9">
        <f>WC!Y10</f>
        <v>1905.741633027081</v>
      </c>
      <c r="AB106" s="9">
        <f>WC!Z10</f>
        <v>1931.4969923519791</v>
      </c>
      <c r="AC106" s="9">
        <f>WC!AA10</f>
        <v>2030.6164887443745</v>
      </c>
      <c r="AD106" s="9">
        <f>WC!AB10</f>
        <v>1809.6401149770395</v>
      </c>
      <c r="AE106" s="9">
        <f>WC!AC10</f>
        <v>958.82258024285534</v>
      </c>
    </row>
    <row r="107" spans="1:31">
      <c r="A107" t="s">
        <v>1205</v>
      </c>
      <c r="C107" s="11">
        <v>234.97825460000001</v>
      </c>
      <c r="D107" s="11">
        <v>214.81</v>
      </c>
      <c r="E107" s="39">
        <v>386.87900000000002</v>
      </c>
      <c r="F107" s="9"/>
      <c r="G107" s="9"/>
      <c r="H107" s="11">
        <v>264.32</v>
      </c>
      <c r="I107" s="11">
        <v>139.04</v>
      </c>
      <c r="J107" s="11">
        <v>323.26</v>
      </c>
      <c r="K107" s="11">
        <v>306.27</v>
      </c>
      <c r="L107" s="11">
        <v>331.58</v>
      </c>
      <c r="M107" s="11">
        <v>638.33000000000004</v>
      </c>
      <c r="N107" s="9">
        <f>WC!L7</f>
        <v>722.59499606852216</v>
      </c>
      <c r="O107" s="9">
        <f>WC!M7</f>
        <v>677.06817347731715</v>
      </c>
      <c r="P107" s="9">
        <f>WC!N7</f>
        <v>691.49449146643201</v>
      </c>
      <c r="Q107" s="9">
        <f>WC!O7</f>
        <v>741.95070956681104</v>
      </c>
      <c r="R107" s="9">
        <f>WC!P7</f>
        <v>754.69235918468621</v>
      </c>
      <c r="S107" s="9">
        <f>WC!Q7</f>
        <v>805.32596611948793</v>
      </c>
      <c r="T107" s="9">
        <f>WC!R7</f>
        <v>817.26191680599277</v>
      </c>
      <c r="U107" s="9">
        <f>WC!S7</f>
        <v>873.48160917634152</v>
      </c>
      <c r="V107" s="9">
        <f>WC!T7</f>
        <v>889.0624645343446</v>
      </c>
      <c r="W107" s="9">
        <f>WC!U7</f>
        <v>945.31416831757213</v>
      </c>
      <c r="X107" s="9">
        <f>WC!V7</f>
        <v>959.9152962562099</v>
      </c>
      <c r="Y107" s="9">
        <f>WC!W7</f>
        <v>1022.569631870223</v>
      </c>
      <c r="Z107" s="9">
        <f>WC!X7</f>
        <v>1041.4183414970591</v>
      </c>
      <c r="AA107" s="9">
        <f>WC!Y7</f>
        <v>1086.756675741917</v>
      </c>
      <c r="AB107" s="9">
        <f>WC!Z7</f>
        <v>1124.8327302250643</v>
      </c>
      <c r="AC107" s="9">
        <f>WC!AA7</f>
        <v>1146.1869562237855</v>
      </c>
      <c r="AD107" s="9">
        <f>WC!AB7</f>
        <v>982.17845557098087</v>
      </c>
      <c r="AE107" s="9">
        <f>WC!AC7</f>
        <v>368.11780025440561</v>
      </c>
    </row>
    <row r="108" spans="1:31">
      <c r="A108" t="s">
        <v>1206</v>
      </c>
      <c r="C108" s="11">
        <f>(771.8724)</f>
        <v>771.87239999999997</v>
      </c>
      <c r="D108" s="11">
        <v>768.41729999999995</v>
      </c>
      <c r="E108" s="39">
        <v>1082.3</v>
      </c>
      <c r="F108" s="9"/>
      <c r="G108" s="9"/>
      <c r="H108" s="11">
        <v>2150.29</v>
      </c>
      <c r="I108" s="11">
        <v>4465.08</v>
      </c>
      <c r="J108" s="11">
        <v>5306.04</v>
      </c>
      <c r="K108" s="11">
        <v>2725.42</v>
      </c>
      <c r="L108" s="11">
        <v>377.35</v>
      </c>
      <c r="M108" s="11">
        <v>398.86</v>
      </c>
      <c r="N108" s="9">
        <v>1212.55</v>
      </c>
      <c r="O108" s="9">
        <v>1212.1500000000001</v>
      </c>
      <c r="P108" s="9">
        <v>1212.1500000000001</v>
      </c>
      <c r="Q108" s="9">
        <v>1212.1500000000001</v>
      </c>
      <c r="R108" s="9">
        <v>1212.1500000000001</v>
      </c>
      <c r="S108" s="9">
        <v>1212.1500000000001</v>
      </c>
      <c r="T108" s="9">
        <v>1212.1500000000001</v>
      </c>
      <c r="U108" s="9">
        <v>1240.03</v>
      </c>
      <c r="V108" s="9">
        <v>1240.03</v>
      </c>
      <c r="W108" s="9">
        <v>1240.03</v>
      </c>
      <c r="X108" s="9">
        <v>1253.97</v>
      </c>
      <c r="Y108" s="9">
        <v>1267.9100000000001</v>
      </c>
      <c r="Z108" s="9">
        <v>1267.9100000000001</v>
      </c>
      <c r="AA108" s="9">
        <v>1240.03</v>
      </c>
      <c r="AB108" s="9">
        <v>837.75</v>
      </c>
      <c r="AC108" s="9">
        <v>660.49</v>
      </c>
      <c r="AD108" s="9">
        <v>660.49</v>
      </c>
      <c r="AE108" s="9">
        <v>660.49</v>
      </c>
    </row>
    <row r="109" spans="1:31">
      <c r="A109" s="553" t="s">
        <v>1313</v>
      </c>
      <c r="C109" s="11"/>
      <c r="D109" s="11"/>
      <c r="E109" s="39"/>
      <c r="F109" s="9"/>
      <c r="G109" s="9"/>
      <c r="H109" s="11">
        <v>0.77</v>
      </c>
      <c r="I109" s="11">
        <v>0.3</v>
      </c>
      <c r="J109" s="11">
        <v>0.43</v>
      </c>
      <c r="K109" s="11">
        <v>0.4</v>
      </c>
      <c r="L109" s="11">
        <v>0.37</v>
      </c>
      <c r="M109" s="11">
        <v>0.35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pans="1:31">
      <c r="A110" t="s">
        <v>656</v>
      </c>
      <c r="C110" s="11">
        <v>13.37</v>
      </c>
      <c r="D110" s="11">
        <v>17.649999999999999</v>
      </c>
      <c r="E110" s="39">
        <f>1.41+0.35821</f>
        <v>1.7682099999999998</v>
      </c>
      <c r="F110" s="9"/>
      <c r="G110" s="9"/>
      <c r="H110" s="11">
        <v>1.68</v>
      </c>
      <c r="I110" s="11">
        <v>1.56</v>
      </c>
      <c r="J110" s="11">
        <v>1.61</v>
      </c>
      <c r="K110" s="11">
        <v>1.76</v>
      </c>
      <c r="L110" s="11">
        <v>2</v>
      </c>
      <c r="M110" s="11">
        <v>2.41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pans="1:31">
      <c r="A111" s="1" t="s">
        <v>1207</v>
      </c>
      <c r="B111" s="1"/>
      <c r="C111" s="9">
        <f>SUM(C106:C110,C99:C102,C97)</f>
        <v>7471.8803984999995</v>
      </c>
      <c r="D111" s="9">
        <f>SUM(D106:D110,D99:D102,D97)</f>
        <v>8404.0104511999998</v>
      </c>
      <c r="E111" s="9">
        <f>SUM(E106:E110,E99:E102,E97)</f>
        <v>8479.1027572399998</v>
      </c>
      <c r="F111" s="9">
        <f>SUM(F106:F110,F99:F102,F97)</f>
        <v>0</v>
      </c>
      <c r="G111" s="9">
        <f>SUM(G106:G110,G99:G102,G97)</f>
        <v>0</v>
      </c>
      <c r="H111" s="9">
        <f t="shared" ref="H111:M111" si="37">SUM(H92:H94,H99,H101:H102,H106:H110)</f>
        <v>8617.6838270000007</v>
      </c>
      <c r="I111" s="9">
        <f t="shared" si="37"/>
        <v>8468.2638269999989</v>
      </c>
      <c r="J111" s="9">
        <f t="shared" si="37"/>
        <v>8768.5838270000022</v>
      </c>
      <c r="K111" s="9">
        <f t="shared" si="37"/>
        <v>8330.2307520000013</v>
      </c>
      <c r="L111" s="9">
        <f t="shared" si="37"/>
        <v>7593.8207519999996</v>
      </c>
      <c r="M111" s="9">
        <f t="shared" si="37"/>
        <v>7697.670752</v>
      </c>
      <c r="N111" s="9" t="e">
        <f t="shared" ref="N111:AE111" ca="1" si="38">SUM(N106:N108,N99:N102,N97,N103:N104)</f>
        <v>#DIV/0!</v>
      </c>
      <c r="O111" s="9" t="e">
        <f t="shared" ca="1" si="38"/>
        <v>#DIV/0!</v>
      </c>
      <c r="P111" s="9" t="e">
        <f t="shared" ca="1" si="38"/>
        <v>#DIV/0!</v>
      </c>
      <c r="Q111" s="9" t="e">
        <f t="shared" ca="1" si="38"/>
        <v>#DIV/0!</v>
      </c>
      <c r="R111" s="9" t="e">
        <f t="shared" ca="1" si="38"/>
        <v>#DIV/0!</v>
      </c>
      <c r="S111" s="9" t="e">
        <f t="shared" ca="1" si="38"/>
        <v>#DIV/0!</v>
      </c>
      <c r="T111" s="9" t="e">
        <f t="shared" ca="1" si="38"/>
        <v>#DIV/0!</v>
      </c>
      <c r="U111" s="9" t="e">
        <f t="shared" ca="1" si="38"/>
        <v>#DIV/0!</v>
      </c>
      <c r="V111" s="9" t="e">
        <f t="shared" ca="1" si="38"/>
        <v>#DIV/0!</v>
      </c>
      <c r="W111" s="9" t="e">
        <f t="shared" ca="1" si="38"/>
        <v>#DIV/0!</v>
      </c>
      <c r="X111" s="9" t="e">
        <f t="shared" ca="1" si="38"/>
        <v>#DIV/0!</v>
      </c>
      <c r="Y111" s="9" t="e">
        <f t="shared" ca="1" si="38"/>
        <v>#DIV/0!</v>
      </c>
      <c r="Z111" s="9" t="e">
        <f t="shared" ca="1" si="38"/>
        <v>#DIV/0!</v>
      </c>
      <c r="AA111" s="9" t="e">
        <f t="shared" ca="1" si="38"/>
        <v>#DIV/0!</v>
      </c>
      <c r="AB111" s="9" t="e">
        <f t="shared" ca="1" si="38"/>
        <v>#DIV/0!</v>
      </c>
      <c r="AC111" s="9" t="e">
        <f t="shared" ca="1" si="38"/>
        <v>#DIV/0!</v>
      </c>
      <c r="AD111" s="9" t="e">
        <f t="shared" ca="1" si="38"/>
        <v>#DIV/0!</v>
      </c>
      <c r="AE111" s="9" t="e">
        <f t="shared" ca="1" si="38"/>
        <v>#DIV/0!</v>
      </c>
    </row>
    <row r="112" spans="1:31">
      <c r="A112" s="1" t="s">
        <v>1208</v>
      </c>
      <c r="H112" s="9"/>
      <c r="I112" s="9"/>
      <c r="J112" s="9"/>
      <c r="K112" s="9"/>
      <c r="L112" s="9"/>
      <c r="M112" s="9"/>
      <c r="N112" s="9"/>
      <c r="O112" s="9"/>
      <c r="P112" s="9"/>
      <c r="Q112" s="9"/>
    </row>
    <row r="113" spans="1:31">
      <c r="A113" t="s">
        <v>980</v>
      </c>
      <c r="C113" s="11">
        <f>42281235088/Cr+23313791/Cr</f>
        <v>4230.4548879000004</v>
      </c>
      <c r="D113" s="11">
        <f>78935999716/Cr</f>
        <v>7893.5999715999997</v>
      </c>
      <c r="E113" s="11">
        <v>7810.68</v>
      </c>
      <c r="F113" s="13"/>
      <c r="G113" s="13"/>
      <c r="H113" s="11">
        <v>8136.45</v>
      </c>
      <c r="I113" s="11">
        <v>8136.64</v>
      </c>
      <c r="J113" s="11">
        <v>8137.16</v>
      </c>
      <c r="K113" s="11">
        <v>8136.93</v>
      </c>
      <c r="L113" s="11">
        <v>8137.1</v>
      </c>
      <c r="M113" s="11">
        <v>8137.98</v>
      </c>
      <c r="N113" s="13">
        <f t="shared" ref="N113:AE113" si="39">M113+N69</f>
        <v>8137.98</v>
      </c>
      <c r="O113" s="13">
        <f t="shared" si="39"/>
        <v>8137.98</v>
      </c>
      <c r="P113" s="13">
        <f t="shared" si="39"/>
        <v>8137.98</v>
      </c>
      <c r="Q113" s="13">
        <f t="shared" si="39"/>
        <v>8137.98</v>
      </c>
      <c r="R113" s="13">
        <f t="shared" si="39"/>
        <v>8137.98</v>
      </c>
      <c r="S113" s="13">
        <f t="shared" si="39"/>
        <v>8137.98</v>
      </c>
      <c r="T113" s="13">
        <f t="shared" si="39"/>
        <v>8137.98</v>
      </c>
      <c r="U113" s="13">
        <f t="shared" si="39"/>
        <v>8137.98</v>
      </c>
      <c r="V113" s="13">
        <f t="shared" si="39"/>
        <v>8137.98</v>
      </c>
      <c r="W113" s="13">
        <f t="shared" si="39"/>
        <v>8137.98</v>
      </c>
      <c r="X113" s="13">
        <f t="shared" si="39"/>
        <v>8137.98</v>
      </c>
      <c r="Y113" s="13">
        <f t="shared" si="39"/>
        <v>8137.98</v>
      </c>
      <c r="Z113" s="13">
        <f t="shared" si="39"/>
        <v>8137.98</v>
      </c>
      <c r="AA113" s="13">
        <f t="shared" si="39"/>
        <v>8137.98</v>
      </c>
      <c r="AB113" s="13">
        <f t="shared" si="39"/>
        <v>8137.98</v>
      </c>
      <c r="AC113" s="13">
        <f t="shared" si="39"/>
        <v>8137.98</v>
      </c>
      <c r="AD113" s="13">
        <f t="shared" si="39"/>
        <v>8137.98</v>
      </c>
      <c r="AE113" s="13">
        <f t="shared" si="39"/>
        <v>8137.98</v>
      </c>
    </row>
    <row r="114" spans="1:31">
      <c r="A114" t="s">
        <v>1209</v>
      </c>
      <c r="C114" s="11">
        <f>390781342/Cr</f>
        <v>39.078134200000001</v>
      </c>
      <c r="D114" s="11">
        <f>1606797837/Cr</f>
        <v>160.6797837</v>
      </c>
      <c r="E114" s="13">
        <f>D114+E19</f>
        <v>357.21978369999999</v>
      </c>
      <c r="F114" s="13"/>
      <c r="G114" s="13"/>
      <c r="H114" s="11">
        <v>559.17999999999995</v>
      </c>
      <c r="I114" s="11">
        <v>760.63</v>
      </c>
      <c r="J114" s="11">
        <v>961.26</v>
      </c>
      <c r="K114" s="11">
        <v>1160.8699999999999</v>
      </c>
      <c r="L114" s="11">
        <v>1360.34</v>
      </c>
      <c r="M114" s="11">
        <v>1559.42</v>
      </c>
      <c r="N114" s="13">
        <f t="shared" ref="N114:AE114" si="40">M114+N46</f>
        <v>1853.1899300821919</v>
      </c>
      <c r="O114" s="13">
        <f t="shared" si="40"/>
        <v>2146.1572100821918</v>
      </c>
      <c r="P114" s="13">
        <f t="shared" si="40"/>
        <v>2439.1244900821916</v>
      </c>
      <c r="Q114" s="13">
        <f t="shared" si="40"/>
        <v>2732.0917700821915</v>
      </c>
      <c r="R114" s="13">
        <f t="shared" si="40"/>
        <v>3025.8617001643834</v>
      </c>
      <c r="S114" s="13">
        <f t="shared" si="40"/>
        <v>3318.8289801643832</v>
      </c>
      <c r="T114" s="13">
        <f t="shared" si="40"/>
        <v>3611.7962601643831</v>
      </c>
      <c r="U114" s="13">
        <f t="shared" si="40"/>
        <v>3904.7635401643829</v>
      </c>
      <c r="V114" s="13">
        <f t="shared" si="40"/>
        <v>4198.5334702465743</v>
      </c>
      <c r="W114" s="13">
        <f t="shared" si="40"/>
        <v>4491.5007502465742</v>
      </c>
      <c r="X114" s="13">
        <f t="shared" si="40"/>
        <v>4784.468030246574</v>
      </c>
      <c r="Y114" s="13">
        <f t="shared" si="40"/>
        <v>5077.4353102465739</v>
      </c>
      <c r="Z114" s="13">
        <f t="shared" si="40"/>
        <v>5371.2052403287653</v>
      </c>
      <c r="AA114" s="13">
        <f t="shared" si="40"/>
        <v>5664.1725203287651</v>
      </c>
      <c r="AB114" s="13">
        <f t="shared" si="40"/>
        <v>5957.139800328765</v>
      </c>
      <c r="AC114" s="13">
        <f t="shared" si="40"/>
        <v>6250.1070803287648</v>
      </c>
      <c r="AD114" s="13">
        <f t="shared" si="40"/>
        <v>6543.8770104109562</v>
      </c>
      <c r="AE114" s="13">
        <f t="shared" si="40"/>
        <v>6836.8442904109561</v>
      </c>
    </row>
    <row r="115" spans="1:31">
      <c r="A115" t="s">
        <v>191</v>
      </c>
      <c r="C115" s="13">
        <f>C113-C114</f>
        <v>4191.3767537000003</v>
      </c>
      <c r="D115" s="13">
        <f>D113-D114</f>
        <v>7732.9201878999993</v>
      </c>
      <c r="E115" s="11">
        <f>E113-E114</f>
        <v>7453.4602163</v>
      </c>
      <c r="F115" s="13"/>
      <c r="G115" s="13"/>
      <c r="H115" s="13">
        <f>H113-H114</f>
        <v>7577.2699999999995</v>
      </c>
      <c r="I115" s="13">
        <f>I113-I114</f>
        <v>7376.01</v>
      </c>
      <c r="J115" s="13">
        <f t="shared" ref="J115:AE115" si="41">J113-J114</f>
        <v>7175.9</v>
      </c>
      <c r="K115" s="13">
        <f t="shared" si="41"/>
        <v>6976.06</v>
      </c>
      <c r="L115" s="13">
        <f t="shared" si="41"/>
        <v>6776.76</v>
      </c>
      <c r="M115" s="13">
        <f t="shared" si="41"/>
        <v>6578.5599999999995</v>
      </c>
      <c r="N115" s="13">
        <f t="shared" si="41"/>
        <v>6284.7900699178081</v>
      </c>
      <c r="O115" s="13">
        <f t="shared" si="41"/>
        <v>5991.8227899178073</v>
      </c>
      <c r="P115" s="13">
        <f t="shared" si="41"/>
        <v>5698.8555099178084</v>
      </c>
      <c r="Q115" s="13">
        <f t="shared" si="41"/>
        <v>5405.8882299178076</v>
      </c>
      <c r="R115" s="13">
        <f t="shared" si="41"/>
        <v>5112.1182998356162</v>
      </c>
      <c r="S115" s="13">
        <f t="shared" si="41"/>
        <v>4819.1510198356164</v>
      </c>
      <c r="T115" s="13">
        <f t="shared" si="41"/>
        <v>4526.1837398356165</v>
      </c>
      <c r="U115" s="13">
        <f t="shared" si="41"/>
        <v>4233.2164598356167</v>
      </c>
      <c r="V115" s="13">
        <f t="shared" si="41"/>
        <v>3939.4465297534252</v>
      </c>
      <c r="W115" s="13">
        <f t="shared" si="41"/>
        <v>3646.4792497534254</v>
      </c>
      <c r="X115" s="13">
        <f t="shared" si="41"/>
        <v>3353.5119697534255</v>
      </c>
      <c r="Y115" s="13">
        <f t="shared" si="41"/>
        <v>3060.5446897534257</v>
      </c>
      <c r="Z115" s="13">
        <f t="shared" si="41"/>
        <v>2766.7747596712343</v>
      </c>
      <c r="AA115" s="13">
        <f t="shared" si="41"/>
        <v>2473.8074796712344</v>
      </c>
      <c r="AB115" s="13">
        <f t="shared" si="41"/>
        <v>2180.8401996712346</v>
      </c>
      <c r="AC115" s="13">
        <f t="shared" si="41"/>
        <v>1887.8729196712347</v>
      </c>
      <c r="AD115" s="13">
        <f t="shared" si="41"/>
        <v>1594.1029895890433</v>
      </c>
      <c r="AE115" s="13">
        <f t="shared" si="41"/>
        <v>1301.1357095890435</v>
      </c>
    </row>
    <row r="116" spans="1:31">
      <c r="A116" s="553" t="s">
        <v>1306</v>
      </c>
      <c r="B116" s="1"/>
      <c r="C116">
        <v>161.46</v>
      </c>
      <c r="D116">
        <f>C116</f>
        <v>161.46</v>
      </c>
      <c r="E116">
        <f t="shared" ref="E116:AE116" si="42">D116</f>
        <v>161.46</v>
      </c>
      <c r="F116">
        <f t="shared" si="42"/>
        <v>161.46</v>
      </c>
      <c r="G116">
        <f t="shared" si="42"/>
        <v>161.46</v>
      </c>
      <c r="H116" s="11">
        <v>2.17</v>
      </c>
      <c r="I116" s="11">
        <v>0.4</v>
      </c>
      <c r="J116" s="11">
        <v>150.41</v>
      </c>
      <c r="K116" s="11">
        <v>150</v>
      </c>
      <c r="L116" s="11">
        <v>0</v>
      </c>
      <c r="M116">
        <f t="shared" si="42"/>
        <v>0</v>
      </c>
      <c r="N116">
        <f t="shared" si="42"/>
        <v>0</v>
      </c>
      <c r="O116">
        <f t="shared" si="42"/>
        <v>0</v>
      </c>
      <c r="P116">
        <f t="shared" si="42"/>
        <v>0</v>
      </c>
      <c r="Q116">
        <f t="shared" si="42"/>
        <v>0</v>
      </c>
      <c r="R116">
        <f t="shared" si="42"/>
        <v>0</v>
      </c>
      <c r="S116">
        <f t="shared" si="42"/>
        <v>0</v>
      </c>
      <c r="T116">
        <f t="shared" si="42"/>
        <v>0</v>
      </c>
      <c r="U116">
        <f t="shared" si="42"/>
        <v>0</v>
      </c>
      <c r="V116">
        <f t="shared" si="42"/>
        <v>0</v>
      </c>
      <c r="W116">
        <f t="shared" si="42"/>
        <v>0</v>
      </c>
      <c r="X116">
        <f t="shared" si="42"/>
        <v>0</v>
      </c>
      <c r="Y116">
        <f t="shared" si="42"/>
        <v>0</v>
      </c>
      <c r="Z116">
        <f t="shared" si="42"/>
        <v>0</v>
      </c>
      <c r="AA116">
        <f t="shared" si="42"/>
        <v>0</v>
      </c>
      <c r="AB116">
        <f t="shared" si="42"/>
        <v>0</v>
      </c>
      <c r="AC116">
        <f t="shared" si="42"/>
        <v>0</v>
      </c>
      <c r="AD116">
        <f t="shared" si="42"/>
        <v>0</v>
      </c>
      <c r="AE116">
        <f t="shared" si="42"/>
        <v>0</v>
      </c>
    </row>
    <row r="117" spans="1:31">
      <c r="A117" t="s">
        <v>547</v>
      </c>
      <c r="C117" s="11">
        <v>2990.06</v>
      </c>
      <c r="D117" s="11">
        <v>0</v>
      </c>
      <c r="E117" s="11">
        <v>0</v>
      </c>
      <c r="F117" s="13"/>
      <c r="G117" s="13"/>
      <c r="H117" s="11">
        <v>0.08</v>
      </c>
      <c r="I117" s="11">
        <v>0.09</v>
      </c>
      <c r="J117" s="11">
        <v>0.09</v>
      </c>
      <c r="K117" s="11">
        <v>0.19</v>
      </c>
      <c r="L117" s="11">
        <v>0.09</v>
      </c>
      <c r="M117" s="11">
        <v>0.09</v>
      </c>
      <c r="N117" s="13">
        <f t="shared" ref="N117:AE117" si="43">M117+N70</f>
        <v>0.09</v>
      </c>
      <c r="O117" s="13">
        <f t="shared" si="43"/>
        <v>0.09</v>
      </c>
      <c r="P117" s="13">
        <f t="shared" si="43"/>
        <v>0.09</v>
      </c>
      <c r="Q117" s="13">
        <f t="shared" si="43"/>
        <v>0.09</v>
      </c>
      <c r="R117" s="13">
        <f t="shared" si="43"/>
        <v>0.09</v>
      </c>
      <c r="S117" s="13">
        <f t="shared" si="43"/>
        <v>0.09</v>
      </c>
      <c r="T117" s="13">
        <f t="shared" si="43"/>
        <v>0.09</v>
      </c>
      <c r="U117" s="13">
        <f t="shared" si="43"/>
        <v>0.09</v>
      </c>
      <c r="V117" s="13">
        <f t="shared" si="43"/>
        <v>0.09</v>
      </c>
      <c r="W117" s="13">
        <f t="shared" si="43"/>
        <v>0.09</v>
      </c>
      <c r="X117" s="13">
        <f t="shared" si="43"/>
        <v>0.09</v>
      </c>
      <c r="Y117" s="13">
        <f t="shared" si="43"/>
        <v>0.09</v>
      </c>
      <c r="Z117" s="13">
        <f t="shared" si="43"/>
        <v>0.09</v>
      </c>
      <c r="AA117" s="13">
        <f t="shared" si="43"/>
        <v>0.09</v>
      </c>
      <c r="AB117" s="13">
        <f t="shared" si="43"/>
        <v>0.09</v>
      </c>
      <c r="AC117" s="13">
        <f t="shared" si="43"/>
        <v>0.09</v>
      </c>
      <c r="AD117" s="13">
        <f t="shared" si="43"/>
        <v>0.09</v>
      </c>
      <c r="AE117" s="13">
        <f t="shared" si="43"/>
        <v>0.09</v>
      </c>
    </row>
    <row r="118" spans="1:31">
      <c r="A118" t="s">
        <v>1210</v>
      </c>
      <c r="C118" s="12">
        <v>1.7350000000000001</v>
      </c>
      <c r="D118" s="12">
        <v>1.7</v>
      </c>
      <c r="E118" s="12">
        <v>2.04</v>
      </c>
      <c r="F118" s="15"/>
      <c r="G118" s="15"/>
      <c r="H118" s="11">
        <v>2.02</v>
      </c>
      <c r="I118" s="11">
        <v>1.99</v>
      </c>
      <c r="J118" s="11">
        <v>1.95</v>
      </c>
      <c r="K118" s="11">
        <v>1.84</v>
      </c>
      <c r="L118" s="11">
        <v>1.76</v>
      </c>
      <c r="M118" s="11">
        <v>0.1</v>
      </c>
      <c r="N118" s="15">
        <f t="shared" ref="N118:AE118" si="44">M118</f>
        <v>0.1</v>
      </c>
      <c r="O118" s="15">
        <f t="shared" si="44"/>
        <v>0.1</v>
      </c>
      <c r="P118" s="15">
        <f t="shared" si="44"/>
        <v>0.1</v>
      </c>
      <c r="Q118" s="15">
        <f t="shared" si="44"/>
        <v>0.1</v>
      </c>
      <c r="R118" s="15">
        <f t="shared" si="44"/>
        <v>0.1</v>
      </c>
      <c r="S118" s="15">
        <f t="shared" si="44"/>
        <v>0.1</v>
      </c>
      <c r="T118" s="15">
        <f t="shared" si="44"/>
        <v>0.1</v>
      </c>
      <c r="U118" s="15">
        <f t="shared" si="44"/>
        <v>0.1</v>
      </c>
      <c r="V118" s="15">
        <f t="shared" si="44"/>
        <v>0.1</v>
      </c>
      <c r="W118" s="15">
        <f t="shared" si="44"/>
        <v>0.1</v>
      </c>
      <c r="X118" s="15">
        <f t="shared" si="44"/>
        <v>0.1</v>
      </c>
      <c r="Y118" s="15">
        <f t="shared" si="44"/>
        <v>0.1</v>
      </c>
      <c r="Z118" s="15">
        <f t="shared" si="44"/>
        <v>0.1</v>
      </c>
      <c r="AA118" s="15">
        <f t="shared" si="44"/>
        <v>0.1</v>
      </c>
      <c r="AB118" s="15">
        <f t="shared" si="44"/>
        <v>0.1</v>
      </c>
      <c r="AC118" s="15">
        <f t="shared" si="44"/>
        <v>0.1</v>
      </c>
      <c r="AD118" s="15">
        <f t="shared" si="44"/>
        <v>0.1</v>
      </c>
      <c r="AE118" s="15">
        <f t="shared" si="44"/>
        <v>0.1</v>
      </c>
    </row>
    <row r="119" spans="1:31">
      <c r="A119" t="s">
        <v>1305</v>
      </c>
      <c r="B119" s="554" t="s">
        <v>1307</v>
      </c>
      <c r="C119" s="12">
        <v>2.4053016</v>
      </c>
      <c r="D119" s="12">
        <v>2.7957383</v>
      </c>
      <c r="E119" s="12">
        <v>3.8</v>
      </c>
      <c r="F119" s="15"/>
      <c r="G119" s="15"/>
      <c r="H119" s="11">
        <v>0.65</v>
      </c>
      <c r="I119" s="11">
        <v>0.73</v>
      </c>
      <c r="J119" s="11">
        <v>0.64</v>
      </c>
      <c r="K119" s="11">
        <f>0.39+0.64</f>
        <v>1.03</v>
      </c>
      <c r="L119" s="11">
        <f>0.4+0.64</f>
        <v>1.04</v>
      </c>
      <c r="M119" s="11">
        <v>0.94</v>
      </c>
      <c r="N119" s="9">
        <f t="shared" ref="N119:AE119" si="45">M119</f>
        <v>0.94</v>
      </c>
      <c r="O119" s="9">
        <f t="shared" si="45"/>
        <v>0.94</v>
      </c>
      <c r="P119" s="9">
        <f t="shared" si="45"/>
        <v>0.94</v>
      </c>
      <c r="Q119" s="9">
        <f t="shared" si="45"/>
        <v>0.94</v>
      </c>
      <c r="R119" s="9">
        <f t="shared" si="45"/>
        <v>0.94</v>
      </c>
      <c r="S119" s="9">
        <f t="shared" si="45"/>
        <v>0.94</v>
      </c>
      <c r="T119" s="9">
        <f t="shared" si="45"/>
        <v>0.94</v>
      </c>
      <c r="U119" s="9">
        <f t="shared" si="45"/>
        <v>0.94</v>
      </c>
      <c r="V119" s="9">
        <f t="shared" si="45"/>
        <v>0.94</v>
      </c>
      <c r="W119" s="9">
        <f t="shared" si="45"/>
        <v>0.94</v>
      </c>
      <c r="X119" s="9">
        <f t="shared" si="45"/>
        <v>0.94</v>
      </c>
      <c r="Y119" s="9">
        <f t="shared" si="45"/>
        <v>0.94</v>
      </c>
      <c r="Z119" s="9">
        <f t="shared" si="45"/>
        <v>0.94</v>
      </c>
      <c r="AA119" s="9">
        <f t="shared" si="45"/>
        <v>0.94</v>
      </c>
      <c r="AB119" s="9">
        <f t="shared" si="45"/>
        <v>0.94</v>
      </c>
      <c r="AC119" s="9">
        <f t="shared" si="45"/>
        <v>0.94</v>
      </c>
      <c r="AD119" s="9">
        <f t="shared" si="45"/>
        <v>0.94</v>
      </c>
      <c r="AE119" s="9">
        <f t="shared" si="45"/>
        <v>0.94</v>
      </c>
    </row>
    <row r="120" spans="1:31">
      <c r="A120" s="4" t="s">
        <v>1211</v>
      </c>
      <c r="B120" s="4"/>
      <c r="C120" s="15"/>
      <c r="D120" s="15"/>
      <c r="E120" s="15"/>
      <c r="F120" s="15"/>
      <c r="G120" s="15"/>
      <c r="H120" s="9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>
      <c r="A121" t="s">
        <v>1212</v>
      </c>
      <c r="C121" s="43">
        <v>79.196096100000005</v>
      </c>
      <c r="D121" s="43">
        <v>41.567823799999999</v>
      </c>
      <c r="E121" s="12">
        <v>62.67</v>
      </c>
      <c r="F121" s="15"/>
      <c r="G121" s="15"/>
      <c r="H121" s="11">
        <v>80.34</v>
      </c>
      <c r="I121" s="11">
        <v>100.49</v>
      </c>
      <c r="J121" s="11">
        <v>1.07</v>
      </c>
      <c r="K121" s="11">
        <v>26.08</v>
      </c>
      <c r="L121" s="11">
        <v>9.26</v>
      </c>
      <c r="M121" s="11">
        <v>175.38</v>
      </c>
      <c r="N121" s="9">
        <f t="shared" ref="N121:AE121" si="46">M121+N47</f>
        <v>521.29154186425171</v>
      </c>
      <c r="O121" s="9">
        <f t="shared" si="46"/>
        <v>532.20447959794933</v>
      </c>
      <c r="P121" s="9">
        <f t="shared" si="46"/>
        <v>545.08935654904803</v>
      </c>
      <c r="Q121" s="9">
        <f t="shared" si="46"/>
        <v>588.36979219035061</v>
      </c>
      <c r="R121" s="9">
        <f t="shared" si="46"/>
        <v>604.3631348387903</v>
      </c>
      <c r="S121" s="9">
        <f t="shared" si="46"/>
        <v>648.17486214922633</v>
      </c>
      <c r="T121" s="9">
        <f t="shared" si="46"/>
        <v>663.50955177371202</v>
      </c>
      <c r="U121" s="9">
        <f t="shared" si="46"/>
        <v>711.83958993095735</v>
      </c>
      <c r="V121" s="9">
        <f t="shared" si="46"/>
        <v>730.79627448982433</v>
      </c>
      <c r="W121" s="9">
        <f t="shared" si="46"/>
        <v>779.59722564468927</v>
      </c>
      <c r="X121" s="9">
        <f t="shared" si="46"/>
        <v>797.72883488597824</v>
      </c>
      <c r="Y121" s="9">
        <f t="shared" si="46"/>
        <v>851.69522934011661</v>
      </c>
      <c r="Z121" s="9">
        <f t="shared" si="46"/>
        <v>874.03088531659637</v>
      </c>
      <c r="AA121" s="9">
        <f t="shared" si="46"/>
        <v>914.02971492537586</v>
      </c>
      <c r="AB121" s="9">
        <f t="shared" si="46"/>
        <v>950.39881324296414</v>
      </c>
      <c r="AC121" s="9">
        <f t="shared" si="46"/>
        <v>972.20942487236164</v>
      </c>
      <c r="AD121" s="9">
        <f t="shared" si="46"/>
        <v>844.18527254296555</v>
      </c>
      <c r="AE121" s="9">
        <f t="shared" si="46"/>
        <v>329.36245930045709</v>
      </c>
    </row>
    <row r="122" spans="1:31">
      <c r="A122" t="s">
        <v>1213</v>
      </c>
      <c r="C122" s="43">
        <v>4.7671916000000003</v>
      </c>
      <c r="D122" s="43">
        <v>5.0837946000000001</v>
      </c>
      <c r="E122" s="12">
        <v>2.64</v>
      </c>
      <c r="F122" s="15"/>
      <c r="G122" s="15"/>
      <c r="H122" s="11">
        <v>2.02</v>
      </c>
      <c r="I122" s="11">
        <v>2.13</v>
      </c>
      <c r="J122" s="11">
        <v>0.76</v>
      </c>
      <c r="K122" s="11">
        <v>1.19</v>
      </c>
      <c r="L122" s="11">
        <v>1.41</v>
      </c>
      <c r="M122" s="11">
        <v>2.23</v>
      </c>
      <c r="N122" s="9">
        <f>WC!L4</f>
        <v>8.2632782117987702</v>
      </c>
      <c r="O122" s="9">
        <f>WC!M4</f>
        <v>8.4055149679035051</v>
      </c>
      <c r="P122" s="9">
        <f>WC!N4</f>
        <v>8.5736252672615763</v>
      </c>
      <c r="Q122" s="9">
        <f>WC!O4</f>
        <v>9.142602216816206</v>
      </c>
      <c r="R122" s="9">
        <f>WC!P4</f>
        <v>9.3510034509091131</v>
      </c>
      <c r="S122" s="9">
        <f>WC!Q4</f>
        <v>9.9255269701310436</v>
      </c>
      <c r="T122" s="9">
        <f>WC!R4</f>
        <v>10.124037509533663</v>
      </c>
      <c r="U122" s="9">
        <f>WC!S4</f>
        <v>10.756789853879516</v>
      </c>
      <c r="V122" s="9">
        <f>WC!T4</f>
        <v>11.0019857212337</v>
      </c>
      <c r="W122" s="9">
        <f>WC!U4</f>
        <v>11.639018730535298</v>
      </c>
      <c r="X122" s="9">
        <f>WC!V4</f>
        <v>11.871799105146005</v>
      </c>
      <c r="Y122" s="9">
        <f>WC!W4</f>
        <v>12.574974898296963</v>
      </c>
      <c r="Z122" s="9">
        <f>WC!X4</f>
        <v>12.861615422006087</v>
      </c>
      <c r="AA122" s="9">
        <f>WC!Y4</f>
        <v>13.373737303836785</v>
      </c>
      <c r="AB122" s="9">
        <f>WC!Z4</f>
        <v>13.838910775274584</v>
      </c>
      <c r="AC122" s="9">
        <f>WC!AA4</f>
        <v>14.115688990780077</v>
      </c>
      <c r="AD122" s="9">
        <f>WC!AB4</f>
        <v>12.465120206871875</v>
      </c>
      <c r="AE122" s="9">
        <f>WC!AC4</f>
        <v>5.7737963439235331</v>
      </c>
    </row>
    <row r="123" spans="1:31">
      <c r="A123" s="553" t="s">
        <v>1308</v>
      </c>
      <c r="C123" s="43"/>
      <c r="D123" s="43"/>
      <c r="E123" s="12"/>
      <c r="F123" s="15"/>
      <c r="G123" s="15"/>
      <c r="H123" s="11">
        <v>42.58</v>
      </c>
      <c r="I123" s="11">
        <v>46.05</v>
      </c>
      <c r="J123" s="11">
        <v>51.52</v>
      </c>
      <c r="K123" s="11">
        <v>54.25</v>
      </c>
      <c r="L123" s="11">
        <v>47.69</v>
      </c>
      <c r="M123" s="11">
        <v>45.47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</row>
    <row r="124" spans="1:31">
      <c r="A124" t="s">
        <v>1214</v>
      </c>
      <c r="C124" s="43">
        <v>284.7934262</v>
      </c>
      <c r="D124" s="43">
        <v>621.36</v>
      </c>
      <c r="E124" s="12">
        <v>656.38</v>
      </c>
      <c r="F124" s="15"/>
      <c r="G124" s="15"/>
      <c r="H124" s="11">
        <v>877.85</v>
      </c>
      <c r="I124" s="11">
        <v>987.87</v>
      </c>
      <c r="J124" s="11">
        <v>1334.17</v>
      </c>
      <c r="K124" s="11">
        <v>949.43</v>
      </c>
      <c r="L124" s="11">
        <v>682.08</v>
      </c>
      <c r="M124" s="11">
        <v>746.52</v>
      </c>
      <c r="N124" s="9">
        <f>WC!L2</f>
        <v>1314.7502507999998</v>
      </c>
      <c r="O124" s="9">
        <f>WC!M2</f>
        <v>1311.1580369999999</v>
      </c>
      <c r="P124" s="9">
        <f>WC!N2</f>
        <v>1311.1580369999999</v>
      </c>
      <c r="Q124" s="9">
        <f>WC!O2</f>
        <v>1408.3112451449997</v>
      </c>
      <c r="R124" s="9">
        <f>WC!P2</f>
        <v>1412.1696321179998</v>
      </c>
      <c r="S124" s="9">
        <f>WC!Q2</f>
        <v>1500.5183054400002</v>
      </c>
      <c r="T124" s="9">
        <f>WC!R2</f>
        <v>1541.9218515120001</v>
      </c>
      <c r="U124" s="9">
        <f>WC!S2</f>
        <v>1605.11689562175</v>
      </c>
      <c r="V124" s="9">
        <f>WC!T2</f>
        <v>1609.5144761577001</v>
      </c>
      <c r="W124" s="9">
        <f>WC!U2</f>
        <v>1714.5027708180751</v>
      </c>
      <c r="X124" s="9">
        <f>WC!V2</f>
        <v>1751.7275367180755</v>
      </c>
      <c r="Y124" s="9">
        <f>WC!W2</f>
        <v>1818.0823330333126</v>
      </c>
      <c r="Z124" s="9">
        <f>WC!X2</f>
        <v>1873.1270206121287</v>
      </c>
      <c r="AA124" s="9">
        <f>WC!Y2</f>
        <v>1905.8343525724786</v>
      </c>
      <c r="AB124" s="9">
        <f>WC!Z2</f>
        <v>1931.0511294724786</v>
      </c>
      <c r="AC124" s="9">
        <f>WC!AA2</f>
        <v>2027.6036859461026</v>
      </c>
      <c r="AD124" s="9">
        <f>WC!AB2</f>
        <v>1779.2638190377354</v>
      </c>
      <c r="AE124" s="9">
        <f>WC!AC2</f>
        <v>865.62906221371588</v>
      </c>
    </row>
    <row r="125" spans="1:31">
      <c r="A125" s="553" t="s">
        <v>1309</v>
      </c>
      <c r="C125" s="43">
        <v>0</v>
      </c>
      <c r="D125" s="43">
        <v>0</v>
      </c>
      <c r="E125" s="43">
        <v>0</v>
      </c>
      <c r="F125" s="15"/>
      <c r="G125" s="15"/>
      <c r="H125" s="11">
        <v>1.53</v>
      </c>
      <c r="I125" s="11">
        <v>1.5</v>
      </c>
      <c r="J125" s="11">
        <v>1.51</v>
      </c>
      <c r="K125" s="11">
        <v>1.51</v>
      </c>
      <c r="L125" s="11">
        <v>1.51</v>
      </c>
      <c r="M125" s="11">
        <v>1.51</v>
      </c>
      <c r="N125" s="9">
        <f t="shared" ref="N125:AE125" si="47">M125+N50</f>
        <v>3.731539347776847</v>
      </c>
      <c r="O125" s="9">
        <f t="shared" si="47"/>
        <v>4.0881105282101533</v>
      </c>
      <c r="P125" s="9">
        <f t="shared" si="47"/>
        <v>4.4553788440564581</v>
      </c>
      <c r="Q125" s="9">
        <f t="shared" si="47"/>
        <v>4.8336652093781538</v>
      </c>
      <c r="R125" s="9">
        <f t="shared" si="47"/>
        <v>5.2233001656594986</v>
      </c>
      <c r="S125" s="9">
        <f t="shared" si="47"/>
        <v>5.6246241706292839</v>
      </c>
      <c r="T125" s="9">
        <f t="shared" si="47"/>
        <v>6.037987895748163</v>
      </c>
      <c r="U125" s="9">
        <f t="shared" si="47"/>
        <v>6.4637525326206102</v>
      </c>
      <c r="V125" s="9">
        <f t="shared" si="47"/>
        <v>6.9022901085992281</v>
      </c>
      <c r="W125" s="9">
        <f t="shared" si="47"/>
        <v>7.3539838118572067</v>
      </c>
      <c r="X125" s="9">
        <f t="shared" si="47"/>
        <v>7.8192283262129241</v>
      </c>
      <c r="Y125" s="9">
        <f t="shared" si="47"/>
        <v>8.2984301759993127</v>
      </c>
      <c r="Z125" s="9">
        <f t="shared" si="47"/>
        <v>8.79200808127929</v>
      </c>
      <c r="AA125" s="9">
        <f t="shared" si="47"/>
        <v>9.3003933237176692</v>
      </c>
      <c r="AB125" s="9">
        <f t="shared" si="47"/>
        <v>9.8240301234292016</v>
      </c>
      <c r="AC125" s="9">
        <f t="shared" si="47"/>
        <v>10.363376027132075</v>
      </c>
      <c r="AD125" s="9">
        <f t="shared" si="47"/>
        <v>8.313291792288565</v>
      </c>
      <c r="AE125" s="9">
        <f t="shared" si="47"/>
        <v>-0.43061883161836256</v>
      </c>
    </row>
    <row r="126" spans="1:31">
      <c r="A126" s="553" t="s">
        <v>1310</v>
      </c>
      <c r="C126" s="43">
        <v>0</v>
      </c>
      <c r="D126" s="43">
        <v>14.8626252</v>
      </c>
      <c r="E126" s="12">
        <v>22.1981</v>
      </c>
      <c r="F126" s="15"/>
      <c r="G126" s="15"/>
      <c r="H126" s="11">
        <v>7.37</v>
      </c>
      <c r="I126" s="11">
        <v>6.65</v>
      </c>
      <c r="J126" s="11">
        <v>10.97</v>
      </c>
      <c r="K126" s="11">
        <v>8.07</v>
      </c>
      <c r="L126" s="11">
        <v>10.59</v>
      </c>
      <c r="M126" s="11">
        <v>8.36</v>
      </c>
      <c r="N126" s="9">
        <f t="shared" ref="N126:AE126" si="48">M126+N51</f>
        <v>13.691694434664431</v>
      </c>
      <c r="O126" s="9">
        <f t="shared" si="48"/>
        <v>14.547465267704368</v>
      </c>
      <c r="P126" s="9">
        <f t="shared" si="48"/>
        <v>15.428909225735499</v>
      </c>
      <c r="Q126" s="9">
        <f t="shared" si="48"/>
        <v>16.336796502507568</v>
      </c>
      <c r="R126" s="9">
        <f t="shared" si="48"/>
        <v>17.271920397582797</v>
      </c>
      <c r="S126" s="9">
        <f t="shared" si="48"/>
        <v>18.235098009510281</v>
      </c>
      <c r="T126" s="9">
        <f t="shared" si="48"/>
        <v>19.227170949795592</v>
      </c>
      <c r="U126" s="9">
        <f t="shared" si="48"/>
        <v>20.249006078289462</v>
      </c>
      <c r="V126" s="9">
        <f t="shared" si="48"/>
        <v>21.301496260638146</v>
      </c>
      <c r="W126" s="9">
        <f t="shared" si="48"/>
        <v>22.385561148457292</v>
      </c>
      <c r="X126" s="9">
        <f t="shared" si="48"/>
        <v>23.502147982911019</v>
      </c>
      <c r="Y126" s="9">
        <f t="shared" si="48"/>
        <v>24.652232422398349</v>
      </c>
      <c r="Z126" s="9">
        <f t="shared" si="48"/>
        <v>25.8368193950703</v>
      </c>
      <c r="AA126" s="9">
        <f t="shared" si="48"/>
        <v>27.056943976922412</v>
      </c>
      <c r="AB126" s="9">
        <f t="shared" si="48"/>
        <v>28.313672296230081</v>
      </c>
      <c r="AC126" s="9">
        <f t="shared" si="48"/>
        <v>29.608102465116986</v>
      </c>
      <c r="AD126" s="9">
        <f t="shared" si="48"/>
        <v>24.687900301492554</v>
      </c>
      <c r="AE126" s="9">
        <f t="shared" si="48"/>
        <v>3.7025148041159248</v>
      </c>
    </row>
    <row r="127" spans="1:31">
      <c r="A127" t="s">
        <v>1215</v>
      </c>
      <c r="C127" s="12">
        <v>3.7103527000000001</v>
      </c>
      <c r="D127" s="12">
        <v>131.8056732</v>
      </c>
      <c r="E127" s="12">
        <f>597459336/Cr</f>
        <v>59.745933600000001</v>
      </c>
      <c r="F127" s="12"/>
      <c r="G127" s="12"/>
      <c r="H127" s="11">
        <v>69.459999999999994</v>
      </c>
      <c r="I127" s="11">
        <v>44.22</v>
      </c>
      <c r="J127" s="11">
        <v>131.02000000000001</v>
      </c>
      <c r="K127" s="11">
        <v>128.61000000000001</v>
      </c>
      <c r="L127" s="11">
        <v>3.86</v>
      </c>
      <c r="M127" s="11">
        <v>99.38</v>
      </c>
      <c r="N127" s="44" t="e">
        <f t="shared" ref="N127:AE127" ca="1" si="49">N87</f>
        <v>#DIV/0!</v>
      </c>
      <c r="O127" s="44" t="e">
        <f t="shared" ca="1" si="49"/>
        <v>#DIV/0!</v>
      </c>
      <c r="P127" s="44" t="e">
        <f t="shared" ca="1" si="49"/>
        <v>#DIV/0!</v>
      </c>
      <c r="Q127" s="44" t="e">
        <f t="shared" ca="1" si="49"/>
        <v>#DIV/0!</v>
      </c>
      <c r="R127" s="44" t="e">
        <f t="shared" ca="1" si="49"/>
        <v>#DIV/0!</v>
      </c>
      <c r="S127" s="44" t="e">
        <f t="shared" ca="1" si="49"/>
        <v>#DIV/0!</v>
      </c>
      <c r="T127" s="44" t="e">
        <f t="shared" ca="1" si="49"/>
        <v>#DIV/0!</v>
      </c>
      <c r="U127" s="44" t="e">
        <f t="shared" ca="1" si="49"/>
        <v>#DIV/0!</v>
      </c>
      <c r="V127" s="44" t="e">
        <f t="shared" ca="1" si="49"/>
        <v>#DIV/0!</v>
      </c>
      <c r="W127" s="44" t="e">
        <f t="shared" ca="1" si="49"/>
        <v>#DIV/0!</v>
      </c>
      <c r="X127" s="44" t="e">
        <f t="shared" ca="1" si="49"/>
        <v>#DIV/0!</v>
      </c>
      <c r="Y127" s="44" t="e">
        <f t="shared" ca="1" si="49"/>
        <v>#DIV/0!</v>
      </c>
      <c r="Z127" s="44" t="e">
        <f t="shared" ca="1" si="49"/>
        <v>#DIV/0!</v>
      </c>
      <c r="AA127" s="44" t="e">
        <f t="shared" ca="1" si="49"/>
        <v>#DIV/0!</v>
      </c>
      <c r="AB127" s="44" t="e">
        <f t="shared" ca="1" si="49"/>
        <v>#DIV/0!</v>
      </c>
      <c r="AC127" s="44" t="e">
        <f t="shared" ca="1" si="49"/>
        <v>#DIV/0!</v>
      </c>
      <c r="AD127" s="44" t="e">
        <f t="shared" ca="1" si="49"/>
        <v>#DIV/0!</v>
      </c>
      <c r="AE127" s="44" t="e">
        <f t="shared" ca="1" si="49"/>
        <v>#DIV/0!</v>
      </c>
    </row>
    <row r="128" spans="1:31">
      <c r="A128" t="s">
        <v>1216</v>
      </c>
      <c r="C128" s="12">
        <v>0.1076</v>
      </c>
      <c r="D128" s="12">
        <v>23.6477839</v>
      </c>
      <c r="E128" s="12">
        <v>20.479299999999999</v>
      </c>
      <c r="F128" s="15"/>
      <c r="G128" s="15"/>
      <c r="H128" s="11">
        <v>55.72</v>
      </c>
      <c r="I128" s="11">
        <v>0</v>
      </c>
      <c r="J128" s="11">
        <v>4.63</v>
      </c>
      <c r="K128" s="11">
        <v>20</v>
      </c>
      <c r="L128" s="11">
        <v>20.02</v>
      </c>
      <c r="M128" s="11">
        <v>15.06</v>
      </c>
      <c r="N128" s="15">
        <f t="shared" ref="N128:AE128" si="50">M128</f>
        <v>15.06</v>
      </c>
      <c r="O128" s="15">
        <f t="shared" si="50"/>
        <v>15.06</v>
      </c>
      <c r="P128" s="15">
        <f t="shared" si="50"/>
        <v>15.06</v>
      </c>
      <c r="Q128" s="15">
        <f t="shared" si="50"/>
        <v>15.06</v>
      </c>
      <c r="R128" s="15">
        <f t="shared" si="50"/>
        <v>15.06</v>
      </c>
      <c r="S128" s="15">
        <f t="shared" si="50"/>
        <v>15.06</v>
      </c>
      <c r="T128" s="15">
        <f t="shared" si="50"/>
        <v>15.06</v>
      </c>
      <c r="U128" s="15">
        <f t="shared" si="50"/>
        <v>15.06</v>
      </c>
      <c r="V128" s="15">
        <f t="shared" si="50"/>
        <v>15.06</v>
      </c>
      <c r="W128" s="15">
        <f t="shared" si="50"/>
        <v>15.06</v>
      </c>
      <c r="X128" s="15">
        <f t="shared" si="50"/>
        <v>15.06</v>
      </c>
      <c r="Y128" s="15">
        <f t="shared" si="50"/>
        <v>15.06</v>
      </c>
      <c r="Z128" s="15">
        <f t="shared" si="50"/>
        <v>15.06</v>
      </c>
      <c r="AA128" s="15">
        <f t="shared" si="50"/>
        <v>15.06</v>
      </c>
      <c r="AB128" s="15">
        <f t="shared" si="50"/>
        <v>15.06</v>
      </c>
      <c r="AC128" s="15">
        <f t="shared" si="50"/>
        <v>15.06</v>
      </c>
      <c r="AD128" s="15">
        <f t="shared" si="50"/>
        <v>15.06</v>
      </c>
      <c r="AE128" s="15">
        <f t="shared" si="50"/>
        <v>15.06</v>
      </c>
    </row>
    <row r="129" spans="1:31">
      <c r="A129" s="553" t="s">
        <v>1311</v>
      </c>
      <c r="C129" s="12">
        <v>49.52</v>
      </c>
      <c r="D129" s="12">
        <v>33.01</v>
      </c>
      <c r="E129" s="12">
        <v>33.08</v>
      </c>
      <c r="F129" s="15"/>
      <c r="G129" s="15"/>
      <c r="H129" s="11">
        <v>1.46</v>
      </c>
      <c r="I129" s="11">
        <v>1.65</v>
      </c>
      <c r="J129" s="11">
        <v>1.78</v>
      </c>
      <c r="K129" s="11">
        <v>1.88</v>
      </c>
      <c r="L129" s="11">
        <v>3.72</v>
      </c>
      <c r="M129" s="11">
        <v>5.69</v>
      </c>
      <c r="N129" s="15">
        <f t="shared" ref="N129:AE129" si="51">M129</f>
        <v>5.69</v>
      </c>
      <c r="O129" s="15">
        <f t="shared" si="51"/>
        <v>5.69</v>
      </c>
      <c r="P129" s="15">
        <f t="shared" si="51"/>
        <v>5.69</v>
      </c>
      <c r="Q129" s="15">
        <f t="shared" si="51"/>
        <v>5.69</v>
      </c>
      <c r="R129" s="15">
        <f t="shared" si="51"/>
        <v>5.69</v>
      </c>
      <c r="S129" s="15">
        <f t="shared" si="51"/>
        <v>5.69</v>
      </c>
      <c r="T129" s="15">
        <f t="shared" si="51"/>
        <v>5.69</v>
      </c>
      <c r="U129" s="15">
        <f t="shared" si="51"/>
        <v>5.69</v>
      </c>
      <c r="V129" s="15">
        <f t="shared" si="51"/>
        <v>5.69</v>
      </c>
      <c r="W129" s="15">
        <f t="shared" si="51"/>
        <v>5.69</v>
      </c>
      <c r="X129" s="15">
        <f t="shared" si="51"/>
        <v>5.69</v>
      </c>
      <c r="Y129" s="15">
        <f t="shared" si="51"/>
        <v>5.69</v>
      </c>
      <c r="Z129" s="15">
        <f t="shared" si="51"/>
        <v>5.69</v>
      </c>
      <c r="AA129" s="15">
        <f t="shared" si="51"/>
        <v>5.69</v>
      </c>
      <c r="AB129" s="15">
        <f t="shared" si="51"/>
        <v>5.69</v>
      </c>
      <c r="AC129" s="15">
        <f t="shared" si="51"/>
        <v>5.69</v>
      </c>
      <c r="AD129" s="15">
        <f t="shared" si="51"/>
        <v>5.69</v>
      </c>
      <c r="AE129" s="15">
        <f t="shared" si="51"/>
        <v>5.69</v>
      </c>
    </row>
    <row r="130" spans="1:31">
      <c r="A130" t="s">
        <v>976</v>
      </c>
      <c r="C130" s="12">
        <v>0.71412050000000005</v>
      </c>
      <c r="D130" s="12">
        <v>0.4414749</v>
      </c>
      <c r="E130" s="12">
        <v>1.1499999999999999</v>
      </c>
      <c r="F130" s="15"/>
      <c r="G130" s="15"/>
      <c r="H130" s="11">
        <f>0.79+0.11+0.25+3.57</f>
        <v>4.72</v>
      </c>
      <c r="I130" s="11">
        <f>0.02+0.2+5.82</f>
        <v>6.04</v>
      </c>
      <c r="J130" s="11">
        <f>0.02+0.16+9.54</f>
        <v>9.7199999999999989</v>
      </c>
      <c r="K130" s="11">
        <f>0.02+0.07+10</f>
        <v>10.09</v>
      </c>
      <c r="L130" s="11">
        <f>0.04+0.01+33.99</f>
        <v>34.04</v>
      </c>
      <c r="M130" s="11">
        <f>0.02+0.02+18.32</f>
        <v>18.36</v>
      </c>
      <c r="N130" s="9">
        <f t="shared" ref="N130:AE130" si="52">M130+N52</f>
        <v>18.36</v>
      </c>
      <c r="O130" s="9">
        <f t="shared" si="52"/>
        <v>18.36</v>
      </c>
      <c r="P130" s="9">
        <f t="shared" si="52"/>
        <v>18.36</v>
      </c>
      <c r="Q130" s="9">
        <f t="shared" si="52"/>
        <v>18.36</v>
      </c>
      <c r="R130" s="9">
        <f t="shared" si="52"/>
        <v>18.36</v>
      </c>
      <c r="S130" s="9">
        <f t="shared" si="52"/>
        <v>18.36</v>
      </c>
      <c r="T130" s="9">
        <f t="shared" si="52"/>
        <v>18.36</v>
      </c>
      <c r="U130" s="9">
        <f t="shared" si="52"/>
        <v>18.36</v>
      </c>
      <c r="V130" s="9">
        <f t="shared" si="52"/>
        <v>18.36</v>
      </c>
      <c r="W130" s="9">
        <f t="shared" si="52"/>
        <v>18.36</v>
      </c>
      <c r="X130" s="9">
        <f t="shared" si="52"/>
        <v>18.36</v>
      </c>
      <c r="Y130" s="9">
        <f t="shared" si="52"/>
        <v>18.36</v>
      </c>
      <c r="Z130" s="9">
        <f t="shared" si="52"/>
        <v>18.36</v>
      </c>
      <c r="AA130" s="9">
        <f t="shared" si="52"/>
        <v>18.36</v>
      </c>
      <c r="AB130" s="9">
        <f t="shared" si="52"/>
        <v>18.36</v>
      </c>
      <c r="AC130" s="9">
        <f t="shared" si="52"/>
        <v>18.36</v>
      </c>
      <c r="AD130" s="9">
        <f t="shared" si="52"/>
        <v>18.36</v>
      </c>
      <c r="AE130" s="9">
        <f t="shared" si="52"/>
        <v>18.36</v>
      </c>
    </row>
    <row r="131" spans="1:31">
      <c r="A131" s="1" t="s">
        <v>1217</v>
      </c>
      <c r="B131" s="1"/>
      <c r="C131" s="15">
        <f>SUM(C121:C130,C115:C119)</f>
        <v>7769.8458423999991</v>
      </c>
      <c r="D131" s="15">
        <f>SUM(D121:D130,D115:D119)</f>
        <v>8770.6551017999991</v>
      </c>
      <c r="E131" s="15">
        <f>SUM(E121:E130,E115:E119)</f>
        <v>8479.1035498999991</v>
      </c>
      <c r="F131" s="15"/>
      <c r="G131" s="15"/>
      <c r="H131" s="15">
        <f>SUM(H121:H130,H115:H119)</f>
        <v>8725.24</v>
      </c>
      <c r="I131" s="15">
        <f t="shared" ref="I131:AE131" si="53">SUM(I121:I130,I115:I119)</f>
        <v>8575.82</v>
      </c>
      <c r="J131" s="15">
        <f t="shared" si="53"/>
        <v>8876.14</v>
      </c>
      <c r="K131" s="15">
        <f t="shared" si="53"/>
        <v>8330.2300000000014</v>
      </c>
      <c r="L131" s="15">
        <f t="shared" si="53"/>
        <v>7593.8300000000008</v>
      </c>
      <c r="M131" s="15">
        <f t="shared" si="53"/>
        <v>7697.65</v>
      </c>
      <c r="N131" s="15" t="e">
        <f t="shared" ca="1" si="53"/>
        <v>#DIV/0!</v>
      </c>
      <c r="O131" s="15" t="e">
        <f t="shared" ca="1" si="53"/>
        <v>#DIV/0!</v>
      </c>
      <c r="P131" s="15" t="e">
        <f t="shared" ca="1" si="53"/>
        <v>#DIV/0!</v>
      </c>
      <c r="Q131" s="15" t="e">
        <f t="shared" ca="1" si="53"/>
        <v>#DIV/0!</v>
      </c>
      <c r="R131" s="15" t="e">
        <f t="shared" ca="1" si="53"/>
        <v>#DIV/0!</v>
      </c>
      <c r="S131" s="15" t="e">
        <f t="shared" ca="1" si="53"/>
        <v>#DIV/0!</v>
      </c>
      <c r="T131" s="15" t="e">
        <f t="shared" ca="1" si="53"/>
        <v>#DIV/0!</v>
      </c>
      <c r="U131" s="15" t="e">
        <f t="shared" ca="1" si="53"/>
        <v>#DIV/0!</v>
      </c>
      <c r="V131" s="15" t="e">
        <f t="shared" ca="1" si="53"/>
        <v>#DIV/0!</v>
      </c>
      <c r="W131" s="15" t="e">
        <f t="shared" ca="1" si="53"/>
        <v>#DIV/0!</v>
      </c>
      <c r="X131" s="15" t="e">
        <f t="shared" ca="1" si="53"/>
        <v>#DIV/0!</v>
      </c>
      <c r="Y131" s="15" t="e">
        <f t="shared" ca="1" si="53"/>
        <v>#DIV/0!</v>
      </c>
      <c r="Z131" s="15" t="e">
        <f t="shared" ca="1" si="53"/>
        <v>#DIV/0!</v>
      </c>
      <c r="AA131" s="15" t="e">
        <f t="shared" ca="1" si="53"/>
        <v>#DIV/0!</v>
      </c>
      <c r="AB131" s="15" t="e">
        <f t="shared" ca="1" si="53"/>
        <v>#DIV/0!</v>
      </c>
      <c r="AC131" s="15" t="e">
        <f t="shared" ca="1" si="53"/>
        <v>#DIV/0!</v>
      </c>
      <c r="AD131" s="15" t="e">
        <f t="shared" ca="1" si="53"/>
        <v>#DIV/0!</v>
      </c>
      <c r="AE131" s="15" t="e">
        <f t="shared" ca="1" si="53"/>
        <v>#DIV/0!</v>
      </c>
    </row>
    <row r="132" spans="1:31">
      <c r="C132" s="40">
        <f>ROUND(C111-C131,2)</f>
        <v>-297.97000000000003</v>
      </c>
      <c r="D132" s="40">
        <f>ROUND(D111-D131,2)</f>
        <v>-366.64</v>
      </c>
      <c r="E132" s="9">
        <f>ROUND(E111-E131,2)</f>
        <v>0</v>
      </c>
      <c r="F132" s="9"/>
      <c r="G132" s="9"/>
      <c r="H132" s="9">
        <f t="shared" ref="H132:AE132" si="54">ROUND(H111-H131,2)</f>
        <v>-107.56</v>
      </c>
      <c r="I132" s="9">
        <f t="shared" si="54"/>
        <v>-107.56</v>
      </c>
      <c r="J132" s="9">
        <f t="shared" si="54"/>
        <v>-107.56</v>
      </c>
      <c r="K132" s="9">
        <f t="shared" si="54"/>
        <v>0</v>
      </c>
      <c r="L132" s="9">
        <f t="shared" si="54"/>
        <v>-0.01</v>
      </c>
      <c r="M132" s="9">
        <f t="shared" si="54"/>
        <v>0.02</v>
      </c>
      <c r="N132" s="9" t="e">
        <f t="shared" ca="1" si="54"/>
        <v>#DIV/0!</v>
      </c>
      <c r="O132" s="9" t="e">
        <f t="shared" ca="1" si="54"/>
        <v>#DIV/0!</v>
      </c>
      <c r="P132" s="9" t="e">
        <f t="shared" ca="1" si="54"/>
        <v>#DIV/0!</v>
      </c>
      <c r="Q132" s="9" t="e">
        <f t="shared" ca="1" si="54"/>
        <v>#DIV/0!</v>
      </c>
      <c r="R132" s="9" t="e">
        <f t="shared" ca="1" si="54"/>
        <v>#DIV/0!</v>
      </c>
      <c r="S132" s="9" t="e">
        <f t="shared" ca="1" si="54"/>
        <v>#DIV/0!</v>
      </c>
      <c r="T132" s="9" t="e">
        <f t="shared" ca="1" si="54"/>
        <v>#DIV/0!</v>
      </c>
      <c r="U132" s="9" t="e">
        <f t="shared" ca="1" si="54"/>
        <v>#DIV/0!</v>
      </c>
      <c r="V132" s="9" t="e">
        <f t="shared" ca="1" si="54"/>
        <v>#DIV/0!</v>
      </c>
      <c r="W132" s="9" t="e">
        <f t="shared" ca="1" si="54"/>
        <v>#DIV/0!</v>
      </c>
      <c r="X132" s="9" t="e">
        <f t="shared" ca="1" si="54"/>
        <v>#DIV/0!</v>
      </c>
      <c r="Y132" s="9" t="e">
        <f t="shared" ca="1" si="54"/>
        <v>#DIV/0!</v>
      </c>
      <c r="Z132" s="9" t="e">
        <f t="shared" ca="1" si="54"/>
        <v>#DIV/0!</v>
      </c>
      <c r="AA132" s="9" t="e">
        <f t="shared" ca="1" si="54"/>
        <v>#DIV/0!</v>
      </c>
      <c r="AB132" s="9" t="e">
        <f t="shared" ca="1" si="54"/>
        <v>#DIV/0!</v>
      </c>
      <c r="AC132" s="9" t="e">
        <f t="shared" ca="1" si="54"/>
        <v>#DIV/0!</v>
      </c>
      <c r="AD132" s="9" t="e">
        <f t="shared" ca="1" si="54"/>
        <v>#DIV/0!</v>
      </c>
      <c r="AE132" s="9" t="e">
        <f t="shared" ca="1" si="54"/>
        <v>#DIV/0!</v>
      </c>
    </row>
    <row r="133" spans="1:31">
      <c r="H133" s="9"/>
      <c r="I133" s="9"/>
      <c r="J133" s="9"/>
      <c r="K133" s="9"/>
      <c r="L133" s="9"/>
      <c r="M133" s="9"/>
      <c r="N133" s="9"/>
      <c r="O133" s="9"/>
      <c r="P133" s="9"/>
      <c r="Q133" s="9"/>
    </row>
    <row r="134" spans="1:31">
      <c r="A134" t="s">
        <v>1218</v>
      </c>
    </row>
    <row r="135" spans="1:31">
      <c r="A135" s="3" t="s">
        <v>1219</v>
      </c>
      <c r="B135" s="3"/>
      <c r="C135" s="27">
        <f>C18/C3</f>
        <v>0.39385061782811631</v>
      </c>
      <c r="D135" s="27">
        <f>D18/D3</f>
        <v>0.52152432275541805</v>
      </c>
      <c r="E135" s="27">
        <f>E18/E3</f>
        <v>0.37269246711315668</v>
      </c>
      <c r="F135" s="27" t="e">
        <f>F18/F3</f>
        <v>#REF!</v>
      </c>
      <c r="G135" s="27" t="e">
        <f>G18/G3</f>
        <v>#REF!</v>
      </c>
      <c r="H135" s="27" t="e">
        <f>G135</f>
        <v>#REF!</v>
      </c>
      <c r="I135" s="27">
        <f t="shared" ref="I135:AE135" si="55">I18/I3</f>
        <v>0.19236878725024267</v>
      </c>
      <c r="J135" s="27">
        <f t="shared" si="55"/>
        <v>0.14455656210709567</v>
      </c>
      <c r="K135" s="27">
        <f t="shared" si="55"/>
        <v>0.47229469401093149</v>
      </c>
      <c r="L135" s="27">
        <f t="shared" si="55"/>
        <v>0.13432688835636697</v>
      </c>
      <c r="M135" s="27">
        <f t="shared" si="55"/>
        <v>-1.126966625673187E-2</v>
      </c>
      <c r="N135" s="27">
        <f t="shared" si="55"/>
        <v>-0.31763135221897587</v>
      </c>
      <c r="O135" s="27">
        <f t="shared" si="55"/>
        <v>-0.34447170559407947</v>
      </c>
      <c r="P135" s="27">
        <f t="shared" si="55"/>
        <v>-0.37163198239145123</v>
      </c>
      <c r="Q135" s="27">
        <f t="shared" si="55"/>
        <v>-0.357745818761882</v>
      </c>
      <c r="R135" s="27">
        <f t="shared" si="55"/>
        <v>-0.3850409704215072</v>
      </c>
      <c r="S135" s="27">
        <f t="shared" si="55"/>
        <v>-0.38031008713197878</v>
      </c>
      <c r="T135" s="27">
        <f t="shared" si="55"/>
        <v>-0.37068412523675365</v>
      </c>
      <c r="U135" s="27">
        <f t="shared" si="55"/>
        <v>-0.39589344260466586</v>
      </c>
      <c r="V135" s="27">
        <f t="shared" si="55"/>
        <v>-0.42428573644623396</v>
      </c>
      <c r="W135" s="27">
        <f t="shared" si="55"/>
        <v>-0.41203849407620141</v>
      </c>
      <c r="X135" s="27">
        <f t="shared" si="55"/>
        <v>-0.41056196445066395</v>
      </c>
      <c r="Y135" s="27">
        <f t="shared" si="55"/>
        <v>-0.43721641900199021</v>
      </c>
      <c r="Z135" s="27">
        <f t="shared" si="55"/>
        <v>-0.42757282052037265</v>
      </c>
      <c r="AA135" s="27">
        <f t="shared" si="55"/>
        <v>-0.45894893822284766</v>
      </c>
      <c r="AB135" s="27">
        <f t="shared" si="55"/>
        <v>-0.49030789803063735</v>
      </c>
      <c r="AC135" s="27">
        <f t="shared" si="55"/>
        <v>-0.44640167495018118</v>
      </c>
      <c r="AD135" s="27">
        <f t="shared" si="55"/>
        <v>-0.44626676808801713</v>
      </c>
      <c r="AE135" s="27">
        <f t="shared" si="55"/>
        <v>-0.39135867182597672</v>
      </c>
    </row>
    <row r="136" spans="1:31">
      <c r="A136" s="3" t="s">
        <v>1220</v>
      </c>
      <c r="B136" s="3"/>
      <c r="C136" s="27">
        <f t="shared" ref="C136:AE136" si="56">IFERROR(C31/C3,0)</f>
        <v>9.569524213924184E-2</v>
      </c>
      <c r="D136" s="27">
        <f t="shared" si="56"/>
        <v>0.11139801045526063</v>
      </c>
      <c r="E136" s="27">
        <f t="shared" si="56"/>
        <v>-0.2367558192805255</v>
      </c>
      <c r="F136" s="27">
        <f t="shared" si="56"/>
        <v>0</v>
      </c>
      <c r="G136" s="27">
        <f t="shared" si="56"/>
        <v>0</v>
      </c>
      <c r="H136" s="27">
        <f t="shared" si="56"/>
        <v>-0.36081679406128148</v>
      </c>
      <c r="I136" s="27">
        <f t="shared" si="56"/>
        <v>-0.6488959487489171</v>
      </c>
      <c r="J136" s="27">
        <f t="shared" si="56"/>
        <v>-0.18498339727263932</v>
      </c>
      <c r="K136" s="27">
        <f t="shared" si="56"/>
        <v>0.27521359412635932</v>
      </c>
      <c r="L136" s="27">
        <f t="shared" si="56"/>
        <v>-6.5292321833043121E-2</v>
      </c>
      <c r="M136" s="27">
        <f t="shared" si="56"/>
        <v>-3.9523345065942683E-2</v>
      </c>
      <c r="N136" s="27">
        <f t="shared" si="56"/>
        <v>-0.41073202853355811</v>
      </c>
      <c r="O136" s="27">
        <f t="shared" si="56"/>
        <v>-0.43757238190866171</v>
      </c>
      <c r="P136" s="27">
        <f t="shared" si="56"/>
        <v>-0.46473265870603347</v>
      </c>
      <c r="Q136" s="27">
        <f t="shared" si="56"/>
        <v>-0.44442388827302315</v>
      </c>
      <c r="R136" s="27">
        <f t="shared" si="56"/>
        <v>-0.47171903993264835</v>
      </c>
      <c r="S136" s="27">
        <f t="shared" si="56"/>
        <v>-0.46166177711633072</v>
      </c>
      <c r="T136" s="27">
        <f t="shared" si="56"/>
        <v>-0.44985136700085415</v>
      </c>
      <c r="U136" s="27">
        <f t="shared" si="56"/>
        <v>-0.47194379154371663</v>
      </c>
      <c r="V136" s="27">
        <f t="shared" si="56"/>
        <v>-0.50033608538528473</v>
      </c>
      <c r="W136" s="27">
        <f t="shared" si="56"/>
        <v>-0.48323680420885545</v>
      </c>
      <c r="X136" s="27">
        <f t="shared" si="56"/>
        <v>-0.48024728790496213</v>
      </c>
      <c r="Y136" s="27">
        <f t="shared" si="56"/>
        <v>-0.50435842779998408</v>
      </c>
      <c r="Z136" s="27">
        <f t="shared" si="56"/>
        <v>-0.49292030426669409</v>
      </c>
      <c r="AA136" s="27">
        <f t="shared" si="56"/>
        <v>-0.52299946802635933</v>
      </c>
      <c r="AB136" s="27">
        <f t="shared" si="56"/>
        <v>-0.55352201915716948</v>
      </c>
      <c r="AC136" s="27">
        <f t="shared" si="56"/>
        <v>-0.50660559983259279</v>
      </c>
      <c r="AD136" s="27">
        <f t="shared" si="56"/>
        <v>-0.51506158998263951</v>
      </c>
      <c r="AE136" s="27">
        <f t="shared" si="56"/>
        <v>-0.53237715806744501</v>
      </c>
    </row>
    <row r="137" spans="1:31">
      <c r="A137" s="506" t="s">
        <v>1296</v>
      </c>
      <c r="H137" s="13">
        <f>H99/(H99+H97)</f>
        <v>0.9604919457446256</v>
      </c>
      <c r="I137" s="13">
        <f t="shared" ref="I137:Z137" si="57">I99/(I99+I97)</f>
        <v>1.2660030414333401</v>
      </c>
      <c r="J137" s="13">
        <f t="shared" si="57"/>
        <v>1.4807913301661366</v>
      </c>
      <c r="K137" s="13">
        <f t="shared" si="57"/>
        <v>1.1817710367550867</v>
      </c>
      <c r="L137" s="13">
        <f t="shared" si="57"/>
        <v>-0.27672262753128152</v>
      </c>
      <c r="M137" s="13">
        <f t="shared" si="57"/>
        <v>-0.23188631656283967</v>
      </c>
      <c r="N137" s="13" t="e">
        <f t="shared" ca="1" si="57"/>
        <v>#DIV/0!</v>
      </c>
      <c r="O137" s="13" t="e">
        <f t="shared" ca="1" si="57"/>
        <v>#DIV/0!</v>
      </c>
      <c r="P137" s="13" t="e">
        <f t="shared" ca="1" si="57"/>
        <v>#DIV/0!</v>
      </c>
      <c r="Q137" s="13" t="e">
        <f t="shared" ca="1" si="57"/>
        <v>#DIV/0!</v>
      </c>
      <c r="R137" s="13" t="e">
        <f t="shared" ca="1" si="57"/>
        <v>#DIV/0!</v>
      </c>
      <c r="S137" s="13" t="e">
        <f t="shared" ca="1" si="57"/>
        <v>#DIV/0!</v>
      </c>
      <c r="T137" s="13" t="e">
        <f t="shared" ca="1" si="57"/>
        <v>#DIV/0!</v>
      </c>
      <c r="U137" s="13" t="e">
        <f t="shared" ca="1" si="57"/>
        <v>#DIV/0!</v>
      </c>
      <c r="V137" s="13" t="e">
        <f t="shared" ca="1" si="57"/>
        <v>#DIV/0!</v>
      </c>
      <c r="W137" s="13" t="e">
        <f t="shared" ca="1" si="57"/>
        <v>#DIV/0!</v>
      </c>
      <c r="X137" s="13" t="e">
        <f t="shared" ca="1" si="57"/>
        <v>#DIV/0!</v>
      </c>
      <c r="Y137" s="13" t="e">
        <f t="shared" ca="1" si="57"/>
        <v>#DIV/0!</v>
      </c>
      <c r="Z137" s="13" t="e">
        <f t="shared" ca="1" si="57"/>
        <v>#DIV/0!</v>
      </c>
      <c r="AA137" s="13"/>
      <c r="AB137" s="13"/>
      <c r="AC137" s="13"/>
      <c r="AD137" s="13"/>
      <c r="AE137" s="13"/>
    </row>
    <row r="138" spans="1:31">
      <c r="A138" s="3" t="s">
        <v>1221</v>
      </c>
      <c r="B138" s="3"/>
      <c r="C138" s="13">
        <f>SUM(C106:C110,C99:C104)/C97</f>
        <v>5.6681863852754315</v>
      </c>
      <c r="D138" s="13">
        <f>SUM(D106:D110,D99:D104)/D97</f>
        <v>5.4567569732103003</v>
      </c>
      <c r="E138" s="13">
        <f>SUM(E106:E110,E99:E104)/E97</f>
        <v>8.7645711846905918</v>
      </c>
      <c r="F138" s="13"/>
      <c r="G138" s="13"/>
      <c r="H138" s="13">
        <f t="shared" ref="H138:AE138" si="58">SUM(H106:H110,H99:H104)/H97</f>
        <v>40.051480197147882</v>
      </c>
      <c r="I138" s="13">
        <f t="shared" si="58"/>
        <v>-11.885271074261404</v>
      </c>
      <c r="J138" s="13">
        <f t="shared" si="58"/>
        <v>-9.2340601535779303</v>
      </c>
      <c r="K138" s="13">
        <f t="shared" si="58"/>
        <v>-20.169819739280747</v>
      </c>
      <c r="L138" s="13">
        <f t="shared" si="58"/>
        <v>-16.356587057944328</v>
      </c>
      <c r="M138" s="13">
        <f t="shared" si="58"/>
        <v>-14.519171250666123</v>
      </c>
      <c r="N138" s="13" t="e">
        <f t="shared" ca="1" si="58"/>
        <v>#DIV/0!</v>
      </c>
      <c r="O138" s="13" t="e">
        <f t="shared" ca="1" si="58"/>
        <v>#DIV/0!</v>
      </c>
      <c r="P138" s="13" t="e">
        <f t="shared" ca="1" si="58"/>
        <v>#DIV/0!</v>
      </c>
      <c r="Q138" s="13" t="e">
        <f t="shared" ca="1" si="58"/>
        <v>#DIV/0!</v>
      </c>
      <c r="R138" s="13" t="e">
        <f t="shared" ca="1" si="58"/>
        <v>#DIV/0!</v>
      </c>
      <c r="S138" s="13" t="e">
        <f t="shared" ca="1" si="58"/>
        <v>#DIV/0!</v>
      </c>
      <c r="T138" s="13" t="e">
        <f t="shared" ca="1" si="58"/>
        <v>#DIV/0!</v>
      </c>
      <c r="U138" s="13" t="e">
        <f t="shared" ca="1" si="58"/>
        <v>#DIV/0!</v>
      </c>
      <c r="V138" s="13" t="e">
        <f t="shared" ca="1" si="58"/>
        <v>#DIV/0!</v>
      </c>
      <c r="W138" s="13" t="e">
        <f t="shared" ca="1" si="58"/>
        <v>#DIV/0!</v>
      </c>
      <c r="X138" s="13" t="e">
        <f t="shared" ca="1" si="58"/>
        <v>#DIV/0!</v>
      </c>
      <c r="Y138" s="13" t="e">
        <f t="shared" ca="1" si="58"/>
        <v>#DIV/0!</v>
      </c>
      <c r="Z138" s="13" t="e">
        <f t="shared" ca="1" si="58"/>
        <v>#DIV/0!</v>
      </c>
      <c r="AA138" s="13" t="e">
        <f t="shared" ca="1" si="58"/>
        <v>#DIV/0!</v>
      </c>
      <c r="AB138" s="13" t="e">
        <f t="shared" ca="1" si="58"/>
        <v>#DIV/0!</v>
      </c>
      <c r="AC138" s="13" t="e">
        <f t="shared" ca="1" si="58"/>
        <v>#DIV/0!</v>
      </c>
      <c r="AD138" s="13" t="e">
        <f t="shared" ca="1" si="58"/>
        <v>#DIV/0!</v>
      </c>
      <c r="AE138" s="13" t="e">
        <f t="shared" ca="1" si="58"/>
        <v>#DIV/0!</v>
      </c>
    </row>
    <row r="139" spans="1:31">
      <c r="A139" s="3" t="s">
        <v>1222</v>
      </c>
      <c r="B139" s="3"/>
      <c r="C139" s="13">
        <f>C99/C97</f>
        <v>4.5964280329413372</v>
      </c>
      <c r="D139" s="13">
        <f>D99/D97</f>
        <v>4.4319235383369584</v>
      </c>
      <c r="E139" s="13">
        <f>E99/E97</f>
        <v>6.1105198537922716</v>
      </c>
      <c r="F139" s="13"/>
      <c r="G139" s="13"/>
      <c r="H139" s="13">
        <f t="shared" ref="H139:AE139" si="59">H99/H97</f>
        <v>24.311294591632986</v>
      </c>
      <c r="I139" s="13">
        <f t="shared" si="59"/>
        <v>-4.7593555119203357</v>
      </c>
      <c r="J139" s="13">
        <f t="shared" si="59"/>
        <v>-3.0799043935639427</v>
      </c>
      <c r="K139" s="13">
        <f t="shared" si="59"/>
        <v>-6.5014265080490974</v>
      </c>
      <c r="L139" s="13">
        <f t="shared" si="59"/>
        <v>-0.21674451565596725</v>
      </c>
      <c r="M139" s="13">
        <f t="shared" si="59"/>
        <v>-0.18823678244096392</v>
      </c>
      <c r="N139" s="13" t="e">
        <f t="shared" ca="1" si="59"/>
        <v>#DIV/0!</v>
      </c>
      <c r="O139" s="13" t="e">
        <f t="shared" ca="1" si="59"/>
        <v>#DIV/0!</v>
      </c>
      <c r="P139" s="13" t="e">
        <f t="shared" ca="1" si="59"/>
        <v>#DIV/0!</v>
      </c>
      <c r="Q139" s="13" t="e">
        <f t="shared" ca="1" si="59"/>
        <v>#DIV/0!</v>
      </c>
      <c r="R139" s="13" t="e">
        <f t="shared" ca="1" si="59"/>
        <v>#DIV/0!</v>
      </c>
      <c r="S139" s="13" t="e">
        <f t="shared" ca="1" si="59"/>
        <v>#DIV/0!</v>
      </c>
      <c r="T139" s="13" t="e">
        <f t="shared" ca="1" si="59"/>
        <v>#DIV/0!</v>
      </c>
      <c r="U139" s="13" t="e">
        <f t="shared" ca="1" si="59"/>
        <v>#DIV/0!</v>
      </c>
      <c r="V139" s="13" t="e">
        <f t="shared" ca="1" si="59"/>
        <v>#DIV/0!</v>
      </c>
      <c r="W139" s="13" t="e">
        <f t="shared" ca="1" si="59"/>
        <v>#DIV/0!</v>
      </c>
      <c r="X139" s="13" t="e">
        <f t="shared" ca="1" si="59"/>
        <v>#DIV/0!</v>
      </c>
      <c r="Y139" s="13" t="e">
        <f t="shared" ca="1" si="59"/>
        <v>#DIV/0!</v>
      </c>
      <c r="Z139" s="13" t="e">
        <f t="shared" ca="1" si="59"/>
        <v>#DIV/0!</v>
      </c>
      <c r="AA139" s="13" t="e">
        <f t="shared" ca="1" si="59"/>
        <v>#DIV/0!</v>
      </c>
      <c r="AB139" s="13" t="e">
        <f t="shared" ca="1" si="59"/>
        <v>#DIV/0!</v>
      </c>
      <c r="AC139" s="13" t="e">
        <f t="shared" ca="1" si="59"/>
        <v>#DIV/0!</v>
      </c>
      <c r="AD139" s="13" t="e">
        <f t="shared" ca="1" si="59"/>
        <v>#DIV/0!</v>
      </c>
      <c r="AE139" s="13" t="e">
        <f t="shared" ca="1" si="59"/>
        <v>#DIV/0!</v>
      </c>
    </row>
    <row r="140" spans="1:31">
      <c r="A140" s="3" t="s">
        <v>1223</v>
      </c>
      <c r="B140" s="3"/>
      <c r="C140" s="13">
        <f>SUM(C121:C130)/SUM(C106:C110)</f>
        <v>0.35251183816223708</v>
      </c>
      <c r="D140" s="13">
        <f>SUM(D121:D130)/SUM(D106:D110)</f>
        <v>0.65452418922651645</v>
      </c>
      <c r="E140" s="13">
        <f>SUM(E121:E130)/SUM(E106:E110)</f>
        <v>0.37279057264300614</v>
      </c>
      <c r="F140" s="13"/>
      <c r="G140" s="13"/>
      <c r="H140" s="13">
        <f t="shared" ref="H140:AE140" si="60">SUM(H121:H130)/SUM(H106:H110)</f>
        <v>0.34613754050207435</v>
      </c>
      <c r="I140" s="13">
        <f t="shared" si="60"/>
        <v>0.21588250045554347</v>
      </c>
      <c r="J140" s="13">
        <f t="shared" si="60"/>
        <v>0.2361145448940411</v>
      </c>
      <c r="K140" s="13">
        <f t="shared" si="60"/>
        <v>0.20819206689269296</v>
      </c>
      <c r="L140" s="13">
        <f t="shared" si="60"/>
        <v>0.10398331526160583</v>
      </c>
      <c r="M140" s="13">
        <f t="shared" si="60"/>
        <v>0.13703462638341893</v>
      </c>
      <c r="N140" s="13" t="e">
        <f t="shared" ca="1" si="60"/>
        <v>#DIV/0!</v>
      </c>
      <c r="O140" s="13" t="e">
        <f t="shared" ca="1" si="60"/>
        <v>#DIV/0!</v>
      </c>
      <c r="P140" s="13" t="e">
        <f t="shared" ca="1" si="60"/>
        <v>#DIV/0!</v>
      </c>
      <c r="Q140" s="13" t="e">
        <f t="shared" ca="1" si="60"/>
        <v>#DIV/0!</v>
      </c>
      <c r="R140" s="13" t="e">
        <f t="shared" ca="1" si="60"/>
        <v>#DIV/0!</v>
      </c>
      <c r="S140" s="13" t="e">
        <f t="shared" ca="1" si="60"/>
        <v>#DIV/0!</v>
      </c>
      <c r="T140" s="13" t="e">
        <f t="shared" ca="1" si="60"/>
        <v>#DIV/0!</v>
      </c>
      <c r="U140" s="13" t="e">
        <f t="shared" ca="1" si="60"/>
        <v>#DIV/0!</v>
      </c>
      <c r="V140" s="13" t="e">
        <f t="shared" ca="1" si="60"/>
        <v>#DIV/0!</v>
      </c>
      <c r="W140" s="13" t="e">
        <f t="shared" ca="1" si="60"/>
        <v>#DIV/0!</v>
      </c>
      <c r="X140" s="13" t="e">
        <f t="shared" ca="1" si="60"/>
        <v>#DIV/0!</v>
      </c>
      <c r="Y140" s="13" t="e">
        <f t="shared" ca="1" si="60"/>
        <v>#DIV/0!</v>
      </c>
      <c r="Z140" s="13" t="e">
        <f t="shared" ca="1" si="60"/>
        <v>#DIV/0!</v>
      </c>
      <c r="AA140" s="13" t="e">
        <f t="shared" ca="1" si="60"/>
        <v>#DIV/0!</v>
      </c>
      <c r="AB140" s="13" t="e">
        <f t="shared" ca="1" si="60"/>
        <v>#DIV/0!</v>
      </c>
      <c r="AC140" s="13" t="e">
        <f t="shared" ca="1" si="60"/>
        <v>#DIV/0!</v>
      </c>
      <c r="AD140" s="13" t="e">
        <f t="shared" ca="1" si="60"/>
        <v>#DIV/0!</v>
      </c>
      <c r="AE140" s="13" t="e">
        <f t="shared" ca="1" si="60"/>
        <v>#DIV/0!</v>
      </c>
    </row>
    <row r="141" spans="1:31">
      <c r="A141" s="3" t="s">
        <v>1224</v>
      </c>
      <c r="B141" s="3"/>
      <c r="C141" s="13">
        <f>(C131-(SUM(C106:C110)-C106))/(C106+C99)</f>
        <v>1.2664372830115416</v>
      </c>
      <c r="D141" s="13">
        <f>(D131-(SUM(D106:D110)-D106))/(D106+D99)</f>
        <v>1.273823687885296</v>
      </c>
      <c r="E141" s="13">
        <f>(E131-(SUM(E106:E110)-E106))/(E106+E99)</f>
        <v>1.1418347612286244</v>
      </c>
      <c r="F141" s="13"/>
      <c r="G141" s="13"/>
      <c r="H141" s="13">
        <f t="shared" ref="H141:AE141" si="61">(H131-(SUM(H106:H110)-H106))/(H106+H99)</f>
        <v>1.0533365838671112</v>
      </c>
      <c r="I141" s="13">
        <f t="shared" si="61"/>
        <v>0.85567592500786716</v>
      </c>
      <c r="J141" s="13">
        <f t="shared" si="61"/>
        <v>0.77238017252870705</v>
      </c>
      <c r="K141" s="13">
        <f t="shared" si="61"/>
        <v>0.95248697078362343</v>
      </c>
      <c r="L141" s="13">
        <f t="shared" si="61"/>
        <v>0.95249515969880116</v>
      </c>
      <c r="M141" s="13">
        <f t="shared" si="61"/>
        <v>0.92142230390867841</v>
      </c>
      <c r="N141" s="13" t="e">
        <f t="shared" ca="1" si="61"/>
        <v>#DIV/0!</v>
      </c>
      <c r="O141" s="13" t="e">
        <f t="shared" ca="1" si="61"/>
        <v>#DIV/0!</v>
      </c>
      <c r="P141" s="13" t="e">
        <f t="shared" ca="1" si="61"/>
        <v>#DIV/0!</v>
      </c>
      <c r="Q141" s="13" t="e">
        <f t="shared" ca="1" si="61"/>
        <v>#DIV/0!</v>
      </c>
      <c r="R141" s="13" t="e">
        <f t="shared" ca="1" si="61"/>
        <v>#DIV/0!</v>
      </c>
      <c r="S141" s="13" t="e">
        <f t="shared" ca="1" si="61"/>
        <v>#DIV/0!</v>
      </c>
      <c r="T141" s="13" t="e">
        <f t="shared" ca="1" si="61"/>
        <v>#DIV/0!</v>
      </c>
      <c r="U141" s="13" t="e">
        <f t="shared" ca="1" si="61"/>
        <v>#DIV/0!</v>
      </c>
      <c r="V141" s="13" t="e">
        <f t="shared" ca="1" si="61"/>
        <v>#DIV/0!</v>
      </c>
      <c r="W141" s="13" t="e">
        <f t="shared" ca="1" si="61"/>
        <v>#DIV/0!</v>
      </c>
      <c r="X141" s="13" t="e">
        <f t="shared" ca="1" si="61"/>
        <v>#DIV/0!</v>
      </c>
      <c r="Y141" s="13" t="e">
        <f t="shared" ca="1" si="61"/>
        <v>#DIV/0!</v>
      </c>
      <c r="Z141" s="13" t="e">
        <f t="shared" ca="1" si="61"/>
        <v>#DIV/0!</v>
      </c>
      <c r="AA141" s="13" t="e">
        <f t="shared" ca="1" si="61"/>
        <v>#DIV/0!</v>
      </c>
      <c r="AB141" s="13" t="e">
        <f t="shared" ca="1" si="61"/>
        <v>#DIV/0!</v>
      </c>
      <c r="AC141" s="13" t="e">
        <f t="shared" ca="1" si="61"/>
        <v>#DIV/0!</v>
      </c>
      <c r="AD141" s="13" t="e">
        <f t="shared" ca="1" si="61"/>
        <v>#DIV/0!</v>
      </c>
      <c r="AE141" s="13" t="e">
        <f t="shared" ca="1" si="61"/>
        <v>#DIV/0!</v>
      </c>
    </row>
    <row r="142" spans="1:31">
      <c r="A142" s="3" t="s">
        <v>1225</v>
      </c>
      <c r="B142" s="3"/>
      <c r="C142" s="11">
        <v>353</v>
      </c>
      <c r="D142" s="11">
        <v>353</v>
      </c>
      <c r="E142" s="11">
        <v>353</v>
      </c>
      <c r="F142" s="11"/>
      <c r="G142" s="11"/>
      <c r="H142" s="11">
        <v>353</v>
      </c>
      <c r="I142" s="11">
        <v>353</v>
      </c>
      <c r="J142" s="11">
        <v>353</v>
      </c>
      <c r="K142" s="11">
        <v>353</v>
      </c>
      <c r="L142" s="11">
        <v>353</v>
      </c>
      <c r="M142" s="11">
        <v>353</v>
      </c>
      <c r="N142" s="11">
        <v>353</v>
      </c>
      <c r="O142" s="11">
        <v>353</v>
      </c>
      <c r="P142" s="11">
        <v>353</v>
      </c>
      <c r="Q142" s="11">
        <v>353</v>
      </c>
      <c r="R142" s="11">
        <v>353</v>
      </c>
      <c r="S142" s="11">
        <v>353</v>
      </c>
      <c r="T142" s="11">
        <v>353</v>
      </c>
      <c r="U142" s="11">
        <v>353</v>
      </c>
      <c r="V142" s="11">
        <v>353</v>
      </c>
      <c r="W142" s="11">
        <v>353</v>
      </c>
      <c r="X142" s="11">
        <v>353</v>
      </c>
      <c r="Y142" s="11">
        <v>353</v>
      </c>
      <c r="Z142" s="11">
        <v>353</v>
      </c>
      <c r="AA142" s="11">
        <v>353</v>
      </c>
      <c r="AB142" s="11">
        <v>353</v>
      </c>
      <c r="AC142" s="11">
        <v>353</v>
      </c>
      <c r="AD142" s="11">
        <v>353</v>
      </c>
      <c r="AE142" s="11">
        <v>353</v>
      </c>
    </row>
    <row r="143" spans="1:31">
      <c r="A143" s="3" t="s">
        <v>1226</v>
      </c>
      <c r="B143" s="3"/>
      <c r="C143" s="13">
        <f>C142/SUM(C106,C99:C99)</f>
        <v>6.6233657197902598E-2</v>
      </c>
      <c r="D143" s="13">
        <f>D142/SUM(D106,D99:D99)</f>
        <v>5.7872924206318781E-2</v>
      </c>
      <c r="E143" s="13">
        <f>E142/SUM(E106,E99:E99)</f>
        <v>5.7514080902974822E-2</v>
      </c>
      <c r="F143" s="13"/>
      <c r="G143" s="13"/>
      <c r="H143" s="13">
        <f t="shared" ref="H143:AE143" si="62">H142/SUM(H106,H99:H99)</f>
        <v>5.8943754633680429E-2</v>
      </c>
      <c r="I143" s="13">
        <f t="shared" si="62"/>
        <v>7.6087097094033301E-2</v>
      </c>
      <c r="J143" s="13">
        <f t="shared" si="62"/>
        <v>8.4026812408356022E-2</v>
      </c>
      <c r="K143" s="13">
        <f t="shared" si="62"/>
        <v>6.348258634890605E-2</v>
      </c>
      <c r="L143" s="13">
        <f t="shared" si="62"/>
        <v>4.8852789798762487E-2</v>
      </c>
      <c r="M143" s="13">
        <f t="shared" si="62"/>
        <v>4.8855020995203072E-2</v>
      </c>
      <c r="N143" s="13" t="e">
        <f t="shared" ca="1" si="62"/>
        <v>#DIV/0!</v>
      </c>
      <c r="O143" s="13" t="e">
        <f t="shared" ca="1" si="62"/>
        <v>#DIV/0!</v>
      </c>
      <c r="P143" s="13" t="e">
        <f t="shared" ca="1" si="62"/>
        <v>#DIV/0!</v>
      </c>
      <c r="Q143" s="13" t="e">
        <f t="shared" ca="1" si="62"/>
        <v>#DIV/0!</v>
      </c>
      <c r="R143" s="13" t="e">
        <f t="shared" ca="1" si="62"/>
        <v>#DIV/0!</v>
      </c>
      <c r="S143" s="13" t="e">
        <f t="shared" ca="1" si="62"/>
        <v>#DIV/0!</v>
      </c>
      <c r="T143" s="13" t="e">
        <f t="shared" ca="1" si="62"/>
        <v>#DIV/0!</v>
      </c>
      <c r="U143" s="13" t="e">
        <f t="shared" ca="1" si="62"/>
        <v>#DIV/0!</v>
      </c>
      <c r="V143" s="13" t="e">
        <f t="shared" ca="1" si="62"/>
        <v>#DIV/0!</v>
      </c>
      <c r="W143" s="13" t="e">
        <f t="shared" ca="1" si="62"/>
        <v>#DIV/0!</v>
      </c>
      <c r="X143" s="13" t="e">
        <f t="shared" ca="1" si="62"/>
        <v>#DIV/0!</v>
      </c>
      <c r="Y143" s="13" t="e">
        <f t="shared" ca="1" si="62"/>
        <v>#DIV/0!</v>
      </c>
      <c r="Z143" s="13" t="e">
        <f t="shared" ca="1" si="62"/>
        <v>#DIV/0!</v>
      </c>
      <c r="AA143" s="13" t="e">
        <f t="shared" ca="1" si="62"/>
        <v>#DIV/0!</v>
      </c>
      <c r="AB143" s="13" t="e">
        <f t="shared" ca="1" si="62"/>
        <v>#DIV/0!</v>
      </c>
      <c r="AC143" s="13" t="e">
        <f t="shared" ca="1" si="62"/>
        <v>#DIV/0!</v>
      </c>
      <c r="AD143" s="13" t="e">
        <f t="shared" ca="1" si="62"/>
        <v>#DIV/0!</v>
      </c>
      <c r="AE143" s="13" t="e">
        <f t="shared" ca="1" si="62"/>
        <v>#DIV/0!</v>
      </c>
    </row>
    <row r="144" spans="1:31">
      <c r="A144" s="3" t="s">
        <v>1227</v>
      </c>
      <c r="B144" s="3"/>
      <c r="C144" s="45">
        <f>IF((C99)&gt;0,(C115+C117)/(C99),"NA")</f>
        <v>1.394340025415403</v>
      </c>
      <c r="D144" s="45">
        <f>IF((D99)&gt;0,(D115+D117)/(D99),"NA")</f>
        <v>1.340537986849313</v>
      </c>
      <c r="E144" s="45">
        <f>IF((E99)&gt;0,(E115+E117)/(E99),"NA")</f>
        <v>1.4046982958818306</v>
      </c>
      <c r="F144" s="45"/>
      <c r="G144" s="45"/>
      <c r="H144" s="45">
        <f t="shared" ref="H144:Z144" si="63">IF((H99)&gt;0,(H115+H117)/(H99),"NA")</f>
        <v>1.4847301470357712</v>
      </c>
      <c r="I144" s="45">
        <f t="shared" si="63"/>
        <v>1.9921567991962339</v>
      </c>
      <c r="J144" s="45">
        <f t="shared" si="63"/>
        <v>2.1879085565149516</v>
      </c>
      <c r="K144" s="45">
        <f t="shared" si="63"/>
        <v>2.4693029495361372</v>
      </c>
      <c r="L144" s="45">
        <f t="shared" si="63"/>
        <v>63.228680724015675</v>
      </c>
      <c r="M144" s="45">
        <f t="shared" si="63"/>
        <v>61.379455122224286</v>
      </c>
      <c r="N144" s="45" t="e">
        <f t="shared" ca="1" si="63"/>
        <v>#DIV/0!</v>
      </c>
      <c r="O144" s="45" t="e">
        <f t="shared" ca="1" si="63"/>
        <v>#DIV/0!</v>
      </c>
      <c r="P144" s="45" t="e">
        <f t="shared" ca="1" si="63"/>
        <v>#DIV/0!</v>
      </c>
      <c r="Q144" s="45" t="e">
        <f t="shared" ca="1" si="63"/>
        <v>#DIV/0!</v>
      </c>
      <c r="R144" s="45" t="e">
        <f t="shared" ca="1" si="63"/>
        <v>#DIV/0!</v>
      </c>
      <c r="S144" s="45" t="e">
        <f t="shared" ca="1" si="63"/>
        <v>#DIV/0!</v>
      </c>
      <c r="T144" s="45" t="e">
        <f t="shared" ca="1" si="63"/>
        <v>#DIV/0!</v>
      </c>
      <c r="U144" s="45" t="e">
        <f t="shared" ca="1" si="63"/>
        <v>#DIV/0!</v>
      </c>
      <c r="V144" s="45" t="e">
        <f t="shared" ca="1" si="63"/>
        <v>#DIV/0!</v>
      </c>
      <c r="W144" s="45" t="e">
        <f t="shared" ca="1" si="63"/>
        <v>#DIV/0!</v>
      </c>
      <c r="X144" s="45" t="e">
        <f t="shared" ca="1" si="63"/>
        <v>#DIV/0!</v>
      </c>
      <c r="Y144" s="45" t="e">
        <f t="shared" ca="1" si="63"/>
        <v>#DIV/0!</v>
      </c>
      <c r="Z144" s="45" t="e">
        <f t="shared" ca="1" si="63"/>
        <v>#DIV/0!</v>
      </c>
      <c r="AA144" s="45"/>
      <c r="AB144" s="45"/>
      <c r="AC144" s="45"/>
      <c r="AD144" s="45"/>
      <c r="AE144" s="45"/>
    </row>
    <row r="145" spans="1:32">
      <c r="A145" s="3"/>
      <c r="B145" s="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</row>
    <row r="146" spans="1:32">
      <c r="A146" s="46" t="s">
        <v>1228</v>
      </c>
      <c r="B146" s="8"/>
    </row>
    <row r="147" spans="1:32">
      <c r="A147" s="47" t="s">
        <v>1229</v>
      </c>
      <c r="B147" s="47"/>
      <c r="E147" s="9"/>
      <c r="F147" s="9"/>
      <c r="G147" s="9">
        <f>Assum!$B$8</f>
        <v>1200</v>
      </c>
      <c r="H147" s="9">
        <f>Assum!$B$8</f>
        <v>1200</v>
      </c>
      <c r="I147" s="9">
        <f>Assum!$B$8</f>
        <v>1200</v>
      </c>
      <c r="J147" s="9">
        <f>Assum!$B$8</f>
        <v>1200</v>
      </c>
      <c r="K147" s="9">
        <f>Assum!$B$8</f>
        <v>1200</v>
      </c>
      <c r="L147" s="9">
        <f>Assum!$B$8</f>
        <v>1200</v>
      </c>
      <c r="M147" s="9">
        <f>Assum!$B$8</f>
        <v>1200</v>
      </c>
      <c r="N147" s="9">
        <f>Assum!$B$8</f>
        <v>1200</v>
      </c>
      <c r="O147" s="9">
        <f>Assum!$B$8</f>
        <v>1200</v>
      </c>
      <c r="P147" s="9">
        <f>Assum!$B$8</f>
        <v>1200</v>
      </c>
      <c r="Q147" s="9">
        <f>Assum!$B$8</f>
        <v>1200</v>
      </c>
      <c r="R147" s="9">
        <f>Assum!$B$8</f>
        <v>1200</v>
      </c>
      <c r="S147" s="9">
        <f>Assum!$B$8</f>
        <v>1200</v>
      </c>
      <c r="T147" s="9">
        <f>Assum!$B$8</f>
        <v>1200</v>
      </c>
      <c r="U147" s="9">
        <f>Assum!$B$8</f>
        <v>1200</v>
      </c>
      <c r="V147" s="9">
        <f>Assum!$B$8</f>
        <v>1200</v>
      </c>
      <c r="W147" s="9">
        <f>Assum!$B$8</f>
        <v>1200</v>
      </c>
      <c r="X147" s="9">
        <f>Assum!$B$8</f>
        <v>1200</v>
      </c>
      <c r="Y147" s="9">
        <f>Assum!$B$8</f>
        <v>1200</v>
      </c>
      <c r="Z147" s="9">
        <f>Assum!$B$8</f>
        <v>1200</v>
      </c>
      <c r="AA147" s="9">
        <f>Assum!$B$8</f>
        <v>1200</v>
      </c>
      <c r="AB147" s="9">
        <f>Assum!$B$8</f>
        <v>1200</v>
      </c>
      <c r="AC147" s="9">
        <f>Assum!$B$8</f>
        <v>1200</v>
      </c>
      <c r="AD147" s="9">
        <f>Assum!$B$8</f>
        <v>1200</v>
      </c>
      <c r="AE147" s="9">
        <f>Assum!$B$8</f>
        <v>1200</v>
      </c>
    </row>
    <row r="148" spans="1:32">
      <c r="A148" s="47" t="s">
        <v>1230</v>
      </c>
      <c r="B148" s="48" t="s">
        <v>1231</v>
      </c>
      <c r="G148" s="27">
        <f>(Assum!$D$11+Assum!$D$12)/2</f>
        <v>0.47499999999999998</v>
      </c>
      <c r="H148" s="27">
        <f>(Assum!$D$11+Assum!$D$12)/2</f>
        <v>0.47499999999999998</v>
      </c>
      <c r="I148" s="27">
        <f>(Assum!$D$11+Assum!$D$12)/2</f>
        <v>0.47499999999999998</v>
      </c>
      <c r="J148" s="27">
        <f>(Assum!$D$11+Assum!$D$12)/2</f>
        <v>0.47499999999999998</v>
      </c>
      <c r="K148" s="27">
        <f>(Assum!$D$11+Assum!$D$12)/2</f>
        <v>0.47499999999999998</v>
      </c>
      <c r="L148" s="27">
        <f>(Assum!$D$11+Assum!$D$12)/2</f>
        <v>0.47499999999999998</v>
      </c>
      <c r="M148" s="27">
        <f>(Assum!$D$11+Assum!$D$12)/2</f>
        <v>0.47499999999999998</v>
      </c>
      <c r="N148" s="27">
        <f>(Assum!$D$11+Assum!$D$12)/2</f>
        <v>0.47499999999999998</v>
      </c>
      <c r="O148" s="27">
        <f>(Assum!$D$11+Assum!$D$12)/2</f>
        <v>0.47499999999999998</v>
      </c>
      <c r="P148" s="27">
        <f>(Assum!$D$11+Assum!$D$12)/2</f>
        <v>0.47499999999999998</v>
      </c>
      <c r="Q148" s="27">
        <f>(Assum!$D$11+Assum!$D$12)/2</f>
        <v>0.47499999999999998</v>
      </c>
      <c r="R148" s="27">
        <f>(Assum!$D$11+Assum!$D$12)/2</f>
        <v>0.47499999999999998</v>
      </c>
      <c r="S148" s="27">
        <f>(Assum!$D$11+Assum!$D$12)/2</f>
        <v>0.47499999999999998</v>
      </c>
      <c r="T148" s="27">
        <f>(Assum!$D$11+Assum!$D$12)/2</f>
        <v>0.47499999999999998</v>
      </c>
      <c r="U148" s="27">
        <f>(Assum!$D$11+Assum!$D$12)/2</f>
        <v>0.47499999999999998</v>
      </c>
      <c r="V148" s="27">
        <f>(Assum!$D$11+Assum!$D$12)/2</f>
        <v>0.47499999999999998</v>
      </c>
      <c r="W148" s="27">
        <f>(Assum!$D$11+Assum!$D$12)/2</f>
        <v>0.47499999999999998</v>
      </c>
      <c r="X148" s="27">
        <f>(Assum!$D$11+Assum!$D$12)/2</f>
        <v>0.47499999999999998</v>
      </c>
      <c r="Y148" s="27">
        <f>(Assum!$D$11+Assum!$D$12)/2</f>
        <v>0.47499999999999998</v>
      </c>
      <c r="Z148" s="27">
        <f>(Assum!$D$11+Assum!$D$12)/2</f>
        <v>0.47499999999999998</v>
      </c>
      <c r="AA148" s="27">
        <f>(Assum!$D$11+Assum!$D$12)/2</f>
        <v>0.47499999999999998</v>
      </c>
      <c r="AB148" s="27">
        <f>(Assum!$D$11+Assum!$D$12)/2</f>
        <v>0.47499999999999998</v>
      </c>
      <c r="AC148" s="27">
        <f>(Assum!$D$11+Assum!$D$12)/2</f>
        <v>0.47499999999999998</v>
      </c>
      <c r="AD148" s="27">
        <f>(Assum!$D$11+Assum!$D$12)/2</f>
        <v>0.47499999999999998</v>
      </c>
      <c r="AE148" s="27">
        <f>(Assum!$D$11+Assum!$D$12)/2</f>
        <v>0.47499999999999998</v>
      </c>
    </row>
    <row r="149" spans="1:32">
      <c r="A149" s="47" t="s">
        <v>1232</v>
      </c>
      <c r="B149" s="47"/>
      <c r="G149" s="9">
        <f>Gen!F6+Gen!F32</f>
        <v>4993.2</v>
      </c>
      <c r="H149" s="9">
        <f>Gen!F6+Gen!F32+Gen!D6+Gen!D32</f>
        <v>6696.7199999999993</v>
      </c>
      <c r="I149" s="9">
        <f>Gen!G6+Gen!G32</f>
        <v>8959.68</v>
      </c>
      <c r="J149" s="9">
        <f>Gen!H6+Gen!H32</f>
        <v>8935.2000000000007</v>
      </c>
      <c r="K149" s="9">
        <f>Gen!I6+Gen!I32</f>
        <v>8935.2000000000007</v>
      </c>
      <c r="L149" s="9">
        <f>Gen!J6+Gen!J32</f>
        <v>8935.2000000000007</v>
      </c>
      <c r="M149" s="9">
        <f>Gen!K6+Gen!K32</f>
        <v>5797.44</v>
      </c>
      <c r="N149" s="9">
        <f>Gen!L6+Gen!L32</f>
        <v>5781.6</v>
      </c>
      <c r="O149" s="9">
        <f>Gen!M6+Gen!M32</f>
        <v>5781.6</v>
      </c>
      <c r="P149" s="9">
        <f>Gen!N6+Gen!N32</f>
        <v>6044.4</v>
      </c>
      <c r="Q149" s="9">
        <f>Gen!O6+Gen!O32</f>
        <v>6060.96</v>
      </c>
      <c r="R149" s="9">
        <f>Gen!P6+Gen!P32</f>
        <v>6307.2000000000007</v>
      </c>
      <c r="S149" s="9">
        <f>Gen!Q6+Gen!Q32</f>
        <v>6307.2000000000007</v>
      </c>
      <c r="T149" s="9">
        <f>Gen!R6+Gen!R32</f>
        <v>6570</v>
      </c>
      <c r="U149" s="9">
        <f>Gen!S6+Gen!S32</f>
        <v>6588</v>
      </c>
      <c r="V149" s="9">
        <f>Gen!T6+Gen!T32</f>
        <v>6832.8000000000011</v>
      </c>
      <c r="W149" s="9">
        <f>Gen!U6+Gen!U32</f>
        <v>6832.8000000000011</v>
      </c>
      <c r="X149" s="9">
        <f>Gen!V6+Gen!V32</f>
        <v>7095.6</v>
      </c>
      <c r="Y149" s="9">
        <f>Gen!W6+Gen!W32</f>
        <v>7115.0400000000009</v>
      </c>
      <c r="Z149" s="9">
        <f>Gen!X6+Gen!X32</f>
        <v>7253.2800000000007</v>
      </c>
      <c r="AA149" s="9">
        <f>Gen!Y6+Gen!Y32</f>
        <v>7358.4</v>
      </c>
      <c r="AB149" s="9">
        <f>Gen!Z6+Gen!Z32</f>
        <v>7358.4</v>
      </c>
      <c r="AC149" s="9">
        <f>Gen!AA6+Gen!AA32</f>
        <v>6370.5600000000013</v>
      </c>
      <c r="AD149" s="9">
        <f>Gen!AB6+Gen!AB32</f>
        <v>2892.9600000000005</v>
      </c>
      <c r="AE149" s="9">
        <f>Gen!AC6+Gen!AC32</f>
        <v>0</v>
      </c>
    </row>
    <row r="150" spans="1:32">
      <c r="A150" s="47" t="s">
        <v>1233</v>
      </c>
      <c r="B150" s="47"/>
      <c r="E150" s="49"/>
      <c r="F150" s="49"/>
      <c r="G150" s="9">
        <f>Gen!F8+Gen!F34</f>
        <v>4656.1589999999997</v>
      </c>
      <c r="H150" s="9">
        <f>Gen!F8+Gen!F34+Gen!D8+Gen!D34</f>
        <v>6244.6913999999997</v>
      </c>
      <c r="I150" s="9">
        <f>Gen!G8+Gen!G34</f>
        <v>8354.9016000000011</v>
      </c>
      <c r="J150" s="9">
        <f>Gen!H8+Gen!H34</f>
        <v>8332.0740000000005</v>
      </c>
      <c r="K150" s="9">
        <f>Gen!I8+Gen!I34</f>
        <v>8332.0740000000005</v>
      </c>
      <c r="L150" s="9">
        <f>Gen!J8+Gen!J34</f>
        <v>8332.0740000000005</v>
      </c>
      <c r="M150" s="9">
        <f>Gen!K8+Gen!K34</f>
        <v>5406.112799999999</v>
      </c>
      <c r="N150" s="9">
        <f>Gen!L8+Gen!L34</f>
        <v>5391.3420000000006</v>
      </c>
      <c r="O150" s="9">
        <f>Gen!M8+Gen!M34</f>
        <v>5391.3420000000006</v>
      </c>
      <c r="P150" s="9">
        <f>Gen!N8+Gen!N34</f>
        <v>5636.4030000000002</v>
      </c>
      <c r="Q150" s="9">
        <f>Gen!O8+Gen!O34</f>
        <v>5651.8451999999997</v>
      </c>
      <c r="R150" s="9">
        <f>Gen!P8+Gen!P34</f>
        <v>5881.4639999999999</v>
      </c>
      <c r="S150" s="9">
        <f>Gen!Q8+Gen!Q34</f>
        <v>5881.4639999999999</v>
      </c>
      <c r="T150" s="9">
        <f>Gen!R8+Gen!R34</f>
        <v>6126.5249999999996</v>
      </c>
      <c r="U150" s="9">
        <f>Gen!S8+Gen!S34</f>
        <v>6143.31</v>
      </c>
      <c r="V150" s="9">
        <f>Gen!T8+Gen!T34</f>
        <v>6371.5860000000011</v>
      </c>
      <c r="W150" s="9">
        <f>Gen!U8+Gen!U34</f>
        <v>6371.5860000000011</v>
      </c>
      <c r="X150" s="9">
        <f>Gen!V8+Gen!V34</f>
        <v>6616.6470000000008</v>
      </c>
      <c r="Y150" s="9">
        <f>Gen!W8+Gen!W34</f>
        <v>6634.7748000000011</v>
      </c>
      <c r="Z150" s="9">
        <f>Gen!X8+Gen!X34</f>
        <v>6763.6836000000012</v>
      </c>
      <c r="AA150" s="9">
        <f>Gen!Y8+Gen!Y34</f>
        <v>6861.7080000000005</v>
      </c>
      <c r="AB150" s="9">
        <f>Gen!Z8+Gen!Z34</f>
        <v>6861.7080000000005</v>
      </c>
      <c r="AC150" s="9">
        <f>Gen!AA8+Gen!AA34</f>
        <v>5940.5472000000009</v>
      </c>
      <c r="AD150" s="9">
        <f>Gen!AB8+Gen!AB34</f>
        <v>2697.6852000000003</v>
      </c>
      <c r="AE150" s="9">
        <f>Gen!AC8+Gen!AC34</f>
        <v>0.78415300546448086</v>
      </c>
    </row>
    <row r="151" spans="1:32">
      <c r="A151" s="47" t="s">
        <v>1234</v>
      </c>
      <c r="B151" s="47"/>
      <c r="E151" s="49"/>
      <c r="G151" s="9" t="e">
        <f t="shared" ref="G151:AE151" si="64">G3</f>
        <v>#REF!</v>
      </c>
      <c r="H151" s="9">
        <f t="shared" si="64"/>
        <v>1815.88</v>
      </c>
      <c r="I151" s="9">
        <f t="shared" si="64"/>
        <v>1523.48</v>
      </c>
      <c r="J151" s="9">
        <f t="shared" si="64"/>
        <v>1550.95</v>
      </c>
      <c r="K151" s="9">
        <f t="shared" si="64"/>
        <v>1897.29</v>
      </c>
      <c r="L151" s="9">
        <f t="shared" si="64"/>
        <v>913.89</v>
      </c>
      <c r="M151" s="9">
        <f t="shared" si="64"/>
        <v>1886.48</v>
      </c>
      <c r="N151" s="9">
        <f t="shared" si="64"/>
        <v>3155.4006019199996</v>
      </c>
      <c r="O151" s="9">
        <f t="shared" si="64"/>
        <v>3146.7792887999999</v>
      </c>
      <c r="P151" s="9">
        <f t="shared" si="64"/>
        <v>3146.7792887999999</v>
      </c>
      <c r="Q151" s="9">
        <f t="shared" si="64"/>
        <v>3379.9469883479996</v>
      </c>
      <c r="R151" s="9">
        <f t="shared" si="64"/>
        <v>3389.2071170831996</v>
      </c>
      <c r="S151" s="9">
        <f t="shared" si="64"/>
        <v>3601.2439330560001</v>
      </c>
      <c r="T151" s="9">
        <f t="shared" si="64"/>
        <v>3700.6124436288001</v>
      </c>
      <c r="U151" s="9">
        <f t="shared" si="64"/>
        <v>3852.2805494922</v>
      </c>
      <c r="V151" s="9">
        <f t="shared" si="64"/>
        <v>3862.8347427784802</v>
      </c>
      <c r="W151" s="9">
        <f t="shared" si="64"/>
        <v>4114.8066499633806</v>
      </c>
      <c r="X151" s="9">
        <f t="shared" si="64"/>
        <v>4204.1460881233816</v>
      </c>
      <c r="Y151" s="9">
        <f t="shared" si="64"/>
        <v>4363.3975992799506</v>
      </c>
      <c r="Z151" s="9">
        <f t="shared" si="64"/>
        <v>4495.5048494691091</v>
      </c>
      <c r="AA151" s="9">
        <f t="shared" si="64"/>
        <v>4574.0024461739486</v>
      </c>
      <c r="AB151" s="9">
        <f t="shared" si="64"/>
        <v>4634.5227107339488</v>
      </c>
      <c r="AC151" s="9">
        <f t="shared" si="64"/>
        <v>4866.248846270646</v>
      </c>
      <c r="AD151" s="9">
        <f t="shared" si="64"/>
        <v>4270.2331656905644</v>
      </c>
      <c r="AE151" s="9">
        <f t="shared" si="64"/>
        <v>2077.5097493129183</v>
      </c>
    </row>
    <row r="152" spans="1:32">
      <c r="A152" s="47" t="s">
        <v>1235</v>
      </c>
      <c r="B152" s="47"/>
      <c r="E152" s="49"/>
      <c r="G152" s="13" t="e">
        <f t="shared" ref="G152:AE152" si="65">G151/G150*Cr/mn</f>
        <v>#REF!</v>
      </c>
      <c r="H152" s="13">
        <f t="shared" si="65"/>
        <v>2.9078778816836333</v>
      </c>
      <c r="I152" s="13">
        <f t="shared" si="65"/>
        <v>1.8234565443595407</v>
      </c>
      <c r="J152" s="13">
        <f t="shared" si="65"/>
        <v>1.8614212979865516</v>
      </c>
      <c r="K152" s="13">
        <f>K151/K150*Cr/mn</f>
        <v>2.277092114160292</v>
      </c>
      <c r="L152" s="13">
        <f t="shared" si="65"/>
        <v>1.0968337535168315</v>
      </c>
      <c r="M152" s="13">
        <f t="shared" si="65"/>
        <v>3.4895313320136427</v>
      </c>
      <c r="N152" s="13">
        <f t="shared" si="65"/>
        <v>5.8527183063511821</v>
      </c>
      <c r="O152" s="13">
        <f t="shared" si="65"/>
        <v>5.8367272727272725</v>
      </c>
      <c r="P152" s="13">
        <f t="shared" si="65"/>
        <v>5.5829565217391295</v>
      </c>
      <c r="Q152" s="13">
        <f t="shared" si="65"/>
        <v>5.9802540033262055</v>
      </c>
      <c r="R152" s="13">
        <f t="shared" si="65"/>
        <v>5.7625229315068482</v>
      </c>
      <c r="S152" s="13">
        <f t="shared" si="65"/>
        <v>6.1230400000000014</v>
      </c>
      <c r="T152" s="13">
        <f t="shared" si="65"/>
        <v>6.0403123200000008</v>
      </c>
      <c r="U152" s="13">
        <f t="shared" si="65"/>
        <v>6.2706921016393435</v>
      </c>
      <c r="V152" s="13">
        <f t="shared" si="65"/>
        <v>6.0625953142254998</v>
      </c>
      <c r="W152" s="13">
        <f t="shared" si="65"/>
        <v>6.4580571461538456</v>
      </c>
      <c r="X152" s="13">
        <f t="shared" si="65"/>
        <v>6.3538920666666678</v>
      </c>
      <c r="Y152" s="13">
        <f t="shared" si="65"/>
        <v>6.5765572017304192</v>
      </c>
      <c r="Z152" s="13">
        <f t="shared" si="65"/>
        <v>6.6465333320279925</v>
      </c>
      <c r="AA152" s="13">
        <f t="shared" si="65"/>
        <v>6.6659823562500007</v>
      </c>
      <c r="AB152" s="13">
        <f t="shared" si="65"/>
        <v>6.7541823562500012</v>
      </c>
      <c r="AC152" s="13">
        <f t="shared" si="65"/>
        <v>8.1915835064329521</v>
      </c>
      <c r="AD152" s="13">
        <f t="shared" si="65"/>
        <v>15.829249334542681</v>
      </c>
      <c r="AE152" s="13">
        <f t="shared" si="65"/>
        <v>26493.678336185651</v>
      </c>
    </row>
    <row r="153" spans="1:32">
      <c r="A153" s="47" t="s">
        <v>1236</v>
      </c>
      <c r="B153" s="47"/>
      <c r="G153" s="9">
        <f>SUM(G8,G9,G19:G23,G26)/G150*Cr/mn-(G19/G150/mn*Cr)+(G63/G150/mn*Cr)</f>
        <v>0.12791857214474511</v>
      </c>
      <c r="H153" s="9" t="e">
        <f ca="1">SUM(H8,H9,H19:H23,H26)/H150*Cr/mn-(H19/H150/mn*Cr)+(H63/H150/mn*Cr)</f>
        <v>#DIV/0!</v>
      </c>
      <c r="I153" s="9" t="e">
        <f t="shared" ref="I153:AE153" ca="1" si="66">SUM(I8,I9,I20:I23,I26)/I150*Cr/mn+(I63/I150/mn*Cr)</f>
        <v>#DIV/0!</v>
      </c>
      <c r="J153" s="9" t="e">
        <f t="shared" ca="1" si="66"/>
        <v>#DIV/0!</v>
      </c>
      <c r="K153" s="9" t="e">
        <f t="shared" ca="1" si="66"/>
        <v>#DIV/0!</v>
      </c>
      <c r="L153" s="9" t="e">
        <f t="shared" ca="1" si="66"/>
        <v>#DIV/0!</v>
      </c>
      <c r="M153" s="9" t="e">
        <f t="shared" ca="1" si="66"/>
        <v>#DIV/0!</v>
      </c>
      <c r="N153" s="9" t="e">
        <f t="shared" ca="1" si="66"/>
        <v>#DIV/0!</v>
      </c>
      <c r="O153" s="9" t="e">
        <f t="shared" ca="1" si="66"/>
        <v>#DIV/0!</v>
      </c>
      <c r="P153" s="9" t="e">
        <f t="shared" ca="1" si="66"/>
        <v>#DIV/0!</v>
      </c>
      <c r="Q153" s="9" t="e">
        <f t="shared" ca="1" si="66"/>
        <v>#DIV/0!</v>
      </c>
      <c r="R153" s="9" t="e">
        <f t="shared" ca="1" si="66"/>
        <v>#DIV/0!</v>
      </c>
      <c r="S153" s="9" t="e">
        <f t="shared" ca="1" si="66"/>
        <v>#DIV/0!</v>
      </c>
      <c r="T153" s="9" t="e">
        <f t="shared" ca="1" si="66"/>
        <v>#DIV/0!</v>
      </c>
      <c r="U153" s="9" t="e">
        <f t="shared" ca="1" si="66"/>
        <v>#DIV/0!</v>
      </c>
      <c r="V153" s="9" t="e">
        <f t="shared" ca="1" si="66"/>
        <v>#DIV/0!</v>
      </c>
      <c r="W153" s="9" t="e">
        <f t="shared" ca="1" si="66"/>
        <v>#DIV/0!</v>
      </c>
      <c r="X153" s="9" t="e">
        <f t="shared" ca="1" si="66"/>
        <v>#DIV/0!</v>
      </c>
      <c r="Y153" s="9" t="e">
        <f t="shared" ca="1" si="66"/>
        <v>#DIV/0!</v>
      </c>
      <c r="Z153" s="9" t="e">
        <f t="shared" ca="1" si="66"/>
        <v>#DIV/0!</v>
      </c>
      <c r="AA153" s="9" t="e">
        <f t="shared" ca="1" si="66"/>
        <v>#DIV/0!</v>
      </c>
      <c r="AB153" s="9" t="e">
        <f t="shared" ca="1" si="66"/>
        <v>#DIV/0!</v>
      </c>
      <c r="AC153" s="9" t="e">
        <f t="shared" ca="1" si="66"/>
        <v>#DIV/0!</v>
      </c>
      <c r="AD153" s="9" t="e">
        <f t="shared" ca="1" si="66"/>
        <v>#DIV/0!</v>
      </c>
      <c r="AE153" s="9" t="e">
        <f t="shared" ca="1" si="66"/>
        <v>#DIV/0!</v>
      </c>
    </row>
    <row r="154" spans="1:32">
      <c r="A154" s="47" t="s">
        <v>1237</v>
      </c>
      <c r="B154" s="47"/>
      <c r="G154" s="13">
        <f>(G5+G6)/G150*Cr/mn</f>
        <v>2.2324542443905679</v>
      </c>
      <c r="H154" s="13">
        <f>(H5+H6)/H150*Cr/mn</f>
        <v>1.8908380324446459</v>
      </c>
      <c r="I154" s="13">
        <f>(I5+I6)/I150*Cr/mn</f>
        <v>1.233635115463239</v>
      </c>
      <c r="J154" s="13">
        <f>(J5+J6)/J150*Cr/mn</f>
        <v>1.2741845547699169</v>
      </c>
      <c r="K154" s="13">
        <f>(K5+K6)/K150*Cr/mn</f>
        <v>0.85982193629101211</v>
      </c>
      <c r="L154" s="13">
        <f t="shared" ref="L154:AE154" si="67">(L5+L6)/L150*Cr/mn</f>
        <v>0.71778047098477515</v>
      </c>
      <c r="M154" s="13">
        <f t="shared" si="67"/>
        <v>3.0833244914904481</v>
      </c>
      <c r="N154" s="13">
        <f t="shared" si="67"/>
        <v>7.0973026562349339</v>
      </c>
      <c r="O154" s="13">
        <f t="shared" si="67"/>
        <v>7.2219181368990091</v>
      </c>
      <c r="P154" s="13">
        <f t="shared" si="67"/>
        <v>7.0486614291090035</v>
      </c>
      <c r="Q154" s="13">
        <f t="shared" si="67"/>
        <v>7.5009485039397381</v>
      </c>
      <c r="R154" s="13">
        <f t="shared" si="67"/>
        <v>7.3755120331326554</v>
      </c>
      <c r="S154" s="13">
        <f t="shared" si="67"/>
        <v>7.8341812455826139</v>
      </c>
      <c r="T154" s="13">
        <f t="shared" si="67"/>
        <v>7.6748821897514121</v>
      </c>
      <c r="U154" s="13">
        <f t="shared" si="67"/>
        <v>8.1382984381909722</v>
      </c>
      <c r="V154" s="13">
        <f t="shared" si="67"/>
        <v>8.029855479614886</v>
      </c>
      <c r="W154" s="13">
        <f t="shared" si="67"/>
        <v>8.5014022860784717</v>
      </c>
      <c r="X154" s="13">
        <f t="shared" si="67"/>
        <v>8.3551753608400467</v>
      </c>
      <c r="Y154" s="13">
        <f t="shared" si="67"/>
        <v>8.833097205982428</v>
      </c>
      <c r="Z154" s="13">
        <f t="shared" si="67"/>
        <v>8.8679705493078504</v>
      </c>
      <c r="AA154" s="13">
        <f t="shared" si="67"/>
        <v>9.099998334522974</v>
      </c>
      <c r="AB154" s="13">
        <f t="shared" si="67"/>
        <v>9.4261513441858504</v>
      </c>
      <c r="AC154" s="13">
        <f t="shared" si="67"/>
        <v>11.113681273542495</v>
      </c>
      <c r="AD154" s="13">
        <f t="shared" si="67"/>
        <v>21.55248906633085</v>
      </c>
      <c r="AE154" s="13">
        <f t="shared" si="67"/>
        <v>33730.028368164327</v>
      </c>
    </row>
    <row r="155" spans="1:32" s="6" customFormat="1">
      <c r="A155" s="50" t="s">
        <v>1238</v>
      </c>
      <c r="B155" s="50"/>
      <c r="G155" s="51">
        <f t="shared" ref="G155:AE155" si="68">SUM(G153:G154)</f>
        <v>2.3603728165353131</v>
      </c>
      <c r="H155" s="51" t="e">
        <f t="shared" ca="1" si="68"/>
        <v>#DIV/0!</v>
      </c>
      <c r="I155" s="51" t="e">
        <f t="shared" ca="1" si="68"/>
        <v>#DIV/0!</v>
      </c>
      <c r="J155" s="51" t="e">
        <f t="shared" ca="1" si="68"/>
        <v>#DIV/0!</v>
      </c>
      <c r="K155" s="51" t="e">
        <f t="shared" ca="1" si="68"/>
        <v>#DIV/0!</v>
      </c>
      <c r="L155" s="51" t="e">
        <f t="shared" ca="1" si="68"/>
        <v>#DIV/0!</v>
      </c>
      <c r="M155" s="51" t="e">
        <f t="shared" ca="1" si="68"/>
        <v>#DIV/0!</v>
      </c>
      <c r="N155" s="51" t="e">
        <f t="shared" ca="1" si="68"/>
        <v>#DIV/0!</v>
      </c>
      <c r="O155" s="51" t="e">
        <f t="shared" ca="1" si="68"/>
        <v>#DIV/0!</v>
      </c>
      <c r="P155" s="51" t="e">
        <f t="shared" ca="1" si="68"/>
        <v>#DIV/0!</v>
      </c>
      <c r="Q155" s="51" t="e">
        <f t="shared" ca="1" si="68"/>
        <v>#DIV/0!</v>
      </c>
      <c r="R155" s="51" t="e">
        <f t="shared" ca="1" si="68"/>
        <v>#DIV/0!</v>
      </c>
      <c r="S155" s="51" t="e">
        <f t="shared" ca="1" si="68"/>
        <v>#DIV/0!</v>
      </c>
      <c r="T155" s="51" t="e">
        <f t="shared" ca="1" si="68"/>
        <v>#DIV/0!</v>
      </c>
      <c r="U155" s="51" t="e">
        <f t="shared" ca="1" si="68"/>
        <v>#DIV/0!</v>
      </c>
      <c r="V155" s="51" t="e">
        <f t="shared" ca="1" si="68"/>
        <v>#DIV/0!</v>
      </c>
      <c r="W155" s="51" t="e">
        <f t="shared" ca="1" si="68"/>
        <v>#DIV/0!</v>
      </c>
      <c r="X155" s="51" t="e">
        <f t="shared" ca="1" si="68"/>
        <v>#DIV/0!</v>
      </c>
      <c r="Y155" s="51" t="e">
        <f t="shared" ca="1" si="68"/>
        <v>#DIV/0!</v>
      </c>
      <c r="Z155" s="51" t="e">
        <f t="shared" ca="1" si="68"/>
        <v>#DIV/0!</v>
      </c>
      <c r="AA155" s="51" t="e">
        <f t="shared" ca="1" si="68"/>
        <v>#DIV/0!</v>
      </c>
      <c r="AB155" s="51" t="e">
        <f t="shared" ca="1" si="68"/>
        <v>#DIV/0!</v>
      </c>
      <c r="AC155" s="51" t="e">
        <f t="shared" ca="1" si="68"/>
        <v>#DIV/0!</v>
      </c>
      <c r="AD155" s="51" t="e">
        <f t="shared" ca="1" si="68"/>
        <v>#DIV/0!</v>
      </c>
      <c r="AE155" s="51" t="e">
        <f t="shared" ca="1" si="68"/>
        <v>#DIV/0!</v>
      </c>
    </row>
    <row r="156" spans="1:32" s="4" customFormat="1">
      <c r="A156" s="52" t="s">
        <v>1239</v>
      </c>
      <c r="B156" s="52"/>
      <c r="G156" s="36" t="e">
        <f t="shared" ref="G156:AE156" si="69">G152-G155</f>
        <v>#REF!</v>
      </c>
      <c r="H156" s="36" t="e">
        <f t="shared" ca="1" si="69"/>
        <v>#DIV/0!</v>
      </c>
      <c r="I156" s="36" t="e">
        <f t="shared" ca="1" si="69"/>
        <v>#DIV/0!</v>
      </c>
      <c r="J156" s="36" t="e">
        <f t="shared" ca="1" si="69"/>
        <v>#DIV/0!</v>
      </c>
      <c r="K156" s="36" t="e">
        <f t="shared" ca="1" si="69"/>
        <v>#DIV/0!</v>
      </c>
      <c r="L156" s="36" t="e">
        <f t="shared" ca="1" si="69"/>
        <v>#DIV/0!</v>
      </c>
      <c r="M156" s="36" t="e">
        <f t="shared" ca="1" si="69"/>
        <v>#DIV/0!</v>
      </c>
      <c r="N156" s="36" t="e">
        <f t="shared" ca="1" si="69"/>
        <v>#DIV/0!</v>
      </c>
      <c r="O156" s="36" t="e">
        <f t="shared" ca="1" si="69"/>
        <v>#DIV/0!</v>
      </c>
      <c r="P156" s="36" t="e">
        <f t="shared" ca="1" si="69"/>
        <v>#DIV/0!</v>
      </c>
      <c r="Q156" s="36" t="e">
        <f t="shared" ca="1" si="69"/>
        <v>#DIV/0!</v>
      </c>
      <c r="R156" s="36" t="e">
        <f t="shared" ca="1" si="69"/>
        <v>#DIV/0!</v>
      </c>
      <c r="S156" s="36" t="e">
        <f t="shared" ca="1" si="69"/>
        <v>#DIV/0!</v>
      </c>
      <c r="T156" s="36" t="e">
        <f t="shared" ca="1" si="69"/>
        <v>#DIV/0!</v>
      </c>
      <c r="U156" s="36" t="e">
        <f t="shared" ca="1" si="69"/>
        <v>#DIV/0!</v>
      </c>
      <c r="V156" s="36" t="e">
        <f t="shared" ca="1" si="69"/>
        <v>#DIV/0!</v>
      </c>
      <c r="W156" s="36" t="e">
        <f t="shared" ca="1" si="69"/>
        <v>#DIV/0!</v>
      </c>
      <c r="X156" s="36" t="e">
        <f t="shared" ca="1" si="69"/>
        <v>#DIV/0!</v>
      </c>
      <c r="Y156" s="36" t="e">
        <f t="shared" ca="1" si="69"/>
        <v>#DIV/0!</v>
      </c>
      <c r="Z156" s="36" t="e">
        <f t="shared" ca="1" si="69"/>
        <v>#DIV/0!</v>
      </c>
      <c r="AA156" s="36" t="e">
        <f t="shared" ca="1" si="69"/>
        <v>#DIV/0!</v>
      </c>
      <c r="AB156" s="36" t="e">
        <f t="shared" ca="1" si="69"/>
        <v>#DIV/0!</v>
      </c>
      <c r="AC156" s="36" t="e">
        <f t="shared" ca="1" si="69"/>
        <v>#DIV/0!</v>
      </c>
      <c r="AD156" s="36" t="e">
        <f t="shared" ca="1" si="69"/>
        <v>#DIV/0!</v>
      </c>
      <c r="AE156" s="36" t="e">
        <f t="shared" ca="1" si="69"/>
        <v>#DIV/0!</v>
      </c>
      <c r="AF156" s="36"/>
    </row>
    <row r="157" spans="1:32">
      <c r="A157" s="53" t="s">
        <v>1240</v>
      </c>
      <c r="B157" s="53"/>
      <c r="F157" s="9"/>
    </row>
    <row r="158" spans="1:32">
      <c r="A158" s="47" t="s">
        <v>1140</v>
      </c>
      <c r="B158" s="47"/>
      <c r="F158" s="49"/>
      <c r="G158" s="9" t="e">
        <f>G18</f>
        <v>#REF!</v>
      </c>
      <c r="H158" s="9">
        <f>H18</f>
        <v>519.82000000000016</v>
      </c>
      <c r="I158" s="9">
        <f t="shared" ref="I158:AE158" si="70">I18</f>
        <v>293.06999999999971</v>
      </c>
      <c r="J158" s="9">
        <f t="shared" si="70"/>
        <v>224.20000000000005</v>
      </c>
      <c r="K158" s="9">
        <f t="shared" si="70"/>
        <v>896.08000000000015</v>
      </c>
      <c r="L158" s="9">
        <f t="shared" si="70"/>
        <v>122.76000000000022</v>
      </c>
      <c r="M158" s="9">
        <f t="shared" si="70"/>
        <v>-21.259999999999536</v>
      </c>
      <c r="N158" s="9">
        <f t="shared" si="70"/>
        <v>-1002.2541599804199</v>
      </c>
      <c r="O158" s="9">
        <f t="shared" si="70"/>
        <v>-1083.9764287410603</v>
      </c>
      <c r="P158" s="9">
        <f t="shared" si="70"/>
        <v>-1169.443825245105</v>
      </c>
      <c r="Q158" s="9">
        <f t="shared" si="70"/>
        <v>-1209.1619027183124</v>
      </c>
      <c r="R158" s="9">
        <f t="shared" si="70"/>
        <v>-1304.9835973211939</v>
      </c>
      <c r="S158" s="9">
        <f t="shared" si="70"/>
        <v>-1369.5893939640373</v>
      </c>
      <c r="T158" s="9">
        <f t="shared" si="70"/>
        <v>-1371.758286506787</v>
      </c>
      <c r="U158" s="9">
        <f t="shared" si="70"/>
        <v>-1525.0926086174609</v>
      </c>
      <c r="V158" s="9">
        <f t="shared" si="70"/>
        <v>-1638.9456836098661</v>
      </c>
      <c r="W158" s="9">
        <f t="shared" si="70"/>
        <v>-1695.4587354656505</v>
      </c>
      <c r="X158" s="9">
        <f t="shared" si="70"/>
        <v>-1726.0624767775098</v>
      </c>
      <c r="Y158" s="9">
        <f t="shared" si="70"/>
        <v>-1907.7490730390609</v>
      </c>
      <c r="Z158" s="9">
        <f t="shared" si="70"/>
        <v>-1922.1556881505203</v>
      </c>
      <c r="AA158" s="9">
        <f t="shared" si="70"/>
        <v>-2099.2335661002417</v>
      </c>
      <c r="AB158" s="9">
        <f t="shared" si="70"/>
        <v>-2272.3430886752139</v>
      </c>
      <c r="AC158" s="9">
        <f t="shared" si="70"/>
        <v>-2172.3016356996031</v>
      </c>
      <c r="AD158" s="9">
        <f t="shared" si="70"/>
        <v>-1905.6631538349902</v>
      </c>
      <c r="AE158" s="9">
        <f t="shared" si="70"/>
        <v>-813.05145619662153</v>
      </c>
    </row>
    <row r="159" spans="1:32">
      <c r="A159" s="47" t="s">
        <v>1241</v>
      </c>
      <c r="B159" s="47"/>
      <c r="G159" s="9" t="e">
        <f>G158-G19</f>
        <v>#REF!</v>
      </c>
      <c r="H159" s="9">
        <f>H158-H19</f>
        <v>319.47000000000014</v>
      </c>
      <c r="I159" s="9">
        <f t="shared" ref="I159:AE159" si="71">I158-I19</f>
        <v>91.499999999999716</v>
      </c>
      <c r="J159" s="9">
        <f t="shared" si="71"/>
        <v>23.410000000000053</v>
      </c>
      <c r="K159" s="9">
        <f t="shared" si="71"/>
        <v>695.7800000000002</v>
      </c>
      <c r="L159" s="9">
        <f t="shared" si="71"/>
        <v>-76.989999999999782</v>
      </c>
      <c r="M159" s="9">
        <f t="shared" si="71"/>
        <v>-222.74999999999955</v>
      </c>
      <c r="N159" s="9">
        <f t="shared" si="71"/>
        <v>-1296.0240900626118</v>
      </c>
      <c r="O159" s="9">
        <f t="shared" si="71"/>
        <v>-1376.9437087410604</v>
      </c>
      <c r="P159" s="9">
        <f t="shared" si="71"/>
        <v>-1462.4111052451051</v>
      </c>
      <c r="Q159" s="9">
        <f t="shared" si="71"/>
        <v>-1502.1291827183124</v>
      </c>
      <c r="R159" s="9">
        <f t="shared" si="71"/>
        <v>-1598.7535274033858</v>
      </c>
      <c r="S159" s="9">
        <f t="shared" si="71"/>
        <v>-1662.5566739640374</v>
      </c>
      <c r="T159" s="9">
        <f t="shared" si="71"/>
        <v>-1664.7255665067871</v>
      </c>
      <c r="U159" s="9">
        <f t="shared" si="71"/>
        <v>-1818.059888617461</v>
      </c>
      <c r="V159" s="9">
        <f t="shared" si="71"/>
        <v>-1932.715613692058</v>
      </c>
      <c r="W159" s="9">
        <f t="shared" si="71"/>
        <v>-1988.4260154656506</v>
      </c>
      <c r="X159" s="9">
        <f t="shared" si="71"/>
        <v>-2019.0297567775099</v>
      </c>
      <c r="Y159" s="9">
        <f t="shared" si="71"/>
        <v>-2200.7163530390608</v>
      </c>
      <c r="Z159" s="9">
        <f t="shared" si="71"/>
        <v>-2215.9256182327122</v>
      </c>
      <c r="AA159" s="9">
        <f t="shared" si="71"/>
        <v>-2392.2008461002415</v>
      </c>
      <c r="AB159" s="9">
        <f t="shared" si="71"/>
        <v>-2565.3103686752138</v>
      </c>
      <c r="AC159" s="9">
        <f t="shared" si="71"/>
        <v>-2465.268915699603</v>
      </c>
      <c r="AD159" s="9">
        <f t="shared" si="71"/>
        <v>-2199.4330839171821</v>
      </c>
      <c r="AE159" s="9">
        <f t="shared" si="71"/>
        <v>-1106.0187361966216</v>
      </c>
    </row>
    <row r="160" spans="1:32">
      <c r="A160" s="47" t="s">
        <v>1242</v>
      </c>
      <c r="B160" s="47"/>
      <c r="G160" s="9">
        <f>G26</f>
        <v>0</v>
      </c>
      <c r="H160" s="2">
        <f>H26</f>
        <v>0</v>
      </c>
      <c r="I160" s="2">
        <f t="shared" ref="I160:AE160" si="72">I26</f>
        <v>0</v>
      </c>
      <c r="J160" s="2">
        <f t="shared" si="72"/>
        <v>0</v>
      </c>
      <c r="K160" s="2">
        <f t="shared" si="72"/>
        <v>169.32</v>
      </c>
      <c r="L160" s="2">
        <f t="shared" si="72"/>
        <v>-19.54</v>
      </c>
      <c r="M160" s="2">
        <f t="shared" si="72"/>
        <v>-149.78</v>
      </c>
      <c r="N160" s="2">
        <f t="shared" si="72"/>
        <v>0</v>
      </c>
      <c r="O160" s="2">
        <f t="shared" si="72"/>
        <v>0</v>
      </c>
      <c r="P160" s="2">
        <f t="shared" si="72"/>
        <v>0</v>
      </c>
      <c r="Q160" s="2">
        <f t="shared" si="72"/>
        <v>0</v>
      </c>
      <c r="R160" s="2">
        <f t="shared" si="72"/>
        <v>0</v>
      </c>
      <c r="S160" s="2">
        <f t="shared" si="72"/>
        <v>0</v>
      </c>
      <c r="T160" s="2">
        <f t="shared" si="72"/>
        <v>0</v>
      </c>
      <c r="U160" s="2">
        <f t="shared" si="72"/>
        <v>0</v>
      </c>
      <c r="V160" s="2">
        <f t="shared" si="72"/>
        <v>0</v>
      </c>
      <c r="W160" s="2">
        <f t="shared" si="72"/>
        <v>0</v>
      </c>
      <c r="X160" s="2">
        <f t="shared" si="72"/>
        <v>0</v>
      </c>
      <c r="Y160" s="2">
        <f t="shared" si="72"/>
        <v>0</v>
      </c>
      <c r="Z160" s="2">
        <f t="shared" si="72"/>
        <v>0</v>
      </c>
      <c r="AA160" s="2">
        <f t="shared" si="72"/>
        <v>0</v>
      </c>
      <c r="AB160" s="2">
        <f t="shared" si="72"/>
        <v>0</v>
      </c>
      <c r="AC160" s="2">
        <f t="shared" si="72"/>
        <v>0</v>
      </c>
      <c r="AD160" s="2">
        <f t="shared" si="72"/>
        <v>0</v>
      </c>
      <c r="AE160" s="2">
        <f t="shared" si="72"/>
        <v>0</v>
      </c>
    </row>
    <row r="161" spans="1:31">
      <c r="A161" s="53" t="s">
        <v>1243</v>
      </c>
      <c r="B161" s="53"/>
      <c r="E161" s="9"/>
      <c r="F161" s="9"/>
      <c r="G161" s="9" t="e">
        <f>G159-G160</f>
        <v>#REF!</v>
      </c>
      <c r="H161" s="9">
        <f>H159-H160</f>
        <v>319.47000000000014</v>
      </c>
      <c r="I161" s="9">
        <f t="shared" ref="I161:AE161" si="73">I159-I160</f>
        <v>91.499999999999716</v>
      </c>
      <c r="J161" s="9">
        <f t="shared" si="73"/>
        <v>23.410000000000053</v>
      </c>
      <c r="K161" s="9">
        <f t="shared" si="73"/>
        <v>526.46000000000026</v>
      </c>
      <c r="L161" s="9">
        <f t="shared" si="73"/>
        <v>-57.449999999999783</v>
      </c>
      <c r="M161" s="9">
        <f t="shared" si="73"/>
        <v>-72.969999999999544</v>
      </c>
      <c r="N161" s="9">
        <f t="shared" si="73"/>
        <v>-1296.0240900626118</v>
      </c>
      <c r="O161" s="9">
        <f t="shared" si="73"/>
        <v>-1376.9437087410604</v>
      </c>
      <c r="P161" s="9">
        <f t="shared" si="73"/>
        <v>-1462.4111052451051</v>
      </c>
      <c r="Q161" s="9">
        <f t="shared" si="73"/>
        <v>-1502.1291827183124</v>
      </c>
      <c r="R161" s="9">
        <f t="shared" si="73"/>
        <v>-1598.7535274033858</v>
      </c>
      <c r="S161" s="9">
        <f t="shared" si="73"/>
        <v>-1662.5566739640374</v>
      </c>
      <c r="T161" s="9">
        <f t="shared" si="73"/>
        <v>-1664.7255665067871</v>
      </c>
      <c r="U161" s="9">
        <f t="shared" si="73"/>
        <v>-1818.059888617461</v>
      </c>
      <c r="V161" s="9">
        <f t="shared" si="73"/>
        <v>-1932.715613692058</v>
      </c>
      <c r="W161" s="9">
        <f t="shared" si="73"/>
        <v>-1988.4260154656506</v>
      </c>
      <c r="X161" s="9">
        <f t="shared" si="73"/>
        <v>-2019.0297567775099</v>
      </c>
      <c r="Y161" s="9">
        <f t="shared" si="73"/>
        <v>-2200.7163530390608</v>
      </c>
      <c r="Z161" s="9">
        <f t="shared" si="73"/>
        <v>-2215.9256182327122</v>
      </c>
      <c r="AA161" s="9">
        <f t="shared" si="73"/>
        <v>-2392.2008461002415</v>
      </c>
      <c r="AB161" s="9">
        <f t="shared" si="73"/>
        <v>-2565.3103686752138</v>
      </c>
      <c r="AC161" s="9">
        <f t="shared" si="73"/>
        <v>-2465.268915699603</v>
      </c>
      <c r="AD161" s="9">
        <f t="shared" si="73"/>
        <v>-2199.4330839171821</v>
      </c>
      <c r="AE161" s="9">
        <f t="shared" si="73"/>
        <v>-1106.0187361966216</v>
      </c>
    </row>
    <row r="162" spans="1:31">
      <c r="A162" s="47" t="s">
        <v>1244</v>
      </c>
      <c r="B162" s="47"/>
      <c r="G162" s="9">
        <f>G19</f>
        <v>269.39651443024161</v>
      </c>
      <c r="H162" s="9">
        <f>H19</f>
        <v>200.35</v>
      </c>
      <c r="I162" s="9">
        <f t="shared" ref="I162:AE162" si="74">I19</f>
        <v>201.57</v>
      </c>
      <c r="J162" s="9">
        <f t="shared" si="74"/>
        <v>200.79</v>
      </c>
      <c r="K162" s="9">
        <f t="shared" si="74"/>
        <v>200.3</v>
      </c>
      <c r="L162" s="9">
        <f t="shared" si="74"/>
        <v>199.75</v>
      </c>
      <c r="M162" s="9">
        <f t="shared" si="74"/>
        <v>201.49</v>
      </c>
      <c r="N162" s="9">
        <f t="shared" si="74"/>
        <v>293.76993008219182</v>
      </c>
      <c r="O162" s="9">
        <f t="shared" si="74"/>
        <v>292.96728000000002</v>
      </c>
      <c r="P162" s="9">
        <f t="shared" si="74"/>
        <v>292.96728000000002</v>
      </c>
      <c r="Q162" s="9">
        <f t="shared" si="74"/>
        <v>292.96728000000002</v>
      </c>
      <c r="R162" s="9">
        <f t="shared" si="74"/>
        <v>293.76993008219182</v>
      </c>
      <c r="S162" s="9">
        <f t="shared" si="74"/>
        <v>292.96728000000002</v>
      </c>
      <c r="T162" s="9">
        <f t="shared" si="74"/>
        <v>292.96728000000002</v>
      </c>
      <c r="U162" s="9">
        <f t="shared" si="74"/>
        <v>292.96728000000002</v>
      </c>
      <c r="V162" s="9">
        <f t="shared" si="74"/>
        <v>293.76993008219182</v>
      </c>
      <c r="W162" s="9">
        <f t="shared" si="74"/>
        <v>292.96728000000002</v>
      </c>
      <c r="X162" s="9">
        <f t="shared" si="74"/>
        <v>292.96728000000002</v>
      </c>
      <c r="Y162" s="9">
        <f t="shared" si="74"/>
        <v>292.96728000000002</v>
      </c>
      <c r="Z162" s="9">
        <f t="shared" si="74"/>
        <v>293.76993008219182</v>
      </c>
      <c r="AA162" s="9">
        <f t="shared" si="74"/>
        <v>292.96728000000002</v>
      </c>
      <c r="AB162" s="9">
        <f t="shared" si="74"/>
        <v>292.96728000000002</v>
      </c>
      <c r="AC162" s="9">
        <f t="shared" si="74"/>
        <v>292.96728000000002</v>
      </c>
      <c r="AD162" s="9">
        <f t="shared" si="74"/>
        <v>293.76993008219182</v>
      </c>
      <c r="AE162" s="9">
        <f t="shared" si="74"/>
        <v>292.96728000000002</v>
      </c>
    </row>
    <row r="163" spans="1:31">
      <c r="A163" s="47" t="s">
        <v>1245</v>
      </c>
      <c r="B163" s="47"/>
      <c r="G163" s="9">
        <f>SUM(G53:G55)-SUM(G47:G52)</f>
        <v>0</v>
      </c>
      <c r="H163" s="9">
        <f>SUM(H53:H55)-SUM(H47:H52)</f>
        <v>-474.31602024000006</v>
      </c>
      <c r="I163" s="9">
        <f>SUM(I53:I54)-SUM(I47:I52)</f>
        <v>0</v>
      </c>
      <c r="J163" s="9">
        <f>SUM(J53:J54)-SUM(J47:J52)</f>
        <v>-5.3290705182007514E-14</v>
      </c>
      <c r="K163" s="9">
        <f>SUM(K53:K54)-SUM(K47:K52)</f>
        <v>-1.7053025658242404E-13</v>
      </c>
      <c r="L163" s="9">
        <f>SUM(L53:L54)-SUM(L47:L52)</f>
        <v>0</v>
      </c>
      <c r="M163" s="9">
        <f>SUM(M53:M54)-SUM(M47:M52)</f>
        <v>0</v>
      </c>
      <c r="N163" s="9">
        <f t="shared" ref="N163:AE163" si="75">SUM(N53:N55)-SUM(N47:N52)</f>
        <v>0</v>
      </c>
      <c r="O163" s="9">
        <f t="shared" si="75"/>
        <v>-2.2204460492503131E-13</v>
      </c>
      <c r="P163" s="9">
        <f t="shared" si="75"/>
        <v>1.5631940186722204E-13</v>
      </c>
      <c r="Q163" s="9">
        <f t="shared" si="75"/>
        <v>0</v>
      </c>
      <c r="R163" s="9">
        <f t="shared" si="75"/>
        <v>-1.1368683772161603E-13</v>
      </c>
      <c r="S163" s="9">
        <f t="shared" si="75"/>
        <v>0</v>
      </c>
      <c r="T163" s="9">
        <f t="shared" si="75"/>
        <v>3.1974423109204508E-13</v>
      </c>
      <c r="U163" s="9">
        <f t="shared" si="75"/>
        <v>0</v>
      </c>
      <c r="V163" s="9">
        <f t="shared" si="75"/>
        <v>-2.9487523534044158E-13</v>
      </c>
      <c r="W163" s="9">
        <f t="shared" si="75"/>
        <v>-3.979039320256561E-13</v>
      </c>
      <c r="X163" s="9">
        <f t="shared" si="75"/>
        <v>1.3500311979441904E-13</v>
      </c>
      <c r="Y163" s="9">
        <f t="shared" si="75"/>
        <v>1.7053025658242404E-13</v>
      </c>
      <c r="Z163" s="9">
        <f t="shared" si="75"/>
        <v>0</v>
      </c>
      <c r="AA163" s="9">
        <f t="shared" si="75"/>
        <v>0</v>
      </c>
      <c r="AB163" s="9">
        <f t="shared" si="75"/>
        <v>1.5631940186722204E-13</v>
      </c>
      <c r="AC163" s="9">
        <f t="shared" si="75"/>
        <v>-2.1316282072803006E-13</v>
      </c>
      <c r="AD163" s="9">
        <f t="shared" si="75"/>
        <v>0</v>
      </c>
      <c r="AE163" s="9">
        <f t="shared" si="75"/>
        <v>0</v>
      </c>
    </row>
    <row r="164" spans="1:31">
      <c r="A164" s="47" t="s">
        <v>1246</v>
      </c>
      <c r="B164" s="47"/>
      <c r="G164" s="9">
        <f>SUM(G69:G70)</f>
        <v>0</v>
      </c>
      <c r="H164" s="9">
        <f>SUM(H69:H70)</f>
        <v>435.22978999999998</v>
      </c>
      <c r="I164" s="9">
        <f t="shared" ref="I164:AE164" si="76">SUM(I69:I70)</f>
        <v>0</v>
      </c>
      <c r="J164" s="9">
        <f t="shared" si="76"/>
        <v>0</v>
      </c>
      <c r="K164" s="9">
        <f t="shared" si="76"/>
        <v>0</v>
      </c>
      <c r="L164" s="9">
        <f t="shared" si="76"/>
        <v>0</v>
      </c>
      <c r="M164" s="9">
        <f t="shared" si="76"/>
        <v>0</v>
      </c>
      <c r="N164" s="9">
        <f t="shared" si="76"/>
        <v>0</v>
      </c>
      <c r="O164" s="9">
        <f t="shared" si="76"/>
        <v>0</v>
      </c>
      <c r="P164" s="9">
        <f t="shared" si="76"/>
        <v>0</v>
      </c>
      <c r="Q164" s="9">
        <f t="shared" si="76"/>
        <v>0</v>
      </c>
      <c r="R164" s="9">
        <f t="shared" si="76"/>
        <v>0</v>
      </c>
      <c r="S164" s="9">
        <f t="shared" si="76"/>
        <v>0</v>
      </c>
      <c r="T164" s="9">
        <f t="shared" si="76"/>
        <v>0</v>
      </c>
      <c r="U164" s="9">
        <f t="shared" si="76"/>
        <v>0</v>
      </c>
      <c r="V164" s="9">
        <f t="shared" si="76"/>
        <v>0</v>
      </c>
      <c r="W164" s="9">
        <f t="shared" si="76"/>
        <v>0</v>
      </c>
      <c r="X164" s="9">
        <f t="shared" si="76"/>
        <v>0</v>
      </c>
      <c r="Y164" s="9">
        <f t="shared" si="76"/>
        <v>0</v>
      </c>
      <c r="Z164" s="9">
        <f t="shared" si="76"/>
        <v>0</v>
      </c>
      <c r="AA164" s="9">
        <f t="shared" si="76"/>
        <v>0</v>
      </c>
      <c r="AB164" s="9">
        <f t="shared" si="76"/>
        <v>0</v>
      </c>
      <c r="AC164" s="9">
        <f t="shared" si="76"/>
        <v>0</v>
      </c>
      <c r="AD164" s="9">
        <f t="shared" si="76"/>
        <v>0</v>
      </c>
      <c r="AE164" s="9">
        <f t="shared" si="76"/>
        <v>0</v>
      </c>
    </row>
    <row r="165" spans="1:31">
      <c r="A165" s="54" t="s">
        <v>1247</v>
      </c>
      <c r="B165" s="54"/>
      <c r="C165" s="25"/>
      <c r="D165" s="25"/>
      <c r="E165" s="25"/>
      <c r="F165" s="25"/>
      <c r="G165" s="40" t="e">
        <f>G161+G162-G163-G164</f>
        <v>#REF!</v>
      </c>
      <c r="H165" s="40">
        <f>H161+H162-H163-H164</f>
        <v>558.90623024000024</v>
      </c>
      <c r="I165" s="40">
        <f t="shared" ref="I165:AE165" si="77">I161+I162-I163-I164</f>
        <v>293.06999999999971</v>
      </c>
      <c r="J165" s="40">
        <f t="shared" si="77"/>
        <v>224.2000000000001</v>
      </c>
      <c r="K165" s="40">
        <f t="shared" si="77"/>
        <v>726.76000000000045</v>
      </c>
      <c r="L165" s="40">
        <f t="shared" si="77"/>
        <v>142.30000000000021</v>
      </c>
      <c r="M165" s="40">
        <f t="shared" si="77"/>
        <v>128.52000000000046</v>
      </c>
      <c r="N165" s="40">
        <f t="shared" si="77"/>
        <v>-1002.2541599804199</v>
      </c>
      <c r="O165" s="40">
        <f t="shared" si="77"/>
        <v>-1083.9764287410601</v>
      </c>
      <c r="P165" s="40">
        <f t="shared" si="77"/>
        <v>-1169.4438252451052</v>
      </c>
      <c r="Q165" s="40">
        <f t="shared" si="77"/>
        <v>-1209.1619027183124</v>
      </c>
      <c r="R165" s="40">
        <f t="shared" si="77"/>
        <v>-1304.9835973211939</v>
      </c>
      <c r="S165" s="40">
        <f t="shared" si="77"/>
        <v>-1369.5893939640373</v>
      </c>
      <c r="T165" s="40">
        <f t="shared" si="77"/>
        <v>-1371.7582865067873</v>
      </c>
      <c r="U165" s="40">
        <f t="shared" si="77"/>
        <v>-1525.0926086174609</v>
      </c>
      <c r="V165" s="40">
        <f t="shared" si="77"/>
        <v>-1638.9456836098659</v>
      </c>
      <c r="W165" s="40">
        <f t="shared" si="77"/>
        <v>-1695.4587354656501</v>
      </c>
      <c r="X165" s="40">
        <f t="shared" si="77"/>
        <v>-1726.06247677751</v>
      </c>
      <c r="Y165" s="40">
        <f t="shared" si="77"/>
        <v>-1907.7490730390609</v>
      </c>
      <c r="Z165" s="40">
        <f t="shared" si="77"/>
        <v>-1922.1556881505203</v>
      </c>
      <c r="AA165" s="40">
        <f t="shared" si="77"/>
        <v>-2099.2335661002417</v>
      </c>
      <c r="AB165" s="40">
        <f t="shared" si="77"/>
        <v>-2272.3430886752139</v>
      </c>
      <c r="AC165" s="40">
        <f t="shared" si="77"/>
        <v>-2172.3016356996031</v>
      </c>
      <c r="AD165" s="40">
        <f t="shared" si="77"/>
        <v>-1905.6631538349902</v>
      </c>
      <c r="AE165" s="40">
        <f t="shared" si="77"/>
        <v>-813.05145619662153</v>
      </c>
    </row>
    <row r="166" spans="1:31">
      <c r="A166" s="47"/>
      <c r="B166" s="47"/>
    </row>
    <row r="167" spans="1:31">
      <c r="A167" s="53"/>
      <c r="B167" s="53"/>
      <c r="I167" s="55"/>
    </row>
    <row r="168" spans="1:31">
      <c r="H168" s="55"/>
      <c r="J168" s="55"/>
    </row>
    <row r="169" spans="1:31">
      <c r="I169" s="55"/>
    </row>
    <row r="174" spans="1:31">
      <c r="I174" s="9"/>
    </row>
  </sheetData>
  <pageMargins left="0.69930555555555596" right="0.69930555555555596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46"/>
  <sheetViews>
    <sheetView zoomScale="115" zoomScaleNormal="115" workbookViewId="0">
      <pane xSplit="2" ySplit="1" topLeftCell="C2" activePane="bottomRight" state="frozen"/>
      <selection pane="topRight"/>
      <selection pane="bottomLeft"/>
      <selection pane="bottomRight" activeCell="D12" sqref="D12"/>
    </sheetView>
  </sheetViews>
  <sheetFormatPr defaultColWidth="9" defaultRowHeight="14.4"/>
  <cols>
    <col min="1" max="1" width="36.88671875" customWidth="1"/>
    <col min="2" max="2" width="7.6640625" customWidth="1"/>
    <col min="3" max="3" width="10.6640625" customWidth="1"/>
    <col min="4" max="4" width="16.5546875" customWidth="1"/>
    <col min="5" max="5" width="10.5546875" customWidth="1"/>
    <col min="6" max="30" width="10.6640625" customWidth="1"/>
  </cols>
  <sheetData>
    <row r="1" spans="1:30" s="1" customFormat="1">
      <c r="C1" s="432">
        <f>DATE(2017,3,31)</f>
        <v>42825</v>
      </c>
      <c r="D1" s="432">
        <f>EOMONTH(C1,6)</f>
        <v>43008</v>
      </c>
      <c r="E1" s="432">
        <f>EOMONTH(D1,6)</f>
        <v>43190</v>
      </c>
      <c r="F1" s="432">
        <f>E1</f>
        <v>43190</v>
      </c>
      <c r="G1" s="432">
        <f>EOMONTH(E1,12)</f>
        <v>43555</v>
      </c>
      <c r="H1" s="432">
        <f t="shared" ref="H1:AC1" si="0">EOMONTH(G1,12)</f>
        <v>43921</v>
      </c>
      <c r="I1" s="432">
        <f t="shared" si="0"/>
        <v>44286</v>
      </c>
      <c r="J1" s="432">
        <f t="shared" si="0"/>
        <v>44651</v>
      </c>
      <c r="K1" s="432">
        <f t="shared" si="0"/>
        <v>45016</v>
      </c>
      <c r="L1" s="432">
        <f t="shared" si="0"/>
        <v>45382</v>
      </c>
      <c r="M1" s="432">
        <f t="shared" si="0"/>
        <v>45747</v>
      </c>
      <c r="N1" s="432">
        <f t="shared" si="0"/>
        <v>46112</v>
      </c>
      <c r="O1" s="432">
        <f t="shared" si="0"/>
        <v>46477</v>
      </c>
      <c r="P1" s="432">
        <f t="shared" si="0"/>
        <v>46843</v>
      </c>
      <c r="Q1" s="432">
        <f t="shared" si="0"/>
        <v>47208</v>
      </c>
      <c r="R1" s="432">
        <f t="shared" si="0"/>
        <v>47573</v>
      </c>
      <c r="S1" s="432">
        <f t="shared" si="0"/>
        <v>47938</v>
      </c>
      <c r="T1" s="432">
        <f t="shared" si="0"/>
        <v>48304</v>
      </c>
      <c r="U1" s="432">
        <f t="shared" si="0"/>
        <v>48669</v>
      </c>
      <c r="V1" s="432">
        <f t="shared" si="0"/>
        <v>49034</v>
      </c>
      <c r="W1" s="432">
        <f t="shared" si="0"/>
        <v>49399</v>
      </c>
      <c r="X1" s="432">
        <f t="shared" si="0"/>
        <v>49765</v>
      </c>
      <c r="Y1" s="432">
        <f t="shared" si="0"/>
        <v>50130</v>
      </c>
      <c r="Z1" s="432">
        <f t="shared" si="0"/>
        <v>50495</v>
      </c>
      <c r="AA1" s="432">
        <f t="shared" si="0"/>
        <v>50860</v>
      </c>
      <c r="AB1" s="432">
        <f t="shared" si="0"/>
        <v>51226</v>
      </c>
      <c r="AC1" s="432">
        <f t="shared" si="0"/>
        <v>51591</v>
      </c>
      <c r="AD1" s="432"/>
    </row>
    <row r="2" spans="1:30">
      <c r="A2" s="433" t="s">
        <v>186</v>
      </c>
      <c r="B2" s="433"/>
    </row>
    <row r="3" spans="1:30">
      <c r="A3" s="434" t="s">
        <v>187</v>
      </c>
      <c r="B3" s="434"/>
      <c r="D3" s="9">
        <f>'Financials (2)'!E129</f>
        <v>7810.68</v>
      </c>
      <c r="E3" s="9">
        <f>'Financials (2)'!F129</f>
        <v>0</v>
      </c>
      <c r="F3" s="9">
        <f>'Financials (2)'!H129</f>
        <v>8136.45</v>
      </c>
      <c r="G3" s="9">
        <f>'Financials (2)'!I129</f>
        <v>8136.64</v>
      </c>
      <c r="H3" s="9">
        <f>'Financials (2)'!J129</f>
        <v>8137.16</v>
      </c>
      <c r="I3" s="9">
        <f>'Financials (2)'!K129</f>
        <v>8136.93</v>
      </c>
      <c r="J3" s="9">
        <f>'Financials (2)'!L129</f>
        <v>8137.1</v>
      </c>
      <c r="K3" s="9">
        <f>'Financials (2)'!M129</f>
        <v>8137.98</v>
      </c>
      <c r="L3" s="9">
        <f>'Financials (2)'!N129</f>
        <v>8137.98</v>
      </c>
      <c r="M3" s="9">
        <f>'Financials (2)'!O129</f>
        <v>8137.98</v>
      </c>
      <c r="N3" s="9">
        <f>'Financials (2)'!P129</f>
        <v>8137.98</v>
      </c>
      <c r="O3" s="9">
        <f>'Financials (2)'!Q129</f>
        <v>8137.98</v>
      </c>
      <c r="P3" s="9">
        <f>'Financials (2)'!R129</f>
        <v>8137.98</v>
      </c>
      <c r="Q3" s="9">
        <f>'Financials (2)'!S129</f>
        <v>8137.98</v>
      </c>
      <c r="R3" s="9">
        <f>'Financials (2)'!T129</f>
        <v>8137.98</v>
      </c>
      <c r="S3" s="9">
        <f>'Financials (2)'!U129</f>
        <v>8137.98</v>
      </c>
      <c r="T3" s="9">
        <f>'Financials (2)'!V129</f>
        <v>8137.98</v>
      </c>
      <c r="U3" s="9">
        <f>'Financials (2)'!W129</f>
        <v>8137.98</v>
      </c>
      <c r="V3" s="9">
        <f>'Financials (2)'!X129</f>
        <v>8137.98</v>
      </c>
      <c r="W3" s="9">
        <f>'Financials (2)'!Y129</f>
        <v>8137.98</v>
      </c>
      <c r="X3" s="9">
        <f>'Financials (2)'!Z129</f>
        <v>8137.98</v>
      </c>
      <c r="Y3" s="9">
        <f>'Financials (2)'!AA129</f>
        <v>8137.98</v>
      </c>
      <c r="Z3" s="9">
        <f>'Financials (2)'!AB129</f>
        <v>8137.98</v>
      </c>
      <c r="AA3" s="9">
        <f>'Financials (2)'!AC129</f>
        <v>8137.98</v>
      </c>
      <c r="AB3" s="9">
        <f>'Financials (2)'!AD129</f>
        <v>8137.98</v>
      </c>
      <c r="AC3" s="9">
        <f>'Financials (2)'!AE129</f>
        <v>8137.98</v>
      </c>
      <c r="AD3" s="9"/>
    </row>
    <row r="4" spans="1:30">
      <c r="A4" s="434" t="s">
        <v>188</v>
      </c>
      <c r="B4" s="434"/>
      <c r="D4" s="15"/>
      <c r="E4" s="9">
        <f>Assum!B121+IF(Assum!$D$122=E1,Assum!$B$122,0)</f>
        <v>435.22978999999998</v>
      </c>
      <c r="F4" s="13">
        <f>E4+D4</f>
        <v>435.22978999999998</v>
      </c>
      <c r="G4" s="9"/>
    </row>
    <row r="5" spans="1:30">
      <c r="A5" s="434" t="s">
        <v>189</v>
      </c>
      <c r="B5" s="434"/>
      <c r="C5" s="11">
        <f>Financials!E113</f>
        <v>7810.68</v>
      </c>
      <c r="D5" s="9">
        <f t="shared" ref="D5:AC5" si="1">D3+D4</f>
        <v>7810.68</v>
      </c>
      <c r="E5" s="9">
        <f t="shared" si="1"/>
        <v>435.22978999999998</v>
      </c>
      <c r="F5" s="9">
        <f t="shared" si="1"/>
        <v>8571.6797900000001</v>
      </c>
      <c r="G5" s="9">
        <f t="shared" si="1"/>
        <v>8136.64</v>
      </c>
      <c r="H5" s="9">
        <f t="shared" si="1"/>
        <v>8137.16</v>
      </c>
      <c r="I5" s="9">
        <f t="shared" si="1"/>
        <v>8136.93</v>
      </c>
      <c r="J5" s="9">
        <f t="shared" si="1"/>
        <v>8137.1</v>
      </c>
      <c r="K5" s="9">
        <f t="shared" si="1"/>
        <v>8137.98</v>
      </c>
      <c r="L5" s="9">
        <f t="shared" si="1"/>
        <v>8137.98</v>
      </c>
      <c r="M5" s="9">
        <f t="shared" si="1"/>
        <v>8137.98</v>
      </c>
      <c r="N5" s="9">
        <f t="shared" si="1"/>
        <v>8137.98</v>
      </c>
      <c r="O5" s="9">
        <f t="shared" si="1"/>
        <v>8137.98</v>
      </c>
      <c r="P5" s="9">
        <f t="shared" si="1"/>
        <v>8137.98</v>
      </c>
      <c r="Q5" s="9">
        <f t="shared" si="1"/>
        <v>8137.98</v>
      </c>
      <c r="R5" s="9">
        <f t="shared" si="1"/>
        <v>8137.98</v>
      </c>
      <c r="S5" s="9">
        <f t="shared" si="1"/>
        <v>8137.98</v>
      </c>
      <c r="T5" s="9">
        <f t="shared" si="1"/>
        <v>8137.98</v>
      </c>
      <c r="U5" s="9">
        <f t="shared" si="1"/>
        <v>8137.98</v>
      </c>
      <c r="V5" s="9">
        <f t="shared" si="1"/>
        <v>8137.98</v>
      </c>
      <c r="W5" s="9">
        <f t="shared" si="1"/>
        <v>8137.98</v>
      </c>
      <c r="X5" s="9">
        <f t="shared" si="1"/>
        <v>8137.98</v>
      </c>
      <c r="Y5" s="9">
        <f t="shared" si="1"/>
        <v>8137.98</v>
      </c>
      <c r="Z5" s="9">
        <f t="shared" si="1"/>
        <v>8137.98</v>
      </c>
      <c r="AA5" s="9">
        <f t="shared" si="1"/>
        <v>8137.98</v>
      </c>
      <c r="AB5" s="9">
        <f t="shared" si="1"/>
        <v>8137.98</v>
      </c>
      <c r="AC5" s="9">
        <f t="shared" si="1"/>
        <v>8137.98</v>
      </c>
      <c r="AD5" s="9"/>
    </row>
    <row r="6" spans="1:30">
      <c r="A6" s="434" t="s">
        <v>93</v>
      </c>
      <c r="B6" s="434"/>
      <c r="D6" s="13">
        <f>IF(D$1&lt;=Assum!$C$72,D3*Assum!$B$72,D3*Assum!$B$73)/365*(D1-C1)</f>
        <v>140.97742421917812</v>
      </c>
      <c r="E6" s="13">
        <f>IF(E$1&lt;=Assum!$C$72,E3*Assum!$B$72,E3*Assum!$B$73)/365*(E1-D1)</f>
        <v>0</v>
      </c>
      <c r="F6" s="13">
        <f>E6+D6</f>
        <v>140.97742421917812</v>
      </c>
      <c r="G6" s="13">
        <f>IF(G$1&lt;=Assum!$C$72,G3*Assum!$B$72,G3*Assum!$B$73)/365*(G1-F1)</f>
        <v>292.91904000000005</v>
      </c>
      <c r="H6" s="13">
        <f>IF(H$1&lt;=Assum!$C$72,H3*Assum!$B$72,H3*Assum!$B$73)/365*(H1-G1)</f>
        <v>293.74032920547944</v>
      </c>
      <c r="I6" s="13">
        <f>IF(I$1&lt;=Assum!$C$72,I3*Assum!$B$72,I3*Assum!$B$73)/365*(I1-H1)</f>
        <v>292.92948000000007</v>
      </c>
      <c r="J6" s="13">
        <f>IF(J$1&lt;=Assum!$C$72,J3*Assum!$B$72,J3*Assum!$B$73)/365*(J1-I1)</f>
        <v>292.93560000000002</v>
      </c>
      <c r="K6" s="13">
        <f>IF(K$1&lt;=Assum!$C$72,K3*Assum!$B$72,K3*Assum!$B$73)/365*(K1-J1)</f>
        <v>292.96728000000002</v>
      </c>
      <c r="L6" s="13">
        <f>IF(L$1&lt;=Assum!$C$72,L3*Assum!$B$72,L3*Assum!$B$73)/365*(L1-K1)</f>
        <v>293.76993008219182</v>
      </c>
      <c r="M6" s="13">
        <f>IF(M$1&lt;=Assum!$C$72,M3*Assum!$B$72,M3*Assum!$B$73)/365*(M1-L1)</f>
        <v>292.96728000000002</v>
      </c>
      <c r="N6" s="13">
        <f>IF(N$1&lt;=Assum!$C$72,N3*Assum!$B$72,N3*Assum!$B$73)/365*(N1-M1)</f>
        <v>292.96728000000002</v>
      </c>
      <c r="O6" s="13">
        <f>IF(O$1&lt;=Assum!$C$72,O3*Assum!$B$72,O3*Assum!$B$73)/365*(O1-N1)</f>
        <v>292.96728000000002</v>
      </c>
      <c r="P6" s="13">
        <f>IF(P$1&lt;=Assum!$C$72,P3*Assum!$B$72,P3*Assum!$B$73)/365*(P1-O1)</f>
        <v>293.76993008219182</v>
      </c>
      <c r="Q6" s="13">
        <f>IF(Q$1&lt;=Assum!$C$72,Q3*Assum!$B$72,Q3*Assum!$B$73)/365*(Q1-P1)</f>
        <v>292.96728000000002</v>
      </c>
      <c r="R6" s="13">
        <f>IF(R$1&lt;=Assum!$C$72,R3*Assum!$B$72,R3*Assum!$B$73)/365*(R1-Q1)</f>
        <v>292.96728000000002</v>
      </c>
      <c r="S6" s="13">
        <f>IF(S$1&lt;=Assum!$C$72,S3*Assum!$B$72,S3*Assum!$B$73)/365*(S1-R1)</f>
        <v>292.96728000000002</v>
      </c>
      <c r="T6" s="13">
        <f>IF(T$1&lt;=Assum!$C$72,T3*Assum!$B$72,T3*Assum!$B$73)/365*(T1-S1)</f>
        <v>293.76993008219182</v>
      </c>
      <c r="U6" s="13">
        <f>IF(U$1&lt;=Assum!$C$72,U3*Assum!$B$72,U3*Assum!$B$73)/365*(U1-T1)</f>
        <v>292.96728000000002</v>
      </c>
      <c r="V6" s="13">
        <f>IF(V$1&lt;=Assum!$C$72,V3*Assum!$B$72,V3*Assum!$B$73)/365*(V1-U1)</f>
        <v>292.96728000000002</v>
      </c>
      <c r="W6" s="13">
        <f>IF(W$1&lt;=Assum!$C$72,W3*Assum!$B$72,W3*Assum!$B$73)/365*(W1-V1)</f>
        <v>292.96728000000002</v>
      </c>
      <c r="X6" s="13">
        <f>IF(X$1&lt;=Assum!$C$72,X3*Assum!$B$72,X3*Assum!$B$73)/365*(X1-W1)</f>
        <v>293.76993008219182</v>
      </c>
      <c r="Y6" s="13">
        <f>IF(Y$1&lt;=Assum!$C$72,Y3*Assum!$B$72,Y3*Assum!$B$73)/365*(Y1-X1)</f>
        <v>292.96728000000002</v>
      </c>
      <c r="Z6" s="13">
        <f>IF(Z$1&lt;=Assum!$C$72,Z3*Assum!$B$72,Z3*Assum!$B$73)/365*(Z1-Y1)</f>
        <v>292.96728000000002</v>
      </c>
      <c r="AA6" s="13">
        <f>IF(AA$1&lt;=Assum!$C$72,AA3*Assum!$B$72,AA3*Assum!$B$73)/365*(AA1-Z1)</f>
        <v>292.96728000000002</v>
      </c>
      <c r="AB6" s="13">
        <f>IF(AB$1&lt;=Assum!$C$72,AB3*Assum!$B$72,AB3*Assum!$B$73)/365*(AB1-AA1)</f>
        <v>293.76993008219182</v>
      </c>
      <c r="AC6" s="13">
        <f>IF(AC$1&lt;=Assum!$C$72,AC3*Assum!$B$72,AC3*Assum!$B$73)/365*(AC1-AB1)</f>
        <v>292.96728000000002</v>
      </c>
      <c r="AD6" s="13"/>
    </row>
    <row r="7" spans="1:30">
      <c r="A7" s="434" t="s">
        <v>190</v>
      </c>
      <c r="B7" s="434"/>
      <c r="C7" s="11">
        <f>Financials!E114</f>
        <v>357.21978369999999</v>
      </c>
      <c r="D7" s="9">
        <f>C7+D6</f>
        <v>498.19720791917814</v>
      </c>
      <c r="E7" s="9">
        <f>D7+E6</f>
        <v>498.19720791917814</v>
      </c>
      <c r="F7" s="9">
        <f>C7+F6</f>
        <v>498.19720791917814</v>
      </c>
      <c r="G7" s="9">
        <f>F7+G6</f>
        <v>791.11624791917825</v>
      </c>
      <c r="H7" s="9">
        <f t="shared" ref="H7:AC7" si="2">G7+H6</f>
        <v>1084.8565771246576</v>
      </c>
      <c r="I7" s="9">
        <f t="shared" si="2"/>
        <v>1377.7860571246576</v>
      </c>
      <c r="J7" s="9">
        <f t="shared" si="2"/>
        <v>1670.7216571246577</v>
      </c>
      <c r="K7" s="9">
        <f t="shared" si="2"/>
        <v>1963.6889371246577</v>
      </c>
      <c r="L7" s="9">
        <f t="shared" si="2"/>
        <v>2257.4588672068494</v>
      </c>
      <c r="M7" s="9">
        <f t="shared" si="2"/>
        <v>2550.4261472068492</v>
      </c>
      <c r="N7" s="9">
        <f t="shared" si="2"/>
        <v>2843.3934272068491</v>
      </c>
      <c r="O7" s="9">
        <f t="shared" si="2"/>
        <v>3136.3607072068489</v>
      </c>
      <c r="P7" s="9">
        <f t="shared" si="2"/>
        <v>3430.1306372890408</v>
      </c>
      <c r="Q7" s="9">
        <f t="shared" si="2"/>
        <v>3723.0979172890407</v>
      </c>
      <c r="R7" s="9">
        <f t="shared" si="2"/>
        <v>4016.0651972890405</v>
      </c>
      <c r="S7" s="9">
        <f t="shared" si="2"/>
        <v>4309.0324772890408</v>
      </c>
      <c r="T7" s="9">
        <f t="shared" si="2"/>
        <v>4602.8024073712322</v>
      </c>
      <c r="U7" s="9">
        <f t="shared" si="2"/>
        <v>4895.7696873712321</v>
      </c>
      <c r="V7" s="9">
        <f t="shared" si="2"/>
        <v>5188.7369673712319</v>
      </c>
      <c r="W7" s="9">
        <f t="shared" si="2"/>
        <v>5481.7042473712318</v>
      </c>
      <c r="X7" s="9">
        <f t="shared" si="2"/>
        <v>5775.4741774534232</v>
      </c>
      <c r="Y7" s="9">
        <f t="shared" si="2"/>
        <v>6068.441457453423</v>
      </c>
      <c r="Z7" s="9">
        <f t="shared" si="2"/>
        <v>6361.4087374534229</v>
      </c>
      <c r="AA7" s="9">
        <f t="shared" si="2"/>
        <v>6654.3760174534227</v>
      </c>
      <c r="AB7" s="9">
        <f t="shared" si="2"/>
        <v>6948.1459475356141</v>
      </c>
      <c r="AC7" s="9">
        <f t="shared" si="2"/>
        <v>7241.113227535614</v>
      </c>
      <c r="AD7" s="9"/>
    </row>
    <row r="8" spans="1:30">
      <c r="A8" s="435" t="s">
        <v>191</v>
      </c>
      <c r="B8" s="435"/>
      <c r="C8" s="9">
        <f t="shared" ref="C8:H8" si="3">C5-C7</f>
        <v>7453.4602163</v>
      </c>
      <c r="D8" s="9">
        <f t="shared" si="3"/>
        <v>7312.482792080822</v>
      </c>
      <c r="E8" s="9">
        <f t="shared" si="3"/>
        <v>-62.96741791917816</v>
      </c>
      <c r="F8" s="9">
        <f t="shared" si="3"/>
        <v>8073.4825820808219</v>
      </c>
      <c r="G8" s="9">
        <f t="shared" si="3"/>
        <v>7345.5237520808223</v>
      </c>
      <c r="H8" s="9">
        <f t="shared" si="3"/>
        <v>7052.3034228753422</v>
      </c>
      <c r="I8" s="9">
        <f t="shared" ref="I8:AC8" si="4">I5-I7</f>
        <v>6759.1439428753429</v>
      </c>
      <c r="J8" s="9">
        <f t="shared" si="4"/>
        <v>6466.3783428753432</v>
      </c>
      <c r="K8" s="9">
        <f t="shared" si="4"/>
        <v>6174.2910628753416</v>
      </c>
      <c r="L8" s="9">
        <f t="shared" si="4"/>
        <v>5880.5211327931502</v>
      </c>
      <c r="M8" s="9">
        <f t="shared" si="4"/>
        <v>5587.5538527931503</v>
      </c>
      <c r="N8" s="9">
        <f t="shared" si="4"/>
        <v>5294.5865727931505</v>
      </c>
      <c r="O8" s="9">
        <f t="shared" si="4"/>
        <v>5001.6192927931506</v>
      </c>
      <c r="P8" s="9">
        <f t="shared" si="4"/>
        <v>4707.8493627109583</v>
      </c>
      <c r="Q8" s="9">
        <f t="shared" si="4"/>
        <v>4414.8820827109594</v>
      </c>
      <c r="R8" s="9">
        <f t="shared" si="4"/>
        <v>4121.9148027109586</v>
      </c>
      <c r="S8" s="9">
        <f t="shared" si="4"/>
        <v>3828.9475227109588</v>
      </c>
      <c r="T8" s="9">
        <f t="shared" si="4"/>
        <v>3535.1775926287673</v>
      </c>
      <c r="U8" s="9">
        <f t="shared" si="4"/>
        <v>3242.2103126287675</v>
      </c>
      <c r="V8" s="9">
        <f t="shared" si="4"/>
        <v>2949.2430326287677</v>
      </c>
      <c r="W8" s="9">
        <f t="shared" si="4"/>
        <v>2656.2757526287678</v>
      </c>
      <c r="X8" s="9">
        <f t="shared" si="4"/>
        <v>2362.5058225465764</v>
      </c>
      <c r="Y8" s="9">
        <f t="shared" si="4"/>
        <v>2069.5385425465765</v>
      </c>
      <c r="Z8" s="9">
        <f t="shared" si="4"/>
        <v>1776.5712625465767</v>
      </c>
      <c r="AA8" s="9">
        <f t="shared" si="4"/>
        <v>1483.6039825465768</v>
      </c>
      <c r="AB8" s="9">
        <f t="shared" si="4"/>
        <v>1189.8340524643854</v>
      </c>
      <c r="AC8" s="9">
        <f t="shared" si="4"/>
        <v>896.86677246438558</v>
      </c>
      <c r="AD8" s="9"/>
    </row>
    <row r="10" spans="1:30">
      <c r="A10" s="433" t="s">
        <v>192</v>
      </c>
      <c r="B10" s="433"/>
      <c r="G10" s="9"/>
      <c r="H10" s="9"/>
    </row>
    <row r="11" spans="1:30">
      <c r="A11" s="436" t="s">
        <v>191</v>
      </c>
      <c r="B11" s="436"/>
      <c r="C11" s="437">
        <f>C8</f>
        <v>7453.4602163</v>
      </c>
      <c r="D11" s="9">
        <f>D8</f>
        <v>7312.482792080822</v>
      </c>
      <c r="E11" s="9">
        <f>D11-D12+E4</f>
        <v>7483.0087186872688</v>
      </c>
      <c r="F11" s="9">
        <f>C11+F4</f>
        <v>7888.6900063000003</v>
      </c>
      <c r="G11" s="9">
        <f>F11-F12+G4</f>
        <v>7354.5896284762048</v>
      </c>
      <c r="H11" s="9">
        <f t="shared" ref="H11:AC11" si="5">G11-G12+H4</f>
        <v>6823.5882573002227</v>
      </c>
      <c r="I11" s="9">
        <f t="shared" si="5"/>
        <v>6330.9251851231465</v>
      </c>
      <c r="J11" s="9">
        <f t="shared" si="5"/>
        <v>5873.8323867572553</v>
      </c>
      <c r="K11" s="9">
        <f t="shared" si="5"/>
        <v>5449.7416884333816</v>
      </c>
      <c r="L11" s="9">
        <f t="shared" si="5"/>
        <v>5056.2703385284913</v>
      </c>
      <c r="M11" s="9">
        <f t="shared" si="5"/>
        <v>4691.2076200867341</v>
      </c>
      <c r="N11" s="9">
        <f t="shared" si="5"/>
        <v>4352.5024299164716</v>
      </c>
      <c r="O11" s="9">
        <f t="shared" si="5"/>
        <v>4038.2517544765024</v>
      </c>
      <c r="P11" s="9">
        <f t="shared" si="5"/>
        <v>3746.6899778032989</v>
      </c>
      <c r="Q11" s="9">
        <f t="shared" si="5"/>
        <v>3476.1789614059007</v>
      </c>
      <c r="R11" s="9">
        <f t="shared" si="5"/>
        <v>3225.1988403923947</v>
      </c>
      <c r="S11" s="9">
        <f t="shared" si="5"/>
        <v>2992.3394841160639</v>
      </c>
      <c r="T11" s="9">
        <f t="shared" si="5"/>
        <v>2776.292573362884</v>
      </c>
      <c r="U11" s="9">
        <f t="shared" si="5"/>
        <v>2575.8442495660838</v>
      </c>
      <c r="V11" s="9">
        <f t="shared" si="5"/>
        <v>2389.8682947474126</v>
      </c>
      <c r="W11" s="9">
        <f t="shared" si="5"/>
        <v>2217.3198038666496</v>
      </c>
      <c r="X11" s="9">
        <f t="shared" si="5"/>
        <v>2057.2293140274774</v>
      </c>
      <c r="Y11" s="9">
        <f t="shared" si="5"/>
        <v>1908.6973575546936</v>
      </c>
      <c r="Z11" s="9">
        <f t="shared" si="5"/>
        <v>1770.8894083392447</v>
      </c>
      <c r="AA11" s="9">
        <f t="shared" si="5"/>
        <v>1643.0311930571513</v>
      </c>
      <c r="AB11" s="9">
        <f t="shared" si="5"/>
        <v>1524.4043409184251</v>
      </c>
      <c r="AC11" s="9">
        <f t="shared" si="5"/>
        <v>1414.3423475041147</v>
      </c>
      <c r="AD11" s="9"/>
    </row>
    <row r="12" spans="1:30">
      <c r="A12" s="438" t="s">
        <v>193</v>
      </c>
      <c r="B12" s="439">
        <f>7.83100949995319%*0+7.22%</f>
        <v>7.22E-2</v>
      </c>
      <c r="D12" s="9">
        <f>D11*$B12*(D1-C1)/365</f>
        <v>264.7038633935536</v>
      </c>
      <c r="E12" s="9">
        <f>E11*$B12*(E1-D1)/365</f>
        <v>269.39651443024161</v>
      </c>
      <c r="F12" s="9">
        <f>E12+D12</f>
        <v>534.10037782379527</v>
      </c>
      <c r="G12" s="9">
        <f>G11*$B12</f>
        <v>531.00137117598194</v>
      </c>
      <c r="H12" s="9">
        <f t="shared" ref="H12:AC12" si="6">H11*$B12</f>
        <v>492.66307217707606</v>
      </c>
      <c r="I12" s="9">
        <f t="shared" si="6"/>
        <v>457.09279836589116</v>
      </c>
      <c r="J12" s="9">
        <f t="shared" si="6"/>
        <v>424.09069832387382</v>
      </c>
      <c r="K12" s="9">
        <f t="shared" si="6"/>
        <v>393.47134990489013</v>
      </c>
      <c r="L12" s="9">
        <f t="shared" si="6"/>
        <v>365.06271844175706</v>
      </c>
      <c r="M12" s="9">
        <f t="shared" si="6"/>
        <v>338.7051901702622</v>
      </c>
      <c r="N12" s="9">
        <f t="shared" si="6"/>
        <v>314.25067543996926</v>
      </c>
      <c r="O12" s="9">
        <f t="shared" si="6"/>
        <v>291.5617766732035</v>
      </c>
      <c r="P12" s="9">
        <f t="shared" si="6"/>
        <v>270.51101639739818</v>
      </c>
      <c r="Q12" s="9">
        <f t="shared" si="6"/>
        <v>250.98012101350602</v>
      </c>
      <c r="R12" s="9">
        <f t="shared" si="6"/>
        <v>232.85935627633089</v>
      </c>
      <c r="S12" s="9">
        <f t="shared" si="6"/>
        <v>216.04691075317982</v>
      </c>
      <c r="T12" s="9">
        <f t="shared" si="6"/>
        <v>200.44832379680022</v>
      </c>
      <c r="U12" s="9">
        <f t="shared" si="6"/>
        <v>185.97595481867125</v>
      </c>
      <c r="V12" s="9">
        <f t="shared" si="6"/>
        <v>172.54849088076318</v>
      </c>
      <c r="W12" s="9">
        <f t="shared" si="6"/>
        <v>160.09048983917211</v>
      </c>
      <c r="X12" s="9">
        <f t="shared" si="6"/>
        <v>148.53195647278386</v>
      </c>
      <c r="Y12" s="9">
        <f t="shared" si="6"/>
        <v>137.80794921544887</v>
      </c>
      <c r="Z12" s="9">
        <f t="shared" si="6"/>
        <v>127.85821528209347</v>
      </c>
      <c r="AA12" s="9">
        <f t="shared" si="6"/>
        <v>118.62685213872632</v>
      </c>
      <c r="AB12" s="9">
        <f t="shared" si="6"/>
        <v>110.06199341431029</v>
      </c>
      <c r="AC12" s="9">
        <f t="shared" si="6"/>
        <v>102.11551748979709</v>
      </c>
      <c r="AD12" s="9"/>
    </row>
    <row r="13" spans="1:30">
      <c r="A13" s="438"/>
      <c r="B13" s="43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5" spans="1:30">
      <c r="A15" s="440" t="s">
        <v>194</v>
      </c>
      <c r="B15" s="441">
        <f>Assum!B78</f>
        <v>10</v>
      </c>
      <c r="D15" s="442"/>
      <c r="E15" s="442"/>
      <c r="F15" s="442">
        <f>IF(F$1&gt;=Assum!$B$79,MIN(1,$B$15-SUM($C15:E15)),0)</f>
        <v>0</v>
      </c>
      <c r="G15" s="442">
        <f>IF(G$1&gt;=Assum!$B$79,MIN(1,$B$15-SUM($C15:E15)),0)</f>
        <v>0</v>
      </c>
      <c r="H15" s="442">
        <f>IF(H$1&gt;=Assum!$B$79,MIN(1,$B$15-SUM($C15:G15)),0)</f>
        <v>1</v>
      </c>
      <c r="I15" s="442">
        <f>IF(I$1&gt;=Assum!$B$79,MIN(1,$B$15-SUM($C15:H15)),0)</f>
        <v>1</v>
      </c>
      <c r="J15" s="442">
        <f>IF(J$1&gt;=Assum!$B$79,MIN(1,$B$15-SUM($C15:I15)),0)</f>
        <v>1</v>
      </c>
      <c r="K15" s="442">
        <f>IF(K$1&gt;=Assum!$B$79,MIN(1,$B$15-SUM($C15:J15)),0)</f>
        <v>1</v>
      </c>
      <c r="L15" s="442">
        <f>IF(L$1&gt;=Assum!$B$79,MIN(1,$B$15-SUM($C15:K15)),0)</f>
        <v>1</v>
      </c>
      <c r="M15" s="442">
        <f>IF(M$1&gt;=Assum!$B$79,MIN(1,$B$15-SUM($C15:L15)),0)</f>
        <v>1</v>
      </c>
      <c r="N15" s="442">
        <f>IF(N$1&gt;=Assum!$B$79,MIN(1,$B$15-SUM($C15:M15)),0)</f>
        <v>1</v>
      </c>
      <c r="O15" s="442">
        <f>IF(O$1&gt;=Assum!$B$79,MIN(1,$B$15-SUM($C15:N15)),0)</f>
        <v>1</v>
      </c>
      <c r="P15" s="442">
        <f>IF(P$1&gt;=Assum!$B$79,MIN(1,$B$15-SUM($C15:O15)),0)</f>
        <v>1</v>
      </c>
      <c r="Q15" s="442">
        <f>IF(Q$1&gt;=Assum!$B$79,MIN(1,$B$15-SUM($C15:P15)),0)</f>
        <v>1</v>
      </c>
      <c r="R15" s="442">
        <f>IF(R$1&gt;=Assum!$B$79,MIN(1,$B$15-SUM($C15:Q15)),0)</f>
        <v>0</v>
      </c>
      <c r="S15" s="442">
        <f>IF(S$1&gt;=Assum!$B$79,MIN(1,$B$15-SUM($C15:R15)),0)</f>
        <v>0</v>
      </c>
      <c r="T15" s="442">
        <f>IF(T$1&gt;=Assum!$B$79,MIN(1,$B$15-SUM($C15:S15)),0)</f>
        <v>0</v>
      </c>
      <c r="U15" s="442">
        <f>IF(U$1&gt;=Assum!$B$79,MIN(1,$B$15-SUM($C15:T15)),0)</f>
        <v>0</v>
      </c>
      <c r="V15" s="442">
        <f>IF(V$1&gt;=Assum!$B$79,MIN(1,$B$15-SUM($C15:U15)),0)</f>
        <v>0</v>
      </c>
      <c r="W15" s="442">
        <f>IF(W$1&gt;=Assum!$B$79,MIN(1,$B$15-SUM($C15:V15)),0)</f>
        <v>0</v>
      </c>
      <c r="X15" s="442">
        <f>IF(X$1&gt;=Assum!$B$79,MIN(1,$B$15-SUM($C15:W15)),0)</f>
        <v>0</v>
      </c>
      <c r="Y15" s="442">
        <f>IF(Y$1&gt;=Assum!$B$79,MIN(1,$B$15-SUM($C15:X15)),0)</f>
        <v>0</v>
      </c>
      <c r="Z15" s="442">
        <f>IF(Z$1&gt;=Assum!$B$79,MIN(1,$B$15-SUM($C15:Y15)),0)</f>
        <v>0</v>
      </c>
      <c r="AA15" s="442">
        <f>IF(AA$1&gt;=Assum!$B$79,MIN(1,$B$15-SUM($C15:Z15)),0)</f>
        <v>0</v>
      </c>
      <c r="AB15" s="442">
        <f>IF(AB$1&gt;=Assum!$B$79,MIN(1,$B$15-SUM($C15:AA15)),0)</f>
        <v>0</v>
      </c>
      <c r="AC15" s="442">
        <f>IF(AC$1&gt;=Assum!$B$79,MIN(1,$B$15-SUM($C15:AB15)),0)</f>
        <v>0</v>
      </c>
      <c r="AD15" s="442"/>
    </row>
    <row r="16" spans="1:30">
      <c r="A16" s="434" t="s">
        <v>195</v>
      </c>
      <c r="B16" s="434"/>
      <c r="D16" s="9"/>
      <c r="E16" s="9"/>
      <c r="F16" s="9">
        <f>Financials!H25</f>
        <v>-655.19999999999982</v>
      </c>
      <c r="G16" s="9">
        <f>Financials!I25</f>
        <v>-988.58000000000015</v>
      </c>
      <c r="H16" s="9">
        <f>Financials!J25</f>
        <v>-286.89999999999998</v>
      </c>
      <c r="I16" s="9">
        <f>Financials!K25</f>
        <v>691.48000000000025</v>
      </c>
      <c r="J16" s="9">
        <f>Financials!L25</f>
        <v>-79.209999999999781</v>
      </c>
      <c r="K16" s="9">
        <f>Financials!M25</f>
        <v>-224.33999999999955</v>
      </c>
      <c r="L16" s="9">
        <f>Financials!N25</f>
        <v>-1296.0240900626118</v>
      </c>
      <c r="M16" s="9">
        <f>Financials!O25</f>
        <v>-1376.9437087410604</v>
      </c>
      <c r="N16" s="9">
        <f>Financials!P25</f>
        <v>-1462.4111052451051</v>
      </c>
      <c r="O16" s="9">
        <f>Financials!Q25</f>
        <v>-1502.1291827183124</v>
      </c>
      <c r="P16" s="9">
        <f>Financials!R25</f>
        <v>-1598.7535274033858</v>
      </c>
      <c r="Q16" s="9">
        <f>Financials!S25</f>
        <v>-1662.5566739640374</v>
      </c>
      <c r="R16" s="9">
        <f>Financials!T25</f>
        <v>-1664.7255665067871</v>
      </c>
      <c r="S16" s="9">
        <f>Financials!U25</f>
        <v>-1818.059888617461</v>
      </c>
      <c r="T16" s="9">
        <f>Financials!V25</f>
        <v>-1932.715613692058</v>
      </c>
      <c r="U16" s="9">
        <f>Financials!W25</f>
        <v>-1988.4260154656506</v>
      </c>
      <c r="V16" s="9">
        <f>Financials!X25</f>
        <v>-2019.0297567775099</v>
      </c>
      <c r="W16" s="9">
        <f>Financials!Y25</f>
        <v>-2200.7163530390608</v>
      </c>
      <c r="X16" s="9">
        <f>Financials!Z25</f>
        <v>-2215.9256182327122</v>
      </c>
      <c r="Y16" s="9">
        <f>Financials!AA25</f>
        <v>-2392.2008461002415</v>
      </c>
      <c r="Z16" s="9">
        <f>Financials!AB25</f>
        <v>-2565.3103686752138</v>
      </c>
      <c r="AA16" s="9">
        <f>Financials!AC25</f>
        <v>-2465.268915699603</v>
      </c>
      <c r="AB16" s="9">
        <f>Financials!AD25</f>
        <v>-2199.4330839171821</v>
      </c>
      <c r="AC16" s="9">
        <f>Financials!AE25</f>
        <v>-1106.0187361966216</v>
      </c>
      <c r="AD16" s="9"/>
    </row>
    <row r="17" spans="1:30">
      <c r="A17" s="434" t="s">
        <v>196</v>
      </c>
      <c r="B17" s="434"/>
      <c r="D17" s="9"/>
      <c r="E17" s="9"/>
      <c r="F17" s="9">
        <f>Financials!H19</f>
        <v>200.35</v>
      </c>
      <c r="G17" s="9">
        <f>Financials!I19</f>
        <v>201.57</v>
      </c>
      <c r="H17" s="9">
        <f>Financials!J19</f>
        <v>200.79</v>
      </c>
      <c r="I17" s="9">
        <f>Financials!K19</f>
        <v>200.3</v>
      </c>
      <c r="J17" s="9">
        <f>Financials!L19</f>
        <v>199.75</v>
      </c>
      <c r="K17" s="9">
        <f>Financials!M19</f>
        <v>201.49</v>
      </c>
      <c r="L17" s="9">
        <f>Financials!N19</f>
        <v>293.76993008219182</v>
      </c>
      <c r="M17" s="9">
        <f>Financials!O19</f>
        <v>292.96728000000002</v>
      </c>
      <c r="N17" s="9">
        <f>Financials!P19</f>
        <v>292.96728000000002</v>
      </c>
      <c r="O17" s="9">
        <f>Financials!Q19</f>
        <v>292.96728000000002</v>
      </c>
      <c r="P17" s="9">
        <f>Financials!R19</f>
        <v>293.76993008219182</v>
      </c>
      <c r="Q17" s="9">
        <f>Financials!S19</f>
        <v>292.96728000000002</v>
      </c>
      <c r="R17" s="9">
        <f>Financials!T19</f>
        <v>292.96728000000002</v>
      </c>
      <c r="S17" s="9">
        <f>Financials!U19</f>
        <v>292.96728000000002</v>
      </c>
      <c r="T17" s="9">
        <f>Financials!V19</f>
        <v>293.76993008219182</v>
      </c>
      <c r="U17" s="9">
        <f>Financials!W19</f>
        <v>292.96728000000002</v>
      </c>
      <c r="V17" s="9">
        <f>Financials!X19</f>
        <v>292.96728000000002</v>
      </c>
      <c r="W17" s="9">
        <f>Financials!Y19</f>
        <v>292.96728000000002</v>
      </c>
      <c r="X17" s="9">
        <f>Financials!Z19</f>
        <v>293.76993008219182</v>
      </c>
      <c r="Y17" s="9">
        <f>Financials!AA19</f>
        <v>292.96728000000002</v>
      </c>
      <c r="Z17" s="9">
        <f>Financials!AB19</f>
        <v>292.96728000000002</v>
      </c>
      <c r="AA17" s="9">
        <f>Financials!AC19</f>
        <v>292.96728000000002</v>
      </c>
      <c r="AB17" s="9">
        <f>Financials!AD19</f>
        <v>293.76993008219182</v>
      </c>
      <c r="AC17" s="9">
        <f>Financials!AE19</f>
        <v>292.96728000000002</v>
      </c>
      <c r="AD17" s="9"/>
    </row>
    <row r="18" spans="1:30">
      <c r="A18" s="434" t="s">
        <v>197</v>
      </c>
      <c r="B18" s="434"/>
      <c r="D18" s="9"/>
      <c r="E18" s="9"/>
      <c r="F18" s="9">
        <f>F12</f>
        <v>534.10037782379527</v>
      </c>
      <c r="G18" s="9">
        <f t="shared" ref="G18:AC18" si="7">G12</f>
        <v>531.00137117598194</v>
      </c>
      <c r="H18" s="9">
        <f t="shared" si="7"/>
        <v>492.66307217707606</v>
      </c>
      <c r="I18" s="9">
        <f t="shared" si="7"/>
        <v>457.09279836589116</v>
      </c>
      <c r="J18" s="9">
        <f t="shared" si="7"/>
        <v>424.09069832387382</v>
      </c>
      <c r="K18" s="9">
        <f t="shared" si="7"/>
        <v>393.47134990489013</v>
      </c>
      <c r="L18" s="9">
        <f t="shared" si="7"/>
        <v>365.06271844175706</v>
      </c>
      <c r="M18" s="9">
        <f t="shared" si="7"/>
        <v>338.7051901702622</v>
      </c>
      <c r="N18" s="9">
        <f t="shared" si="7"/>
        <v>314.25067543996926</v>
      </c>
      <c r="O18" s="9">
        <f t="shared" si="7"/>
        <v>291.5617766732035</v>
      </c>
      <c r="P18" s="9">
        <f t="shared" si="7"/>
        <v>270.51101639739818</v>
      </c>
      <c r="Q18" s="9">
        <f t="shared" si="7"/>
        <v>250.98012101350602</v>
      </c>
      <c r="R18" s="9">
        <f t="shared" si="7"/>
        <v>232.85935627633089</v>
      </c>
      <c r="S18" s="9">
        <f t="shared" si="7"/>
        <v>216.04691075317982</v>
      </c>
      <c r="T18" s="9">
        <f t="shared" si="7"/>
        <v>200.44832379680022</v>
      </c>
      <c r="U18" s="9">
        <f t="shared" si="7"/>
        <v>185.97595481867125</v>
      </c>
      <c r="V18" s="9">
        <f t="shared" si="7"/>
        <v>172.54849088076318</v>
      </c>
      <c r="W18" s="9">
        <f t="shared" si="7"/>
        <v>160.09048983917211</v>
      </c>
      <c r="X18" s="9">
        <f t="shared" si="7"/>
        <v>148.53195647278386</v>
      </c>
      <c r="Y18" s="9">
        <f t="shared" si="7"/>
        <v>137.80794921544887</v>
      </c>
      <c r="Z18" s="9">
        <f t="shared" si="7"/>
        <v>127.85821528209347</v>
      </c>
      <c r="AA18" s="9">
        <f t="shared" si="7"/>
        <v>118.62685213872632</v>
      </c>
      <c r="AB18" s="9">
        <f t="shared" si="7"/>
        <v>110.06199341431029</v>
      </c>
      <c r="AC18" s="9">
        <f t="shared" si="7"/>
        <v>102.11551748979709</v>
      </c>
      <c r="AD18" s="9"/>
    </row>
    <row r="19" spans="1:30">
      <c r="A19" s="435" t="s">
        <v>198</v>
      </c>
      <c r="B19" s="435"/>
      <c r="D19" s="9"/>
      <c r="E19" s="9"/>
      <c r="F19" s="9">
        <f t="shared" ref="F19:N19" si="8">F16+F17-F18</f>
        <v>-988.95037782379507</v>
      </c>
      <c r="G19" s="9">
        <f t="shared" si="8"/>
        <v>-1318.0113711759823</v>
      </c>
      <c r="H19" s="9">
        <f t="shared" si="8"/>
        <v>-578.77307217707607</v>
      </c>
      <c r="I19" s="9">
        <f t="shared" si="8"/>
        <v>434.68720163410904</v>
      </c>
      <c r="J19" s="9">
        <f t="shared" si="8"/>
        <v>-303.55069832387358</v>
      </c>
      <c r="K19" s="9">
        <f t="shared" si="8"/>
        <v>-416.32134990488964</v>
      </c>
      <c r="L19" s="9">
        <f t="shared" si="8"/>
        <v>-1367.3168784221771</v>
      </c>
      <c r="M19" s="9">
        <f t="shared" si="8"/>
        <v>-1422.6816189113224</v>
      </c>
      <c r="N19" s="9">
        <f t="shared" si="8"/>
        <v>-1483.6945006850742</v>
      </c>
      <c r="O19" s="9">
        <f t="shared" ref="O19:AC19" si="9">O16+O17-O18</f>
        <v>-1500.7236793915158</v>
      </c>
      <c r="P19" s="9">
        <f t="shared" si="9"/>
        <v>-1575.4946137185921</v>
      </c>
      <c r="Q19" s="9">
        <f t="shared" si="9"/>
        <v>-1620.5695149775433</v>
      </c>
      <c r="R19" s="9">
        <f t="shared" si="9"/>
        <v>-1604.6176427831178</v>
      </c>
      <c r="S19" s="9">
        <f t="shared" si="9"/>
        <v>-1741.1395193706408</v>
      </c>
      <c r="T19" s="9">
        <f t="shared" si="9"/>
        <v>-1839.3940074066663</v>
      </c>
      <c r="U19" s="9">
        <f t="shared" si="9"/>
        <v>-1881.4346902843217</v>
      </c>
      <c r="V19" s="9">
        <f t="shared" si="9"/>
        <v>-1898.610967658273</v>
      </c>
      <c r="W19" s="9">
        <f t="shared" si="9"/>
        <v>-2067.8395628782328</v>
      </c>
      <c r="X19" s="9">
        <f t="shared" si="9"/>
        <v>-2070.6876446233041</v>
      </c>
      <c r="Y19" s="9">
        <f t="shared" si="9"/>
        <v>-2237.0415153156905</v>
      </c>
      <c r="Z19" s="9">
        <f t="shared" si="9"/>
        <v>-2400.2013039573076</v>
      </c>
      <c r="AA19" s="9">
        <f t="shared" si="9"/>
        <v>-2290.9284878383296</v>
      </c>
      <c r="AB19" s="9">
        <f t="shared" si="9"/>
        <v>-2015.7251472493006</v>
      </c>
      <c r="AC19" s="9">
        <f t="shared" si="9"/>
        <v>-915.1669736864186</v>
      </c>
      <c r="AD19" s="9"/>
    </row>
    <row r="20" spans="1:30">
      <c r="A20" s="434"/>
      <c r="B20" s="434"/>
    </row>
    <row r="21" spans="1:30">
      <c r="A21" s="434"/>
      <c r="B21" s="434"/>
      <c r="D21" s="443"/>
      <c r="E21" s="444"/>
      <c r="F21" s="443">
        <f t="shared" ref="F21:K21" si="10">IF(F19&lt;0,-F19,0)</f>
        <v>988.95037782379507</v>
      </c>
      <c r="G21" s="443">
        <f t="shared" si="10"/>
        <v>1318.0113711759823</v>
      </c>
      <c r="H21" s="443">
        <f t="shared" si="10"/>
        <v>578.77307217707607</v>
      </c>
      <c r="I21" s="443">
        <f t="shared" si="10"/>
        <v>0</v>
      </c>
      <c r="J21" s="443">
        <f t="shared" si="10"/>
        <v>303.55069832387358</v>
      </c>
      <c r="K21" s="443">
        <f t="shared" si="10"/>
        <v>416.32134990488964</v>
      </c>
      <c r="L21" s="443">
        <f t="shared" ref="L21:AC21" si="11">IF(L19&lt;0,-L19,0)</f>
        <v>1367.3168784221771</v>
      </c>
      <c r="M21" s="443">
        <f t="shared" si="11"/>
        <v>1422.6816189113224</v>
      </c>
      <c r="N21" s="443">
        <f t="shared" si="11"/>
        <v>1483.6945006850742</v>
      </c>
      <c r="O21" s="443">
        <f t="shared" si="11"/>
        <v>1500.7236793915158</v>
      </c>
      <c r="P21" s="443">
        <f t="shared" si="11"/>
        <v>1575.4946137185921</v>
      </c>
      <c r="Q21" s="443">
        <f t="shared" si="11"/>
        <v>1620.5695149775433</v>
      </c>
      <c r="R21" s="443">
        <f t="shared" si="11"/>
        <v>1604.6176427831178</v>
      </c>
      <c r="S21" s="443">
        <f t="shared" si="11"/>
        <v>1741.1395193706408</v>
      </c>
      <c r="T21" s="443">
        <f t="shared" si="11"/>
        <v>1839.3940074066663</v>
      </c>
      <c r="U21" s="443">
        <f t="shared" si="11"/>
        <v>1881.4346902843217</v>
      </c>
      <c r="V21" s="443">
        <f t="shared" si="11"/>
        <v>1898.610967658273</v>
      </c>
      <c r="W21" s="443">
        <f t="shared" si="11"/>
        <v>2067.8395628782328</v>
      </c>
      <c r="X21" s="443">
        <f t="shared" si="11"/>
        <v>2070.6876446233041</v>
      </c>
      <c r="Y21" s="443">
        <f t="shared" si="11"/>
        <v>2237.0415153156905</v>
      </c>
      <c r="Z21" s="443">
        <f t="shared" si="11"/>
        <v>2400.2013039573076</v>
      </c>
      <c r="AA21" s="443">
        <f t="shared" si="11"/>
        <v>2290.9284878383296</v>
      </c>
      <c r="AB21" s="443">
        <f t="shared" si="11"/>
        <v>2015.7251472493006</v>
      </c>
      <c r="AC21" s="443">
        <f t="shared" si="11"/>
        <v>915.1669736864186</v>
      </c>
      <c r="AD21" s="443"/>
    </row>
    <row r="22" spans="1:30">
      <c r="A22" s="434" t="s">
        <v>199</v>
      </c>
      <c r="B22" s="434"/>
      <c r="D22" s="443"/>
      <c r="E22" s="444"/>
      <c r="F22" s="443">
        <f>MAX(0,-F19)+D22</f>
        <v>988.95037782379507</v>
      </c>
      <c r="G22" s="443">
        <f>MAX(0,-G19)+E22</f>
        <v>1318.0113711759823</v>
      </c>
      <c r="H22" s="443">
        <f>MAX(0,-H19)+G22</f>
        <v>1896.7844433530584</v>
      </c>
      <c r="I22" s="443">
        <f>MAX(0,-I19)+H22</f>
        <v>1896.7844433530584</v>
      </c>
      <c r="J22" s="443">
        <f>MAX(0,-J19)+I22</f>
        <v>2200.3351416769319</v>
      </c>
      <c r="K22" s="443">
        <f>MAX(0,-K19)+J22</f>
        <v>2616.6564915818217</v>
      </c>
      <c r="L22" s="443">
        <f t="shared" ref="L22:AC22" si="12">MAX(0,-L19)+K22</f>
        <v>3983.9733700039988</v>
      </c>
      <c r="M22" s="443">
        <f t="shared" si="12"/>
        <v>5406.6549889153212</v>
      </c>
      <c r="N22" s="443">
        <f t="shared" si="12"/>
        <v>6890.3494896003958</v>
      </c>
      <c r="O22" s="443">
        <f t="shared" si="12"/>
        <v>8391.0731689919121</v>
      </c>
      <c r="P22" s="443">
        <f t="shared" si="12"/>
        <v>9966.5677827105046</v>
      </c>
      <c r="Q22" s="443">
        <f t="shared" si="12"/>
        <v>11587.137297688048</v>
      </c>
      <c r="R22" s="443">
        <f t="shared" si="12"/>
        <v>13191.754940471166</v>
      </c>
      <c r="S22" s="443">
        <f t="shared" si="12"/>
        <v>14932.894459841807</v>
      </c>
      <c r="T22" s="443">
        <f t="shared" si="12"/>
        <v>16772.288467248472</v>
      </c>
      <c r="U22" s="443">
        <f t="shared" si="12"/>
        <v>18653.723157532793</v>
      </c>
      <c r="V22" s="443">
        <f t="shared" si="12"/>
        <v>20552.334125191068</v>
      </c>
      <c r="W22" s="443">
        <f t="shared" si="12"/>
        <v>22620.173688069299</v>
      </c>
      <c r="X22" s="443">
        <f t="shared" si="12"/>
        <v>24690.861332692602</v>
      </c>
      <c r="Y22" s="443">
        <f t="shared" si="12"/>
        <v>26927.902848008292</v>
      </c>
      <c r="Z22" s="443">
        <f t="shared" si="12"/>
        <v>29328.104151965599</v>
      </c>
      <c r="AA22" s="443">
        <f t="shared" si="12"/>
        <v>31619.032639803929</v>
      </c>
      <c r="AB22" s="443">
        <f t="shared" si="12"/>
        <v>33634.757787053226</v>
      </c>
      <c r="AC22" s="443">
        <f t="shared" si="12"/>
        <v>34549.924760739646</v>
      </c>
      <c r="AD22" s="443"/>
    </row>
    <row r="23" spans="1:30">
      <c r="A23" s="434" t="s">
        <v>200</v>
      </c>
      <c r="B23" s="434"/>
      <c r="C23" s="434"/>
      <c r="D23" s="434"/>
      <c r="E23" s="434"/>
      <c r="F23" s="445"/>
      <c r="G23" s="445"/>
      <c r="H23" s="445"/>
      <c r="I23" s="445"/>
      <c r="J23" s="445"/>
      <c r="K23" s="445"/>
      <c r="L23" s="452"/>
      <c r="M23" s="452"/>
      <c r="N23" s="443">
        <f>MAX(IF(SUM($C25:M$25)&gt;SUM($C21:D$21),0,SUM($C21:D$21)-SUM($C25:M$25)-SUM($C23:M$23)),0)</f>
        <v>0</v>
      </c>
      <c r="O23" s="443">
        <f>MAX(IF(SUM($C25:N$25)&gt;SUM($C21:G$21),0,SUM($C21:G$21)-SUM($C25:N$25)-SUM($C23:N$23)),0)</f>
        <v>1872.2745473656682</v>
      </c>
      <c r="P23" s="443">
        <f>MAX(IF(SUM($C25:O$25)&gt;SUM($C21:H$21),0,SUM($C21:H$21)-SUM($C25:O$25)-SUM($C23:O$23)),0)</f>
        <v>578.77307217707585</v>
      </c>
      <c r="Q23" s="443">
        <f>MAX(IF(SUM($C25:P$25)&gt;SUM($C21:I$21),0,SUM($C21:I$21)-SUM($C25:P$25)-SUM($C23:P$23)),0)</f>
        <v>0</v>
      </c>
      <c r="R23" s="443">
        <f>MAX(IF(SUM($C25:Q$25)&gt;SUM($C21:J$21),0,SUM($C21:J$21)-SUM($C25:Q$25)-SUM($C23:Q$23)),0)</f>
        <v>303.5506983238738</v>
      </c>
      <c r="S23" s="443">
        <f>MAX(IF(SUM($C25:R$25)&gt;SUM($C21:K$21),0,SUM($C21:K$21)-SUM($C25:R$25)-SUM($C23:R$23)),0)</f>
        <v>416.32134990488976</v>
      </c>
      <c r="T23" s="443">
        <f>MAX(IF(SUM($C25:S$25)&gt;SUM($C21:L$21),0,SUM($C21:L$21)-SUM($C25:S$25)-SUM($C23:S$23)),0)</f>
        <v>1367.3168784221766</v>
      </c>
      <c r="U23" s="443">
        <f>MAX(IF(SUM($C25:T$25)&gt;SUM($C21:M$21),0,SUM($C21:M$21)-SUM($C25:T$25)-SUM($C23:T$23)),0)</f>
        <v>1422.6816189113224</v>
      </c>
      <c r="V23" s="443">
        <f>MAX(IF(SUM($C25:U$25)&gt;SUM($C21:N$21),0,SUM($C21:N$21)-SUM($C25:U$25)-SUM($C23:U$23)),0)</f>
        <v>1483.6945006850738</v>
      </c>
      <c r="W23" s="443">
        <f>MAX(IF(SUM($C25:V$25)&gt;SUM($C21:O$21),0,SUM($C21:O$21)-SUM($C25:V$25)-SUM($C23:V$23)),0)</f>
        <v>1500.7236793915163</v>
      </c>
      <c r="X23" s="443">
        <f>MAX(IF(SUM($C25:W$25)&gt;SUM($C21:P$21),0,SUM($C21:P$21)-SUM($C25:W$25)-SUM($C23:W$23)),0)</f>
        <v>1575.4946137185925</v>
      </c>
      <c r="Y23" s="443">
        <f>MAX(IF(SUM($C25:X$25)&gt;SUM($C21:Q$21),0,SUM($C21:Q$21)-SUM($C25:X$25)-SUM($C23:X$23)),0)</f>
        <v>1620.5695149775438</v>
      </c>
      <c r="Z23" s="443">
        <f>MAX(IF(SUM($C25:Y$25)&gt;SUM($C21:R$21),0,SUM($C21:R$21)-SUM($C25:Y$25)-SUM($C23:Y$23)),0)</f>
        <v>1604.6176427831178</v>
      </c>
      <c r="AA23" s="443">
        <f>MAX(IF(SUM($C25:Z$25)&gt;SUM($C21:S$21),0,SUM($C21:S$21)-SUM($C25:Z$25)-SUM($C23:Z$23)),0)</f>
        <v>1741.1395193706412</v>
      </c>
      <c r="AB23" s="443">
        <f>MAX(IF(SUM($C25:AA$25)&gt;SUM($C21:T$21),0,SUM($C21:T$21)-SUM($C25:AA$25)-SUM($C23:AA$23)),0)</f>
        <v>1839.3940074066686</v>
      </c>
      <c r="AC23" s="443">
        <f>MAX(IF(SUM($C25:AB$25)&gt;SUM($C21:U$21),0,SUM($C21:U$21)-SUM($C25:AB$25)-SUM($C23:AB$23)),0)</f>
        <v>1881.4346902843208</v>
      </c>
      <c r="AD23" s="443"/>
    </row>
    <row r="24" spans="1:30">
      <c r="A24" s="434" t="s">
        <v>201</v>
      </c>
      <c r="B24" s="434"/>
      <c r="D24" s="444"/>
      <c r="E24" s="444"/>
      <c r="F24" s="443">
        <f>MAX(0,F22-SUM($C$25:D25))</f>
        <v>988.95037782379507</v>
      </c>
      <c r="G24" s="443">
        <f>MAX(0,G22-SUM($C$25:E25))</f>
        <v>1318.0113711759823</v>
      </c>
      <c r="H24" s="443">
        <f>MAX(0,H22-SUM($C$25:G25))</f>
        <v>1896.7844433530584</v>
      </c>
      <c r="I24" s="443">
        <f>MAX(0,I22-SUM($C$25:H25))</f>
        <v>1896.7844433530584</v>
      </c>
      <c r="J24" s="443">
        <f>MAX(0,J22-SUM($C$25:I25))</f>
        <v>1765.6479400428229</v>
      </c>
      <c r="K24" s="443">
        <f>MAX(0,K22-SUM($C$25:J25))</f>
        <v>2181.9692899477127</v>
      </c>
      <c r="L24" s="443">
        <f>MAX(0,L22-SUM($C$25:K25))</f>
        <v>3549.2861683698898</v>
      </c>
      <c r="M24" s="443">
        <f>MAX(0,M22-SUM($C$25:L25))</f>
        <v>4971.9677872812117</v>
      </c>
      <c r="N24" s="443">
        <f>MAX(0,N22-SUM($C$25:M25))</f>
        <v>6455.6622879662864</v>
      </c>
      <c r="O24" s="443">
        <f>MAX(0,O22-SUM($C$25:N25))</f>
        <v>7956.3859673578027</v>
      </c>
      <c r="P24" s="443">
        <f>MAX(0,P22-SUM($C$25:O25))</f>
        <v>9531.8805810763952</v>
      </c>
      <c r="Q24" s="443">
        <f>MAX(0,Q22-SUM($C$25:P25))</f>
        <v>11152.450096053939</v>
      </c>
      <c r="R24" s="443">
        <f>MAX(0,R22-SUM($C$25:Q25))</f>
        <v>12757.067738837057</v>
      </c>
      <c r="S24" s="443">
        <f>MAX(0,S22-SUM($C$25:R25))</f>
        <v>14498.207258207698</v>
      </c>
      <c r="T24" s="443">
        <f>MAX(0,T22-SUM($C$25:S25))</f>
        <v>16337.601265614363</v>
      </c>
      <c r="U24" s="443">
        <f>MAX(0,U22-SUM($C$25:T25))</f>
        <v>18219.035955898686</v>
      </c>
      <c r="V24" s="443">
        <f>MAX(0,V22-SUM($C$25:U25))</f>
        <v>20117.64692355696</v>
      </c>
      <c r="W24" s="443">
        <f>MAX(0,W22-SUM($C$25:V25))</f>
        <v>22185.486486435191</v>
      </c>
      <c r="X24" s="443">
        <f>MAX(0,X22-SUM($C$25:W25))</f>
        <v>24256.174131058495</v>
      </c>
      <c r="Y24" s="443">
        <f>MAX(0,Y22-SUM($C$25:X25))</f>
        <v>26493.215646374185</v>
      </c>
      <c r="Z24" s="443">
        <f>MAX(0,Z22-SUM($C$25:Y25))</f>
        <v>28893.416950331492</v>
      </c>
      <c r="AA24" s="443">
        <f>MAX(0,AA22-SUM($C$25:Z25))</f>
        <v>31184.345438169821</v>
      </c>
      <c r="AB24" s="443">
        <f>MAX(0,AB22-SUM($C$25:AA25))</f>
        <v>33200.070585419118</v>
      </c>
      <c r="AC24" s="443">
        <f>MAX(0,AC22-SUM($C$25:AB25))</f>
        <v>34115.237559105539</v>
      </c>
      <c r="AD24" s="443"/>
    </row>
    <row r="25" spans="1:30">
      <c r="A25" s="434" t="s">
        <v>202</v>
      </c>
      <c r="B25" s="434"/>
      <c r="D25" s="446"/>
      <c r="E25" s="446"/>
      <c r="F25" s="447">
        <f t="shared" ref="F25:K25" si="13">MIN(F24,MAX(F19,0))</f>
        <v>0</v>
      </c>
      <c r="G25" s="447">
        <f t="shared" si="13"/>
        <v>0</v>
      </c>
      <c r="H25" s="447">
        <f t="shared" si="13"/>
        <v>0</v>
      </c>
      <c r="I25" s="447">
        <f t="shared" si="13"/>
        <v>434.68720163410904</v>
      </c>
      <c r="J25" s="447">
        <f t="shared" si="13"/>
        <v>0</v>
      </c>
      <c r="K25" s="447">
        <f t="shared" si="13"/>
        <v>0</v>
      </c>
      <c r="L25" s="447">
        <f t="shared" ref="L25:AC25" si="14">MIN(L24,MAX(L19,0))</f>
        <v>0</v>
      </c>
      <c r="M25" s="447">
        <f t="shared" si="14"/>
        <v>0</v>
      </c>
      <c r="N25" s="447">
        <f t="shared" si="14"/>
        <v>0</v>
      </c>
      <c r="O25" s="447">
        <f t="shared" si="14"/>
        <v>0</v>
      </c>
      <c r="P25" s="447">
        <f t="shared" si="14"/>
        <v>0</v>
      </c>
      <c r="Q25" s="447">
        <f t="shared" si="14"/>
        <v>0</v>
      </c>
      <c r="R25" s="447">
        <f t="shared" si="14"/>
        <v>0</v>
      </c>
      <c r="S25" s="447">
        <f t="shared" si="14"/>
        <v>0</v>
      </c>
      <c r="T25" s="447">
        <f t="shared" si="14"/>
        <v>0</v>
      </c>
      <c r="U25" s="447">
        <f t="shared" si="14"/>
        <v>0</v>
      </c>
      <c r="V25" s="447">
        <f t="shared" si="14"/>
        <v>0</v>
      </c>
      <c r="W25" s="447">
        <f t="shared" si="14"/>
        <v>0</v>
      </c>
      <c r="X25" s="447">
        <f t="shared" si="14"/>
        <v>0</v>
      </c>
      <c r="Y25" s="447">
        <f t="shared" si="14"/>
        <v>0</v>
      </c>
      <c r="Z25" s="447">
        <f t="shared" si="14"/>
        <v>0</v>
      </c>
      <c r="AA25" s="447">
        <f t="shared" si="14"/>
        <v>0</v>
      </c>
      <c r="AB25" s="447">
        <f t="shared" si="14"/>
        <v>0</v>
      </c>
      <c r="AC25" s="447">
        <f t="shared" si="14"/>
        <v>0</v>
      </c>
      <c r="AD25" s="447"/>
    </row>
    <row r="26" spans="1:30">
      <c r="A26" s="435" t="s">
        <v>203</v>
      </c>
      <c r="B26" s="435"/>
      <c r="D26" s="448"/>
      <c r="E26" s="448"/>
      <c r="F26" s="448">
        <f t="shared" ref="F26:K26" si="15">F19-F25</f>
        <v>-988.95037782379507</v>
      </c>
      <c r="G26" s="448">
        <f t="shared" si="15"/>
        <v>-1318.0113711759823</v>
      </c>
      <c r="H26" s="448">
        <f t="shared" si="15"/>
        <v>-578.77307217707607</v>
      </c>
      <c r="I26" s="448">
        <f t="shared" si="15"/>
        <v>0</v>
      </c>
      <c r="J26" s="448">
        <f t="shared" si="15"/>
        <v>-303.55069832387358</v>
      </c>
      <c r="K26" s="448">
        <f t="shared" si="15"/>
        <v>-416.32134990488964</v>
      </c>
      <c r="L26" s="448">
        <f t="shared" ref="L26:AC26" si="16">L19-L25</f>
        <v>-1367.3168784221771</v>
      </c>
      <c r="M26" s="448">
        <f t="shared" si="16"/>
        <v>-1422.6816189113224</v>
      </c>
      <c r="N26" s="448">
        <f t="shared" si="16"/>
        <v>-1483.6945006850742</v>
      </c>
      <c r="O26" s="448">
        <f t="shared" si="16"/>
        <v>-1500.7236793915158</v>
      </c>
      <c r="P26" s="448">
        <f t="shared" si="16"/>
        <v>-1575.4946137185921</v>
      </c>
      <c r="Q26" s="448">
        <f t="shared" si="16"/>
        <v>-1620.5695149775433</v>
      </c>
      <c r="R26" s="448">
        <f t="shared" si="16"/>
        <v>-1604.6176427831178</v>
      </c>
      <c r="S26" s="448">
        <f t="shared" si="16"/>
        <v>-1741.1395193706408</v>
      </c>
      <c r="T26" s="448">
        <f t="shared" si="16"/>
        <v>-1839.3940074066663</v>
      </c>
      <c r="U26" s="448">
        <f t="shared" si="16"/>
        <v>-1881.4346902843217</v>
      </c>
      <c r="V26" s="448">
        <f t="shared" si="16"/>
        <v>-1898.610967658273</v>
      </c>
      <c r="W26" s="448">
        <f t="shared" si="16"/>
        <v>-2067.8395628782328</v>
      </c>
      <c r="X26" s="448">
        <f t="shared" si="16"/>
        <v>-2070.6876446233041</v>
      </c>
      <c r="Y26" s="448">
        <f t="shared" si="16"/>
        <v>-2237.0415153156905</v>
      </c>
      <c r="Z26" s="448">
        <f t="shared" si="16"/>
        <v>-2400.2013039573076</v>
      </c>
      <c r="AA26" s="448">
        <f t="shared" si="16"/>
        <v>-2290.9284878383296</v>
      </c>
      <c r="AB26" s="448">
        <f t="shared" si="16"/>
        <v>-2015.7251472493006</v>
      </c>
      <c r="AC26" s="448">
        <f t="shared" si="16"/>
        <v>-915.1669736864186</v>
      </c>
      <c r="AD26" s="448"/>
    </row>
    <row r="27" spans="1:30">
      <c r="A27" s="449"/>
      <c r="B27" s="449"/>
      <c r="D27" s="434"/>
    </row>
    <row r="28" spans="1:30">
      <c r="A28" s="449" t="s">
        <v>204</v>
      </c>
      <c r="B28" s="449"/>
      <c r="D28" s="446"/>
    </row>
    <row r="29" spans="1:30">
      <c r="A29" s="434" t="s">
        <v>205</v>
      </c>
      <c r="B29" s="434"/>
      <c r="D29" s="446"/>
      <c r="E29" s="446"/>
      <c r="F29" s="446">
        <f>D32</f>
        <v>0</v>
      </c>
      <c r="G29" s="446">
        <f>E32</f>
        <v>0</v>
      </c>
      <c r="H29" s="446">
        <f t="shared" ref="H29:AC29" si="17">G32</f>
        <v>-988.58000000000015</v>
      </c>
      <c r="I29" s="446">
        <f t="shared" si="17"/>
        <v>-1275.48</v>
      </c>
      <c r="J29" s="446">
        <f t="shared" si="17"/>
        <v>-1275.48</v>
      </c>
      <c r="K29" s="446">
        <f t="shared" si="17"/>
        <v>-1354.6899999999998</v>
      </c>
      <c r="L29" s="446">
        <f t="shared" si="17"/>
        <v>-1579.0299999999993</v>
      </c>
      <c r="M29" s="446">
        <f t="shared" si="17"/>
        <v>-2875.0540900626111</v>
      </c>
      <c r="N29" s="446">
        <f t="shared" si="17"/>
        <v>-4251.9977988036717</v>
      </c>
      <c r="O29" s="446">
        <f t="shared" si="17"/>
        <v>-5714.408904048777</v>
      </c>
      <c r="P29" s="446">
        <f t="shared" si="17"/>
        <v>-7216.5380867670892</v>
      </c>
      <c r="Q29" s="446">
        <f t="shared" si="17"/>
        <v>-8815.2916141704754</v>
      </c>
      <c r="R29" s="446">
        <f t="shared" si="17"/>
        <v>-10477.848288134513</v>
      </c>
      <c r="S29" s="446">
        <f t="shared" si="17"/>
        <v>-12142.573854641301</v>
      </c>
      <c r="T29" s="446">
        <f t="shared" si="17"/>
        <v>-13960.633743258762</v>
      </c>
      <c r="U29" s="446">
        <f t="shared" si="17"/>
        <v>-15893.349356950821</v>
      </c>
      <c r="V29" s="446">
        <f t="shared" si="17"/>
        <v>-17881.775372416472</v>
      </c>
      <c r="W29" s="446">
        <f t="shared" si="17"/>
        <v>-19900.805129193981</v>
      </c>
      <c r="X29" s="446">
        <f t="shared" si="17"/>
        <v>-22101.521482233042</v>
      </c>
      <c r="Y29" s="446">
        <f t="shared" si="17"/>
        <v>-24317.447100465753</v>
      </c>
      <c r="Z29" s="446">
        <f t="shared" si="17"/>
        <v>-26709.647946565994</v>
      </c>
      <c r="AA29" s="446">
        <f t="shared" si="17"/>
        <v>-29274.958315241209</v>
      </c>
      <c r="AB29" s="446">
        <f t="shared" si="17"/>
        <v>-31740.227230940811</v>
      </c>
      <c r="AC29" s="446">
        <f t="shared" si="17"/>
        <v>-33939.660314857996</v>
      </c>
      <c r="AD29" s="446"/>
    </row>
    <row r="30" spans="1:30">
      <c r="A30" s="434" t="s">
        <v>206</v>
      </c>
      <c r="B30" s="434"/>
      <c r="D30" s="446"/>
      <c r="E30" s="446"/>
      <c r="F30" s="446">
        <f>IF(F16&lt;0,F16,0)</f>
        <v>-655.19999999999982</v>
      </c>
      <c r="G30" s="446">
        <f>IF(G16&lt;0,G16,0)</f>
        <v>-988.58000000000015</v>
      </c>
      <c r="H30" s="446">
        <f t="shared" ref="H30:AC30" si="18">IF(H16&lt;0,H16,0)</f>
        <v>-286.89999999999998</v>
      </c>
      <c r="I30" s="446">
        <f t="shared" si="18"/>
        <v>0</v>
      </c>
      <c r="J30" s="446">
        <f t="shared" si="18"/>
        <v>-79.209999999999781</v>
      </c>
      <c r="K30" s="446">
        <f t="shared" si="18"/>
        <v>-224.33999999999955</v>
      </c>
      <c r="L30" s="446">
        <f t="shared" si="18"/>
        <v>-1296.0240900626118</v>
      </c>
      <c r="M30" s="446">
        <f t="shared" si="18"/>
        <v>-1376.9437087410604</v>
      </c>
      <c r="N30" s="446">
        <f t="shared" si="18"/>
        <v>-1462.4111052451051</v>
      </c>
      <c r="O30" s="446">
        <f t="shared" si="18"/>
        <v>-1502.1291827183124</v>
      </c>
      <c r="P30" s="446">
        <f t="shared" si="18"/>
        <v>-1598.7535274033858</v>
      </c>
      <c r="Q30" s="446">
        <f t="shared" si="18"/>
        <v>-1662.5566739640374</v>
      </c>
      <c r="R30" s="446">
        <f t="shared" si="18"/>
        <v>-1664.7255665067871</v>
      </c>
      <c r="S30" s="446">
        <f t="shared" si="18"/>
        <v>-1818.059888617461</v>
      </c>
      <c r="T30" s="446">
        <f t="shared" si="18"/>
        <v>-1932.715613692058</v>
      </c>
      <c r="U30" s="446">
        <f t="shared" si="18"/>
        <v>-1988.4260154656506</v>
      </c>
      <c r="V30" s="446">
        <f t="shared" si="18"/>
        <v>-2019.0297567775099</v>
      </c>
      <c r="W30" s="446">
        <f t="shared" si="18"/>
        <v>-2200.7163530390608</v>
      </c>
      <c r="X30" s="446">
        <f t="shared" si="18"/>
        <v>-2215.9256182327122</v>
      </c>
      <c r="Y30" s="446">
        <f t="shared" si="18"/>
        <v>-2392.2008461002415</v>
      </c>
      <c r="Z30" s="446">
        <f t="shared" si="18"/>
        <v>-2565.3103686752138</v>
      </c>
      <c r="AA30" s="446">
        <f t="shared" si="18"/>
        <v>-2465.268915699603</v>
      </c>
      <c r="AB30" s="446">
        <f t="shared" si="18"/>
        <v>-2199.4330839171821</v>
      </c>
      <c r="AC30" s="446">
        <f t="shared" si="18"/>
        <v>-1106.0187361966216</v>
      </c>
      <c r="AD30" s="446"/>
    </row>
    <row r="31" spans="1:30">
      <c r="A31" s="434" t="s">
        <v>207</v>
      </c>
      <c r="B31" s="434"/>
      <c r="D31" s="446"/>
      <c r="E31" s="446"/>
      <c r="F31" s="446">
        <f>+IF(F26&gt;0,-MIN(-F29,F26),0)</f>
        <v>0</v>
      </c>
      <c r="G31" s="446">
        <f>+IF(G26&gt;0,-MIN(-G29,G26),0)</f>
        <v>0</v>
      </c>
      <c r="H31" s="446">
        <f t="shared" ref="H31:AC31" si="19">+IF(H26&gt;0,-MIN(-H29,H26),0)</f>
        <v>0</v>
      </c>
      <c r="I31" s="446">
        <f t="shared" si="19"/>
        <v>0</v>
      </c>
      <c r="J31" s="446">
        <f t="shared" si="19"/>
        <v>0</v>
      </c>
      <c r="K31" s="446">
        <f t="shared" si="19"/>
        <v>0</v>
      </c>
      <c r="L31" s="446">
        <f t="shared" si="19"/>
        <v>0</v>
      </c>
      <c r="M31" s="446">
        <f t="shared" si="19"/>
        <v>0</v>
      </c>
      <c r="N31" s="446">
        <f t="shared" si="19"/>
        <v>0</v>
      </c>
      <c r="O31" s="446">
        <f t="shared" si="19"/>
        <v>0</v>
      </c>
      <c r="P31" s="446">
        <f t="shared" si="19"/>
        <v>0</v>
      </c>
      <c r="Q31" s="446">
        <f t="shared" si="19"/>
        <v>0</v>
      </c>
      <c r="R31" s="446">
        <f t="shared" si="19"/>
        <v>0</v>
      </c>
      <c r="S31" s="446">
        <f t="shared" si="19"/>
        <v>0</v>
      </c>
      <c r="T31" s="446">
        <f t="shared" si="19"/>
        <v>0</v>
      </c>
      <c r="U31" s="446">
        <f t="shared" si="19"/>
        <v>0</v>
      </c>
      <c r="V31" s="446">
        <f t="shared" si="19"/>
        <v>0</v>
      </c>
      <c r="W31" s="446">
        <f t="shared" si="19"/>
        <v>0</v>
      </c>
      <c r="X31" s="446">
        <f t="shared" si="19"/>
        <v>0</v>
      </c>
      <c r="Y31" s="446">
        <f t="shared" si="19"/>
        <v>0</v>
      </c>
      <c r="Z31" s="446">
        <f t="shared" si="19"/>
        <v>0</v>
      </c>
      <c r="AA31" s="446">
        <f t="shared" si="19"/>
        <v>0</v>
      </c>
      <c r="AB31" s="446">
        <f t="shared" si="19"/>
        <v>0</v>
      </c>
      <c r="AC31" s="446">
        <f t="shared" si="19"/>
        <v>0</v>
      </c>
      <c r="AD31" s="446"/>
    </row>
    <row r="32" spans="1:30">
      <c r="A32" s="434" t="s">
        <v>208</v>
      </c>
      <c r="B32" s="434"/>
      <c r="D32" s="446"/>
      <c r="E32" s="446"/>
      <c r="F32" s="446">
        <f>F29+F30-F31</f>
        <v>-655.19999999999982</v>
      </c>
      <c r="G32" s="446">
        <f>G29+G30-G31</f>
        <v>-988.58000000000015</v>
      </c>
      <c r="H32" s="446">
        <f t="shared" ref="H32:AC32" si="20">H29+H30-H31</f>
        <v>-1275.48</v>
      </c>
      <c r="I32" s="446">
        <f t="shared" si="20"/>
        <v>-1275.48</v>
      </c>
      <c r="J32" s="446">
        <f t="shared" si="20"/>
        <v>-1354.6899999999998</v>
      </c>
      <c r="K32" s="446">
        <f t="shared" si="20"/>
        <v>-1579.0299999999993</v>
      </c>
      <c r="L32" s="446">
        <f t="shared" si="20"/>
        <v>-2875.0540900626111</v>
      </c>
      <c r="M32" s="446">
        <f t="shared" si="20"/>
        <v>-4251.9977988036717</v>
      </c>
      <c r="N32" s="446">
        <f t="shared" si="20"/>
        <v>-5714.408904048777</v>
      </c>
      <c r="O32" s="446">
        <f t="shared" si="20"/>
        <v>-7216.5380867670892</v>
      </c>
      <c r="P32" s="446">
        <f t="shared" si="20"/>
        <v>-8815.2916141704754</v>
      </c>
      <c r="Q32" s="446">
        <f t="shared" si="20"/>
        <v>-10477.848288134513</v>
      </c>
      <c r="R32" s="446">
        <f t="shared" si="20"/>
        <v>-12142.573854641301</v>
      </c>
      <c r="S32" s="446">
        <f t="shared" si="20"/>
        <v>-13960.633743258762</v>
      </c>
      <c r="T32" s="446">
        <f t="shared" si="20"/>
        <v>-15893.349356950821</v>
      </c>
      <c r="U32" s="446">
        <f t="shared" si="20"/>
        <v>-17881.775372416472</v>
      </c>
      <c r="V32" s="446">
        <f t="shared" si="20"/>
        <v>-19900.805129193981</v>
      </c>
      <c r="W32" s="446">
        <f t="shared" si="20"/>
        <v>-22101.521482233042</v>
      </c>
      <c r="X32" s="446">
        <f t="shared" si="20"/>
        <v>-24317.447100465753</v>
      </c>
      <c r="Y32" s="446">
        <f t="shared" si="20"/>
        <v>-26709.647946565994</v>
      </c>
      <c r="Z32" s="446">
        <f t="shared" si="20"/>
        <v>-29274.958315241209</v>
      </c>
      <c r="AA32" s="446">
        <f t="shared" si="20"/>
        <v>-31740.227230940811</v>
      </c>
      <c r="AB32" s="446">
        <f t="shared" si="20"/>
        <v>-33939.660314857996</v>
      </c>
      <c r="AC32" s="446">
        <f t="shared" si="20"/>
        <v>-35045.67905105462</v>
      </c>
      <c r="AD32" s="446"/>
    </row>
    <row r="33" spans="1:30">
      <c r="A33" s="435" t="s">
        <v>209</v>
      </c>
      <c r="B33" s="435"/>
      <c r="D33" s="448"/>
      <c r="E33" s="448"/>
      <c r="F33" s="448">
        <f>F26+F31</f>
        <v>-988.95037782379507</v>
      </c>
      <c r="G33" s="448">
        <f>G26+G31</f>
        <v>-1318.0113711759823</v>
      </c>
      <c r="H33" s="448">
        <f t="shared" ref="H33:AC33" si="21">H26+H31</f>
        <v>-578.77307217707607</v>
      </c>
      <c r="I33" s="448">
        <f t="shared" si="21"/>
        <v>0</v>
      </c>
      <c r="J33" s="448">
        <f t="shared" si="21"/>
        <v>-303.55069832387358</v>
      </c>
      <c r="K33" s="448">
        <f t="shared" si="21"/>
        <v>-416.32134990488964</v>
      </c>
      <c r="L33" s="448">
        <f t="shared" si="21"/>
        <v>-1367.3168784221771</v>
      </c>
      <c r="M33" s="448">
        <f t="shared" si="21"/>
        <v>-1422.6816189113224</v>
      </c>
      <c r="N33" s="448">
        <f t="shared" si="21"/>
        <v>-1483.6945006850742</v>
      </c>
      <c r="O33" s="448">
        <f t="shared" si="21"/>
        <v>-1500.7236793915158</v>
      </c>
      <c r="P33" s="448">
        <f t="shared" si="21"/>
        <v>-1575.4946137185921</v>
      </c>
      <c r="Q33" s="448">
        <f t="shared" si="21"/>
        <v>-1620.5695149775433</v>
      </c>
      <c r="R33" s="448">
        <f t="shared" si="21"/>
        <v>-1604.6176427831178</v>
      </c>
      <c r="S33" s="448">
        <f t="shared" si="21"/>
        <v>-1741.1395193706408</v>
      </c>
      <c r="T33" s="448">
        <f t="shared" si="21"/>
        <v>-1839.3940074066663</v>
      </c>
      <c r="U33" s="448">
        <f t="shared" si="21"/>
        <v>-1881.4346902843217</v>
      </c>
      <c r="V33" s="448">
        <f t="shared" si="21"/>
        <v>-1898.610967658273</v>
      </c>
      <c r="W33" s="448">
        <f t="shared" si="21"/>
        <v>-2067.8395628782328</v>
      </c>
      <c r="X33" s="448">
        <f t="shared" si="21"/>
        <v>-2070.6876446233041</v>
      </c>
      <c r="Y33" s="448">
        <f t="shared" si="21"/>
        <v>-2237.0415153156905</v>
      </c>
      <c r="Z33" s="448">
        <f t="shared" si="21"/>
        <v>-2400.2013039573076</v>
      </c>
      <c r="AA33" s="448">
        <f t="shared" si="21"/>
        <v>-2290.9284878383296</v>
      </c>
      <c r="AB33" s="448">
        <f t="shared" si="21"/>
        <v>-2015.7251472493006</v>
      </c>
      <c r="AC33" s="448">
        <f t="shared" si="21"/>
        <v>-915.1669736864186</v>
      </c>
      <c r="AD33" s="448"/>
    </row>
    <row r="34" spans="1:30">
      <c r="A34" s="449"/>
      <c r="B34" s="449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N34" s="434"/>
      <c r="O34" s="434"/>
      <c r="P34" s="434"/>
      <c r="Q34" s="434"/>
      <c r="R34" s="434"/>
      <c r="S34" s="434"/>
      <c r="T34" s="434"/>
      <c r="U34" s="434"/>
      <c r="V34" s="434"/>
      <c r="W34" s="434"/>
      <c r="X34" s="434"/>
      <c r="Y34" s="434"/>
      <c r="Z34" s="434"/>
      <c r="AA34" s="434"/>
      <c r="AB34" s="434"/>
      <c r="AC34" s="434"/>
      <c r="AD34" s="434"/>
    </row>
    <row r="35" spans="1:30">
      <c r="A35" s="434" t="s">
        <v>210</v>
      </c>
      <c r="B35" s="450">
        <f>Assum!B75</f>
        <v>0.21341600000000002</v>
      </c>
      <c r="D35" s="446"/>
      <c r="E35" s="446"/>
      <c r="F35" s="446">
        <f>MAX(0,$B35*F16)</f>
        <v>0</v>
      </c>
      <c r="G35" s="446">
        <f>MAX(0,$B35*G16)</f>
        <v>0</v>
      </c>
      <c r="H35" s="446">
        <f t="shared" ref="H35:AC35" si="22">MAX(0,$B35*H16)</f>
        <v>0</v>
      </c>
      <c r="I35" s="446">
        <f t="shared" si="22"/>
        <v>147.57289568000007</v>
      </c>
      <c r="J35" s="446">
        <f t="shared" si="22"/>
        <v>0</v>
      </c>
      <c r="K35" s="446">
        <f t="shared" si="22"/>
        <v>0</v>
      </c>
      <c r="L35" s="446">
        <f t="shared" si="22"/>
        <v>0</v>
      </c>
      <c r="M35" s="446">
        <f t="shared" si="22"/>
        <v>0</v>
      </c>
      <c r="N35" s="446">
        <f t="shared" si="22"/>
        <v>0</v>
      </c>
      <c r="O35" s="446">
        <f t="shared" si="22"/>
        <v>0</v>
      </c>
      <c r="P35" s="446">
        <f t="shared" si="22"/>
        <v>0</v>
      </c>
      <c r="Q35" s="446">
        <f t="shared" si="22"/>
        <v>0</v>
      </c>
      <c r="R35" s="446">
        <f t="shared" si="22"/>
        <v>0</v>
      </c>
      <c r="S35" s="446">
        <f t="shared" si="22"/>
        <v>0</v>
      </c>
      <c r="T35" s="446">
        <f t="shared" si="22"/>
        <v>0</v>
      </c>
      <c r="U35" s="446">
        <f t="shared" si="22"/>
        <v>0</v>
      </c>
      <c r="V35" s="446">
        <f t="shared" si="22"/>
        <v>0</v>
      </c>
      <c r="W35" s="446">
        <f t="shared" si="22"/>
        <v>0</v>
      </c>
      <c r="X35" s="446">
        <f t="shared" si="22"/>
        <v>0</v>
      </c>
      <c r="Y35" s="446">
        <f t="shared" si="22"/>
        <v>0</v>
      </c>
      <c r="Z35" s="446">
        <f t="shared" si="22"/>
        <v>0</v>
      </c>
      <c r="AA35" s="446">
        <f t="shared" si="22"/>
        <v>0</v>
      </c>
      <c r="AB35" s="446">
        <f t="shared" si="22"/>
        <v>0</v>
      </c>
      <c r="AC35" s="446">
        <f t="shared" si="22"/>
        <v>0</v>
      </c>
      <c r="AD35" s="446"/>
    </row>
    <row r="36" spans="1:30">
      <c r="A36" s="434" t="s">
        <v>211</v>
      </c>
      <c r="B36" s="451">
        <f>Assum!B76</f>
        <v>0.34939999999999999</v>
      </c>
      <c r="D36" s="446"/>
      <c r="E36" s="446"/>
      <c r="F36" s="446">
        <f>IF(F15=1,0,MAX(0,$B36*F33))</f>
        <v>0</v>
      </c>
      <c r="G36" s="446">
        <f>IF(G15=1,0,MAX(0,$B36*G33))</f>
        <v>0</v>
      </c>
      <c r="H36" s="446">
        <f t="shared" ref="H36:AC36" si="23">IF(H15=1,0,MAX(0,$B36*H33))</f>
        <v>0</v>
      </c>
      <c r="I36" s="446">
        <f t="shared" si="23"/>
        <v>0</v>
      </c>
      <c r="J36" s="446">
        <f t="shared" si="23"/>
        <v>0</v>
      </c>
      <c r="K36" s="446">
        <f t="shared" si="23"/>
        <v>0</v>
      </c>
      <c r="L36" s="446">
        <f t="shared" si="23"/>
        <v>0</v>
      </c>
      <c r="M36" s="446">
        <f t="shared" si="23"/>
        <v>0</v>
      </c>
      <c r="N36" s="446">
        <f t="shared" si="23"/>
        <v>0</v>
      </c>
      <c r="O36" s="446">
        <f t="shared" si="23"/>
        <v>0</v>
      </c>
      <c r="P36" s="446">
        <f t="shared" si="23"/>
        <v>0</v>
      </c>
      <c r="Q36" s="446">
        <f t="shared" si="23"/>
        <v>0</v>
      </c>
      <c r="R36" s="446">
        <f t="shared" si="23"/>
        <v>0</v>
      </c>
      <c r="S36" s="446">
        <f t="shared" si="23"/>
        <v>0</v>
      </c>
      <c r="T36" s="446">
        <f t="shared" si="23"/>
        <v>0</v>
      </c>
      <c r="U36" s="446">
        <f t="shared" si="23"/>
        <v>0</v>
      </c>
      <c r="V36" s="446">
        <f t="shared" si="23"/>
        <v>0</v>
      </c>
      <c r="W36" s="446">
        <f t="shared" si="23"/>
        <v>0</v>
      </c>
      <c r="X36" s="446">
        <f t="shared" si="23"/>
        <v>0</v>
      </c>
      <c r="Y36" s="446">
        <f t="shared" si="23"/>
        <v>0</v>
      </c>
      <c r="Z36" s="446">
        <f t="shared" si="23"/>
        <v>0</v>
      </c>
      <c r="AA36" s="446">
        <f t="shared" si="23"/>
        <v>0</v>
      </c>
      <c r="AB36" s="446">
        <f t="shared" si="23"/>
        <v>0</v>
      </c>
      <c r="AC36" s="446">
        <f t="shared" si="23"/>
        <v>0</v>
      </c>
      <c r="AD36" s="446"/>
    </row>
    <row r="37" spans="1:30">
      <c r="A37" s="449" t="s">
        <v>212</v>
      </c>
      <c r="B37" s="449"/>
      <c r="D37" s="446"/>
      <c r="E37" s="446"/>
      <c r="F37" s="446">
        <f>MAX(F35,F36)</f>
        <v>0</v>
      </c>
      <c r="G37" s="446">
        <f>MAX(G35,G36)</f>
        <v>0</v>
      </c>
      <c r="H37" s="446">
        <f t="shared" ref="H37:AC37" si="24">MAX(H35,H36)</f>
        <v>0</v>
      </c>
      <c r="I37" s="446">
        <f t="shared" si="24"/>
        <v>147.57289568000007</v>
      </c>
      <c r="J37" s="446">
        <f t="shared" si="24"/>
        <v>0</v>
      </c>
      <c r="K37" s="446">
        <f t="shared" si="24"/>
        <v>0</v>
      </c>
      <c r="L37" s="446">
        <f t="shared" si="24"/>
        <v>0</v>
      </c>
      <c r="M37" s="446">
        <f t="shared" si="24"/>
        <v>0</v>
      </c>
      <c r="N37" s="446">
        <f t="shared" si="24"/>
        <v>0</v>
      </c>
      <c r="O37" s="446">
        <f t="shared" si="24"/>
        <v>0</v>
      </c>
      <c r="P37" s="446">
        <f t="shared" si="24"/>
        <v>0</v>
      </c>
      <c r="Q37" s="446">
        <f t="shared" si="24"/>
        <v>0</v>
      </c>
      <c r="R37" s="446">
        <f t="shared" si="24"/>
        <v>0</v>
      </c>
      <c r="S37" s="446">
        <f t="shared" si="24"/>
        <v>0</v>
      </c>
      <c r="T37" s="446">
        <f t="shared" si="24"/>
        <v>0</v>
      </c>
      <c r="U37" s="446">
        <f t="shared" si="24"/>
        <v>0</v>
      </c>
      <c r="V37" s="446">
        <f t="shared" si="24"/>
        <v>0</v>
      </c>
      <c r="W37" s="446">
        <f t="shared" si="24"/>
        <v>0</v>
      </c>
      <c r="X37" s="446">
        <f t="shared" si="24"/>
        <v>0</v>
      </c>
      <c r="Y37" s="446">
        <f t="shared" si="24"/>
        <v>0</v>
      </c>
      <c r="Z37" s="446">
        <f t="shared" si="24"/>
        <v>0</v>
      </c>
      <c r="AA37" s="446">
        <f t="shared" si="24"/>
        <v>0</v>
      </c>
      <c r="AB37" s="446">
        <f t="shared" si="24"/>
        <v>0</v>
      </c>
      <c r="AC37" s="446">
        <f t="shared" si="24"/>
        <v>0</v>
      </c>
      <c r="AD37" s="446"/>
    </row>
    <row r="38" spans="1:30">
      <c r="A38" s="434"/>
      <c r="B38" s="434"/>
      <c r="D38" s="434"/>
      <c r="E38" s="434"/>
      <c r="F38" s="434"/>
      <c r="G38" s="434"/>
      <c r="H38" s="434"/>
      <c r="I38" s="434"/>
      <c r="J38" s="434"/>
      <c r="K38" s="434"/>
      <c r="L38" s="434"/>
      <c r="M38" s="434"/>
      <c r="N38" s="434"/>
      <c r="O38" s="434"/>
      <c r="P38" s="434"/>
      <c r="Q38" s="434"/>
      <c r="R38" s="434"/>
      <c r="S38" s="434"/>
      <c r="T38" s="434"/>
      <c r="U38" s="434"/>
      <c r="V38" s="434"/>
      <c r="W38" s="434"/>
      <c r="X38" s="434"/>
      <c r="Y38" s="434"/>
      <c r="Z38" s="434"/>
      <c r="AA38" s="434"/>
      <c r="AB38" s="434"/>
      <c r="AC38" s="434"/>
      <c r="AD38" s="434"/>
    </row>
    <row r="39" spans="1:30">
      <c r="A39" s="434" t="s">
        <v>213</v>
      </c>
      <c r="B39" s="434"/>
      <c r="D39" s="446"/>
      <c r="E39" s="446"/>
      <c r="F39" s="446">
        <f>F37-F36</f>
        <v>0</v>
      </c>
      <c r="G39" s="446">
        <f>G37-G36</f>
        <v>0</v>
      </c>
      <c r="H39" s="446">
        <f t="shared" ref="H39:AC39" si="25">H37-H36</f>
        <v>0</v>
      </c>
      <c r="I39" s="446">
        <f t="shared" si="25"/>
        <v>147.57289568000007</v>
      </c>
      <c r="J39" s="446">
        <f t="shared" si="25"/>
        <v>0</v>
      </c>
      <c r="K39" s="446">
        <f t="shared" si="25"/>
        <v>0</v>
      </c>
      <c r="L39" s="446">
        <f t="shared" si="25"/>
        <v>0</v>
      </c>
      <c r="M39" s="446">
        <f t="shared" si="25"/>
        <v>0</v>
      </c>
      <c r="N39" s="446">
        <f t="shared" si="25"/>
        <v>0</v>
      </c>
      <c r="O39" s="446">
        <f t="shared" si="25"/>
        <v>0</v>
      </c>
      <c r="P39" s="446">
        <f t="shared" si="25"/>
        <v>0</v>
      </c>
      <c r="Q39" s="446">
        <f t="shared" si="25"/>
        <v>0</v>
      </c>
      <c r="R39" s="446">
        <f t="shared" si="25"/>
        <v>0</v>
      </c>
      <c r="S39" s="446">
        <f t="shared" si="25"/>
        <v>0</v>
      </c>
      <c r="T39" s="446">
        <f t="shared" si="25"/>
        <v>0</v>
      </c>
      <c r="U39" s="446">
        <f t="shared" si="25"/>
        <v>0</v>
      </c>
      <c r="V39" s="446">
        <f t="shared" si="25"/>
        <v>0</v>
      </c>
      <c r="W39" s="446">
        <f t="shared" si="25"/>
        <v>0</v>
      </c>
      <c r="X39" s="446">
        <f t="shared" si="25"/>
        <v>0</v>
      </c>
      <c r="Y39" s="446">
        <f t="shared" si="25"/>
        <v>0</v>
      </c>
      <c r="Z39" s="446">
        <f t="shared" si="25"/>
        <v>0</v>
      </c>
      <c r="AA39" s="446">
        <f t="shared" si="25"/>
        <v>0</v>
      </c>
      <c r="AB39" s="446">
        <f t="shared" si="25"/>
        <v>0</v>
      </c>
      <c r="AC39" s="446">
        <f t="shared" si="25"/>
        <v>0</v>
      </c>
      <c r="AD39" s="446"/>
    </row>
    <row r="40" spans="1:30">
      <c r="A40" s="434" t="s">
        <v>214</v>
      </c>
      <c r="B40" s="434"/>
      <c r="D40" s="434"/>
      <c r="E40" s="434"/>
      <c r="F40" s="445"/>
      <c r="G40" s="445"/>
      <c r="H40" s="445"/>
      <c r="I40" s="445"/>
      <c r="J40" s="445"/>
      <c r="K40" s="445"/>
      <c r="L40" s="445"/>
      <c r="M40" s="445"/>
      <c r="N40" s="445"/>
      <c r="O40" s="445"/>
      <c r="P40" s="445"/>
      <c r="Q40" s="445"/>
      <c r="R40" s="445"/>
      <c r="S40" s="445"/>
      <c r="T40" s="445"/>
      <c r="U40" s="443">
        <f>MAX(IF(SUM($D43:T43)&gt;=SUM($D39:D39),0,SUM($D39:D39)-SUM($D40:T40)-SUM($D43:T43)),0)</f>
        <v>0</v>
      </c>
      <c r="V40" s="443">
        <f>MAX(IF(SUM($D43:U43)&gt;=SUM($D39:G39),0,SUM($D39:G39)-SUM($D40:U40)-SUM($D43:U43)),0)</f>
        <v>0</v>
      </c>
      <c r="W40" s="443">
        <f>MAX(IF(SUM($D43:V43)&gt;=SUM($D39:H39),0,SUM($D39:H39)-SUM($D40:V40)-SUM($D43:V43)),0)</f>
        <v>0</v>
      </c>
      <c r="X40" s="443">
        <f>MAX(IF(SUM($D43:W43)&gt;=SUM($D39:I39),0,SUM($D39:I39)-SUM($D40:W40)-SUM($D43:W43)),0)</f>
        <v>147.57289568000007</v>
      </c>
      <c r="Y40" s="443">
        <f>MAX(IF(SUM($D43:X43)&gt;=SUM($D39:J39),0,SUM($D39:J39)-SUM($D40:X40)-SUM($D43:X43)),0)</f>
        <v>0</v>
      </c>
      <c r="Z40" s="443">
        <f>MAX(IF(SUM($D43:Y43)&gt;=SUM($D39:K39),0,SUM($D39:K39)-SUM($D40:Y40)-SUM($D43:Y43)),0)</f>
        <v>0</v>
      </c>
      <c r="AA40" s="443">
        <f>MAX(IF(SUM($D43:Z43)&gt;=SUM($D39:L39),0,SUM($D39:L39)-SUM($D40:Z40)-SUM($D43:Z43)),0)</f>
        <v>0</v>
      </c>
      <c r="AB40" s="443">
        <f>MAX(IF(SUM($D43:AA43)&gt;=SUM($D39:M39),0,SUM($D39:M39)-SUM($D40:AA40)-SUM($D43:AA43)),0)</f>
        <v>0</v>
      </c>
      <c r="AC40" s="443">
        <f>MAX(IF(SUM($D43:AB43)&gt;=SUM($D39:N39),0,SUM($D39:N39)-SUM($D40:AB40)-SUM($D43:AB43)),0)</f>
        <v>0</v>
      </c>
      <c r="AD40" s="443"/>
    </row>
    <row r="41" spans="1:30">
      <c r="A41" s="434" t="s">
        <v>215</v>
      </c>
      <c r="B41" s="434"/>
      <c r="D41" s="446"/>
      <c r="E41" s="446"/>
      <c r="F41" s="446">
        <f>D41+F39-F40</f>
        <v>0</v>
      </c>
      <c r="G41" s="446">
        <f>E41+G39-G40</f>
        <v>0</v>
      </c>
      <c r="H41" s="446">
        <f t="shared" ref="H41:AC41" si="26">G41+H39-H40</f>
        <v>0</v>
      </c>
      <c r="I41" s="446">
        <f t="shared" si="26"/>
        <v>147.57289568000007</v>
      </c>
      <c r="J41" s="446">
        <f t="shared" si="26"/>
        <v>147.57289568000007</v>
      </c>
      <c r="K41" s="446">
        <f t="shared" si="26"/>
        <v>147.57289568000007</v>
      </c>
      <c r="L41" s="446">
        <f t="shared" si="26"/>
        <v>147.57289568000007</v>
      </c>
      <c r="M41" s="446">
        <f t="shared" si="26"/>
        <v>147.57289568000007</v>
      </c>
      <c r="N41" s="446">
        <f t="shared" si="26"/>
        <v>147.57289568000007</v>
      </c>
      <c r="O41" s="446">
        <f t="shared" si="26"/>
        <v>147.57289568000007</v>
      </c>
      <c r="P41" s="446">
        <f t="shared" si="26"/>
        <v>147.57289568000007</v>
      </c>
      <c r="Q41" s="446">
        <f t="shared" si="26"/>
        <v>147.57289568000007</v>
      </c>
      <c r="R41" s="446">
        <f t="shared" si="26"/>
        <v>147.57289568000007</v>
      </c>
      <c r="S41" s="446">
        <f t="shared" si="26"/>
        <v>147.57289568000007</v>
      </c>
      <c r="T41" s="446">
        <f t="shared" si="26"/>
        <v>147.57289568000007</v>
      </c>
      <c r="U41" s="446">
        <f t="shared" si="26"/>
        <v>147.57289568000007</v>
      </c>
      <c r="V41" s="446">
        <f t="shared" si="26"/>
        <v>147.57289568000007</v>
      </c>
      <c r="W41" s="446">
        <f t="shared" si="26"/>
        <v>147.57289568000007</v>
      </c>
      <c r="X41" s="446">
        <f t="shared" si="26"/>
        <v>0</v>
      </c>
      <c r="Y41" s="446">
        <f t="shared" si="26"/>
        <v>0</v>
      </c>
      <c r="Z41" s="446">
        <f t="shared" si="26"/>
        <v>0</v>
      </c>
      <c r="AA41" s="446">
        <f t="shared" si="26"/>
        <v>0</v>
      </c>
      <c r="AB41" s="446">
        <f t="shared" si="26"/>
        <v>0</v>
      </c>
      <c r="AC41" s="446">
        <f t="shared" si="26"/>
        <v>0</v>
      </c>
      <c r="AD41" s="446"/>
    </row>
    <row r="42" spans="1:30">
      <c r="A42" s="434" t="s">
        <v>216</v>
      </c>
      <c r="B42" s="434"/>
      <c r="D42" s="446"/>
      <c r="E42" s="446"/>
      <c r="F42" s="446">
        <f>MAX(F41-D44,0)</f>
        <v>0</v>
      </c>
      <c r="G42" s="446">
        <f>MAX(G41-E44,0)</f>
        <v>0</v>
      </c>
      <c r="H42" s="446">
        <f t="shared" ref="H42:AC42" si="27">MAX(H41-G44,0)</f>
        <v>0</v>
      </c>
      <c r="I42" s="446">
        <f t="shared" si="27"/>
        <v>147.57289568000007</v>
      </c>
      <c r="J42" s="446">
        <f t="shared" si="27"/>
        <v>147.57289568000007</v>
      </c>
      <c r="K42" s="446">
        <f t="shared" si="27"/>
        <v>147.57289568000007</v>
      </c>
      <c r="L42" s="446">
        <f t="shared" si="27"/>
        <v>147.57289568000007</v>
      </c>
      <c r="M42" s="446">
        <f t="shared" si="27"/>
        <v>147.57289568000007</v>
      </c>
      <c r="N42" s="446">
        <f t="shared" si="27"/>
        <v>147.57289568000007</v>
      </c>
      <c r="O42" s="446">
        <f t="shared" si="27"/>
        <v>147.57289568000007</v>
      </c>
      <c r="P42" s="446">
        <f t="shared" si="27"/>
        <v>147.57289568000007</v>
      </c>
      <c r="Q42" s="446">
        <f t="shared" si="27"/>
        <v>147.57289568000007</v>
      </c>
      <c r="R42" s="446">
        <f t="shared" si="27"/>
        <v>147.57289568000007</v>
      </c>
      <c r="S42" s="446">
        <f t="shared" si="27"/>
        <v>147.57289568000007</v>
      </c>
      <c r="T42" s="446">
        <f t="shared" si="27"/>
        <v>147.57289568000007</v>
      </c>
      <c r="U42" s="446">
        <f t="shared" si="27"/>
        <v>147.57289568000007</v>
      </c>
      <c r="V42" s="446">
        <f t="shared" si="27"/>
        <v>147.57289568000007</v>
      </c>
      <c r="W42" s="446">
        <f t="shared" si="27"/>
        <v>147.57289568000007</v>
      </c>
      <c r="X42" s="446">
        <f t="shared" si="27"/>
        <v>0</v>
      </c>
      <c r="Y42" s="446">
        <f t="shared" si="27"/>
        <v>0</v>
      </c>
      <c r="Z42" s="446">
        <f t="shared" si="27"/>
        <v>0</v>
      </c>
      <c r="AA42" s="446">
        <f t="shared" si="27"/>
        <v>0</v>
      </c>
      <c r="AB42" s="446">
        <f t="shared" si="27"/>
        <v>0</v>
      </c>
      <c r="AC42" s="446">
        <f t="shared" si="27"/>
        <v>0</v>
      </c>
      <c r="AD42" s="446"/>
    </row>
    <row r="43" spans="1:30">
      <c r="A43" s="434" t="s">
        <v>217</v>
      </c>
      <c r="B43" s="434"/>
      <c r="D43" s="446"/>
      <c r="E43" s="446"/>
      <c r="F43" s="446">
        <f>IF(F36&gt;F35,MIN(F36-F35,F42),0)</f>
        <v>0</v>
      </c>
      <c r="G43" s="446">
        <f>IF(G36&gt;G35,MIN(G36-G35,G42),0)</f>
        <v>0</v>
      </c>
      <c r="H43" s="446">
        <f t="shared" ref="H43:AC43" si="28">IF(H36&gt;H35,MIN(H36-H35,H42),0)</f>
        <v>0</v>
      </c>
      <c r="I43" s="446">
        <f t="shared" si="28"/>
        <v>0</v>
      </c>
      <c r="J43" s="446">
        <f t="shared" si="28"/>
        <v>0</v>
      </c>
      <c r="K43" s="446">
        <f t="shared" si="28"/>
        <v>0</v>
      </c>
      <c r="L43" s="446">
        <f t="shared" si="28"/>
        <v>0</v>
      </c>
      <c r="M43" s="446">
        <f t="shared" si="28"/>
        <v>0</v>
      </c>
      <c r="N43" s="446">
        <f t="shared" si="28"/>
        <v>0</v>
      </c>
      <c r="O43" s="446">
        <f t="shared" si="28"/>
        <v>0</v>
      </c>
      <c r="P43" s="446">
        <f t="shared" si="28"/>
        <v>0</v>
      </c>
      <c r="Q43" s="446">
        <f t="shared" si="28"/>
        <v>0</v>
      </c>
      <c r="R43" s="446">
        <f t="shared" si="28"/>
        <v>0</v>
      </c>
      <c r="S43" s="446">
        <f t="shared" si="28"/>
        <v>0</v>
      </c>
      <c r="T43" s="446">
        <f t="shared" si="28"/>
        <v>0</v>
      </c>
      <c r="U43" s="446">
        <f t="shared" si="28"/>
        <v>0</v>
      </c>
      <c r="V43" s="446">
        <f t="shared" si="28"/>
        <v>0</v>
      </c>
      <c r="W43" s="446">
        <f t="shared" si="28"/>
        <v>0</v>
      </c>
      <c r="X43" s="446">
        <f t="shared" si="28"/>
        <v>0</v>
      </c>
      <c r="Y43" s="446">
        <f t="shared" si="28"/>
        <v>0</v>
      </c>
      <c r="Z43" s="446">
        <f t="shared" si="28"/>
        <v>0</v>
      </c>
      <c r="AA43" s="446">
        <f t="shared" si="28"/>
        <v>0</v>
      </c>
      <c r="AB43" s="446">
        <f t="shared" si="28"/>
        <v>0</v>
      </c>
      <c r="AC43" s="446">
        <f t="shared" si="28"/>
        <v>0</v>
      </c>
      <c r="AD43" s="446"/>
    </row>
    <row r="44" spans="1:30">
      <c r="A44" s="434" t="s">
        <v>218</v>
      </c>
      <c r="B44" s="434"/>
      <c r="D44" s="446"/>
      <c r="E44" s="446"/>
      <c r="F44" s="446">
        <f>SUM(F43:$G43)</f>
        <v>0</v>
      </c>
      <c r="G44" s="446">
        <f>SUM($G43:G43)</f>
        <v>0</v>
      </c>
      <c r="H44" s="446">
        <f>SUM($G43:H43)</f>
        <v>0</v>
      </c>
      <c r="I44" s="446">
        <f>SUM($G43:I43)</f>
        <v>0</v>
      </c>
      <c r="J44" s="446">
        <f>SUM($G43:J43)</f>
        <v>0</v>
      </c>
      <c r="K44" s="446">
        <f>SUM($G43:K43)</f>
        <v>0</v>
      </c>
      <c r="L44" s="446">
        <f>SUM($G43:L43)</f>
        <v>0</v>
      </c>
      <c r="M44" s="446">
        <f>SUM($G43:M43)</f>
        <v>0</v>
      </c>
      <c r="N44" s="446">
        <f>SUM($G43:N43)</f>
        <v>0</v>
      </c>
      <c r="O44" s="446">
        <f>SUM($G43:O43)</f>
        <v>0</v>
      </c>
      <c r="P44" s="446">
        <f>SUM($G43:P43)</f>
        <v>0</v>
      </c>
      <c r="Q44" s="446">
        <f>SUM($G43:Q43)</f>
        <v>0</v>
      </c>
      <c r="R44" s="446">
        <f>SUM($G43:R43)</f>
        <v>0</v>
      </c>
      <c r="S44" s="446">
        <f>SUM($G43:S43)</f>
        <v>0</v>
      </c>
      <c r="T44" s="446">
        <f>SUM($G43:T43)</f>
        <v>0</v>
      </c>
      <c r="U44" s="446">
        <f>SUM($G43:U43)</f>
        <v>0</v>
      </c>
      <c r="V44" s="446">
        <f>SUM($G43:V43)</f>
        <v>0</v>
      </c>
      <c r="W44" s="446">
        <f>SUM($G43:W43)</f>
        <v>0</v>
      </c>
      <c r="X44" s="446">
        <f>SUM($G43:X43)</f>
        <v>0</v>
      </c>
      <c r="Y44" s="446">
        <f>SUM($G43:Y43)</f>
        <v>0</v>
      </c>
      <c r="Z44" s="446">
        <f>SUM($G43:Z43)</f>
        <v>0</v>
      </c>
      <c r="AA44" s="446">
        <f>SUM($G43:AA43)</f>
        <v>0</v>
      </c>
      <c r="AB44" s="446">
        <f>SUM($G43:AB43)</f>
        <v>0</v>
      </c>
      <c r="AC44" s="446">
        <f>SUM($G43:AC43)</f>
        <v>0</v>
      </c>
      <c r="AD44" s="446"/>
    </row>
    <row r="45" spans="1:30">
      <c r="A45" s="435" t="s">
        <v>219</v>
      </c>
      <c r="B45" s="435"/>
      <c r="D45" s="448"/>
      <c r="E45" s="448"/>
      <c r="F45" s="448">
        <f>F37-F43</f>
        <v>0</v>
      </c>
      <c r="G45" s="448">
        <f>G37-G43</f>
        <v>0</v>
      </c>
      <c r="H45" s="448">
        <f t="shared" ref="H45:AC45" si="29">H37-H43</f>
        <v>0</v>
      </c>
      <c r="I45" s="448">
        <f t="shared" si="29"/>
        <v>147.57289568000007</v>
      </c>
      <c r="J45" s="448">
        <f t="shared" si="29"/>
        <v>0</v>
      </c>
      <c r="K45" s="448">
        <f t="shared" si="29"/>
        <v>0</v>
      </c>
      <c r="L45" s="448">
        <f t="shared" si="29"/>
        <v>0</v>
      </c>
      <c r="M45" s="448">
        <f t="shared" si="29"/>
        <v>0</v>
      </c>
      <c r="N45" s="448">
        <f t="shared" si="29"/>
        <v>0</v>
      </c>
      <c r="O45" s="448">
        <f t="shared" si="29"/>
        <v>0</v>
      </c>
      <c r="P45" s="448">
        <f t="shared" si="29"/>
        <v>0</v>
      </c>
      <c r="Q45" s="448">
        <f t="shared" si="29"/>
        <v>0</v>
      </c>
      <c r="R45" s="448">
        <f t="shared" si="29"/>
        <v>0</v>
      </c>
      <c r="S45" s="448">
        <f t="shared" si="29"/>
        <v>0</v>
      </c>
      <c r="T45" s="448">
        <f t="shared" si="29"/>
        <v>0</v>
      </c>
      <c r="U45" s="448">
        <f t="shared" si="29"/>
        <v>0</v>
      </c>
      <c r="V45" s="448">
        <f t="shared" si="29"/>
        <v>0</v>
      </c>
      <c r="W45" s="448">
        <f t="shared" si="29"/>
        <v>0</v>
      </c>
      <c r="X45" s="448">
        <f t="shared" si="29"/>
        <v>0</v>
      </c>
      <c r="Y45" s="448">
        <f t="shared" si="29"/>
        <v>0</v>
      </c>
      <c r="Z45" s="448">
        <f t="shared" si="29"/>
        <v>0</v>
      </c>
      <c r="AA45" s="448">
        <f t="shared" si="29"/>
        <v>0</v>
      </c>
      <c r="AB45" s="448">
        <f t="shared" si="29"/>
        <v>0</v>
      </c>
      <c r="AC45" s="448">
        <f t="shared" si="29"/>
        <v>0</v>
      </c>
      <c r="AD45" s="448"/>
    </row>
    <row r="46" spans="1:30">
      <c r="D46" s="451"/>
      <c r="E46" s="451"/>
      <c r="F46" s="451">
        <f>IF(F45=F35,$B35,$B36)</f>
        <v>0.21341600000000002</v>
      </c>
      <c r="G46" s="451">
        <f>IF(G45=G35,$B35,$B36)</f>
        <v>0.21341600000000002</v>
      </c>
      <c r="H46" s="451">
        <f t="shared" ref="H46:AC46" si="30">IF(H45=H35,$B35,$B36)</f>
        <v>0.21341600000000002</v>
      </c>
      <c r="I46" s="451">
        <f t="shared" si="30"/>
        <v>0.21341600000000002</v>
      </c>
      <c r="J46" s="451">
        <f t="shared" si="30"/>
        <v>0.21341600000000002</v>
      </c>
      <c r="K46" s="451">
        <f t="shared" si="30"/>
        <v>0.21341600000000002</v>
      </c>
      <c r="L46" s="451">
        <f t="shared" si="30"/>
        <v>0.21341600000000002</v>
      </c>
      <c r="M46" s="451">
        <f t="shared" si="30"/>
        <v>0.21341600000000002</v>
      </c>
      <c r="N46" s="451">
        <f t="shared" si="30"/>
        <v>0.21341600000000002</v>
      </c>
      <c r="O46" s="451">
        <f t="shared" si="30"/>
        <v>0.21341600000000002</v>
      </c>
      <c r="P46" s="451">
        <f t="shared" si="30"/>
        <v>0.21341600000000002</v>
      </c>
      <c r="Q46" s="451">
        <f t="shared" si="30"/>
        <v>0.21341600000000002</v>
      </c>
      <c r="R46" s="451">
        <f t="shared" si="30"/>
        <v>0.21341600000000002</v>
      </c>
      <c r="S46" s="451">
        <f t="shared" si="30"/>
        <v>0.21341600000000002</v>
      </c>
      <c r="T46" s="451">
        <f t="shared" si="30"/>
        <v>0.21341600000000002</v>
      </c>
      <c r="U46" s="451">
        <f t="shared" si="30"/>
        <v>0.21341600000000002</v>
      </c>
      <c r="V46" s="451">
        <f t="shared" si="30"/>
        <v>0.21341600000000002</v>
      </c>
      <c r="W46" s="451">
        <f t="shared" si="30"/>
        <v>0.21341600000000002</v>
      </c>
      <c r="X46" s="451">
        <f t="shared" si="30"/>
        <v>0.21341600000000002</v>
      </c>
      <c r="Y46" s="451">
        <f t="shared" si="30"/>
        <v>0.21341600000000002</v>
      </c>
      <c r="Z46" s="451">
        <f t="shared" si="30"/>
        <v>0.21341600000000002</v>
      </c>
      <c r="AA46" s="451">
        <f t="shared" si="30"/>
        <v>0.21341600000000002</v>
      </c>
      <c r="AB46" s="451">
        <f t="shared" si="30"/>
        <v>0.21341600000000002</v>
      </c>
      <c r="AC46" s="451">
        <f t="shared" si="30"/>
        <v>0.21341600000000002</v>
      </c>
      <c r="AD46" s="451"/>
    </row>
  </sheetData>
  <autoFilter ref="A15:B19" xr:uid="{00000000-0009-0000-0000-00000C000000}"/>
  <pageMargins left="0.69930555555555596" right="0.69930555555555596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F32"/>
  <sheetViews>
    <sheetView workbookViewId="0">
      <selection activeCell="F13" sqref="F13"/>
    </sheetView>
  </sheetViews>
  <sheetFormatPr defaultColWidth="9" defaultRowHeight="14.4"/>
  <cols>
    <col min="1" max="1" width="34.5546875" customWidth="1"/>
    <col min="2" max="7" width="10.6640625" customWidth="1"/>
    <col min="8" max="9" width="10.88671875" customWidth="1"/>
    <col min="10" max="33" width="10.6640625" customWidth="1"/>
  </cols>
  <sheetData>
    <row r="1" spans="1:32">
      <c r="A1" s="8" t="s">
        <v>78</v>
      </c>
      <c r="C1" s="400">
        <f>DATE(2017,3,31)</f>
        <v>42825</v>
      </c>
      <c r="D1" s="400">
        <f>EOMONTH(C1,6)</f>
        <v>43008</v>
      </c>
      <c r="E1" s="400">
        <f>EOMONTH(D1,6)</f>
        <v>43190</v>
      </c>
      <c r="F1" s="400">
        <f>EOMONTH(D1,6)</f>
        <v>43190</v>
      </c>
      <c r="G1" s="400">
        <f>EOMONTH(F1,12)</f>
        <v>43555</v>
      </c>
      <c r="H1" s="400">
        <f>EOMONTH(G1,12)</f>
        <v>43921</v>
      </c>
      <c r="I1" s="400">
        <f t="shared" ref="I1:AB1" si="0">EOMONTH(H1,12)</f>
        <v>44286</v>
      </c>
      <c r="J1" s="400">
        <f t="shared" si="0"/>
        <v>44651</v>
      </c>
      <c r="K1" s="400">
        <f t="shared" si="0"/>
        <v>45016</v>
      </c>
      <c r="L1" s="400">
        <f t="shared" si="0"/>
        <v>45382</v>
      </c>
      <c r="M1" s="400">
        <f t="shared" si="0"/>
        <v>45747</v>
      </c>
      <c r="N1" s="400">
        <f t="shared" si="0"/>
        <v>46112</v>
      </c>
      <c r="O1" s="400">
        <f t="shared" si="0"/>
        <v>46477</v>
      </c>
      <c r="P1" s="400">
        <f t="shared" si="0"/>
        <v>46843</v>
      </c>
      <c r="Q1" s="400">
        <f t="shared" si="0"/>
        <v>47208</v>
      </c>
      <c r="R1" s="400">
        <f t="shared" si="0"/>
        <v>47573</v>
      </c>
      <c r="S1" s="400">
        <f t="shared" si="0"/>
        <v>47938</v>
      </c>
      <c r="T1" s="400">
        <f t="shared" si="0"/>
        <v>48304</v>
      </c>
      <c r="U1" s="400">
        <f t="shared" si="0"/>
        <v>48669</v>
      </c>
      <c r="V1" s="400">
        <f t="shared" si="0"/>
        <v>49034</v>
      </c>
      <c r="W1" s="400">
        <f t="shared" si="0"/>
        <v>49399</v>
      </c>
      <c r="X1" s="400">
        <f t="shared" si="0"/>
        <v>49765</v>
      </c>
      <c r="Y1" s="400">
        <f t="shared" si="0"/>
        <v>50130</v>
      </c>
      <c r="Z1" s="400">
        <f t="shared" si="0"/>
        <v>50495</v>
      </c>
      <c r="AA1" s="400">
        <f t="shared" si="0"/>
        <v>50860</v>
      </c>
      <c r="AB1" s="400">
        <f t="shared" si="0"/>
        <v>51226</v>
      </c>
      <c r="AC1" s="400">
        <f>Assum!D4</f>
        <v>51513</v>
      </c>
      <c r="AE1" s="400"/>
      <c r="AF1" s="400"/>
    </row>
    <row r="2" spans="1:32">
      <c r="A2" s="423" t="s">
        <v>79</v>
      </c>
      <c r="B2" s="9">
        <f>Assum!B57</f>
        <v>5</v>
      </c>
      <c r="C2" s="9">
        <f>Financials!E124</f>
        <v>656.38</v>
      </c>
      <c r="D2" s="13">
        <f>$B2*Financials!H3/Assum!$B$150</f>
        <v>756.61666666666679</v>
      </c>
      <c r="E2" s="13">
        <f>$B2*Financials!H3/Assum!$B$150</f>
        <v>756.61666666666679</v>
      </c>
      <c r="F2" s="13">
        <f>$B2*Financials!H3/Assum!$B$150</f>
        <v>756.61666666666679</v>
      </c>
      <c r="G2" s="13">
        <f>$B2*Financials!I3/Assum!$B$150</f>
        <v>634.7833333333333</v>
      </c>
      <c r="H2" s="13">
        <f>$B2*Financials!J3/Assum!$B$150</f>
        <v>646.22916666666663</v>
      </c>
      <c r="I2" s="13">
        <f>$B2*Financials!K3/Assum!$B$150</f>
        <v>790.53750000000002</v>
      </c>
      <c r="J2" s="13">
        <f>$B2*Financials!L3/Assum!$B$150</f>
        <v>380.78749999999997</v>
      </c>
      <c r="K2" s="13">
        <f>$B2*Financials!M3/Assum!$B$150</f>
        <v>786.0333333333333</v>
      </c>
      <c r="L2" s="13">
        <f>$B2*Financials!N3/Assum!$B$150</f>
        <v>1314.7502507999998</v>
      </c>
      <c r="M2" s="13">
        <f>$B2*Financials!O3/Assum!$B$150</f>
        <v>1311.1580369999999</v>
      </c>
      <c r="N2" s="13">
        <f>$B2*Financials!P3/Assum!$B$150</f>
        <v>1311.1580369999999</v>
      </c>
      <c r="O2" s="13">
        <f>$B2*Financials!Q3/Assum!$B$150</f>
        <v>1408.3112451449997</v>
      </c>
      <c r="P2" s="13">
        <f>$B2*Financials!R3/Assum!$B$150</f>
        <v>1412.1696321179998</v>
      </c>
      <c r="Q2" s="13">
        <f>$B2*Financials!S3/Assum!$B$150</f>
        <v>1500.5183054400002</v>
      </c>
      <c r="R2" s="13">
        <f>$B2*Financials!T3/Assum!$B$150</f>
        <v>1541.9218515120001</v>
      </c>
      <c r="S2" s="13">
        <f>$B2*Financials!U3/Assum!$B$150</f>
        <v>1605.11689562175</v>
      </c>
      <c r="T2" s="13">
        <f>$B2*Financials!V3/Assum!$B$150</f>
        <v>1609.5144761577001</v>
      </c>
      <c r="U2" s="13">
        <f>$B2*Financials!W3/Assum!$B$150</f>
        <v>1714.5027708180751</v>
      </c>
      <c r="V2" s="13">
        <f>$B2*Financials!X3/Assum!$B$150</f>
        <v>1751.7275367180755</v>
      </c>
      <c r="W2" s="13">
        <f>$B2*Financials!Y3/Assum!$B$150</f>
        <v>1818.0823330333126</v>
      </c>
      <c r="X2" s="13">
        <f>$B2*Financials!Z3/Assum!$B$150</f>
        <v>1873.1270206121287</v>
      </c>
      <c r="Y2" s="13">
        <f>$B2*Financials!AA3/Assum!$B$150</f>
        <v>1905.8343525724786</v>
      </c>
      <c r="Z2" s="13">
        <f>$B2*Financials!AB3/Assum!$B$150</f>
        <v>1931.0511294724786</v>
      </c>
      <c r="AA2" s="13">
        <f>$B2*Financials!AC3/Assum!$B$150</f>
        <v>2027.6036859461026</v>
      </c>
      <c r="AB2" s="13">
        <f>$B2*Financials!AD3/Assum!$B$150</f>
        <v>1779.2638190377354</v>
      </c>
      <c r="AC2" s="13">
        <f>$B2*Financials!AE3/Assum!$B$150</f>
        <v>865.62906221371588</v>
      </c>
      <c r="AD2" s="13"/>
    </row>
    <row r="3" spans="1:32">
      <c r="A3" s="423" t="s">
        <v>220</v>
      </c>
      <c r="B3" s="9">
        <f>Assum!B58</f>
        <v>2</v>
      </c>
      <c r="C3" s="9">
        <f>Financials!E121</f>
        <v>62.67</v>
      </c>
      <c r="D3" s="13">
        <f>$B3*Financials!H5/Assum!$B$150</f>
        <v>195.68333333333331</v>
      </c>
      <c r="E3" s="13">
        <f>$B3*Financials!H5/Assum!$B$150</f>
        <v>195.68333333333331</v>
      </c>
      <c r="F3" s="13">
        <f>$B3*Financials!H5/Assum!$B$150</f>
        <v>195.68333333333331</v>
      </c>
      <c r="G3" s="13">
        <f>$B3*Financials!I5/Assum!$B$150</f>
        <v>170.09833333333333</v>
      </c>
      <c r="H3" s="13">
        <f>$B3*Financials!J5/Assum!$B$150</f>
        <v>174.98000000000002</v>
      </c>
      <c r="I3" s="13">
        <f>$B3*Financials!K5/Assum!$B$150</f>
        <v>117.94666666666666</v>
      </c>
      <c r="J3" s="13">
        <f>$B3*Financials!L5/Assum!$B$150</f>
        <v>97.899999999999991</v>
      </c>
      <c r="K3" s="13">
        <f>$B3*Financials!M5/Assum!$B$150</f>
        <v>275.29500000000002</v>
      </c>
      <c r="L3" s="13">
        <f>$B3*Financials!N5/Assum!$B$150</f>
        <v>621.20654186425179</v>
      </c>
      <c r="M3" s="13">
        <f>$B3*Financials!O5/Assum!$B$150</f>
        <v>632.11947959794941</v>
      </c>
      <c r="N3" s="13">
        <f>$B3*Financials!P5/Assum!$B$150</f>
        <v>645.00435654904811</v>
      </c>
      <c r="O3" s="13">
        <f>$B3*Financials!Q5/Assum!$B$150</f>
        <v>688.28479219035069</v>
      </c>
      <c r="P3" s="13">
        <f>$B3*Financials!R5/Assum!$B$150</f>
        <v>704.27813483879038</v>
      </c>
      <c r="Q3" s="13">
        <f>$B3*Financials!S5/Assum!$B$150</f>
        <v>748.08986214922641</v>
      </c>
      <c r="R3" s="13">
        <f>$B3*Financials!T5/Assum!$B$150</f>
        <v>763.4245517737121</v>
      </c>
      <c r="S3" s="13">
        <f>$B3*Financials!U5/Assum!$B$150</f>
        <v>811.75458993095742</v>
      </c>
      <c r="T3" s="13">
        <f>$B3*Financials!V5/Assum!$B$150</f>
        <v>830.7112744898244</v>
      </c>
      <c r="U3" s="13">
        <f>$B3*Financials!W5/Assum!$B$150</f>
        <v>879.51222564468935</v>
      </c>
      <c r="V3" s="13">
        <f>$B3*Financials!X5/Assum!$B$150</f>
        <v>897.64383488597832</v>
      </c>
      <c r="W3" s="13">
        <f>$B3*Financials!Y5/Assum!$B$150</f>
        <v>951.61022934011669</v>
      </c>
      <c r="X3" s="13">
        <f>$B3*Financials!Z5/Assum!$B$150</f>
        <v>973.94588531659645</v>
      </c>
      <c r="Y3" s="13">
        <f>$B3*Financials!AA5/Assum!$B$150</f>
        <v>1013.9447149253759</v>
      </c>
      <c r="Z3" s="13">
        <f>$B3*Financials!AB5/Assum!$B$150</f>
        <v>1050.3138132429642</v>
      </c>
      <c r="AA3" s="13">
        <f>$B3*Financials!AC5/Assum!$B$150</f>
        <v>1072.1244248723617</v>
      </c>
      <c r="AB3" s="13">
        <f>$B3*Financials!AD5/Assum!$B$150</f>
        <v>944.10027254296563</v>
      </c>
      <c r="AC3" s="13">
        <f>$B3*Financials!AE5/Assum!$B$150</f>
        <v>429.27745930045717</v>
      </c>
      <c r="AD3" s="13"/>
    </row>
    <row r="4" spans="1:32">
      <c r="A4" s="423" t="s">
        <v>81</v>
      </c>
      <c r="B4" s="9">
        <f>Assum!B59</f>
        <v>1</v>
      </c>
      <c r="C4" s="9">
        <f>Financials!E122</f>
        <v>2.64</v>
      </c>
      <c r="D4" s="13">
        <f>$B4*Financials!H6/Assum!$B$150</f>
        <v>0.55583333333333329</v>
      </c>
      <c r="E4" s="13">
        <f>$B4*Financials!H6/Assum!$B$150</f>
        <v>0.55583333333333329</v>
      </c>
      <c r="F4" s="13">
        <f>$B4*Financials!H6/Assum!$B$150</f>
        <v>0.55583333333333329</v>
      </c>
      <c r="G4" s="13">
        <f>$B4*Financials!I6/Assum!$B$150</f>
        <v>0.84166666666666667</v>
      </c>
      <c r="H4" s="13">
        <f>$B4*Financials!J6/Assum!$B$150</f>
        <v>0.98166666666666658</v>
      </c>
      <c r="I4" s="13">
        <f>$B4*Financials!K6/Assum!$B$150</f>
        <v>0.72750000000000004</v>
      </c>
      <c r="J4" s="13">
        <f>$B4*Financials!L6/Assum!$B$150</f>
        <v>0.88833333333333331</v>
      </c>
      <c r="K4" s="13">
        <f>$B4*Financials!M6/Assum!$B$150</f>
        <v>1.2591666666666665</v>
      </c>
      <c r="L4" s="13">
        <f>$B4*Financials!N6/Assum!$B$150</f>
        <v>8.2632782117987702</v>
      </c>
      <c r="M4" s="13">
        <f>$B4*Financials!O6/Assum!$B$150</f>
        <v>8.4055149679035051</v>
      </c>
      <c r="N4" s="13">
        <f>$B4*Financials!P6/Assum!$B$150</f>
        <v>8.5736252672615763</v>
      </c>
      <c r="O4" s="13">
        <f>$B4*Financials!Q6/Assum!$B$150</f>
        <v>9.142602216816206</v>
      </c>
      <c r="P4" s="13">
        <f>$B4*Financials!R6/Assum!$B$150</f>
        <v>9.3510034509091131</v>
      </c>
      <c r="Q4" s="13">
        <f>$B4*Financials!S6/Assum!$B$150</f>
        <v>9.9255269701310436</v>
      </c>
      <c r="R4" s="13">
        <f>$B4*Financials!T6/Assum!$B$150</f>
        <v>10.124037509533663</v>
      </c>
      <c r="S4" s="13">
        <f>$B4*Financials!U6/Assum!$B$150</f>
        <v>10.756789853879516</v>
      </c>
      <c r="T4" s="13">
        <f>$B4*Financials!V6/Assum!$B$150</f>
        <v>11.0019857212337</v>
      </c>
      <c r="U4" s="13">
        <f>$B4*Financials!W6/Assum!$B$150</f>
        <v>11.639018730535298</v>
      </c>
      <c r="V4" s="13">
        <f>$B4*Financials!X6/Assum!$B$150</f>
        <v>11.871799105146005</v>
      </c>
      <c r="W4" s="13">
        <f>$B4*Financials!Y6/Assum!$B$150</f>
        <v>12.574974898296963</v>
      </c>
      <c r="X4" s="13">
        <f>$B4*Financials!Z6/Assum!$B$150</f>
        <v>12.861615422006087</v>
      </c>
      <c r="Y4" s="13">
        <f>$B4*Financials!AA6/Assum!$B$150</f>
        <v>13.373737303836785</v>
      </c>
      <c r="Z4" s="13">
        <f>$B4*Financials!AB6/Assum!$B$150</f>
        <v>13.838910775274584</v>
      </c>
      <c r="AA4" s="13">
        <f>$B4*Financials!AC6/Assum!$B$150</f>
        <v>14.115688990780077</v>
      </c>
      <c r="AB4" s="13">
        <f>$B4*Financials!AD6/Assum!$B$150</f>
        <v>12.465120206871875</v>
      </c>
      <c r="AC4" s="13">
        <f>$B4*Financials!AE6/Assum!$B$150</f>
        <v>5.7737963439235331</v>
      </c>
      <c r="AD4" s="13"/>
    </row>
    <row r="5" spans="1:32">
      <c r="A5" s="423" t="s">
        <v>221</v>
      </c>
      <c r="B5" s="9">
        <f>Assum!B60</f>
        <v>1</v>
      </c>
      <c r="C5" s="9">
        <f>Financials!E125</f>
        <v>0</v>
      </c>
      <c r="D5" s="13">
        <f>$B5*Financials!H8/Assum!$B$150</f>
        <v>5.1825000000000001</v>
      </c>
      <c r="E5" s="13">
        <f>$B5*Financials!H8/Assum!$B$150</f>
        <v>5.1825000000000001</v>
      </c>
      <c r="F5" s="13">
        <f>$B5*Financials!H8/Assum!$B$150</f>
        <v>5.1825000000000001</v>
      </c>
      <c r="G5" s="13">
        <f>$B5*Financials!I8/Assum!$B$150</f>
        <v>5.0966666666666667</v>
      </c>
      <c r="H5" s="13">
        <f>$B5*Financials!J8/Assum!$B$150</f>
        <v>5.6508333333333338</v>
      </c>
      <c r="I5" s="13">
        <f>$B5*Financials!K8/Assum!$B$150</f>
        <v>5.5616666666666665</v>
      </c>
      <c r="J5" s="13">
        <f>$B5*Financials!L8/Assum!$B$150</f>
        <v>12.463333333333333</v>
      </c>
      <c r="K5" s="13">
        <f>$B5*Financials!M8/Assum!$B$150</f>
        <v>9.6641666666666666</v>
      </c>
      <c r="L5" s="13">
        <f>$B5*Financials!N8/Assum!$B$150</f>
        <v>11.885706014443514</v>
      </c>
      <c r="M5" s="13">
        <f>$B5*Financials!O8/Assum!$B$150</f>
        <v>12.24227719487682</v>
      </c>
      <c r="N5" s="13">
        <f>$B5*Financials!P8/Assum!$B$150</f>
        <v>12.609545510723125</v>
      </c>
      <c r="O5" s="13">
        <f>$B5*Financials!Q8/Assum!$B$150</f>
        <v>12.987831876044821</v>
      </c>
      <c r="P5" s="13">
        <f>$B5*Financials!R8/Assum!$B$150</f>
        <v>13.377466832326165</v>
      </c>
      <c r="Q5" s="13">
        <f>$B5*Financials!S8/Assum!$B$150</f>
        <v>13.778790837295951</v>
      </c>
      <c r="R5" s="13">
        <f>$B5*Financials!T8/Assum!$B$150</f>
        <v>14.19215456241483</v>
      </c>
      <c r="S5" s="13">
        <f>$B5*Financials!U8/Assum!$B$150</f>
        <v>14.617919199287277</v>
      </c>
      <c r="T5" s="13">
        <f>$B5*Financials!V8/Assum!$B$150</f>
        <v>15.056456775265895</v>
      </c>
      <c r="U5" s="13">
        <f>$B5*Financials!W8/Assum!$B$150</f>
        <v>15.508150478523874</v>
      </c>
      <c r="V5" s="13">
        <f>$B5*Financials!X8/Assum!$B$150</f>
        <v>15.973394992879591</v>
      </c>
      <c r="W5" s="13">
        <f>$B5*Financials!Y8/Assum!$B$150</f>
        <v>16.452596842665979</v>
      </c>
      <c r="X5" s="13">
        <f>$B5*Financials!Z8/Assum!$B$150</f>
        <v>16.946174747945957</v>
      </c>
      <c r="Y5" s="13">
        <f>$B5*Financials!AA8/Assum!$B$150</f>
        <v>17.454559990384336</v>
      </c>
      <c r="Z5" s="13">
        <f>$B5*Financials!AB8/Assum!$B$150</f>
        <v>17.978196790095868</v>
      </c>
      <c r="AA5" s="13">
        <f>$B5*Financials!AC8/Assum!$B$150</f>
        <v>18.517542693798742</v>
      </c>
      <c r="AB5" s="13">
        <f>$B5*Financials!AD8/Assum!$B$150</f>
        <v>16.467458458955232</v>
      </c>
      <c r="AC5" s="13">
        <f>$B5*Financials!AE8/Assum!$B$150</f>
        <v>7.7235478350483033</v>
      </c>
      <c r="AD5" s="13"/>
    </row>
    <row r="6" spans="1:32">
      <c r="A6" s="423" t="s">
        <v>83</v>
      </c>
      <c r="B6" s="27">
        <f>Assum!B61</f>
        <v>0.2</v>
      </c>
      <c r="C6" s="9">
        <f>Financials!E126</f>
        <v>22.1981</v>
      </c>
      <c r="D6" s="13">
        <f>$B6*Financials!H8</f>
        <v>12.438000000000001</v>
      </c>
      <c r="E6" s="13">
        <f>$B6*Financials!H8</f>
        <v>12.438000000000001</v>
      </c>
      <c r="F6" s="13">
        <f>$B6*Financials!H8</f>
        <v>12.438000000000001</v>
      </c>
      <c r="G6" s="13">
        <f>$B6*Financials!I8</f>
        <v>12.231999999999999</v>
      </c>
      <c r="H6" s="13">
        <f>$B6*Financials!J8</f>
        <v>13.562000000000001</v>
      </c>
      <c r="I6" s="13">
        <f>$B6*Financials!K8</f>
        <v>13.347999999999999</v>
      </c>
      <c r="J6" s="13">
        <f>$B6*Financials!L8</f>
        <v>29.912000000000003</v>
      </c>
      <c r="K6" s="13">
        <f>$B6*Financials!M8</f>
        <v>23.194000000000003</v>
      </c>
      <c r="L6" s="13">
        <f>$B6*Financials!N8</f>
        <v>28.525694434664434</v>
      </c>
      <c r="M6" s="13">
        <f>$B6*Financials!O8</f>
        <v>29.381465267704371</v>
      </c>
      <c r="N6" s="13">
        <f>$B6*Financials!P8</f>
        <v>30.262909225735502</v>
      </c>
      <c r="O6" s="13">
        <f>$B6*Financials!Q8</f>
        <v>31.170796502507571</v>
      </c>
      <c r="P6" s="13">
        <f>$B6*Financials!R8</f>
        <v>32.1059203975828</v>
      </c>
      <c r="Q6" s="13">
        <f>$B6*Financials!S8</f>
        <v>33.069098009510284</v>
      </c>
      <c r="R6" s="13">
        <f>$B6*Financials!T8</f>
        <v>34.061170949795596</v>
      </c>
      <c r="S6" s="13">
        <f>$B6*Financials!U8</f>
        <v>35.083006078289465</v>
      </c>
      <c r="T6" s="13">
        <f>$B6*Financials!V8</f>
        <v>36.135496260638149</v>
      </c>
      <c r="U6" s="13">
        <f>$B6*Financials!W8</f>
        <v>37.219561148457295</v>
      </c>
      <c r="V6" s="13">
        <f>$B6*Financials!X8</f>
        <v>38.336147982911022</v>
      </c>
      <c r="W6" s="13">
        <f>$B6*Financials!Y8</f>
        <v>39.486232422398352</v>
      </c>
      <c r="X6" s="13">
        <f>$B6*Financials!Z8</f>
        <v>40.670819395070303</v>
      </c>
      <c r="Y6" s="13">
        <f>$B6*Financials!AA8</f>
        <v>41.890943976922415</v>
      </c>
      <c r="Z6" s="13">
        <f>$B6*Financials!AB8</f>
        <v>43.147672296230084</v>
      </c>
      <c r="AA6" s="13">
        <f>$B6*Financials!AC8</f>
        <v>44.442102465116989</v>
      </c>
      <c r="AB6" s="13">
        <f>$B6*Financials!AD8</f>
        <v>39.521900301492558</v>
      </c>
      <c r="AC6" s="13">
        <f>$B6*Financials!AE8</f>
        <v>18.536514804115928</v>
      </c>
      <c r="AD6" s="13"/>
    </row>
    <row r="7" spans="1:32">
      <c r="A7" s="424" t="s">
        <v>222</v>
      </c>
      <c r="B7" s="9">
        <f>Assum!B62</f>
        <v>2</v>
      </c>
      <c r="C7" s="28">
        <v>386.67</v>
      </c>
      <c r="D7" s="9"/>
      <c r="E7" s="9"/>
      <c r="F7" s="15">
        <f>$B7*F32/Assum!$B$150</f>
        <v>218.24365</v>
      </c>
      <c r="G7" s="15">
        <f>$B7*G32/Assum!$B$150</f>
        <v>201.49833333333336</v>
      </c>
      <c r="H7" s="15">
        <f>$B7*H32/Assum!$B$150</f>
        <v>187.57333333333335</v>
      </c>
      <c r="I7" s="15">
        <f>$B7*I32/Assum!$B$150</f>
        <v>163.42666666666668</v>
      </c>
      <c r="J7" s="15">
        <f>$B7*J32/Assum!$B$150</f>
        <v>124.97499999999997</v>
      </c>
      <c r="K7" s="15">
        <f>$B7*K32/Assum!$B$150</f>
        <v>326.02333333333331</v>
      </c>
      <c r="L7" s="15">
        <f>$B7*L32/Assum!$B$150</f>
        <v>722.59499606852216</v>
      </c>
      <c r="M7" s="15">
        <f>$B7*M32/Assum!$B$150</f>
        <v>677.06817347731715</v>
      </c>
      <c r="N7" s="15">
        <f>$B7*N32/Assum!$B$150</f>
        <v>691.49449146643201</v>
      </c>
      <c r="O7" s="15">
        <f>$B7*O32/Assum!$B$150</f>
        <v>741.95070956681104</v>
      </c>
      <c r="P7" s="15">
        <f>$B7*P32/Assum!$B$150</f>
        <v>754.69235918468621</v>
      </c>
      <c r="Q7" s="15">
        <f>$B7*Q32/Assum!$B$150</f>
        <v>805.32596611948793</v>
      </c>
      <c r="R7" s="15">
        <f>$B7*R32/Assum!$B$150</f>
        <v>817.26191680599277</v>
      </c>
      <c r="S7" s="15">
        <f>$B7*S32/Assum!$B$150</f>
        <v>873.48160917634152</v>
      </c>
      <c r="T7" s="15">
        <f>$B7*T32/Assum!$B$150</f>
        <v>889.0624645343446</v>
      </c>
      <c r="U7" s="15">
        <f>$B7*U32/Assum!$B$150</f>
        <v>945.31416831757213</v>
      </c>
      <c r="V7" s="15">
        <f>$B7*V32/Assum!$B$150</f>
        <v>959.9152962562099</v>
      </c>
      <c r="W7" s="15">
        <f>$B7*W32/Assum!$B$150</f>
        <v>1022.569631870223</v>
      </c>
      <c r="X7" s="15">
        <f>$B7*X32/Assum!$B$150</f>
        <v>1041.4183414970591</v>
      </c>
      <c r="Y7" s="15">
        <f>$B7*Y32/Assum!$B$150</f>
        <v>1086.756675741917</v>
      </c>
      <c r="Z7" s="15">
        <f>$B7*Z32/Assum!$B$150</f>
        <v>1124.8327302250643</v>
      </c>
      <c r="AA7" s="15">
        <f>$B7*AA32/Assum!$B$150</f>
        <v>1146.1869562237855</v>
      </c>
      <c r="AB7" s="15">
        <f>$B7*AB32/Assum!$B$150</f>
        <v>982.17845557098087</v>
      </c>
      <c r="AC7" s="15">
        <f>$B7*AC32/Assum!$B$150</f>
        <v>368.11780025440561</v>
      </c>
      <c r="AD7" s="13"/>
    </row>
    <row r="8" spans="1:32">
      <c r="A8" s="423" t="s">
        <v>223</v>
      </c>
      <c r="B8" s="9"/>
      <c r="C8" s="425"/>
      <c r="D8" s="426"/>
      <c r="E8" s="426"/>
      <c r="F8" s="15">
        <f>(SUM(F2:F6)-F7)</f>
        <v>752.2326833333334</v>
      </c>
      <c r="G8" s="15">
        <f>(SUM(G2:G6)-G7)</f>
        <v>621.55366666666669</v>
      </c>
      <c r="H8" s="13">
        <f t="shared" ref="H8:AC8" si="1">SUM(H2:H6)-H7</f>
        <v>653.83033333333333</v>
      </c>
      <c r="I8" s="13">
        <f t="shared" si="1"/>
        <v>764.69466666666654</v>
      </c>
      <c r="J8" s="13">
        <f t="shared" si="1"/>
        <v>396.97616666666664</v>
      </c>
      <c r="K8" s="13">
        <f t="shared" si="1"/>
        <v>769.42233333333343</v>
      </c>
      <c r="L8" s="13">
        <f t="shared" si="1"/>
        <v>1262.0364752566361</v>
      </c>
      <c r="M8" s="13">
        <f t="shared" si="1"/>
        <v>1316.2386005511166</v>
      </c>
      <c r="N8" s="13">
        <f t="shared" si="1"/>
        <v>1316.1139820863361</v>
      </c>
      <c r="O8" s="13">
        <f t="shared" si="1"/>
        <v>1407.946558363908</v>
      </c>
      <c r="P8" s="13">
        <f t="shared" si="1"/>
        <v>1416.589798452922</v>
      </c>
      <c r="Q8" s="13">
        <f t="shared" si="1"/>
        <v>1500.0556172866759</v>
      </c>
      <c r="R8" s="13">
        <f t="shared" si="1"/>
        <v>1546.4618495014638</v>
      </c>
      <c r="S8" s="13">
        <f t="shared" si="1"/>
        <v>1603.8475915078225</v>
      </c>
      <c r="T8" s="13">
        <f t="shared" si="1"/>
        <v>1613.3572248703176</v>
      </c>
      <c r="U8" s="13">
        <f t="shared" si="1"/>
        <v>1713.0675585027084</v>
      </c>
      <c r="V8" s="13">
        <f t="shared" si="1"/>
        <v>1755.6374174287803</v>
      </c>
      <c r="W8" s="13">
        <f t="shared" si="1"/>
        <v>1815.6367346665675</v>
      </c>
      <c r="X8" s="13">
        <f t="shared" si="1"/>
        <v>1876.1331739966884</v>
      </c>
      <c r="Y8" s="13">
        <f t="shared" si="1"/>
        <v>1905.741633027081</v>
      </c>
      <c r="Z8" s="13">
        <f t="shared" si="1"/>
        <v>1931.4969923519791</v>
      </c>
      <c r="AA8" s="13">
        <f t="shared" si="1"/>
        <v>2030.6164887443745</v>
      </c>
      <c r="AB8" s="13">
        <f t="shared" si="1"/>
        <v>1809.6401149770395</v>
      </c>
      <c r="AC8" s="13">
        <f t="shared" si="1"/>
        <v>958.82258024285534</v>
      </c>
      <c r="AD8" s="13"/>
    </row>
    <row r="9" spans="1:32">
      <c r="A9" s="423" t="s">
        <v>85</v>
      </c>
      <c r="B9" s="27">
        <f>Assum!B63</f>
        <v>0</v>
      </c>
      <c r="C9" s="28">
        <f>15%*C8</f>
        <v>0</v>
      </c>
      <c r="D9" s="9">
        <f>D8*$B9</f>
        <v>0</v>
      </c>
      <c r="E9" s="9">
        <f>E8*$B9</f>
        <v>0</v>
      </c>
      <c r="F9" s="9">
        <f>F8*$B9</f>
        <v>0</v>
      </c>
      <c r="G9" s="9">
        <f>G8*$B9</f>
        <v>0</v>
      </c>
      <c r="H9" s="9">
        <f t="shared" ref="H9:AC9" si="2">H8*$B9</f>
        <v>0</v>
      </c>
      <c r="I9" s="9">
        <f t="shared" si="2"/>
        <v>0</v>
      </c>
      <c r="J9" s="9">
        <f t="shared" si="2"/>
        <v>0</v>
      </c>
      <c r="K9" s="9">
        <f t="shared" si="2"/>
        <v>0</v>
      </c>
      <c r="L9" s="9">
        <f t="shared" si="2"/>
        <v>0</v>
      </c>
      <c r="M9" s="9">
        <f t="shared" si="2"/>
        <v>0</v>
      </c>
      <c r="N9" s="9">
        <f t="shared" si="2"/>
        <v>0</v>
      </c>
      <c r="O9" s="9">
        <f t="shared" si="2"/>
        <v>0</v>
      </c>
      <c r="P9" s="9">
        <f t="shared" si="2"/>
        <v>0</v>
      </c>
      <c r="Q9" s="9">
        <f t="shared" si="2"/>
        <v>0</v>
      </c>
      <c r="R9" s="9">
        <f t="shared" si="2"/>
        <v>0</v>
      </c>
      <c r="S9" s="9">
        <f t="shared" si="2"/>
        <v>0</v>
      </c>
      <c r="T9" s="9">
        <f t="shared" si="2"/>
        <v>0</v>
      </c>
      <c r="U9" s="9">
        <f t="shared" si="2"/>
        <v>0</v>
      </c>
      <c r="V9" s="9">
        <f t="shared" si="2"/>
        <v>0</v>
      </c>
      <c r="W9" s="9">
        <f t="shared" si="2"/>
        <v>0</v>
      </c>
      <c r="X9" s="9">
        <f t="shared" si="2"/>
        <v>0</v>
      </c>
      <c r="Y9" s="9">
        <f t="shared" si="2"/>
        <v>0</v>
      </c>
      <c r="Z9" s="9">
        <f t="shared" si="2"/>
        <v>0</v>
      </c>
      <c r="AA9" s="9">
        <f t="shared" si="2"/>
        <v>0</v>
      </c>
      <c r="AB9" s="9">
        <f t="shared" si="2"/>
        <v>0</v>
      </c>
      <c r="AC9" s="9">
        <f t="shared" si="2"/>
        <v>0</v>
      </c>
      <c r="AD9" s="9"/>
    </row>
    <row r="10" spans="1:32">
      <c r="A10" s="423" t="s">
        <v>224</v>
      </c>
      <c r="C10" s="28">
        <f>C8-C9</f>
        <v>0</v>
      </c>
      <c r="D10" s="9">
        <f>D8-D9</f>
        <v>0</v>
      </c>
      <c r="E10" s="9">
        <f t="shared" ref="E10:AC10" si="3">E8-E9</f>
        <v>0</v>
      </c>
      <c r="F10" s="9">
        <f t="shared" si="3"/>
        <v>752.2326833333334</v>
      </c>
      <c r="G10" s="9">
        <f t="shared" si="3"/>
        <v>621.55366666666669</v>
      </c>
      <c r="H10" s="9">
        <f t="shared" si="3"/>
        <v>653.83033333333333</v>
      </c>
      <c r="I10" s="9">
        <f t="shared" si="3"/>
        <v>764.69466666666654</v>
      </c>
      <c r="J10" s="9">
        <f t="shared" si="3"/>
        <v>396.97616666666664</v>
      </c>
      <c r="K10" s="9">
        <f t="shared" si="3"/>
        <v>769.42233333333343</v>
      </c>
      <c r="L10" s="9">
        <f t="shared" si="3"/>
        <v>1262.0364752566361</v>
      </c>
      <c r="M10" s="9">
        <f t="shared" si="3"/>
        <v>1316.2386005511166</v>
      </c>
      <c r="N10" s="9">
        <f t="shared" si="3"/>
        <v>1316.1139820863361</v>
      </c>
      <c r="O10" s="9">
        <f t="shared" si="3"/>
        <v>1407.946558363908</v>
      </c>
      <c r="P10" s="9">
        <f t="shared" si="3"/>
        <v>1416.589798452922</v>
      </c>
      <c r="Q10" s="9">
        <f t="shared" si="3"/>
        <v>1500.0556172866759</v>
      </c>
      <c r="R10" s="9">
        <f t="shared" si="3"/>
        <v>1546.4618495014638</v>
      </c>
      <c r="S10" s="9">
        <f t="shared" si="3"/>
        <v>1603.8475915078225</v>
      </c>
      <c r="T10" s="9">
        <f t="shared" si="3"/>
        <v>1613.3572248703176</v>
      </c>
      <c r="U10" s="9">
        <f t="shared" si="3"/>
        <v>1713.0675585027084</v>
      </c>
      <c r="V10" s="9">
        <f t="shared" si="3"/>
        <v>1755.6374174287803</v>
      </c>
      <c r="W10" s="9">
        <f t="shared" si="3"/>
        <v>1815.6367346665675</v>
      </c>
      <c r="X10" s="9">
        <f t="shared" si="3"/>
        <v>1876.1331739966884</v>
      </c>
      <c r="Y10" s="9">
        <f t="shared" si="3"/>
        <v>1905.741633027081</v>
      </c>
      <c r="Z10" s="9">
        <f t="shared" si="3"/>
        <v>1931.4969923519791</v>
      </c>
      <c r="AA10" s="9">
        <f t="shared" si="3"/>
        <v>2030.6164887443745</v>
      </c>
      <c r="AB10" s="9">
        <f t="shared" si="3"/>
        <v>1809.6401149770395</v>
      </c>
      <c r="AC10" s="9">
        <f t="shared" si="3"/>
        <v>958.82258024285534</v>
      </c>
      <c r="AD10" s="9"/>
    </row>
    <row r="11" spans="1:32">
      <c r="A11" s="423" t="s">
        <v>163</v>
      </c>
      <c r="B11" s="79">
        <f>Assum!B67</f>
        <v>1</v>
      </c>
      <c r="C11" s="28">
        <f>Financials!E106</f>
        <v>831.53412023999999</v>
      </c>
      <c r="D11" s="9">
        <f>D10*$B11</f>
        <v>0</v>
      </c>
      <c r="E11" s="9">
        <f t="shared" ref="E11:AC11" si="4">E10*$B11</f>
        <v>0</v>
      </c>
      <c r="F11" s="9">
        <f t="shared" si="4"/>
        <v>752.2326833333334</v>
      </c>
      <c r="G11" s="9">
        <f t="shared" si="4"/>
        <v>621.55366666666669</v>
      </c>
      <c r="H11" s="9">
        <f t="shared" si="4"/>
        <v>653.83033333333333</v>
      </c>
      <c r="I11" s="9">
        <f t="shared" si="4"/>
        <v>764.69466666666654</v>
      </c>
      <c r="J11" s="9">
        <f t="shared" si="4"/>
        <v>396.97616666666664</v>
      </c>
      <c r="K11" s="9">
        <f t="shared" si="4"/>
        <v>769.42233333333343</v>
      </c>
      <c r="L11" s="9">
        <f t="shared" si="4"/>
        <v>1262.0364752566361</v>
      </c>
      <c r="M11" s="9">
        <f t="shared" si="4"/>
        <v>1316.2386005511166</v>
      </c>
      <c r="N11" s="9">
        <f t="shared" si="4"/>
        <v>1316.1139820863361</v>
      </c>
      <c r="O11" s="9">
        <f t="shared" si="4"/>
        <v>1407.946558363908</v>
      </c>
      <c r="P11" s="9">
        <f t="shared" si="4"/>
        <v>1416.589798452922</v>
      </c>
      <c r="Q11" s="9">
        <f t="shared" si="4"/>
        <v>1500.0556172866759</v>
      </c>
      <c r="R11" s="9">
        <f t="shared" si="4"/>
        <v>1546.4618495014638</v>
      </c>
      <c r="S11" s="9">
        <f t="shared" si="4"/>
        <v>1603.8475915078225</v>
      </c>
      <c r="T11" s="9">
        <f t="shared" si="4"/>
        <v>1613.3572248703176</v>
      </c>
      <c r="U11" s="9">
        <f t="shared" si="4"/>
        <v>1713.0675585027084</v>
      </c>
      <c r="V11" s="9">
        <f t="shared" si="4"/>
        <v>1755.6374174287803</v>
      </c>
      <c r="W11" s="9">
        <f t="shared" si="4"/>
        <v>1815.6367346665675</v>
      </c>
      <c r="X11" s="9">
        <f t="shared" si="4"/>
        <v>1876.1331739966884</v>
      </c>
      <c r="Y11" s="9">
        <f t="shared" si="4"/>
        <v>1905.741633027081</v>
      </c>
      <c r="Z11" s="9">
        <f t="shared" si="4"/>
        <v>1931.4969923519791</v>
      </c>
      <c r="AA11" s="9">
        <f t="shared" si="4"/>
        <v>2030.6164887443745</v>
      </c>
      <c r="AB11" s="9">
        <f t="shared" si="4"/>
        <v>1809.6401149770395</v>
      </c>
      <c r="AC11" s="9">
        <f t="shared" si="4"/>
        <v>958.82258024285534</v>
      </c>
      <c r="AD11" s="9"/>
    </row>
    <row r="12" spans="1:32">
      <c r="A12" s="423" t="s">
        <v>225</v>
      </c>
      <c r="B12" s="427">
        <f>SUMPRODUCT(Assum!B65:B66,Assum!C65:C66)/SUM(Assum!C65:C66)</f>
        <v>8.7499999999999994E-2</v>
      </c>
      <c r="C12" s="79"/>
      <c r="D12" s="9"/>
      <c r="E12" s="9"/>
      <c r="F12" s="9">
        <f>F11*Assum!$B64/365*(F1-C1)</f>
        <v>102.67976127500002</v>
      </c>
      <c r="G12" s="9">
        <f>(G11*$B12*3/4)+(G11*Assum!B64*1/4)</f>
        <v>61.999978249999998</v>
      </c>
      <c r="H12" s="9">
        <f t="shared" ref="H12:AC12" si="5">H11*$B12</f>
        <v>57.210154166666662</v>
      </c>
      <c r="I12" s="9">
        <f t="shared" si="5"/>
        <v>66.910783333333313</v>
      </c>
      <c r="J12" s="9">
        <f t="shared" si="5"/>
        <v>34.735414583333331</v>
      </c>
      <c r="K12" s="9">
        <f t="shared" si="5"/>
        <v>67.324454166666669</v>
      </c>
      <c r="L12" s="9">
        <f t="shared" si="5"/>
        <v>110.42819158495566</v>
      </c>
      <c r="M12" s="9">
        <f t="shared" si="5"/>
        <v>115.17087754822269</v>
      </c>
      <c r="N12" s="9">
        <f t="shared" si="5"/>
        <v>115.15997343255441</v>
      </c>
      <c r="O12" s="9">
        <f t="shared" si="5"/>
        <v>123.19532385684194</v>
      </c>
      <c r="P12" s="9">
        <f t="shared" si="5"/>
        <v>123.95160736463066</v>
      </c>
      <c r="Q12" s="9">
        <f t="shared" si="5"/>
        <v>131.25486651258413</v>
      </c>
      <c r="R12" s="9">
        <f t="shared" si="5"/>
        <v>135.31541183137807</v>
      </c>
      <c r="S12" s="9">
        <f t="shared" si="5"/>
        <v>140.33666425693445</v>
      </c>
      <c r="T12" s="9">
        <f t="shared" si="5"/>
        <v>141.16875717615278</v>
      </c>
      <c r="U12" s="9">
        <f t="shared" si="5"/>
        <v>149.89341136898696</v>
      </c>
      <c r="V12" s="9">
        <f t="shared" si="5"/>
        <v>153.61827402501825</v>
      </c>
      <c r="W12" s="9">
        <f t="shared" si="5"/>
        <v>158.86821428332465</v>
      </c>
      <c r="X12" s="9">
        <f t="shared" si="5"/>
        <v>164.16165272471022</v>
      </c>
      <c r="Y12" s="9">
        <f t="shared" si="5"/>
        <v>166.75239288986958</v>
      </c>
      <c r="Z12" s="9">
        <f t="shared" si="5"/>
        <v>169.00598683079815</v>
      </c>
      <c r="AA12" s="9">
        <f t="shared" si="5"/>
        <v>177.67894276513275</v>
      </c>
      <c r="AB12" s="9">
        <f t="shared" si="5"/>
        <v>158.34351006049096</v>
      </c>
      <c r="AC12" s="9">
        <f t="shared" si="5"/>
        <v>83.896975771249842</v>
      </c>
      <c r="AD12" s="9"/>
    </row>
    <row r="13" spans="1:32">
      <c r="A13" t="s">
        <v>226</v>
      </c>
      <c r="B13" s="79"/>
      <c r="C13" s="9" t="e">
        <f>Financials!#REF!</f>
        <v>#REF!</v>
      </c>
      <c r="F13" t="e">
        <f ca="1">Financials!H63</f>
        <v>#DIV/0!</v>
      </c>
      <c r="G13" t="e">
        <f ca="1">Financials!I63</f>
        <v>#DIV/0!</v>
      </c>
      <c r="H13" t="e">
        <f ca="1">Financials!J63</f>
        <v>#DIV/0!</v>
      </c>
      <c r="I13" t="e">
        <f ca="1">Financials!K63</f>
        <v>#DIV/0!</v>
      </c>
      <c r="J13" t="e">
        <f ca="1">Financials!L63</f>
        <v>#DIV/0!</v>
      </c>
      <c r="K13" t="e">
        <f ca="1">Financials!M63</f>
        <v>#DIV/0!</v>
      </c>
      <c r="L13" t="e">
        <f ca="1">Financials!N63</f>
        <v>#DIV/0!</v>
      </c>
      <c r="M13" t="e">
        <f ca="1">Financials!O63</f>
        <v>#DIV/0!</v>
      </c>
      <c r="N13" t="e">
        <f ca="1">Financials!P63</f>
        <v>#DIV/0!</v>
      </c>
      <c r="O13" t="e">
        <f ca="1">Financials!Q63</f>
        <v>#DIV/0!</v>
      </c>
      <c r="P13" t="e">
        <f ca="1">Financials!R63</f>
        <v>#DIV/0!</v>
      </c>
      <c r="Q13" t="e">
        <f ca="1">Financials!S63</f>
        <v>#DIV/0!</v>
      </c>
      <c r="R13" t="e">
        <f ca="1">Financials!T63</f>
        <v>#DIV/0!</v>
      </c>
      <c r="S13" t="e">
        <f ca="1">Financials!U63</f>
        <v>#DIV/0!</v>
      </c>
      <c r="T13" t="e">
        <f ca="1">Financials!V63</f>
        <v>#DIV/0!</v>
      </c>
      <c r="U13" t="e">
        <f ca="1">Financials!W63</f>
        <v>#DIV/0!</v>
      </c>
      <c r="V13" t="e">
        <f ca="1">Financials!X63</f>
        <v>#DIV/0!</v>
      </c>
      <c r="W13" t="e">
        <f ca="1">Financials!Y63</f>
        <v>#DIV/0!</v>
      </c>
      <c r="X13" t="e">
        <f ca="1">Financials!Z63</f>
        <v>#DIV/0!</v>
      </c>
      <c r="Y13" t="e">
        <f ca="1">Financials!AA63</f>
        <v>#DIV/0!</v>
      </c>
      <c r="Z13" t="e">
        <f ca="1">Financials!AB63</f>
        <v>#DIV/0!</v>
      </c>
      <c r="AA13" t="e">
        <f ca="1">Financials!AC63</f>
        <v>#DIV/0!</v>
      </c>
      <c r="AB13" t="e">
        <f ca="1">Financials!AD63</f>
        <v>#DIV/0!</v>
      </c>
      <c r="AC13" t="e">
        <f ca="1">Financials!AE63</f>
        <v>#DIV/0!</v>
      </c>
    </row>
    <row r="14" spans="1:32">
      <c r="A14" s="8" t="s">
        <v>227</v>
      </c>
      <c r="D14" s="9">
        <f>Assum!$B$69</f>
        <v>0</v>
      </c>
      <c r="E14" s="9">
        <f>Assum!$B$69</f>
        <v>0</v>
      </c>
      <c r="F14" s="9">
        <f>Assum!$B$69</f>
        <v>0</v>
      </c>
      <c r="G14" s="9">
        <f>Assum!$B$69</f>
        <v>0</v>
      </c>
      <c r="H14" s="9">
        <f>Assum!$B$69</f>
        <v>0</v>
      </c>
      <c r="I14" s="9">
        <f>Assum!$B$69</f>
        <v>0</v>
      </c>
      <c r="J14" s="9">
        <f>Assum!$B$69</f>
        <v>0</v>
      </c>
      <c r="K14" s="9">
        <f>Assum!$B$69</f>
        <v>0</v>
      </c>
      <c r="L14" s="9">
        <f>Assum!$B$69</f>
        <v>0</v>
      </c>
      <c r="M14" s="9">
        <f>Assum!$B$69</f>
        <v>0</v>
      </c>
      <c r="N14" s="9">
        <f>Assum!$B$69</f>
        <v>0</v>
      </c>
      <c r="O14" s="9">
        <f>Assum!$B$69</f>
        <v>0</v>
      </c>
      <c r="P14" s="9">
        <f>Assum!$B$69</f>
        <v>0</v>
      </c>
      <c r="Q14" s="9">
        <f>Assum!$B$69</f>
        <v>0</v>
      </c>
      <c r="R14" s="9">
        <f>Assum!$B$69</f>
        <v>0</v>
      </c>
      <c r="S14" s="9">
        <f>Assum!$B$69</f>
        <v>0</v>
      </c>
      <c r="T14" s="9">
        <f>Assum!$B$69</f>
        <v>0</v>
      </c>
      <c r="U14" s="9">
        <f>Assum!$B$69</f>
        <v>0</v>
      </c>
      <c r="V14" s="9">
        <f>Assum!$B$69</f>
        <v>0</v>
      </c>
      <c r="W14" s="9">
        <f>Assum!$B$69</f>
        <v>0</v>
      </c>
      <c r="X14" s="9">
        <f>Assum!$B$69</f>
        <v>0</v>
      </c>
      <c r="Y14" s="9">
        <f>Assum!$B$69</f>
        <v>0</v>
      </c>
      <c r="Z14" s="9">
        <f>Assum!$B$69</f>
        <v>0</v>
      </c>
      <c r="AA14" s="9">
        <f>Assum!$B$69</f>
        <v>0</v>
      </c>
      <c r="AB14" s="9">
        <f>Assum!$B$69</f>
        <v>0</v>
      </c>
      <c r="AC14" s="9">
        <f>Assum!$B$69</f>
        <v>0</v>
      </c>
      <c r="AD14" s="9"/>
    </row>
    <row r="15" spans="1:32">
      <c r="A15" t="s">
        <v>228</v>
      </c>
      <c r="B15" s="79">
        <f>Assum!B70</f>
        <v>1.6E-2</v>
      </c>
      <c r="C15" s="9">
        <f>C11-C8</f>
        <v>831.53412023999999</v>
      </c>
      <c r="D15" s="9">
        <f>D14*$B15/(D1-EOMONTH(D1,-12))*(D1-C1)</f>
        <v>0</v>
      </c>
      <c r="E15" s="9">
        <f>E14*$B15/(E1-EOMONTH(E1,-12))*(E1-D1)</f>
        <v>0</v>
      </c>
      <c r="F15" s="9">
        <f>F14*$B15/(F1-EOMONTH(F1,-12))*(F1-C1)</f>
        <v>0</v>
      </c>
      <c r="G15" s="9">
        <f>G14*$B15/(G1-EOMONTH(G1,-12))*(G1-F1)</f>
        <v>0</v>
      </c>
      <c r="H15" s="9">
        <f>H14*$B15/(H1-EOMONTH(H1,-12))*(H1-G1)</f>
        <v>0</v>
      </c>
      <c r="I15" s="9">
        <f t="shared" ref="I15:AC15" si="6">I14*$B15/(I1-EOMONTH(I1,-12))*(I1-H1)</f>
        <v>0</v>
      </c>
      <c r="J15" s="9">
        <f t="shared" si="6"/>
        <v>0</v>
      </c>
      <c r="K15" s="9">
        <f t="shared" si="6"/>
        <v>0</v>
      </c>
      <c r="L15" s="9">
        <f t="shared" si="6"/>
        <v>0</v>
      </c>
      <c r="M15" s="9">
        <f t="shared" si="6"/>
        <v>0</v>
      </c>
      <c r="N15" s="9">
        <f t="shared" si="6"/>
        <v>0</v>
      </c>
      <c r="O15" s="9">
        <f t="shared" si="6"/>
        <v>0</v>
      </c>
      <c r="P15" s="9">
        <f t="shared" si="6"/>
        <v>0</v>
      </c>
      <c r="Q15" s="9">
        <f t="shared" si="6"/>
        <v>0</v>
      </c>
      <c r="R15" s="9">
        <f t="shared" si="6"/>
        <v>0</v>
      </c>
      <c r="S15" s="9">
        <f t="shared" si="6"/>
        <v>0</v>
      </c>
      <c r="T15" s="9">
        <f t="shared" si="6"/>
        <v>0</v>
      </c>
      <c r="U15" s="9">
        <f t="shared" si="6"/>
        <v>0</v>
      </c>
      <c r="V15" s="9">
        <f t="shared" si="6"/>
        <v>0</v>
      </c>
      <c r="W15" s="9">
        <f t="shared" si="6"/>
        <v>0</v>
      </c>
      <c r="X15" s="9">
        <f t="shared" si="6"/>
        <v>0</v>
      </c>
      <c r="Y15" s="9">
        <f t="shared" si="6"/>
        <v>0</v>
      </c>
      <c r="Z15" s="9">
        <f t="shared" si="6"/>
        <v>0</v>
      </c>
      <c r="AA15" s="9">
        <f t="shared" si="6"/>
        <v>0</v>
      </c>
      <c r="AB15" s="9">
        <f t="shared" si="6"/>
        <v>0</v>
      </c>
      <c r="AC15" s="9">
        <f t="shared" si="6"/>
        <v>0</v>
      </c>
      <c r="AD15" s="9"/>
    </row>
    <row r="17" spans="1:31">
      <c r="A17" t="s">
        <v>229</v>
      </c>
      <c r="C17" s="9"/>
      <c r="D17" s="49"/>
      <c r="E17" s="49"/>
      <c r="F17" s="49" t="e">
        <f ca="1">Financials!H87</f>
        <v>#DIV/0!</v>
      </c>
      <c r="G17" s="49" t="e">
        <f ca="1">Financials!I87</f>
        <v>#DIV/0!</v>
      </c>
      <c r="H17" s="49" t="e">
        <f ca="1">Financials!J87</f>
        <v>#DIV/0!</v>
      </c>
      <c r="I17" s="49" t="e">
        <f ca="1">Financials!K87</f>
        <v>#DIV/0!</v>
      </c>
      <c r="J17" s="49" t="e">
        <f ca="1">Financials!L87</f>
        <v>#DIV/0!</v>
      </c>
      <c r="K17" s="49" t="e">
        <f ca="1">Financials!M87</f>
        <v>#DIV/0!</v>
      </c>
      <c r="L17" s="49" t="e">
        <f ca="1">Financials!N87</f>
        <v>#DIV/0!</v>
      </c>
      <c r="M17" s="49" t="e">
        <f ca="1">Financials!O87</f>
        <v>#DIV/0!</v>
      </c>
      <c r="N17" s="49" t="e">
        <f ca="1">Financials!P87</f>
        <v>#DIV/0!</v>
      </c>
      <c r="O17" s="49" t="e">
        <f ca="1">Financials!Q87</f>
        <v>#DIV/0!</v>
      </c>
      <c r="P17" s="49" t="e">
        <f ca="1">Financials!R87</f>
        <v>#DIV/0!</v>
      </c>
      <c r="Q17" s="49" t="e">
        <f ca="1">Financials!S87</f>
        <v>#DIV/0!</v>
      </c>
      <c r="R17" s="49" t="e">
        <f ca="1">Financials!T87</f>
        <v>#DIV/0!</v>
      </c>
      <c r="S17" s="49" t="e">
        <f ca="1">Financials!U87</f>
        <v>#DIV/0!</v>
      </c>
      <c r="T17" s="49" t="e">
        <f ca="1">Financials!V87</f>
        <v>#DIV/0!</v>
      </c>
      <c r="U17" s="49" t="e">
        <f ca="1">Financials!W87</f>
        <v>#DIV/0!</v>
      </c>
      <c r="V17" s="49" t="e">
        <f ca="1">Financials!X87</f>
        <v>#DIV/0!</v>
      </c>
      <c r="W17" s="49" t="e">
        <f ca="1">Financials!Y87</f>
        <v>#DIV/0!</v>
      </c>
      <c r="X17" s="49" t="e">
        <f ca="1">Financials!Z87</f>
        <v>#DIV/0!</v>
      </c>
      <c r="Y17" s="49" t="e">
        <f ca="1">Financials!AA87</f>
        <v>#DIV/0!</v>
      </c>
      <c r="Z17" s="49" t="e">
        <f ca="1">Financials!AB87</f>
        <v>#DIV/0!</v>
      </c>
      <c r="AA17" s="49" t="e">
        <f ca="1">Financials!AC87</f>
        <v>#DIV/0!</v>
      </c>
      <c r="AB17" s="49" t="e">
        <f ca="1">Financials!AD87</f>
        <v>#DIV/0!</v>
      </c>
      <c r="AC17" s="49" t="e">
        <f ca="1">Financials!AE87</f>
        <v>#DIV/0!</v>
      </c>
      <c r="AD17" s="49"/>
      <c r="AE17" s="49"/>
    </row>
    <row r="18" spans="1:31">
      <c r="C18" s="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</row>
    <row r="19" spans="1:31">
      <c r="B19" t="s">
        <v>230</v>
      </c>
      <c r="C19" s="9" t="s">
        <v>231</v>
      </c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</row>
    <row r="20" spans="1:31">
      <c r="A20" t="s">
        <v>232</v>
      </c>
      <c r="B20">
        <v>1600</v>
      </c>
      <c r="D20" s="9"/>
      <c r="E20" s="9"/>
      <c r="F20" s="9"/>
      <c r="G20" s="13"/>
    </row>
    <row r="21" spans="1:31">
      <c r="A21" t="s">
        <v>233</v>
      </c>
      <c r="B21">
        <v>550</v>
      </c>
      <c r="C21" s="27">
        <v>2.2499999999999999E-2</v>
      </c>
      <c r="D21" s="9">
        <f>B21*C21</f>
        <v>12.375</v>
      </c>
      <c r="E21" s="9"/>
      <c r="G21" s="13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</row>
    <row r="22" spans="1:31">
      <c r="A22" t="s">
        <v>234</v>
      </c>
      <c r="B22">
        <f>B20-B21</f>
        <v>1050</v>
      </c>
      <c r="C22" s="27">
        <v>0.1255</v>
      </c>
      <c r="D22" s="9">
        <f>B22*C22</f>
        <v>131.77500000000001</v>
      </c>
      <c r="E22" s="9"/>
      <c r="G22" s="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</row>
    <row r="23" spans="1:31">
      <c r="D23" s="9">
        <f>D21+D22</f>
        <v>144.15</v>
      </c>
      <c r="E23" s="9"/>
      <c r="G23" s="9"/>
      <c r="I23" s="79"/>
    </row>
    <row r="24" spans="1:31">
      <c r="D24" s="27">
        <f>D23/B20</f>
        <v>9.009375E-2</v>
      </c>
      <c r="E24" s="27"/>
      <c r="G24" s="9"/>
    </row>
    <row r="25" spans="1:31">
      <c r="G25" s="9"/>
    </row>
    <row r="26" spans="1:31">
      <c r="A26" s="428" t="s">
        <v>235</v>
      </c>
      <c r="C26" s="400">
        <f>DATE(2017,3,31)</f>
        <v>42825</v>
      </c>
      <c r="D26" s="400">
        <f>EOMONTH(C26,6)</f>
        <v>43008</v>
      </c>
      <c r="E26" s="400">
        <f>EOMONTH(D26,6)</f>
        <v>43190</v>
      </c>
      <c r="F26" s="400">
        <f>EOMONTH(D26,6)</f>
        <v>43190</v>
      </c>
      <c r="G26" s="400">
        <f t="shared" ref="G26:AB26" si="7">EOMONTH(F26,12)</f>
        <v>43555</v>
      </c>
      <c r="H26" s="400">
        <f t="shared" si="7"/>
        <v>43921</v>
      </c>
      <c r="I26" s="400">
        <f t="shared" si="7"/>
        <v>44286</v>
      </c>
      <c r="J26" s="400">
        <f t="shared" si="7"/>
        <v>44651</v>
      </c>
      <c r="K26" s="400">
        <f t="shared" si="7"/>
        <v>45016</v>
      </c>
      <c r="L26" s="400">
        <f t="shared" si="7"/>
        <v>45382</v>
      </c>
      <c r="M26" s="400">
        <f t="shared" si="7"/>
        <v>45747</v>
      </c>
      <c r="N26" s="400">
        <f t="shared" si="7"/>
        <v>46112</v>
      </c>
      <c r="O26" s="400">
        <f t="shared" si="7"/>
        <v>46477</v>
      </c>
      <c r="P26" s="400">
        <f t="shared" si="7"/>
        <v>46843</v>
      </c>
      <c r="Q26" s="400">
        <f t="shared" si="7"/>
        <v>47208</v>
      </c>
      <c r="R26" s="400">
        <f t="shared" si="7"/>
        <v>47573</v>
      </c>
      <c r="S26" s="400">
        <f t="shared" si="7"/>
        <v>47938</v>
      </c>
      <c r="T26" s="400">
        <f t="shared" si="7"/>
        <v>48304</v>
      </c>
      <c r="U26" s="400">
        <f t="shared" si="7"/>
        <v>48669</v>
      </c>
      <c r="V26" s="400">
        <f t="shared" si="7"/>
        <v>49034</v>
      </c>
      <c r="W26" s="400">
        <f t="shared" si="7"/>
        <v>49399</v>
      </c>
      <c r="X26" s="400">
        <f t="shared" si="7"/>
        <v>49765</v>
      </c>
      <c r="Y26" s="400">
        <f t="shared" si="7"/>
        <v>50130</v>
      </c>
      <c r="Z26" s="400">
        <f t="shared" si="7"/>
        <v>50495</v>
      </c>
      <c r="AA26" s="400">
        <f t="shared" si="7"/>
        <v>50860</v>
      </c>
      <c r="AB26" s="400">
        <f t="shared" si="7"/>
        <v>51226</v>
      </c>
      <c r="AC26" s="400">
        <v>51513</v>
      </c>
    </row>
    <row r="27" spans="1:31">
      <c r="A27" s="366" t="s">
        <v>236</v>
      </c>
    </row>
    <row r="28" spans="1:31">
      <c r="A28" t="s">
        <v>237</v>
      </c>
      <c r="C28" s="429"/>
      <c r="D28" s="429"/>
      <c r="E28" s="429"/>
      <c r="F28" s="430">
        <f>SUM(Financials!H5:H8,Financials!H13)</f>
        <v>1307.24</v>
      </c>
      <c r="G28" s="430">
        <f>SUM(Financials!I5:I8,Financials!I13)</f>
        <v>1189.4500000000003</v>
      </c>
      <c r="H28" s="430">
        <f>SUM(Financials!J5:J8,Financials!J13)</f>
        <v>1221.9100000000001</v>
      </c>
      <c r="I28" s="430">
        <f>SUM(Financials!K5:K8,Financials!K13)</f>
        <v>958.02</v>
      </c>
      <c r="J28" s="430">
        <f>SUM(Financials!L5:L8,Financials!L13)</f>
        <v>763.92999999999984</v>
      </c>
      <c r="K28" s="430">
        <f>SUM(Financials!M5:M8,Financials!M13)</f>
        <v>1791.4299999999998</v>
      </c>
      <c r="L28" s="430">
        <f>SUM(Financials!N5:N8,Financials!N13)</f>
        <v>3978.2934619004186</v>
      </c>
      <c r="M28" s="430">
        <f>SUM(Financials!O5:O8,Financials!O13)</f>
        <v>4050.4980955410601</v>
      </c>
      <c r="N28" s="430">
        <f>SUM(Financials!P5:P8,Financials!P13)</f>
        <v>4135.0325175901044</v>
      </c>
      <c r="O28" s="430">
        <f>SUM(Financials!Q5:Q8,Financials!Q13)</f>
        <v>4406.9469575332369</v>
      </c>
      <c r="P28" s="430">
        <f>SUM(Financials!R5:R8,Financials!R13)</f>
        <v>4511.01728733051</v>
      </c>
      <c r="Q28" s="430">
        <f>SUM(Financials!S5:S8,Financials!S13)</f>
        <v>4786.606368275342</v>
      </c>
      <c r="R28" s="430">
        <f>SUM(Financials!T5:T8,Financials!T13)</f>
        <v>4887.0462277317829</v>
      </c>
      <c r="S28" s="430">
        <f>SUM(Financials!U5:U8,Financials!U13)</f>
        <v>5190.9050294279641</v>
      </c>
      <c r="T28" s="430">
        <f>SUM(Financials!V5:V8,Financials!V13)</f>
        <v>5314.1204165974978</v>
      </c>
      <c r="U28" s="430">
        <f>SUM(Financials!W5:W8,Financials!W13)</f>
        <v>5621.3629608534466</v>
      </c>
      <c r="V28" s="430">
        <f>SUM(Financials!X5:X8,Financials!X13)</f>
        <v>5740.0108010869062</v>
      </c>
      <c r="W28" s="430">
        <f>SUM(Financials!Y5:Y8,Financials!Y13)</f>
        <v>6079.5981365345615</v>
      </c>
      <c r="X28" s="430">
        <f>SUM(Financials!Z5:Z8,Financials!Z13)</f>
        <v>6224.7031655094943</v>
      </c>
      <c r="Y28" s="430">
        <f>SUM(Financials!AA5:AA8,Financials!AA13)</f>
        <v>6478.8089783790392</v>
      </c>
      <c r="Z28" s="430">
        <f>SUM(Financials!AB5:AB8,Financials!AB13)</f>
        <v>6710.9053812420525</v>
      </c>
      <c r="AA28" s="430">
        <f>SUM(Financials!AC5:AC8,Financials!AC13)</f>
        <v>6853.7399173289232</v>
      </c>
      <c r="AB28" s="430">
        <f>SUM(Financials!AD5:AD8,Financials!AD13)</f>
        <v>6027.665656702814</v>
      </c>
      <c r="AC28" s="430">
        <f>SUM(Financials!AE5:AE8,Financials!AE13)</f>
        <v>2751.2063241292667</v>
      </c>
    </row>
    <row r="29" spans="1:31">
      <c r="A29" t="s">
        <v>238</v>
      </c>
      <c r="F29" s="431">
        <f>Financials!H121+Financials!H122+Financials!H126</f>
        <v>89.73</v>
      </c>
      <c r="G29" s="431">
        <f>Financials!I121+Financials!I122+Financials!I126</f>
        <v>109.27</v>
      </c>
      <c r="H29" s="431">
        <f>Financials!J121+Financials!J122+Financials!J126</f>
        <v>12.8</v>
      </c>
      <c r="I29" s="431">
        <f>Financials!K121+Financials!K122+Financials!K126</f>
        <v>35.340000000000003</v>
      </c>
      <c r="J29" s="431">
        <f>Financials!L121+Financials!L122+Financials!L126</f>
        <v>21.259999999999998</v>
      </c>
      <c r="K29" s="431">
        <f>Financials!M121+Financials!M122+Financials!M126</f>
        <v>185.96999999999997</v>
      </c>
      <c r="L29" s="431">
        <f>Financials!N121+Financials!N122+Financials!N126</f>
        <v>543.24651451071497</v>
      </c>
      <c r="M29" s="431">
        <f>Financials!O121+Financials!O122+Financials!O126</f>
        <v>555.15745983355725</v>
      </c>
      <c r="N29" s="431">
        <f>Financials!P121+Financials!P122+Financials!P126</f>
        <v>569.09189104204518</v>
      </c>
      <c r="O29" s="431">
        <f>Financials!Q121+Financials!Q122+Financials!Q126</f>
        <v>613.84919090967435</v>
      </c>
      <c r="P29" s="431">
        <f>Financials!R121+Financials!R122+Financials!R126</f>
        <v>630.98605868728225</v>
      </c>
      <c r="Q29" s="431">
        <f>Financials!S121+Financials!S122+Financials!S126</f>
        <v>676.33548712886761</v>
      </c>
      <c r="R29" s="431">
        <f>Financials!T121+Financials!T122+Financials!T126</f>
        <v>692.86076023304122</v>
      </c>
      <c r="S29" s="431">
        <f>Financials!U121+Financials!U122+Financials!U126</f>
        <v>742.84538586312624</v>
      </c>
      <c r="T29" s="431">
        <f>Financials!V121+Financials!V122+Financials!V126</f>
        <v>763.0997564716962</v>
      </c>
      <c r="U29" s="431">
        <f>Financials!W121+Financials!W122+Financials!W126</f>
        <v>813.62180552368193</v>
      </c>
      <c r="V29" s="431">
        <f>Financials!X121+Financials!X122+Financials!X126</f>
        <v>833.10278197403522</v>
      </c>
      <c r="W29" s="431">
        <f>Financials!Y121+Financials!Y122+Financials!Y126</f>
        <v>888.92243666081197</v>
      </c>
      <c r="X29" s="431">
        <f>Financials!Z121+Financials!Z122+Financials!Z126</f>
        <v>912.72932013367279</v>
      </c>
      <c r="Y29" s="431">
        <f>Financials!AA121+Financials!AA122+Financials!AA126</f>
        <v>954.4603962061351</v>
      </c>
      <c r="Z29" s="431">
        <f>Financials!AB121+Financials!AB122+Financials!AB126</f>
        <v>992.55139631446878</v>
      </c>
      <c r="AA29" s="431">
        <f>Financials!AC121+Financials!AC122+Financials!AC126</f>
        <v>1015.9332163282587</v>
      </c>
      <c r="AB29" s="431">
        <f>Financials!AD121+Financials!AD122+Financials!AD126</f>
        <v>881.33829305132997</v>
      </c>
      <c r="AC29" s="431">
        <f>Financials!AE121+Financials!AE122+Financials!AE126</f>
        <v>338.83877044849658</v>
      </c>
    </row>
    <row r="30" spans="1:31">
      <c r="A30" t="s">
        <v>239</v>
      </c>
      <c r="F30" s="431">
        <f>Financials!E121+Financials!E122+Financials!E126</f>
        <v>87.508099999999999</v>
      </c>
      <c r="G30" s="431">
        <f>F29</f>
        <v>89.73</v>
      </c>
      <c r="H30" s="431">
        <f>G29</f>
        <v>109.27</v>
      </c>
      <c r="I30" s="431">
        <f t="shared" ref="I30:AC30" si="8">H29</f>
        <v>12.8</v>
      </c>
      <c r="J30" s="431">
        <f t="shared" si="8"/>
        <v>35.340000000000003</v>
      </c>
      <c r="K30" s="431">
        <f t="shared" si="8"/>
        <v>21.259999999999998</v>
      </c>
      <c r="L30" s="431">
        <f t="shared" si="8"/>
        <v>185.96999999999997</v>
      </c>
      <c r="M30" s="431">
        <f t="shared" si="8"/>
        <v>543.24651451071497</v>
      </c>
      <c r="N30" s="431">
        <f t="shared" si="8"/>
        <v>555.15745983355725</v>
      </c>
      <c r="O30" s="431">
        <f t="shared" si="8"/>
        <v>569.09189104204518</v>
      </c>
      <c r="P30" s="431">
        <f t="shared" si="8"/>
        <v>613.84919090967435</v>
      </c>
      <c r="Q30" s="431">
        <f t="shared" si="8"/>
        <v>630.98605868728225</v>
      </c>
      <c r="R30" s="431">
        <f t="shared" si="8"/>
        <v>676.33548712886761</v>
      </c>
      <c r="S30" s="431">
        <f t="shared" si="8"/>
        <v>692.86076023304122</v>
      </c>
      <c r="T30" s="431">
        <f t="shared" si="8"/>
        <v>742.84538586312624</v>
      </c>
      <c r="U30" s="431">
        <f t="shared" si="8"/>
        <v>763.0997564716962</v>
      </c>
      <c r="V30" s="431">
        <f t="shared" si="8"/>
        <v>813.62180552368193</v>
      </c>
      <c r="W30" s="431">
        <f t="shared" si="8"/>
        <v>833.10278197403522</v>
      </c>
      <c r="X30" s="431">
        <f t="shared" si="8"/>
        <v>888.92243666081197</v>
      </c>
      <c r="Y30" s="431">
        <f t="shared" si="8"/>
        <v>912.72932013367279</v>
      </c>
      <c r="Z30" s="431">
        <f t="shared" si="8"/>
        <v>954.4603962061351</v>
      </c>
      <c r="AA30" s="431">
        <f t="shared" si="8"/>
        <v>992.55139631446878</v>
      </c>
      <c r="AB30" s="431">
        <f t="shared" si="8"/>
        <v>1015.9332163282587</v>
      </c>
      <c r="AC30" s="431">
        <f t="shared" si="8"/>
        <v>881.33829305132997</v>
      </c>
    </row>
    <row r="32" spans="1:31">
      <c r="A32" t="s">
        <v>240</v>
      </c>
      <c r="F32">
        <f t="shared" ref="F32:K32" si="9">F28+F29-F30</f>
        <v>1309.4619</v>
      </c>
      <c r="G32">
        <f t="shared" si="9"/>
        <v>1208.9900000000002</v>
      </c>
      <c r="H32">
        <f t="shared" si="9"/>
        <v>1125.44</v>
      </c>
      <c r="I32">
        <f t="shared" si="9"/>
        <v>980.56000000000006</v>
      </c>
      <c r="J32">
        <f t="shared" si="9"/>
        <v>749.8499999999998</v>
      </c>
      <c r="K32">
        <f t="shared" si="9"/>
        <v>1956.1399999999999</v>
      </c>
      <c r="L32">
        <f t="shared" ref="L32:Q32" si="10">L28+L29-L30</f>
        <v>4335.5699764111332</v>
      </c>
      <c r="M32">
        <f t="shared" si="10"/>
        <v>4062.4090408639026</v>
      </c>
      <c r="N32">
        <f t="shared" si="10"/>
        <v>4148.9669487985921</v>
      </c>
      <c r="O32">
        <f t="shared" si="10"/>
        <v>4451.7042574008665</v>
      </c>
      <c r="P32">
        <f t="shared" si="10"/>
        <v>4528.1541551081173</v>
      </c>
      <c r="Q32">
        <f t="shared" si="10"/>
        <v>4831.9557967169276</v>
      </c>
      <c r="R32">
        <f t="shared" ref="R32:AC32" si="11">R28+R29-R30</f>
        <v>4903.5715008359566</v>
      </c>
      <c r="S32">
        <f t="shared" si="11"/>
        <v>5240.8896550580494</v>
      </c>
      <c r="T32">
        <f t="shared" si="11"/>
        <v>5334.3747872060676</v>
      </c>
      <c r="U32">
        <f t="shared" si="11"/>
        <v>5671.8850099054325</v>
      </c>
      <c r="V32">
        <f t="shared" si="11"/>
        <v>5759.4917775372596</v>
      </c>
      <c r="W32">
        <f t="shared" si="11"/>
        <v>6135.4177912213381</v>
      </c>
      <c r="X32">
        <f t="shared" si="11"/>
        <v>6248.5100489823544</v>
      </c>
      <c r="Y32">
        <f t="shared" si="11"/>
        <v>6520.5400544515014</v>
      </c>
      <c r="Z32">
        <f t="shared" si="11"/>
        <v>6748.9963813503855</v>
      </c>
      <c r="AA32">
        <f t="shared" si="11"/>
        <v>6877.1217373427135</v>
      </c>
      <c r="AB32">
        <f t="shared" si="11"/>
        <v>5893.070733425885</v>
      </c>
      <c r="AC32">
        <f t="shared" si="11"/>
        <v>2208.7068015264335</v>
      </c>
    </row>
  </sheetData>
  <pageMargins left="0.69930555555555596" right="0.69930555555555596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X114"/>
  <sheetViews>
    <sheetView workbookViewId="0">
      <pane xSplit="2" ySplit="3" topLeftCell="BR4" activePane="bottomRight" state="frozen"/>
      <selection pane="topRight"/>
      <selection pane="bottomLeft"/>
      <selection pane="bottomRight" activeCell="BV21" sqref="BV21"/>
    </sheetView>
  </sheetViews>
  <sheetFormatPr defaultColWidth="9" defaultRowHeight="14.4"/>
  <cols>
    <col min="1" max="1" width="20" customWidth="1"/>
    <col min="2" max="3" width="10.33203125" customWidth="1"/>
    <col min="4" max="281" width="10.6640625" customWidth="1"/>
  </cols>
  <sheetData>
    <row r="1" spans="1:310" s="398" customFormat="1">
      <c r="A1" s="398" t="s">
        <v>241</v>
      </c>
      <c r="B1" s="7">
        <f>Assum!B89</f>
        <v>42825</v>
      </c>
      <c r="C1" s="7"/>
      <c r="D1" s="7">
        <f>EOMONTH(B1,1)</f>
        <v>42855</v>
      </c>
      <c r="E1" s="7">
        <f>EOMONTH(D1,1)</f>
        <v>42886</v>
      </c>
      <c r="F1" s="7">
        <f>EOMONTH(E1,1)</f>
        <v>42916</v>
      </c>
      <c r="G1" s="7">
        <f t="shared" ref="G1:BR1" si="0">EOMONTH(F1,1)</f>
        <v>42947</v>
      </c>
      <c r="H1" s="7">
        <f t="shared" si="0"/>
        <v>42978</v>
      </c>
      <c r="I1" s="7">
        <f t="shared" si="0"/>
        <v>43008</v>
      </c>
      <c r="J1" s="7">
        <f t="shared" si="0"/>
        <v>43039</v>
      </c>
      <c r="K1" s="7">
        <f t="shared" si="0"/>
        <v>43069</v>
      </c>
      <c r="L1" s="7">
        <f t="shared" si="0"/>
        <v>43100</v>
      </c>
      <c r="M1" s="7">
        <f t="shared" si="0"/>
        <v>43131</v>
      </c>
      <c r="N1" s="7">
        <f t="shared" si="0"/>
        <v>43159</v>
      </c>
      <c r="O1" s="7">
        <f t="shared" si="0"/>
        <v>43190</v>
      </c>
      <c r="P1" s="7">
        <f t="shared" si="0"/>
        <v>43220</v>
      </c>
      <c r="Q1" s="7">
        <f t="shared" si="0"/>
        <v>43251</v>
      </c>
      <c r="R1" s="7">
        <f t="shared" si="0"/>
        <v>43281</v>
      </c>
      <c r="S1" s="7">
        <f t="shared" si="0"/>
        <v>43312</v>
      </c>
      <c r="T1" s="7">
        <f t="shared" si="0"/>
        <v>43343</v>
      </c>
      <c r="U1" s="7">
        <f t="shared" si="0"/>
        <v>43373</v>
      </c>
      <c r="V1" s="7">
        <f t="shared" si="0"/>
        <v>43404</v>
      </c>
      <c r="W1" s="7">
        <f t="shared" si="0"/>
        <v>43434</v>
      </c>
      <c r="X1" s="7">
        <f t="shared" si="0"/>
        <v>43465</v>
      </c>
      <c r="Y1" s="7">
        <f t="shared" si="0"/>
        <v>43496</v>
      </c>
      <c r="Z1" s="7">
        <f t="shared" si="0"/>
        <v>43524</v>
      </c>
      <c r="AA1" s="7">
        <f t="shared" si="0"/>
        <v>43555</v>
      </c>
      <c r="AB1" s="7">
        <f t="shared" si="0"/>
        <v>43585</v>
      </c>
      <c r="AC1" s="7">
        <f t="shared" si="0"/>
        <v>43616</v>
      </c>
      <c r="AD1" s="7">
        <f t="shared" si="0"/>
        <v>43646</v>
      </c>
      <c r="AE1" s="7">
        <f t="shared" si="0"/>
        <v>43677</v>
      </c>
      <c r="AF1" s="7">
        <f t="shared" si="0"/>
        <v>43708</v>
      </c>
      <c r="AG1" s="7">
        <f t="shared" si="0"/>
        <v>43738</v>
      </c>
      <c r="AH1" s="7">
        <f t="shared" si="0"/>
        <v>43769</v>
      </c>
      <c r="AI1" s="7">
        <f t="shared" si="0"/>
        <v>43799</v>
      </c>
      <c r="AJ1" s="7">
        <f t="shared" si="0"/>
        <v>43830</v>
      </c>
      <c r="AK1" s="7">
        <f t="shared" si="0"/>
        <v>43861</v>
      </c>
      <c r="AL1" s="7">
        <f t="shared" si="0"/>
        <v>43890</v>
      </c>
      <c r="AM1" s="7">
        <f t="shared" si="0"/>
        <v>43921</v>
      </c>
      <c r="AN1" s="7">
        <f t="shared" si="0"/>
        <v>43951</v>
      </c>
      <c r="AO1" s="7">
        <f t="shared" si="0"/>
        <v>43982</v>
      </c>
      <c r="AP1" s="7">
        <f t="shared" si="0"/>
        <v>44012</v>
      </c>
      <c r="AQ1" s="7">
        <f t="shared" si="0"/>
        <v>44043</v>
      </c>
      <c r="AR1" s="7">
        <f t="shared" si="0"/>
        <v>44074</v>
      </c>
      <c r="AS1" s="7">
        <f t="shared" si="0"/>
        <v>44104</v>
      </c>
      <c r="AT1" s="7">
        <f t="shared" si="0"/>
        <v>44135</v>
      </c>
      <c r="AU1" s="7">
        <f t="shared" si="0"/>
        <v>44165</v>
      </c>
      <c r="AV1" s="7">
        <f t="shared" si="0"/>
        <v>44196</v>
      </c>
      <c r="AW1" s="7">
        <f t="shared" si="0"/>
        <v>44227</v>
      </c>
      <c r="AX1" s="7">
        <f t="shared" si="0"/>
        <v>44255</v>
      </c>
      <c r="AY1" s="7">
        <f t="shared" si="0"/>
        <v>44286</v>
      </c>
      <c r="AZ1" s="7">
        <f t="shared" si="0"/>
        <v>44316</v>
      </c>
      <c r="BA1" s="7">
        <f t="shared" si="0"/>
        <v>44347</v>
      </c>
      <c r="BB1" s="7">
        <f t="shared" si="0"/>
        <v>44377</v>
      </c>
      <c r="BC1" s="7">
        <f t="shared" si="0"/>
        <v>44408</v>
      </c>
      <c r="BD1" s="7">
        <f t="shared" si="0"/>
        <v>44439</v>
      </c>
      <c r="BE1" s="7">
        <f t="shared" si="0"/>
        <v>44469</v>
      </c>
      <c r="BF1" s="7">
        <f t="shared" si="0"/>
        <v>44500</v>
      </c>
      <c r="BG1" s="7">
        <f t="shared" si="0"/>
        <v>44530</v>
      </c>
      <c r="BH1" s="7">
        <f t="shared" si="0"/>
        <v>44561</v>
      </c>
      <c r="BI1" s="7">
        <f t="shared" si="0"/>
        <v>44592</v>
      </c>
      <c r="BJ1" s="7">
        <f t="shared" si="0"/>
        <v>44620</v>
      </c>
      <c r="BK1" s="7">
        <f t="shared" si="0"/>
        <v>44651</v>
      </c>
      <c r="BL1" s="7">
        <f t="shared" si="0"/>
        <v>44681</v>
      </c>
      <c r="BM1" s="7">
        <f t="shared" si="0"/>
        <v>44712</v>
      </c>
      <c r="BN1" s="7">
        <f t="shared" si="0"/>
        <v>44742</v>
      </c>
      <c r="BO1" s="7">
        <f t="shared" si="0"/>
        <v>44773</v>
      </c>
      <c r="BP1" s="7">
        <f t="shared" si="0"/>
        <v>44804</v>
      </c>
      <c r="BQ1" s="7">
        <f t="shared" si="0"/>
        <v>44834</v>
      </c>
      <c r="BR1" s="7">
        <f t="shared" si="0"/>
        <v>44865</v>
      </c>
      <c r="BS1" s="7">
        <f t="shared" ref="BS1:ED1" si="1">EOMONTH(BR1,1)</f>
        <v>44895</v>
      </c>
      <c r="BT1" s="7">
        <f t="shared" si="1"/>
        <v>44926</v>
      </c>
      <c r="BU1" s="7">
        <f t="shared" si="1"/>
        <v>44957</v>
      </c>
      <c r="BV1" s="7">
        <f t="shared" si="1"/>
        <v>44985</v>
      </c>
      <c r="BW1" s="7">
        <f t="shared" si="1"/>
        <v>45016</v>
      </c>
      <c r="BX1" s="7">
        <f t="shared" si="1"/>
        <v>45046</v>
      </c>
      <c r="BY1" s="7">
        <f t="shared" si="1"/>
        <v>45077</v>
      </c>
      <c r="BZ1" s="7">
        <f t="shared" si="1"/>
        <v>45107</v>
      </c>
      <c r="CA1" s="7">
        <f t="shared" si="1"/>
        <v>45138</v>
      </c>
      <c r="CB1" s="7">
        <f t="shared" si="1"/>
        <v>45169</v>
      </c>
      <c r="CC1" s="7">
        <f t="shared" si="1"/>
        <v>45199</v>
      </c>
      <c r="CD1" s="7">
        <f t="shared" si="1"/>
        <v>45230</v>
      </c>
      <c r="CE1" s="7">
        <f t="shared" si="1"/>
        <v>45260</v>
      </c>
      <c r="CF1" s="7">
        <f t="shared" si="1"/>
        <v>45291</v>
      </c>
      <c r="CG1" s="7">
        <f t="shared" si="1"/>
        <v>45322</v>
      </c>
      <c r="CH1" s="7">
        <f t="shared" si="1"/>
        <v>45351</v>
      </c>
      <c r="CI1" s="7">
        <f t="shared" si="1"/>
        <v>45382</v>
      </c>
      <c r="CJ1" s="7">
        <f t="shared" si="1"/>
        <v>45412</v>
      </c>
      <c r="CK1" s="7">
        <f t="shared" si="1"/>
        <v>45443</v>
      </c>
      <c r="CL1" s="7">
        <f t="shared" si="1"/>
        <v>45473</v>
      </c>
      <c r="CM1" s="7">
        <f t="shared" si="1"/>
        <v>45504</v>
      </c>
      <c r="CN1" s="7">
        <f t="shared" si="1"/>
        <v>45535</v>
      </c>
      <c r="CO1" s="7">
        <f t="shared" si="1"/>
        <v>45565</v>
      </c>
      <c r="CP1" s="7">
        <f t="shared" si="1"/>
        <v>45596</v>
      </c>
      <c r="CQ1" s="7">
        <f t="shared" si="1"/>
        <v>45626</v>
      </c>
      <c r="CR1" s="7">
        <f t="shared" si="1"/>
        <v>45657</v>
      </c>
      <c r="CS1" s="7">
        <f t="shared" si="1"/>
        <v>45688</v>
      </c>
      <c r="CT1" s="7">
        <f t="shared" si="1"/>
        <v>45716</v>
      </c>
      <c r="CU1" s="7">
        <f t="shared" si="1"/>
        <v>45747</v>
      </c>
      <c r="CV1" s="7">
        <f t="shared" si="1"/>
        <v>45777</v>
      </c>
      <c r="CW1" s="7">
        <f t="shared" si="1"/>
        <v>45808</v>
      </c>
      <c r="CX1" s="7">
        <f t="shared" si="1"/>
        <v>45838</v>
      </c>
      <c r="CY1" s="7">
        <f t="shared" si="1"/>
        <v>45869</v>
      </c>
      <c r="CZ1" s="7">
        <f t="shared" si="1"/>
        <v>45900</v>
      </c>
      <c r="DA1" s="7">
        <f t="shared" si="1"/>
        <v>45930</v>
      </c>
      <c r="DB1" s="7">
        <f t="shared" si="1"/>
        <v>45961</v>
      </c>
      <c r="DC1" s="7">
        <f t="shared" si="1"/>
        <v>45991</v>
      </c>
      <c r="DD1" s="7">
        <f t="shared" si="1"/>
        <v>46022</v>
      </c>
      <c r="DE1" s="7">
        <f t="shared" si="1"/>
        <v>46053</v>
      </c>
      <c r="DF1" s="7">
        <f t="shared" si="1"/>
        <v>46081</v>
      </c>
      <c r="DG1" s="7">
        <f t="shared" si="1"/>
        <v>46112</v>
      </c>
      <c r="DH1" s="7">
        <f t="shared" si="1"/>
        <v>46142</v>
      </c>
      <c r="DI1" s="7">
        <f t="shared" si="1"/>
        <v>46173</v>
      </c>
      <c r="DJ1" s="7">
        <f t="shared" si="1"/>
        <v>46203</v>
      </c>
      <c r="DK1" s="7">
        <f t="shared" si="1"/>
        <v>46234</v>
      </c>
      <c r="DL1" s="7">
        <f t="shared" si="1"/>
        <v>46265</v>
      </c>
      <c r="DM1" s="7">
        <f t="shared" si="1"/>
        <v>46295</v>
      </c>
      <c r="DN1" s="7">
        <f t="shared" si="1"/>
        <v>46326</v>
      </c>
      <c r="DO1" s="7">
        <f t="shared" si="1"/>
        <v>46356</v>
      </c>
      <c r="DP1" s="7">
        <f t="shared" si="1"/>
        <v>46387</v>
      </c>
      <c r="DQ1" s="7">
        <f t="shared" si="1"/>
        <v>46418</v>
      </c>
      <c r="DR1" s="7">
        <f t="shared" si="1"/>
        <v>46446</v>
      </c>
      <c r="DS1" s="7">
        <f t="shared" si="1"/>
        <v>46477</v>
      </c>
      <c r="DT1" s="7">
        <f t="shared" si="1"/>
        <v>46507</v>
      </c>
      <c r="DU1" s="7">
        <f t="shared" si="1"/>
        <v>46538</v>
      </c>
      <c r="DV1" s="7">
        <f t="shared" si="1"/>
        <v>46568</v>
      </c>
      <c r="DW1" s="7">
        <f t="shared" si="1"/>
        <v>46599</v>
      </c>
      <c r="DX1" s="7">
        <f t="shared" si="1"/>
        <v>46630</v>
      </c>
      <c r="DY1" s="7">
        <f t="shared" si="1"/>
        <v>46660</v>
      </c>
      <c r="DZ1" s="7">
        <f t="shared" si="1"/>
        <v>46691</v>
      </c>
      <c r="EA1" s="7">
        <f t="shared" si="1"/>
        <v>46721</v>
      </c>
      <c r="EB1" s="7">
        <f t="shared" si="1"/>
        <v>46752</v>
      </c>
      <c r="EC1" s="7">
        <f t="shared" si="1"/>
        <v>46783</v>
      </c>
      <c r="ED1" s="7">
        <f t="shared" si="1"/>
        <v>46812</v>
      </c>
      <c r="EE1" s="7">
        <f t="shared" ref="EE1:GP1" si="2">EOMONTH(ED1,1)</f>
        <v>46843</v>
      </c>
      <c r="EF1" s="7">
        <f t="shared" si="2"/>
        <v>46873</v>
      </c>
      <c r="EG1" s="7">
        <f t="shared" si="2"/>
        <v>46904</v>
      </c>
      <c r="EH1" s="7">
        <f t="shared" si="2"/>
        <v>46934</v>
      </c>
      <c r="EI1" s="7">
        <f t="shared" si="2"/>
        <v>46965</v>
      </c>
      <c r="EJ1" s="7">
        <f t="shared" si="2"/>
        <v>46996</v>
      </c>
      <c r="EK1" s="7">
        <f t="shared" si="2"/>
        <v>47026</v>
      </c>
      <c r="EL1" s="7">
        <f t="shared" si="2"/>
        <v>47057</v>
      </c>
      <c r="EM1" s="7">
        <f t="shared" si="2"/>
        <v>47087</v>
      </c>
      <c r="EN1" s="7">
        <f t="shared" si="2"/>
        <v>47118</v>
      </c>
      <c r="EO1" s="7">
        <f t="shared" si="2"/>
        <v>47149</v>
      </c>
      <c r="EP1" s="7">
        <f t="shared" si="2"/>
        <v>47177</v>
      </c>
      <c r="EQ1" s="7">
        <f t="shared" si="2"/>
        <v>47208</v>
      </c>
      <c r="ER1" s="7">
        <f t="shared" si="2"/>
        <v>47238</v>
      </c>
      <c r="ES1" s="7">
        <f t="shared" si="2"/>
        <v>47269</v>
      </c>
      <c r="ET1" s="7">
        <f t="shared" si="2"/>
        <v>47299</v>
      </c>
      <c r="EU1" s="7">
        <f t="shared" si="2"/>
        <v>47330</v>
      </c>
      <c r="EV1" s="7">
        <f t="shared" si="2"/>
        <v>47361</v>
      </c>
      <c r="EW1" s="7">
        <f t="shared" si="2"/>
        <v>47391</v>
      </c>
      <c r="EX1" s="7">
        <f t="shared" si="2"/>
        <v>47422</v>
      </c>
      <c r="EY1" s="7">
        <f t="shared" si="2"/>
        <v>47452</v>
      </c>
      <c r="EZ1" s="7">
        <f t="shared" si="2"/>
        <v>47483</v>
      </c>
      <c r="FA1" s="7">
        <f t="shared" si="2"/>
        <v>47514</v>
      </c>
      <c r="FB1" s="7">
        <f t="shared" si="2"/>
        <v>47542</v>
      </c>
      <c r="FC1" s="7">
        <f t="shared" si="2"/>
        <v>47573</v>
      </c>
      <c r="FD1" s="7">
        <f t="shared" si="2"/>
        <v>47603</v>
      </c>
      <c r="FE1" s="7">
        <f t="shared" si="2"/>
        <v>47634</v>
      </c>
      <c r="FF1" s="7">
        <f t="shared" si="2"/>
        <v>47664</v>
      </c>
      <c r="FG1" s="7">
        <f t="shared" si="2"/>
        <v>47695</v>
      </c>
      <c r="FH1" s="7">
        <f t="shared" si="2"/>
        <v>47726</v>
      </c>
      <c r="FI1" s="7">
        <f t="shared" si="2"/>
        <v>47756</v>
      </c>
      <c r="FJ1" s="7">
        <f t="shared" si="2"/>
        <v>47787</v>
      </c>
      <c r="FK1" s="7">
        <f t="shared" si="2"/>
        <v>47817</v>
      </c>
      <c r="FL1" s="7">
        <f t="shared" si="2"/>
        <v>47848</v>
      </c>
      <c r="FM1" s="7">
        <f t="shared" si="2"/>
        <v>47879</v>
      </c>
      <c r="FN1" s="7">
        <f t="shared" si="2"/>
        <v>47907</v>
      </c>
      <c r="FO1" s="7">
        <f t="shared" si="2"/>
        <v>47938</v>
      </c>
      <c r="FP1" s="7">
        <f t="shared" si="2"/>
        <v>47968</v>
      </c>
      <c r="FQ1" s="7">
        <f t="shared" si="2"/>
        <v>47999</v>
      </c>
      <c r="FR1" s="7">
        <f t="shared" si="2"/>
        <v>48029</v>
      </c>
      <c r="FS1" s="7">
        <f t="shared" si="2"/>
        <v>48060</v>
      </c>
      <c r="FT1" s="7">
        <f t="shared" si="2"/>
        <v>48091</v>
      </c>
      <c r="FU1" s="7">
        <f t="shared" si="2"/>
        <v>48121</v>
      </c>
      <c r="FV1" s="7">
        <f t="shared" si="2"/>
        <v>48152</v>
      </c>
      <c r="FW1" s="7">
        <f t="shared" si="2"/>
        <v>48182</v>
      </c>
      <c r="FX1" s="7">
        <f t="shared" si="2"/>
        <v>48213</v>
      </c>
      <c r="FY1" s="7">
        <f t="shared" si="2"/>
        <v>48244</v>
      </c>
      <c r="FZ1" s="7">
        <f t="shared" si="2"/>
        <v>48273</v>
      </c>
      <c r="GA1" s="7">
        <f t="shared" si="2"/>
        <v>48304</v>
      </c>
      <c r="GB1" s="7">
        <f t="shared" si="2"/>
        <v>48334</v>
      </c>
      <c r="GC1" s="7">
        <f t="shared" si="2"/>
        <v>48365</v>
      </c>
      <c r="GD1" s="7">
        <f t="shared" si="2"/>
        <v>48395</v>
      </c>
      <c r="GE1" s="7">
        <f t="shared" si="2"/>
        <v>48426</v>
      </c>
      <c r="GF1" s="7">
        <f t="shared" si="2"/>
        <v>48457</v>
      </c>
      <c r="GG1" s="7">
        <f t="shared" si="2"/>
        <v>48487</v>
      </c>
      <c r="GH1" s="7">
        <f t="shared" si="2"/>
        <v>48518</v>
      </c>
      <c r="GI1" s="7">
        <f t="shared" si="2"/>
        <v>48548</v>
      </c>
      <c r="GJ1" s="7">
        <f t="shared" si="2"/>
        <v>48579</v>
      </c>
      <c r="GK1" s="7">
        <f t="shared" si="2"/>
        <v>48610</v>
      </c>
      <c r="GL1" s="7">
        <f t="shared" si="2"/>
        <v>48638</v>
      </c>
      <c r="GM1" s="7">
        <f t="shared" si="2"/>
        <v>48669</v>
      </c>
      <c r="GN1" s="7">
        <f t="shared" si="2"/>
        <v>48699</v>
      </c>
      <c r="GO1" s="7">
        <f t="shared" si="2"/>
        <v>48730</v>
      </c>
      <c r="GP1" s="7">
        <f t="shared" si="2"/>
        <v>48760</v>
      </c>
      <c r="GQ1" s="7">
        <f t="shared" ref="GQ1:JB1" si="3">EOMONTH(GP1,1)</f>
        <v>48791</v>
      </c>
      <c r="GR1" s="7">
        <f t="shared" si="3"/>
        <v>48822</v>
      </c>
      <c r="GS1" s="7">
        <f t="shared" si="3"/>
        <v>48852</v>
      </c>
      <c r="GT1" s="7">
        <f t="shared" si="3"/>
        <v>48883</v>
      </c>
      <c r="GU1" s="7">
        <f t="shared" si="3"/>
        <v>48913</v>
      </c>
      <c r="GV1" s="7">
        <f t="shared" si="3"/>
        <v>48944</v>
      </c>
      <c r="GW1" s="7">
        <f t="shared" si="3"/>
        <v>48975</v>
      </c>
      <c r="GX1" s="7">
        <f t="shared" si="3"/>
        <v>49003</v>
      </c>
      <c r="GY1" s="7">
        <f t="shared" si="3"/>
        <v>49034</v>
      </c>
      <c r="GZ1" s="7">
        <f t="shared" si="3"/>
        <v>49064</v>
      </c>
      <c r="HA1" s="7">
        <f t="shared" si="3"/>
        <v>49095</v>
      </c>
      <c r="HB1" s="7">
        <f t="shared" si="3"/>
        <v>49125</v>
      </c>
      <c r="HC1" s="7">
        <f t="shared" si="3"/>
        <v>49156</v>
      </c>
      <c r="HD1" s="7">
        <f t="shared" si="3"/>
        <v>49187</v>
      </c>
      <c r="HE1" s="7">
        <f t="shared" si="3"/>
        <v>49217</v>
      </c>
      <c r="HF1" s="7">
        <f t="shared" si="3"/>
        <v>49248</v>
      </c>
      <c r="HG1" s="7">
        <f t="shared" si="3"/>
        <v>49278</v>
      </c>
      <c r="HH1" s="7">
        <f t="shared" si="3"/>
        <v>49309</v>
      </c>
      <c r="HI1" s="7">
        <f t="shared" si="3"/>
        <v>49340</v>
      </c>
      <c r="HJ1" s="7">
        <f t="shared" si="3"/>
        <v>49368</v>
      </c>
      <c r="HK1" s="7">
        <f t="shared" si="3"/>
        <v>49399</v>
      </c>
      <c r="HL1" s="7">
        <f t="shared" si="3"/>
        <v>49429</v>
      </c>
      <c r="HM1" s="7">
        <f t="shared" si="3"/>
        <v>49460</v>
      </c>
      <c r="HN1" s="7">
        <f t="shared" si="3"/>
        <v>49490</v>
      </c>
      <c r="HO1" s="7">
        <f t="shared" si="3"/>
        <v>49521</v>
      </c>
      <c r="HP1" s="7">
        <f t="shared" si="3"/>
        <v>49552</v>
      </c>
      <c r="HQ1" s="7">
        <f t="shared" si="3"/>
        <v>49582</v>
      </c>
      <c r="HR1" s="7">
        <f t="shared" si="3"/>
        <v>49613</v>
      </c>
      <c r="HS1" s="7">
        <f t="shared" si="3"/>
        <v>49643</v>
      </c>
      <c r="HT1" s="7">
        <f t="shared" si="3"/>
        <v>49674</v>
      </c>
      <c r="HU1" s="7">
        <f t="shared" si="3"/>
        <v>49705</v>
      </c>
      <c r="HV1" s="7">
        <f t="shared" si="3"/>
        <v>49734</v>
      </c>
      <c r="HW1" s="7">
        <f t="shared" si="3"/>
        <v>49765</v>
      </c>
      <c r="HX1" s="7">
        <f t="shared" si="3"/>
        <v>49795</v>
      </c>
      <c r="HY1" s="7">
        <f t="shared" si="3"/>
        <v>49826</v>
      </c>
      <c r="HZ1" s="7">
        <f t="shared" si="3"/>
        <v>49856</v>
      </c>
      <c r="IA1" s="7">
        <f t="shared" si="3"/>
        <v>49887</v>
      </c>
      <c r="IB1" s="7">
        <f t="shared" si="3"/>
        <v>49918</v>
      </c>
      <c r="IC1" s="7">
        <f t="shared" si="3"/>
        <v>49948</v>
      </c>
      <c r="ID1" s="7">
        <f t="shared" si="3"/>
        <v>49979</v>
      </c>
      <c r="IE1" s="7">
        <f t="shared" si="3"/>
        <v>50009</v>
      </c>
      <c r="IF1" s="7">
        <f t="shared" si="3"/>
        <v>50040</v>
      </c>
      <c r="IG1" s="7">
        <f t="shared" si="3"/>
        <v>50071</v>
      </c>
      <c r="IH1" s="7">
        <f t="shared" si="3"/>
        <v>50099</v>
      </c>
      <c r="II1" s="7">
        <f t="shared" si="3"/>
        <v>50130</v>
      </c>
      <c r="IJ1" s="7">
        <f t="shared" si="3"/>
        <v>50160</v>
      </c>
      <c r="IK1" s="7">
        <f t="shared" si="3"/>
        <v>50191</v>
      </c>
      <c r="IL1" s="7">
        <f t="shared" si="3"/>
        <v>50221</v>
      </c>
      <c r="IM1" s="7">
        <f t="shared" si="3"/>
        <v>50252</v>
      </c>
      <c r="IN1" s="7">
        <f t="shared" si="3"/>
        <v>50283</v>
      </c>
      <c r="IO1" s="7">
        <f t="shared" si="3"/>
        <v>50313</v>
      </c>
      <c r="IP1" s="7">
        <f t="shared" si="3"/>
        <v>50344</v>
      </c>
      <c r="IQ1" s="7">
        <f t="shared" si="3"/>
        <v>50374</v>
      </c>
      <c r="IR1" s="7">
        <f t="shared" si="3"/>
        <v>50405</v>
      </c>
      <c r="IS1" s="7">
        <f t="shared" si="3"/>
        <v>50436</v>
      </c>
      <c r="IT1" s="7">
        <f t="shared" si="3"/>
        <v>50464</v>
      </c>
      <c r="IU1" s="7">
        <f t="shared" si="3"/>
        <v>50495</v>
      </c>
      <c r="IV1" s="7">
        <f t="shared" si="3"/>
        <v>50525</v>
      </c>
      <c r="IW1" s="7">
        <f t="shared" si="3"/>
        <v>50556</v>
      </c>
      <c r="IX1" s="7">
        <f t="shared" si="3"/>
        <v>50586</v>
      </c>
      <c r="IY1" s="7">
        <f t="shared" si="3"/>
        <v>50617</v>
      </c>
      <c r="IZ1" s="7">
        <f t="shared" si="3"/>
        <v>50648</v>
      </c>
      <c r="JA1" s="7">
        <f t="shared" si="3"/>
        <v>50678</v>
      </c>
      <c r="JB1" s="7">
        <f t="shared" si="3"/>
        <v>50709</v>
      </c>
      <c r="JC1" s="7">
        <f t="shared" ref="JC1:JU1" si="4">EOMONTH(JB1,1)</f>
        <v>50739</v>
      </c>
      <c r="JD1" s="7">
        <f t="shared" si="4"/>
        <v>50770</v>
      </c>
      <c r="JE1" s="7">
        <f t="shared" si="4"/>
        <v>50801</v>
      </c>
      <c r="JF1" s="7">
        <f t="shared" si="4"/>
        <v>50829</v>
      </c>
      <c r="JG1" s="7">
        <f t="shared" si="4"/>
        <v>50860</v>
      </c>
      <c r="JH1" s="7">
        <f t="shared" si="4"/>
        <v>50890</v>
      </c>
      <c r="JI1" s="7">
        <f t="shared" si="4"/>
        <v>50921</v>
      </c>
      <c r="JJ1" s="7">
        <f t="shared" si="4"/>
        <v>50951</v>
      </c>
      <c r="JK1" s="7">
        <f t="shared" si="4"/>
        <v>50982</v>
      </c>
      <c r="JL1" s="7">
        <f t="shared" si="4"/>
        <v>51013</v>
      </c>
      <c r="JM1" s="7">
        <f t="shared" si="4"/>
        <v>51043</v>
      </c>
      <c r="JN1" s="7">
        <f t="shared" si="4"/>
        <v>51074</v>
      </c>
      <c r="JO1" s="7">
        <f t="shared" si="4"/>
        <v>51104</v>
      </c>
      <c r="JP1" s="7">
        <f t="shared" si="4"/>
        <v>51135</v>
      </c>
      <c r="JQ1" s="7">
        <f t="shared" si="4"/>
        <v>51166</v>
      </c>
      <c r="JR1" s="7">
        <f t="shared" si="4"/>
        <v>51195</v>
      </c>
      <c r="JS1" s="7">
        <f t="shared" si="4"/>
        <v>51226</v>
      </c>
      <c r="JT1" s="7">
        <f t="shared" si="4"/>
        <v>51256</v>
      </c>
      <c r="JU1" s="7">
        <f t="shared" si="4"/>
        <v>51287</v>
      </c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</row>
    <row r="2" spans="1:310" s="398" customFormat="1">
      <c r="B2" s="7"/>
      <c r="C2" s="7"/>
      <c r="D2" s="7">
        <f t="shared" ref="D2:BO2" si="5">+EOMONTH(DATE(YEAR(D1),ROUNDUP(MONTH(D1)/3,0)*3,1),0)</f>
        <v>42916</v>
      </c>
      <c r="E2" s="7">
        <f t="shared" si="5"/>
        <v>42916</v>
      </c>
      <c r="F2" s="7">
        <f t="shared" si="5"/>
        <v>42916</v>
      </c>
      <c r="G2" s="7">
        <f t="shared" si="5"/>
        <v>43008</v>
      </c>
      <c r="H2" s="7">
        <f t="shared" si="5"/>
        <v>43008</v>
      </c>
      <c r="I2" s="7">
        <f t="shared" si="5"/>
        <v>43008</v>
      </c>
      <c r="J2" s="7">
        <f t="shared" si="5"/>
        <v>43100</v>
      </c>
      <c r="K2" s="7">
        <f t="shared" si="5"/>
        <v>43100</v>
      </c>
      <c r="L2" s="7">
        <f t="shared" si="5"/>
        <v>43100</v>
      </c>
      <c r="M2" s="7">
        <f t="shared" si="5"/>
        <v>43190</v>
      </c>
      <c r="N2" s="7">
        <f t="shared" si="5"/>
        <v>43190</v>
      </c>
      <c r="O2" s="7">
        <f t="shared" si="5"/>
        <v>43190</v>
      </c>
      <c r="P2" s="7">
        <f t="shared" si="5"/>
        <v>43281</v>
      </c>
      <c r="Q2" s="7">
        <f t="shared" si="5"/>
        <v>43281</v>
      </c>
      <c r="R2" s="7">
        <f t="shared" si="5"/>
        <v>43281</v>
      </c>
      <c r="S2" s="7">
        <f t="shared" si="5"/>
        <v>43373</v>
      </c>
      <c r="T2" s="7">
        <f t="shared" si="5"/>
        <v>43373</v>
      </c>
      <c r="U2" s="7">
        <f t="shared" si="5"/>
        <v>43373</v>
      </c>
      <c r="V2" s="7">
        <f t="shared" si="5"/>
        <v>43465</v>
      </c>
      <c r="W2" s="7">
        <f t="shared" si="5"/>
        <v>43465</v>
      </c>
      <c r="X2" s="7">
        <f t="shared" si="5"/>
        <v>43465</v>
      </c>
      <c r="Y2" s="7">
        <f t="shared" si="5"/>
        <v>43555</v>
      </c>
      <c r="Z2" s="7">
        <f t="shared" si="5"/>
        <v>43555</v>
      </c>
      <c r="AA2" s="7">
        <f t="shared" si="5"/>
        <v>43555</v>
      </c>
      <c r="AB2" s="7">
        <f t="shared" si="5"/>
        <v>43646</v>
      </c>
      <c r="AC2" s="7">
        <f t="shared" si="5"/>
        <v>43646</v>
      </c>
      <c r="AD2" s="7">
        <f t="shared" si="5"/>
        <v>43646</v>
      </c>
      <c r="AE2" s="7">
        <f t="shared" si="5"/>
        <v>43738</v>
      </c>
      <c r="AF2" s="7">
        <f t="shared" si="5"/>
        <v>43738</v>
      </c>
      <c r="AG2" s="7">
        <f t="shared" si="5"/>
        <v>43738</v>
      </c>
      <c r="AH2" s="7">
        <f t="shared" si="5"/>
        <v>43830</v>
      </c>
      <c r="AI2" s="7">
        <f t="shared" si="5"/>
        <v>43830</v>
      </c>
      <c r="AJ2" s="7">
        <f t="shared" si="5"/>
        <v>43830</v>
      </c>
      <c r="AK2" s="7">
        <f t="shared" si="5"/>
        <v>43921</v>
      </c>
      <c r="AL2" s="7">
        <f t="shared" si="5"/>
        <v>43921</v>
      </c>
      <c r="AM2" s="7">
        <f t="shared" si="5"/>
        <v>43921</v>
      </c>
      <c r="AN2" s="7">
        <f t="shared" si="5"/>
        <v>44012</v>
      </c>
      <c r="AO2" s="7">
        <f t="shared" si="5"/>
        <v>44012</v>
      </c>
      <c r="AP2" s="7">
        <f t="shared" si="5"/>
        <v>44012</v>
      </c>
      <c r="AQ2" s="7">
        <f t="shared" si="5"/>
        <v>44104</v>
      </c>
      <c r="AR2" s="7">
        <f t="shared" si="5"/>
        <v>44104</v>
      </c>
      <c r="AS2" s="7">
        <f t="shared" si="5"/>
        <v>44104</v>
      </c>
      <c r="AT2" s="7">
        <f t="shared" si="5"/>
        <v>44196</v>
      </c>
      <c r="AU2" s="7">
        <f t="shared" si="5"/>
        <v>44196</v>
      </c>
      <c r="AV2" s="7">
        <f t="shared" si="5"/>
        <v>44196</v>
      </c>
      <c r="AW2" s="7">
        <f t="shared" si="5"/>
        <v>44286</v>
      </c>
      <c r="AX2" s="7">
        <f t="shared" si="5"/>
        <v>44286</v>
      </c>
      <c r="AY2" s="7">
        <f t="shared" si="5"/>
        <v>44286</v>
      </c>
      <c r="AZ2" s="7">
        <f t="shared" si="5"/>
        <v>44377</v>
      </c>
      <c r="BA2" s="7">
        <f t="shared" si="5"/>
        <v>44377</v>
      </c>
      <c r="BB2" s="7">
        <f t="shared" si="5"/>
        <v>44377</v>
      </c>
      <c r="BC2" s="7">
        <f t="shared" si="5"/>
        <v>44469</v>
      </c>
      <c r="BD2" s="7">
        <f t="shared" si="5"/>
        <v>44469</v>
      </c>
      <c r="BE2" s="7">
        <f t="shared" si="5"/>
        <v>44469</v>
      </c>
      <c r="BF2" s="7">
        <f t="shared" si="5"/>
        <v>44561</v>
      </c>
      <c r="BG2" s="7">
        <f t="shared" si="5"/>
        <v>44561</v>
      </c>
      <c r="BH2" s="7">
        <f t="shared" si="5"/>
        <v>44561</v>
      </c>
      <c r="BI2" s="7">
        <f t="shared" si="5"/>
        <v>44651</v>
      </c>
      <c r="BJ2" s="7">
        <f t="shared" si="5"/>
        <v>44651</v>
      </c>
      <c r="BK2" s="7">
        <f t="shared" si="5"/>
        <v>44651</v>
      </c>
      <c r="BL2" s="7">
        <f t="shared" si="5"/>
        <v>44742</v>
      </c>
      <c r="BM2" s="7">
        <f t="shared" si="5"/>
        <v>44742</v>
      </c>
      <c r="BN2" s="7">
        <f t="shared" si="5"/>
        <v>44742</v>
      </c>
      <c r="BO2" s="7">
        <f t="shared" si="5"/>
        <v>44834</v>
      </c>
      <c r="BP2" s="7">
        <f t="shared" ref="BP2:EA2" si="6">+EOMONTH(DATE(YEAR(BP1),ROUNDUP(MONTH(BP1)/3,0)*3,1),0)</f>
        <v>44834</v>
      </c>
      <c r="BQ2" s="7">
        <f t="shared" si="6"/>
        <v>44834</v>
      </c>
      <c r="BR2" s="7">
        <f t="shared" si="6"/>
        <v>44926</v>
      </c>
      <c r="BS2" s="7">
        <f t="shared" si="6"/>
        <v>44926</v>
      </c>
      <c r="BT2" s="7">
        <f t="shared" si="6"/>
        <v>44926</v>
      </c>
      <c r="BU2" s="7">
        <f t="shared" si="6"/>
        <v>45016</v>
      </c>
      <c r="BV2" s="7">
        <f t="shared" si="6"/>
        <v>45016</v>
      </c>
      <c r="BW2" s="7">
        <f t="shared" si="6"/>
        <v>45016</v>
      </c>
      <c r="BX2" s="7">
        <f t="shared" si="6"/>
        <v>45107</v>
      </c>
      <c r="BY2" s="7">
        <f t="shared" si="6"/>
        <v>45107</v>
      </c>
      <c r="BZ2" s="7">
        <f t="shared" si="6"/>
        <v>45107</v>
      </c>
      <c r="CA2" s="7">
        <f t="shared" si="6"/>
        <v>45199</v>
      </c>
      <c r="CB2" s="7">
        <f t="shared" si="6"/>
        <v>45199</v>
      </c>
      <c r="CC2" s="7">
        <f t="shared" si="6"/>
        <v>45199</v>
      </c>
      <c r="CD2" s="7">
        <f t="shared" si="6"/>
        <v>45291</v>
      </c>
      <c r="CE2" s="7">
        <f t="shared" si="6"/>
        <v>45291</v>
      </c>
      <c r="CF2" s="7">
        <f t="shared" si="6"/>
        <v>45291</v>
      </c>
      <c r="CG2" s="7">
        <f t="shared" si="6"/>
        <v>45382</v>
      </c>
      <c r="CH2" s="7">
        <f t="shared" si="6"/>
        <v>45382</v>
      </c>
      <c r="CI2" s="7">
        <f t="shared" si="6"/>
        <v>45382</v>
      </c>
      <c r="CJ2" s="7">
        <f t="shared" si="6"/>
        <v>45473</v>
      </c>
      <c r="CK2" s="7">
        <f t="shared" si="6"/>
        <v>45473</v>
      </c>
      <c r="CL2" s="7">
        <f t="shared" si="6"/>
        <v>45473</v>
      </c>
      <c r="CM2" s="7">
        <f t="shared" si="6"/>
        <v>45565</v>
      </c>
      <c r="CN2" s="7">
        <f t="shared" si="6"/>
        <v>45565</v>
      </c>
      <c r="CO2" s="7">
        <f t="shared" si="6"/>
        <v>45565</v>
      </c>
      <c r="CP2" s="7">
        <f t="shared" si="6"/>
        <v>45657</v>
      </c>
      <c r="CQ2" s="7">
        <f t="shared" si="6"/>
        <v>45657</v>
      </c>
      <c r="CR2" s="7">
        <f t="shared" si="6"/>
        <v>45657</v>
      </c>
      <c r="CS2" s="7">
        <f t="shared" si="6"/>
        <v>45747</v>
      </c>
      <c r="CT2" s="7">
        <f t="shared" si="6"/>
        <v>45747</v>
      </c>
      <c r="CU2" s="7">
        <f t="shared" si="6"/>
        <v>45747</v>
      </c>
      <c r="CV2" s="7">
        <f t="shared" si="6"/>
        <v>45838</v>
      </c>
      <c r="CW2" s="7">
        <f t="shared" si="6"/>
        <v>45838</v>
      </c>
      <c r="CX2" s="7">
        <f t="shared" si="6"/>
        <v>45838</v>
      </c>
      <c r="CY2" s="7">
        <f t="shared" si="6"/>
        <v>45930</v>
      </c>
      <c r="CZ2" s="7">
        <f t="shared" si="6"/>
        <v>45930</v>
      </c>
      <c r="DA2" s="7">
        <f t="shared" si="6"/>
        <v>45930</v>
      </c>
      <c r="DB2" s="7">
        <f t="shared" si="6"/>
        <v>46022</v>
      </c>
      <c r="DC2" s="7">
        <f t="shared" si="6"/>
        <v>46022</v>
      </c>
      <c r="DD2" s="7">
        <f t="shared" si="6"/>
        <v>46022</v>
      </c>
      <c r="DE2" s="7">
        <f t="shared" si="6"/>
        <v>46112</v>
      </c>
      <c r="DF2" s="7">
        <f t="shared" si="6"/>
        <v>46112</v>
      </c>
      <c r="DG2" s="7">
        <f t="shared" si="6"/>
        <v>46112</v>
      </c>
      <c r="DH2" s="7">
        <f t="shared" si="6"/>
        <v>46203</v>
      </c>
      <c r="DI2" s="7">
        <f t="shared" si="6"/>
        <v>46203</v>
      </c>
      <c r="DJ2" s="7">
        <f t="shared" si="6"/>
        <v>46203</v>
      </c>
      <c r="DK2" s="7">
        <f t="shared" si="6"/>
        <v>46295</v>
      </c>
      <c r="DL2" s="7">
        <f t="shared" si="6"/>
        <v>46295</v>
      </c>
      <c r="DM2" s="7">
        <f t="shared" si="6"/>
        <v>46295</v>
      </c>
      <c r="DN2" s="7">
        <f t="shared" si="6"/>
        <v>46387</v>
      </c>
      <c r="DO2" s="7">
        <f t="shared" si="6"/>
        <v>46387</v>
      </c>
      <c r="DP2" s="7">
        <f t="shared" si="6"/>
        <v>46387</v>
      </c>
      <c r="DQ2" s="7">
        <f t="shared" si="6"/>
        <v>46477</v>
      </c>
      <c r="DR2" s="7">
        <f t="shared" si="6"/>
        <v>46477</v>
      </c>
      <c r="DS2" s="7">
        <f t="shared" si="6"/>
        <v>46477</v>
      </c>
      <c r="DT2" s="7">
        <f t="shared" si="6"/>
        <v>46568</v>
      </c>
      <c r="DU2" s="7">
        <f t="shared" si="6"/>
        <v>46568</v>
      </c>
      <c r="DV2" s="7">
        <f t="shared" si="6"/>
        <v>46568</v>
      </c>
      <c r="DW2" s="7">
        <f t="shared" si="6"/>
        <v>46660</v>
      </c>
      <c r="DX2" s="7">
        <f t="shared" si="6"/>
        <v>46660</v>
      </c>
      <c r="DY2" s="7">
        <f t="shared" si="6"/>
        <v>46660</v>
      </c>
      <c r="DZ2" s="7">
        <f t="shared" si="6"/>
        <v>46752</v>
      </c>
      <c r="EA2" s="7">
        <f t="shared" si="6"/>
        <v>46752</v>
      </c>
      <c r="EB2" s="7">
        <f t="shared" ref="EB2:GM2" si="7">+EOMONTH(DATE(YEAR(EB1),ROUNDUP(MONTH(EB1)/3,0)*3,1),0)</f>
        <v>46752</v>
      </c>
      <c r="EC2" s="7">
        <f t="shared" si="7"/>
        <v>46843</v>
      </c>
      <c r="ED2" s="7">
        <f t="shared" si="7"/>
        <v>46843</v>
      </c>
      <c r="EE2" s="7">
        <f t="shared" si="7"/>
        <v>46843</v>
      </c>
      <c r="EF2" s="7">
        <f t="shared" si="7"/>
        <v>46934</v>
      </c>
      <c r="EG2" s="7">
        <f t="shared" si="7"/>
        <v>46934</v>
      </c>
      <c r="EH2" s="7">
        <f t="shared" si="7"/>
        <v>46934</v>
      </c>
      <c r="EI2" s="7">
        <f t="shared" si="7"/>
        <v>47026</v>
      </c>
      <c r="EJ2" s="7">
        <f t="shared" si="7"/>
        <v>47026</v>
      </c>
      <c r="EK2" s="7">
        <f t="shared" si="7"/>
        <v>47026</v>
      </c>
      <c r="EL2" s="7">
        <f t="shared" si="7"/>
        <v>47118</v>
      </c>
      <c r="EM2" s="7">
        <f t="shared" si="7"/>
        <v>47118</v>
      </c>
      <c r="EN2" s="7">
        <f t="shared" si="7"/>
        <v>47118</v>
      </c>
      <c r="EO2" s="7">
        <f t="shared" si="7"/>
        <v>47208</v>
      </c>
      <c r="EP2" s="7">
        <f t="shared" si="7"/>
        <v>47208</v>
      </c>
      <c r="EQ2" s="7">
        <f t="shared" si="7"/>
        <v>47208</v>
      </c>
      <c r="ER2" s="7">
        <f t="shared" si="7"/>
        <v>47299</v>
      </c>
      <c r="ES2" s="7">
        <f t="shared" si="7"/>
        <v>47299</v>
      </c>
      <c r="ET2" s="7">
        <f t="shared" si="7"/>
        <v>47299</v>
      </c>
      <c r="EU2" s="7">
        <f t="shared" si="7"/>
        <v>47391</v>
      </c>
      <c r="EV2" s="7">
        <f t="shared" si="7"/>
        <v>47391</v>
      </c>
      <c r="EW2" s="7">
        <f t="shared" si="7"/>
        <v>47391</v>
      </c>
      <c r="EX2" s="7">
        <f t="shared" si="7"/>
        <v>47483</v>
      </c>
      <c r="EY2" s="7">
        <f t="shared" si="7"/>
        <v>47483</v>
      </c>
      <c r="EZ2" s="7">
        <f t="shared" si="7"/>
        <v>47483</v>
      </c>
      <c r="FA2" s="7">
        <f t="shared" si="7"/>
        <v>47573</v>
      </c>
      <c r="FB2" s="7">
        <f t="shared" si="7"/>
        <v>47573</v>
      </c>
      <c r="FC2" s="7">
        <f t="shared" si="7"/>
        <v>47573</v>
      </c>
      <c r="FD2" s="7">
        <f t="shared" si="7"/>
        <v>47664</v>
      </c>
      <c r="FE2" s="7">
        <f t="shared" si="7"/>
        <v>47664</v>
      </c>
      <c r="FF2" s="7">
        <f t="shared" si="7"/>
        <v>47664</v>
      </c>
      <c r="FG2" s="7">
        <f t="shared" si="7"/>
        <v>47756</v>
      </c>
      <c r="FH2" s="7">
        <f t="shared" si="7"/>
        <v>47756</v>
      </c>
      <c r="FI2" s="7">
        <f t="shared" si="7"/>
        <v>47756</v>
      </c>
      <c r="FJ2" s="7">
        <f t="shared" si="7"/>
        <v>47848</v>
      </c>
      <c r="FK2" s="7">
        <f t="shared" si="7"/>
        <v>47848</v>
      </c>
      <c r="FL2" s="7">
        <f t="shared" si="7"/>
        <v>47848</v>
      </c>
      <c r="FM2" s="7">
        <f t="shared" si="7"/>
        <v>47938</v>
      </c>
      <c r="FN2" s="7">
        <f t="shared" si="7"/>
        <v>47938</v>
      </c>
      <c r="FO2" s="7">
        <f t="shared" si="7"/>
        <v>47938</v>
      </c>
      <c r="FP2" s="7">
        <f t="shared" si="7"/>
        <v>48029</v>
      </c>
      <c r="FQ2" s="7">
        <f t="shared" si="7"/>
        <v>48029</v>
      </c>
      <c r="FR2" s="7">
        <f t="shared" si="7"/>
        <v>48029</v>
      </c>
      <c r="FS2" s="7">
        <f t="shared" si="7"/>
        <v>48121</v>
      </c>
      <c r="FT2" s="7">
        <f t="shared" si="7"/>
        <v>48121</v>
      </c>
      <c r="FU2" s="7">
        <f t="shared" si="7"/>
        <v>48121</v>
      </c>
      <c r="FV2" s="7">
        <f t="shared" si="7"/>
        <v>48213</v>
      </c>
      <c r="FW2" s="7">
        <f t="shared" si="7"/>
        <v>48213</v>
      </c>
      <c r="FX2" s="7">
        <f t="shared" si="7"/>
        <v>48213</v>
      </c>
      <c r="FY2" s="7">
        <f t="shared" si="7"/>
        <v>48304</v>
      </c>
      <c r="FZ2" s="7">
        <f t="shared" si="7"/>
        <v>48304</v>
      </c>
      <c r="GA2" s="7">
        <f t="shared" si="7"/>
        <v>48304</v>
      </c>
      <c r="GB2" s="7">
        <f t="shared" si="7"/>
        <v>48395</v>
      </c>
      <c r="GC2" s="7">
        <f t="shared" si="7"/>
        <v>48395</v>
      </c>
      <c r="GD2" s="7">
        <f t="shared" si="7"/>
        <v>48395</v>
      </c>
      <c r="GE2" s="7">
        <f t="shared" si="7"/>
        <v>48487</v>
      </c>
      <c r="GF2" s="7">
        <f t="shared" si="7"/>
        <v>48487</v>
      </c>
      <c r="GG2" s="7">
        <f t="shared" si="7"/>
        <v>48487</v>
      </c>
      <c r="GH2" s="7">
        <f t="shared" si="7"/>
        <v>48579</v>
      </c>
      <c r="GI2" s="7">
        <f t="shared" si="7"/>
        <v>48579</v>
      </c>
      <c r="GJ2" s="7">
        <f t="shared" si="7"/>
        <v>48579</v>
      </c>
      <c r="GK2" s="7">
        <f t="shared" si="7"/>
        <v>48669</v>
      </c>
      <c r="GL2" s="7">
        <f t="shared" si="7"/>
        <v>48669</v>
      </c>
      <c r="GM2" s="7">
        <f t="shared" si="7"/>
        <v>48669</v>
      </c>
      <c r="GN2" s="7">
        <f t="shared" ref="GN2:IY2" si="8">+EOMONTH(DATE(YEAR(GN1),ROUNDUP(MONTH(GN1)/3,0)*3,1),0)</f>
        <v>48760</v>
      </c>
      <c r="GO2" s="7">
        <f t="shared" si="8"/>
        <v>48760</v>
      </c>
      <c r="GP2" s="7">
        <f t="shared" si="8"/>
        <v>48760</v>
      </c>
      <c r="GQ2" s="7">
        <f t="shared" si="8"/>
        <v>48852</v>
      </c>
      <c r="GR2" s="7">
        <f t="shared" si="8"/>
        <v>48852</v>
      </c>
      <c r="GS2" s="7">
        <f t="shared" si="8"/>
        <v>48852</v>
      </c>
      <c r="GT2" s="7">
        <f t="shared" si="8"/>
        <v>48944</v>
      </c>
      <c r="GU2" s="7">
        <f t="shared" si="8"/>
        <v>48944</v>
      </c>
      <c r="GV2" s="7">
        <f t="shared" si="8"/>
        <v>48944</v>
      </c>
      <c r="GW2" s="7">
        <f t="shared" si="8"/>
        <v>49034</v>
      </c>
      <c r="GX2" s="7">
        <f t="shared" si="8"/>
        <v>49034</v>
      </c>
      <c r="GY2" s="7">
        <f t="shared" si="8"/>
        <v>49034</v>
      </c>
      <c r="GZ2" s="7">
        <f t="shared" si="8"/>
        <v>49125</v>
      </c>
      <c r="HA2" s="7">
        <f t="shared" si="8"/>
        <v>49125</v>
      </c>
      <c r="HB2" s="7">
        <f t="shared" si="8"/>
        <v>49125</v>
      </c>
      <c r="HC2" s="7">
        <f t="shared" si="8"/>
        <v>49217</v>
      </c>
      <c r="HD2" s="7">
        <f t="shared" si="8"/>
        <v>49217</v>
      </c>
      <c r="HE2" s="7">
        <f t="shared" si="8"/>
        <v>49217</v>
      </c>
      <c r="HF2" s="7">
        <f t="shared" si="8"/>
        <v>49309</v>
      </c>
      <c r="HG2" s="7">
        <f t="shared" si="8"/>
        <v>49309</v>
      </c>
      <c r="HH2" s="7">
        <f t="shared" si="8"/>
        <v>49309</v>
      </c>
      <c r="HI2" s="7">
        <f t="shared" si="8"/>
        <v>49399</v>
      </c>
      <c r="HJ2" s="7">
        <f t="shared" si="8"/>
        <v>49399</v>
      </c>
      <c r="HK2" s="7">
        <f t="shared" si="8"/>
        <v>49399</v>
      </c>
      <c r="HL2" s="7">
        <f t="shared" si="8"/>
        <v>49490</v>
      </c>
      <c r="HM2" s="7">
        <f t="shared" si="8"/>
        <v>49490</v>
      </c>
      <c r="HN2" s="7">
        <f t="shared" si="8"/>
        <v>49490</v>
      </c>
      <c r="HO2" s="7">
        <f t="shared" si="8"/>
        <v>49582</v>
      </c>
      <c r="HP2" s="7">
        <f t="shared" si="8"/>
        <v>49582</v>
      </c>
      <c r="HQ2" s="7">
        <f t="shared" si="8"/>
        <v>49582</v>
      </c>
      <c r="HR2" s="7">
        <f t="shared" si="8"/>
        <v>49674</v>
      </c>
      <c r="HS2" s="7">
        <f t="shared" si="8"/>
        <v>49674</v>
      </c>
      <c r="HT2" s="7">
        <f t="shared" si="8"/>
        <v>49674</v>
      </c>
      <c r="HU2" s="7">
        <f t="shared" si="8"/>
        <v>49765</v>
      </c>
      <c r="HV2" s="7">
        <f t="shared" si="8"/>
        <v>49765</v>
      </c>
      <c r="HW2" s="7">
        <f t="shared" si="8"/>
        <v>49765</v>
      </c>
      <c r="HX2" s="7">
        <f t="shared" si="8"/>
        <v>49856</v>
      </c>
      <c r="HY2" s="7">
        <f t="shared" si="8"/>
        <v>49856</v>
      </c>
      <c r="HZ2" s="7">
        <f t="shared" si="8"/>
        <v>49856</v>
      </c>
      <c r="IA2" s="7">
        <f t="shared" si="8"/>
        <v>49948</v>
      </c>
      <c r="IB2" s="7">
        <f t="shared" si="8"/>
        <v>49948</v>
      </c>
      <c r="IC2" s="7">
        <f t="shared" si="8"/>
        <v>49948</v>
      </c>
      <c r="ID2" s="7">
        <f t="shared" si="8"/>
        <v>50040</v>
      </c>
      <c r="IE2" s="7">
        <f t="shared" si="8"/>
        <v>50040</v>
      </c>
      <c r="IF2" s="7">
        <f t="shared" si="8"/>
        <v>50040</v>
      </c>
      <c r="IG2" s="7">
        <f t="shared" si="8"/>
        <v>50130</v>
      </c>
      <c r="IH2" s="7">
        <f t="shared" si="8"/>
        <v>50130</v>
      </c>
      <c r="II2" s="7">
        <f t="shared" si="8"/>
        <v>50130</v>
      </c>
      <c r="IJ2" s="7">
        <f t="shared" si="8"/>
        <v>50221</v>
      </c>
      <c r="IK2" s="7">
        <f t="shared" si="8"/>
        <v>50221</v>
      </c>
      <c r="IL2" s="7">
        <f t="shared" si="8"/>
        <v>50221</v>
      </c>
      <c r="IM2" s="7">
        <f t="shared" si="8"/>
        <v>50313</v>
      </c>
      <c r="IN2" s="7">
        <f t="shared" si="8"/>
        <v>50313</v>
      </c>
      <c r="IO2" s="7">
        <f t="shared" si="8"/>
        <v>50313</v>
      </c>
      <c r="IP2" s="7">
        <f t="shared" si="8"/>
        <v>50405</v>
      </c>
      <c r="IQ2" s="7">
        <f t="shared" si="8"/>
        <v>50405</v>
      </c>
      <c r="IR2" s="7">
        <f t="shared" si="8"/>
        <v>50405</v>
      </c>
      <c r="IS2" s="7">
        <f t="shared" si="8"/>
        <v>50495</v>
      </c>
      <c r="IT2" s="7">
        <f t="shared" si="8"/>
        <v>50495</v>
      </c>
      <c r="IU2" s="7">
        <f t="shared" si="8"/>
        <v>50495</v>
      </c>
      <c r="IV2" s="7">
        <f t="shared" si="8"/>
        <v>50586</v>
      </c>
      <c r="IW2" s="7">
        <f t="shared" si="8"/>
        <v>50586</v>
      </c>
      <c r="IX2" s="7">
        <f t="shared" si="8"/>
        <v>50586</v>
      </c>
      <c r="IY2" s="7">
        <f t="shared" si="8"/>
        <v>50678</v>
      </c>
      <c r="IZ2" s="7">
        <f t="shared" ref="IZ2:JU2" si="9">+EOMONTH(DATE(YEAR(IZ1),ROUNDUP(MONTH(IZ1)/3,0)*3,1),0)</f>
        <v>50678</v>
      </c>
      <c r="JA2" s="7">
        <f t="shared" si="9"/>
        <v>50678</v>
      </c>
      <c r="JB2" s="7">
        <f t="shared" si="9"/>
        <v>50770</v>
      </c>
      <c r="JC2" s="7">
        <f t="shared" si="9"/>
        <v>50770</v>
      </c>
      <c r="JD2" s="7">
        <f t="shared" si="9"/>
        <v>50770</v>
      </c>
      <c r="JE2" s="7">
        <f t="shared" si="9"/>
        <v>50860</v>
      </c>
      <c r="JF2" s="7">
        <f t="shared" si="9"/>
        <v>50860</v>
      </c>
      <c r="JG2" s="7">
        <f t="shared" si="9"/>
        <v>50860</v>
      </c>
      <c r="JH2" s="7">
        <f t="shared" si="9"/>
        <v>50951</v>
      </c>
      <c r="JI2" s="7">
        <f t="shared" si="9"/>
        <v>50951</v>
      </c>
      <c r="JJ2" s="7">
        <f t="shared" si="9"/>
        <v>50951</v>
      </c>
      <c r="JK2" s="7">
        <f t="shared" si="9"/>
        <v>51043</v>
      </c>
      <c r="JL2" s="7">
        <f t="shared" si="9"/>
        <v>51043</v>
      </c>
      <c r="JM2" s="7">
        <f t="shared" si="9"/>
        <v>51043</v>
      </c>
      <c r="JN2" s="7">
        <f t="shared" si="9"/>
        <v>51135</v>
      </c>
      <c r="JO2" s="7">
        <f t="shared" si="9"/>
        <v>51135</v>
      </c>
      <c r="JP2" s="7">
        <f t="shared" si="9"/>
        <v>51135</v>
      </c>
      <c r="JQ2" s="7">
        <f t="shared" si="9"/>
        <v>51226</v>
      </c>
      <c r="JR2" s="7">
        <f t="shared" si="9"/>
        <v>51226</v>
      </c>
      <c r="JS2" s="7">
        <f t="shared" si="9"/>
        <v>51226</v>
      </c>
      <c r="JT2" s="7">
        <f t="shared" si="9"/>
        <v>51317</v>
      </c>
      <c r="JU2" s="7">
        <f t="shared" si="9"/>
        <v>51317</v>
      </c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</row>
    <row r="3" spans="1:310" s="398" customFormat="1">
      <c r="A3" s="398" t="s">
        <v>242</v>
      </c>
      <c r="D3" s="7">
        <f t="shared" ref="D3:BO3" si="10">DATE(IF(MONTH(D1)&lt;=3,YEAR(D1),YEAR(D1)+1),3,31)</f>
        <v>43190</v>
      </c>
      <c r="E3" s="7">
        <f t="shared" si="10"/>
        <v>43190</v>
      </c>
      <c r="F3" s="7">
        <f t="shared" si="10"/>
        <v>43190</v>
      </c>
      <c r="G3" s="7">
        <f t="shared" si="10"/>
        <v>43190</v>
      </c>
      <c r="H3" s="7">
        <f t="shared" si="10"/>
        <v>43190</v>
      </c>
      <c r="I3" s="7">
        <f t="shared" si="10"/>
        <v>43190</v>
      </c>
      <c r="J3" s="7">
        <f t="shared" si="10"/>
        <v>43190</v>
      </c>
      <c r="K3" s="7">
        <f t="shared" si="10"/>
        <v>43190</v>
      </c>
      <c r="L3" s="7">
        <f t="shared" si="10"/>
        <v>43190</v>
      </c>
      <c r="M3" s="7">
        <f t="shared" si="10"/>
        <v>43190</v>
      </c>
      <c r="N3" s="7">
        <f t="shared" si="10"/>
        <v>43190</v>
      </c>
      <c r="O3" s="7">
        <f t="shared" si="10"/>
        <v>43190</v>
      </c>
      <c r="P3" s="7">
        <f t="shared" si="10"/>
        <v>43555</v>
      </c>
      <c r="Q3" s="7">
        <f t="shared" si="10"/>
        <v>43555</v>
      </c>
      <c r="R3" s="7">
        <f t="shared" si="10"/>
        <v>43555</v>
      </c>
      <c r="S3" s="7">
        <f t="shared" si="10"/>
        <v>43555</v>
      </c>
      <c r="T3" s="7">
        <f t="shared" si="10"/>
        <v>43555</v>
      </c>
      <c r="U3" s="7">
        <f t="shared" si="10"/>
        <v>43555</v>
      </c>
      <c r="V3" s="7">
        <f t="shared" si="10"/>
        <v>43555</v>
      </c>
      <c r="W3" s="7">
        <f t="shared" si="10"/>
        <v>43555</v>
      </c>
      <c r="X3" s="7">
        <f t="shared" si="10"/>
        <v>43555</v>
      </c>
      <c r="Y3" s="7">
        <f t="shared" si="10"/>
        <v>43555</v>
      </c>
      <c r="Z3" s="7">
        <f t="shared" si="10"/>
        <v>43555</v>
      </c>
      <c r="AA3" s="7">
        <f t="shared" si="10"/>
        <v>43555</v>
      </c>
      <c r="AB3" s="7">
        <f t="shared" si="10"/>
        <v>43921</v>
      </c>
      <c r="AC3" s="7">
        <f t="shared" si="10"/>
        <v>43921</v>
      </c>
      <c r="AD3" s="7">
        <f t="shared" si="10"/>
        <v>43921</v>
      </c>
      <c r="AE3" s="7">
        <f t="shared" si="10"/>
        <v>43921</v>
      </c>
      <c r="AF3" s="7">
        <f t="shared" si="10"/>
        <v>43921</v>
      </c>
      <c r="AG3" s="7">
        <f t="shared" si="10"/>
        <v>43921</v>
      </c>
      <c r="AH3" s="7">
        <f t="shared" si="10"/>
        <v>43921</v>
      </c>
      <c r="AI3" s="7">
        <f t="shared" si="10"/>
        <v>43921</v>
      </c>
      <c r="AJ3" s="7">
        <f t="shared" si="10"/>
        <v>43921</v>
      </c>
      <c r="AK3" s="7">
        <f t="shared" si="10"/>
        <v>43921</v>
      </c>
      <c r="AL3" s="7">
        <f t="shared" si="10"/>
        <v>43921</v>
      </c>
      <c r="AM3" s="7">
        <f t="shared" si="10"/>
        <v>43921</v>
      </c>
      <c r="AN3" s="7">
        <f t="shared" si="10"/>
        <v>44286</v>
      </c>
      <c r="AO3" s="7">
        <f t="shared" si="10"/>
        <v>44286</v>
      </c>
      <c r="AP3" s="7">
        <f t="shared" si="10"/>
        <v>44286</v>
      </c>
      <c r="AQ3" s="7">
        <f t="shared" si="10"/>
        <v>44286</v>
      </c>
      <c r="AR3" s="7">
        <f t="shared" si="10"/>
        <v>44286</v>
      </c>
      <c r="AS3" s="7">
        <f t="shared" si="10"/>
        <v>44286</v>
      </c>
      <c r="AT3" s="7">
        <f t="shared" si="10"/>
        <v>44286</v>
      </c>
      <c r="AU3" s="7">
        <f t="shared" si="10"/>
        <v>44286</v>
      </c>
      <c r="AV3" s="7">
        <f t="shared" si="10"/>
        <v>44286</v>
      </c>
      <c r="AW3" s="7">
        <f t="shared" si="10"/>
        <v>44286</v>
      </c>
      <c r="AX3" s="7">
        <f t="shared" si="10"/>
        <v>44286</v>
      </c>
      <c r="AY3" s="7">
        <f t="shared" si="10"/>
        <v>44286</v>
      </c>
      <c r="AZ3" s="7">
        <f t="shared" si="10"/>
        <v>44651</v>
      </c>
      <c r="BA3" s="7">
        <f t="shared" si="10"/>
        <v>44651</v>
      </c>
      <c r="BB3" s="7">
        <f t="shared" si="10"/>
        <v>44651</v>
      </c>
      <c r="BC3" s="7">
        <f t="shared" si="10"/>
        <v>44651</v>
      </c>
      <c r="BD3" s="7">
        <f t="shared" si="10"/>
        <v>44651</v>
      </c>
      <c r="BE3" s="7">
        <f t="shared" si="10"/>
        <v>44651</v>
      </c>
      <c r="BF3" s="7">
        <f t="shared" si="10"/>
        <v>44651</v>
      </c>
      <c r="BG3" s="7">
        <f t="shared" si="10"/>
        <v>44651</v>
      </c>
      <c r="BH3" s="7">
        <f t="shared" si="10"/>
        <v>44651</v>
      </c>
      <c r="BI3" s="7">
        <f t="shared" si="10"/>
        <v>44651</v>
      </c>
      <c r="BJ3" s="7">
        <f t="shared" si="10"/>
        <v>44651</v>
      </c>
      <c r="BK3" s="7">
        <f t="shared" si="10"/>
        <v>44651</v>
      </c>
      <c r="BL3" s="7">
        <f t="shared" si="10"/>
        <v>45016</v>
      </c>
      <c r="BM3" s="7">
        <f t="shared" si="10"/>
        <v>45016</v>
      </c>
      <c r="BN3" s="7">
        <f t="shared" si="10"/>
        <v>45016</v>
      </c>
      <c r="BO3" s="7">
        <f t="shared" si="10"/>
        <v>45016</v>
      </c>
      <c r="BP3" s="7">
        <f t="shared" ref="BP3:EA3" si="11">DATE(IF(MONTH(BP1)&lt;=3,YEAR(BP1),YEAR(BP1)+1),3,31)</f>
        <v>45016</v>
      </c>
      <c r="BQ3" s="7">
        <f t="shared" si="11"/>
        <v>45016</v>
      </c>
      <c r="BR3" s="7">
        <f t="shared" si="11"/>
        <v>45016</v>
      </c>
      <c r="BS3" s="7">
        <f t="shared" si="11"/>
        <v>45016</v>
      </c>
      <c r="BT3" s="7">
        <f t="shared" si="11"/>
        <v>45016</v>
      </c>
      <c r="BU3" s="7">
        <f t="shared" si="11"/>
        <v>45016</v>
      </c>
      <c r="BV3" s="7">
        <f t="shared" si="11"/>
        <v>45016</v>
      </c>
      <c r="BW3" s="7">
        <f t="shared" si="11"/>
        <v>45016</v>
      </c>
      <c r="BX3" s="7">
        <f t="shared" si="11"/>
        <v>45382</v>
      </c>
      <c r="BY3" s="7">
        <f t="shared" si="11"/>
        <v>45382</v>
      </c>
      <c r="BZ3" s="7">
        <f t="shared" si="11"/>
        <v>45382</v>
      </c>
      <c r="CA3" s="7">
        <f t="shared" si="11"/>
        <v>45382</v>
      </c>
      <c r="CB3" s="7">
        <f t="shared" si="11"/>
        <v>45382</v>
      </c>
      <c r="CC3" s="7">
        <f t="shared" si="11"/>
        <v>45382</v>
      </c>
      <c r="CD3" s="7">
        <f t="shared" si="11"/>
        <v>45382</v>
      </c>
      <c r="CE3" s="7">
        <f t="shared" si="11"/>
        <v>45382</v>
      </c>
      <c r="CF3" s="7">
        <f t="shared" si="11"/>
        <v>45382</v>
      </c>
      <c r="CG3" s="7">
        <f t="shared" si="11"/>
        <v>45382</v>
      </c>
      <c r="CH3" s="7">
        <f t="shared" si="11"/>
        <v>45382</v>
      </c>
      <c r="CI3" s="7">
        <f t="shared" si="11"/>
        <v>45382</v>
      </c>
      <c r="CJ3" s="7">
        <f t="shared" si="11"/>
        <v>45747</v>
      </c>
      <c r="CK3" s="7">
        <f t="shared" si="11"/>
        <v>45747</v>
      </c>
      <c r="CL3" s="7">
        <f t="shared" si="11"/>
        <v>45747</v>
      </c>
      <c r="CM3" s="7">
        <f t="shared" si="11"/>
        <v>45747</v>
      </c>
      <c r="CN3" s="7">
        <f t="shared" si="11"/>
        <v>45747</v>
      </c>
      <c r="CO3" s="7">
        <f t="shared" si="11"/>
        <v>45747</v>
      </c>
      <c r="CP3" s="7">
        <f t="shared" si="11"/>
        <v>45747</v>
      </c>
      <c r="CQ3" s="7">
        <f t="shared" si="11"/>
        <v>45747</v>
      </c>
      <c r="CR3" s="7">
        <f t="shared" si="11"/>
        <v>45747</v>
      </c>
      <c r="CS3" s="7">
        <f t="shared" si="11"/>
        <v>45747</v>
      </c>
      <c r="CT3" s="7">
        <f t="shared" si="11"/>
        <v>45747</v>
      </c>
      <c r="CU3" s="7">
        <f t="shared" si="11"/>
        <v>45747</v>
      </c>
      <c r="CV3" s="7">
        <f t="shared" si="11"/>
        <v>46112</v>
      </c>
      <c r="CW3" s="7">
        <f t="shared" si="11"/>
        <v>46112</v>
      </c>
      <c r="CX3" s="7">
        <f t="shared" si="11"/>
        <v>46112</v>
      </c>
      <c r="CY3" s="7">
        <f t="shared" si="11"/>
        <v>46112</v>
      </c>
      <c r="CZ3" s="7">
        <f t="shared" si="11"/>
        <v>46112</v>
      </c>
      <c r="DA3" s="7">
        <f t="shared" si="11"/>
        <v>46112</v>
      </c>
      <c r="DB3" s="7">
        <f t="shared" si="11"/>
        <v>46112</v>
      </c>
      <c r="DC3" s="7">
        <f t="shared" si="11"/>
        <v>46112</v>
      </c>
      <c r="DD3" s="7">
        <f t="shared" si="11"/>
        <v>46112</v>
      </c>
      <c r="DE3" s="7">
        <f t="shared" si="11"/>
        <v>46112</v>
      </c>
      <c r="DF3" s="7">
        <f t="shared" si="11"/>
        <v>46112</v>
      </c>
      <c r="DG3" s="7">
        <f t="shared" si="11"/>
        <v>46112</v>
      </c>
      <c r="DH3" s="7">
        <f t="shared" si="11"/>
        <v>46477</v>
      </c>
      <c r="DI3" s="7">
        <f t="shared" si="11"/>
        <v>46477</v>
      </c>
      <c r="DJ3" s="7">
        <f t="shared" si="11"/>
        <v>46477</v>
      </c>
      <c r="DK3" s="7">
        <f t="shared" si="11"/>
        <v>46477</v>
      </c>
      <c r="DL3" s="7">
        <f t="shared" si="11"/>
        <v>46477</v>
      </c>
      <c r="DM3" s="7">
        <f t="shared" si="11"/>
        <v>46477</v>
      </c>
      <c r="DN3" s="7">
        <f t="shared" si="11"/>
        <v>46477</v>
      </c>
      <c r="DO3" s="7">
        <f t="shared" si="11"/>
        <v>46477</v>
      </c>
      <c r="DP3" s="7">
        <f t="shared" si="11"/>
        <v>46477</v>
      </c>
      <c r="DQ3" s="7">
        <f t="shared" si="11"/>
        <v>46477</v>
      </c>
      <c r="DR3" s="7">
        <f t="shared" si="11"/>
        <v>46477</v>
      </c>
      <c r="DS3" s="7">
        <f t="shared" si="11"/>
        <v>46477</v>
      </c>
      <c r="DT3" s="7">
        <f t="shared" si="11"/>
        <v>46843</v>
      </c>
      <c r="DU3" s="7">
        <f t="shared" si="11"/>
        <v>46843</v>
      </c>
      <c r="DV3" s="7">
        <f t="shared" si="11"/>
        <v>46843</v>
      </c>
      <c r="DW3" s="7">
        <f t="shared" si="11"/>
        <v>46843</v>
      </c>
      <c r="DX3" s="7">
        <f t="shared" si="11"/>
        <v>46843</v>
      </c>
      <c r="DY3" s="7">
        <f t="shared" si="11"/>
        <v>46843</v>
      </c>
      <c r="DZ3" s="7">
        <f t="shared" si="11"/>
        <v>46843</v>
      </c>
      <c r="EA3" s="7">
        <f t="shared" si="11"/>
        <v>46843</v>
      </c>
      <c r="EB3" s="7">
        <f t="shared" ref="EB3:GM3" si="12">DATE(IF(MONTH(EB1)&lt;=3,YEAR(EB1),YEAR(EB1)+1),3,31)</f>
        <v>46843</v>
      </c>
      <c r="EC3" s="7">
        <f t="shared" si="12"/>
        <v>46843</v>
      </c>
      <c r="ED3" s="7">
        <f t="shared" si="12"/>
        <v>46843</v>
      </c>
      <c r="EE3" s="7">
        <f t="shared" si="12"/>
        <v>46843</v>
      </c>
      <c r="EF3" s="7">
        <f t="shared" si="12"/>
        <v>47208</v>
      </c>
      <c r="EG3" s="7">
        <f t="shared" si="12"/>
        <v>47208</v>
      </c>
      <c r="EH3" s="7">
        <f t="shared" si="12"/>
        <v>47208</v>
      </c>
      <c r="EI3" s="7">
        <f t="shared" si="12"/>
        <v>47208</v>
      </c>
      <c r="EJ3" s="7">
        <f t="shared" si="12"/>
        <v>47208</v>
      </c>
      <c r="EK3" s="7">
        <f t="shared" si="12"/>
        <v>47208</v>
      </c>
      <c r="EL3" s="7">
        <f t="shared" si="12"/>
        <v>47208</v>
      </c>
      <c r="EM3" s="7">
        <f t="shared" si="12"/>
        <v>47208</v>
      </c>
      <c r="EN3" s="7">
        <f t="shared" si="12"/>
        <v>47208</v>
      </c>
      <c r="EO3" s="7">
        <f t="shared" si="12"/>
        <v>47208</v>
      </c>
      <c r="EP3" s="7">
        <f t="shared" si="12"/>
        <v>47208</v>
      </c>
      <c r="EQ3" s="7">
        <f t="shared" si="12"/>
        <v>47208</v>
      </c>
      <c r="ER3" s="7">
        <f t="shared" si="12"/>
        <v>47573</v>
      </c>
      <c r="ES3" s="7">
        <f t="shared" si="12"/>
        <v>47573</v>
      </c>
      <c r="ET3" s="7">
        <f t="shared" si="12"/>
        <v>47573</v>
      </c>
      <c r="EU3" s="7">
        <f t="shared" si="12"/>
        <v>47573</v>
      </c>
      <c r="EV3" s="7">
        <f t="shared" si="12"/>
        <v>47573</v>
      </c>
      <c r="EW3" s="7">
        <f t="shared" si="12"/>
        <v>47573</v>
      </c>
      <c r="EX3" s="7">
        <f t="shared" si="12"/>
        <v>47573</v>
      </c>
      <c r="EY3" s="7">
        <f t="shared" si="12"/>
        <v>47573</v>
      </c>
      <c r="EZ3" s="7">
        <f t="shared" si="12"/>
        <v>47573</v>
      </c>
      <c r="FA3" s="7">
        <f t="shared" si="12"/>
        <v>47573</v>
      </c>
      <c r="FB3" s="7">
        <f t="shared" si="12"/>
        <v>47573</v>
      </c>
      <c r="FC3" s="7">
        <f t="shared" si="12"/>
        <v>47573</v>
      </c>
      <c r="FD3" s="7">
        <f t="shared" si="12"/>
        <v>47938</v>
      </c>
      <c r="FE3" s="7">
        <f t="shared" si="12"/>
        <v>47938</v>
      </c>
      <c r="FF3" s="7">
        <f t="shared" si="12"/>
        <v>47938</v>
      </c>
      <c r="FG3" s="7">
        <f t="shared" si="12"/>
        <v>47938</v>
      </c>
      <c r="FH3" s="7">
        <f t="shared" si="12"/>
        <v>47938</v>
      </c>
      <c r="FI3" s="7">
        <f t="shared" si="12"/>
        <v>47938</v>
      </c>
      <c r="FJ3" s="7">
        <f t="shared" si="12"/>
        <v>47938</v>
      </c>
      <c r="FK3" s="7">
        <f t="shared" si="12"/>
        <v>47938</v>
      </c>
      <c r="FL3" s="7">
        <f t="shared" si="12"/>
        <v>47938</v>
      </c>
      <c r="FM3" s="7">
        <f t="shared" si="12"/>
        <v>47938</v>
      </c>
      <c r="FN3" s="7">
        <f t="shared" si="12"/>
        <v>47938</v>
      </c>
      <c r="FO3" s="7">
        <f t="shared" si="12"/>
        <v>47938</v>
      </c>
      <c r="FP3" s="7">
        <f t="shared" si="12"/>
        <v>48304</v>
      </c>
      <c r="FQ3" s="7">
        <f t="shared" si="12"/>
        <v>48304</v>
      </c>
      <c r="FR3" s="7">
        <f t="shared" si="12"/>
        <v>48304</v>
      </c>
      <c r="FS3" s="7">
        <f t="shared" si="12"/>
        <v>48304</v>
      </c>
      <c r="FT3" s="7">
        <f t="shared" si="12"/>
        <v>48304</v>
      </c>
      <c r="FU3" s="7">
        <f t="shared" si="12"/>
        <v>48304</v>
      </c>
      <c r="FV3" s="7">
        <f t="shared" si="12"/>
        <v>48304</v>
      </c>
      <c r="FW3" s="7">
        <f t="shared" si="12"/>
        <v>48304</v>
      </c>
      <c r="FX3" s="7">
        <f t="shared" si="12"/>
        <v>48304</v>
      </c>
      <c r="FY3" s="7">
        <f t="shared" si="12"/>
        <v>48304</v>
      </c>
      <c r="FZ3" s="7">
        <f t="shared" si="12"/>
        <v>48304</v>
      </c>
      <c r="GA3" s="7">
        <f t="shared" si="12"/>
        <v>48304</v>
      </c>
      <c r="GB3" s="7">
        <f t="shared" si="12"/>
        <v>48669</v>
      </c>
      <c r="GC3" s="7">
        <f t="shared" si="12"/>
        <v>48669</v>
      </c>
      <c r="GD3" s="7">
        <f t="shared" si="12"/>
        <v>48669</v>
      </c>
      <c r="GE3" s="7">
        <f t="shared" si="12"/>
        <v>48669</v>
      </c>
      <c r="GF3" s="7">
        <f t="shared" si="12"/>
        <v>48669</v>
      </c>
      <c r="GG3" s="7">
        <f t="shared" si="12"/>
        <v>48669</v>
      </c>
      <c r="GH3" s="7">
        <f t="shared" si="12"/>
        <v>48669</v>
      </c>
      <c r="GI3" s="7">
        <f t="shared" si="12"/>
        <v>48669</v>
      </c>
      <c r="GJ3" s="7">
        <f t="shared" si="12"/>
        <v>48669</v>
      </c>
      <c r="GK3" s="7">
        <f t="shared" si="12"/>
        <v>48669</v>
      </c>
      <c r="GL3" s="7">
        <f t="shared" si="12"/>
        <v>48669</v>
      </c>
      <c r="GM3" s="7">
        <f t="shared" si="12"/>
        <v>48669</v>
      </c>
      <c r="GN3" s="7">
        <f t="shared" ref="GN3:IY3" si="13">DATE(IF(MONTH(GN1)&lt;=3,YEAR(GN1),YEAR(GN1)+1),3,31)</f>
        <v>49034</v>
      </c>
      <c r="GO3" s="7">
        <f t="shared" si="13"/>
        <v>49034</v>
      </c>
      <c r="GP3" s="7">
        <f t="shared" si="13"/>
        <v>49034</v>
      </c>
      <c r="GQ3" s="7">
        <f t="shared" si="13"/>
        <v>49034</v>
      </c>
      <c r="GR3" s="7">
        <f t="shared" si="13"/>
        <v>49034</v>
      </c>
      <c r="GS3" s="7">
        <f t="shared" si="13"/>
        <v>49034</v>
      </c>
      <c r="GT3" s="7">
        <f t="shared" si="13"/>
        <v>49034</v>
      </c>
      <c r="GU3" s="7">
        <f t="shared" si="13"/>
        <v>49034</v>
      </c>
      <c r="GV3" s="7">
        <f t="shared" si="13"/>
        <v>49034</v>
      </c>
      <c r="GW3" s="7">
        <f t="shared" si="13"/>
        <v>49034</v>
      </c>
      <c r="GX3" s="7">
        <f t="shared" si="13"/>
        <v>49034</v>
      </c>
      <c r="GY3" s="7">
        <f t="shared" si="13"/>
        <v>49034</v>
      </c>
      <c r="GZ3" s="7">
        <f t="shared" si="13"/>
        <v>49399</v>
      </c>
      <c r="HA3" s="7">
        <f t="shared" si="13"/>
        <v>49399</v>
      </c>
      <c r="HB3" s="7">
        <f t="shared" si="13"/>
        <v>49399</v>
      </c>
      <c r="HC3" s="7">
        <f t="shared" si="13"/>
        <v>49399</v>
      </c>
      <c r="HD3" s="7">
        <f t="shared" si="13"/>
        <v>49399</v>
      </c>
      <c r="HE3" s="7">
        <f t="shared" si="13"/>
        <v>49399</v>
      </c>
      <c r="HF3" s="7">
        <f t="shared" si="13"/>
        <v>49399</v>
      </c>
      <c r="HG3" s="7">
        <f t="shared" si="13"/>
        <v>49399</v>
      </c>
      <c r="HH3" s="7">
        <f t="shared" si="13"/>
        <v>49399</v>
      </c>
      <c r="HI3" s="7">
        <f t="shared" si="13"/>
        <v>49399</v>
      </c>
      <c r="HJ3" s="7">
        <f t="shared" si="13"/>
        <v>49399</v>
      </c>
      <c r="HK3" s="7">
        <f t="shared" si="13"/>
        <v>49399</v>
      </c>
      <c r="HL3" s="7">
        <f t="shared" si="13"/>
        <v>49765</v>
      </c>
      <c r="HM3" s="7">
        <f t="shared" si="13"/>
        <v>49765</v>
      </c>
      <c r="HN3" s="7">
        <f t="shared" si="13"/>
        <v>49765</v>
      </c>
      <c r="HO3" s="7">
        <f t="shared" si="13"/>
        <v>49765</v>
      </c>
      <c r="HP3" s="7">
        <f t="shared" si="13"/>
        <v>49765</v>
      </c>
      <c r="HQ3" s="7">
        <f t="shared" si="13"/>
        <v>49765</v>
      </c>
      <c r="HR3" s="7">
        <f t="shared" si="13"/>
        <v>49765</v>
      </c>
      <c r="HS3" s="7">
        <f t="shared" si="13"/>
        <v>49765</v>
      </c>
      <c r="HT3" s="7">
        <f t="shared" si="13"/>
        <v>49765</v>
      </c>
      <c r="HU3" s="7">
        <f t="shared" si="13"/>
        <v>49765</v>
      </c>
      <c r="HV3" s="7">
        <f t="shared" si="13"/>
        <v>49765</v>
      </c>
      <c r="HW3" s="7">
        <f t="shared" si="13"/>
        <v>49765</v>
      </c>
      <c r="HX3" s="7">
        <f t="shared" si="13"/>
        <v>50130</v>
      </c>
      <c r="HY3" s="7">
        <f t="shared" si="13"/>
        <v>50130</v>
      </c>
      <c r="HZ3" s="7">
        <f t="shared" si="13"/>
        <v>50130</v>
      </c>
      <c r="IA3" s="7">
        <f t="shared" si="13"/>
        <v>50130</v>
      </c>
      <c r="IB3" s="7">
        <f t="shared" si="13"/>
        <v>50130</v>
      </c>
      <c r="IC3" s="7">
        <f t="shared" si="13"/>
        <v>50130</v>
      </c>
      <c r="ID3" s="7">
        <f t="shared" si="13"/>
        <v>50130</v>
      </c>
      <c r="IE3" s="7">
        <f t="shared" si="13"/>
        <v>50130</v>
      </c>
      <c r="IF3" s="7">
        <f t="shared" si="13"/>
        <v>50130</v>
      </c>
      <c r="IG3" s="7">
        <f t="shared" si="13"/>
        <v>50130</v>
      </c>
      <c r="IH3" s="7">
        <f t="shared" si="13"/>
        <v>50130</v>
      </c>
      <c r="II3" s="7">
        <f t="shared" si="13"/>
        <v>50130</v>
      </c>
      <c r="IJ3" s="7">
        <f t="shared" si="13"/>
        <v>50495</v>
      </c>
      <c r="IK3" s="7">
        <f t="shared" si="13"/>
        <v>50495</v>
      </c>
      <c r="IL3" s="7">
        <f t="shared" si="13"/>
        <v>50495</v>
      </c>
      <c r="IM3" s="7">
        <f t="shared" si="13"/>
        <v>50495</v>
      </c>
      <c r="IN3" s="7">
        <f t="shared" si="13"/>
        <v>50495</v>
      </c>
      <c r="IO3" s="7">
        <f t="shared" si="13"/>
        <v>50495</v>
      </c>
      <c r="IP3" s="7">
        <f t="shared" si="13"/>
        <v>50495</v>
      </c>
      <c r="IQ3" s="7">
        <f t="shared" si="13"/>
        <v>50495</v>
      </c>
      <c r="IR3" s="7">
        <f t="shared" si="13"/>
        <v>50495</v>
      </c>
      <c r="IS3" s="7">
        <f t="shared" si="13"/>
        <v>50495</v>
      </c>
      <c r="IT3" s="7">
        <f t="shared" si="13"/>
        <v>50495</v>
      </c>
      <c r="IU3" s="7">
        <f t="shared" si="13"/>
        <v>50495</v>
      </c>
      <c r="IV3" s="7">
        <f t="shared" si="13"/>
        <v>50860</v>
      </c>
      <c r="IW3" s="7">
        <f t="shared" si="13"/>
        <v>50860</v>
      </c>
      <c r="IX3" s="7">
        <f t="shared" si="13"/>
        <v>50860</v>
      </c>
      <c r="IY3" s="7">
        <f t="shared" si="13"/>
        <v>50860</v>
      </c>
      <c r="IZ3" s="7">
        <f t="shared" ref="IZ3:JU3" si="14">DATE(IF(MONTH(IZ1)&lt;=3,YEAR(IZ1),YEAR(IZ1)+1),3,31)</f>
        <v>50860</v>
      </c>
      <c r="JA3" s="7">
        <f t="shared" si="14"/>
        <v>50860</v>
      </c>
      <c r="JB3" s="7">
        <f t="shared" si="14"/>
        <v>50860</v>
      </c>
      <c r="JC3" s="7">
        <f t="shared" si="14"/>
        <v>50860</v>
      </c>
      <c r="JD3" s="7">
        <f t="shared" si="14"/>
        <v>50860</v>
      </c>
      <c r="JE3" s="7">
        <f t="shared" si="14"/>
        <v>50860</v>
      </c>
      <c r="JF3" s="7">
        <f t="shared" si="14"/>
        <v>50860</v>
      </c>
      <c r="JG3" s="7">
        <f t="shared" si="14"/>
        <v>50860</v>
      </c>
      <c r="JH3" s="7">
        <f t="shared" si="14"/>
        <v>51226</v>
      </c>
      <c r="JI3" s="7">
        <f t="shared" si="14"/>
        <v>51226</v>
      </c>
      <c r="JJ3" s="7">
        <f t="shared" si="14"/>
        <v>51226</v>
      </c>
      <c r="JK3" s="7">
        <f t="shared" si="14"/>
        <v>51226</v>
      </c>
      <c r="JL3" s="7">
        <f t="shared" si="14"/>
        <v>51226</v>
      </c>
      <c r="JM3" s="7">
        <f t="shared" si="14"/>
        <v>51226</v>
      </c>
      <c r="JN3" s="7">
        <f t="shared" si="14"/>
        <v>51226</v>
      </c>
      <c r="JO3" s="7">
        <f t="shared" si="14"/>
        <v>51226</v>
      </c>
      <c r="JP3" s="7">
        <f t="shared" si="14"/>
        <v>51226</v>
      </c>
      <c r="JQ3" s="7">
        <f t="shared" si="14"/>
        <v>51226</v>
      </c>
      <c r="JR3" s="7">
        <f t="shared" si="14"/>
        <v>51226</v>
      </c>
      <c r="JS3" s="7">
        <f t="shared" si="14"/>
        <v>51226</v>
      </c>
      <c r="JT3" s="7">
        <f t="shared" si="14"/>
        <v>51591</v>
      </c>
      <c r="JU3" s="7">
        <f t="shared" si="14"/>
        <v>51591</v>
      </c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</row>
    <row r="4" spans="1:310">
      <c r="A4" t="s">
        <v>243</v>
      </c>
      <c r="D4" s="399">
        <f>D1-B1</f>
        <v>30</v>
      </c>
      <c r="E4" s="399">
        <f t="shared" ref="E4:BO4" si="15">E1-D1</f>
        <v>31</v>
      </c>
      <c r="F4" s="399">
        <f t="shared" si="15"/>
        <v>30</v>
      </c>
      <c r="G4" s="399">
        <f t="shared" si="15"/>
        <v>31</v>
      </c>
      <c r="H4" s="399">
        <f t="shared" si="15"/>
        <v>31</v>
      </c>
      <c r="I4" s="399">
        <f t="shared" si="15"/>
        <v>30</v>
      </c>
      <c r="J4" s="399">
        <f t="shared" si="15"/>
        <v>31</v>
      </c>
      <c r="K4" s="399">
        <f t="shared" si="15"/>
        <v>30</v>
      </c>
      <c r="L4" s="399">
        <f t="shared" si="15"/>
        <v>31</v>
      </c>
      <c r="M4" s="399">
        <f t="shared" si="15"/>
        <v>31</v>
      </c>
      <c r="N4" s="399">
        <f t="shared" si="15"/>
        <v>28</v>
      </c>
      <c r="O4" s="399">
        <f t="shared" si="15"/>
        <v>31</v>
      </c>
      <c r="P4" s="399">
        <f t="shared" si="15"/>
        <v>30</v>
      </c>
      <c r="Q4" s="399">
        <f t="shared" si="15"/>
        <v>31</v>
      </c>
      <c r="R4" s="399">
        <f t="shared" si="15"/>
        <v>30</v>
      </c>
      <c r="S4" s="399">
        <f t="shared" si="15"/>
        <v>31</v>
      </c>
      <c r="T4" s="399">
        <f t="shared" si="15"/>
        <v>31</v>
      </c>
      <c r="U4" s="399">
        <f t="shared" si="15"/>
        <v>30</v>
      </c>
      <c r="V4" s="399">
        <f t="shared" si="15"/>
        <v>31</v>
      </c>
      <c r="W4" s="399">
        <f t="shared" si="15"/>
        <v>30</v>
      </c>
      <c r="X4" s="399">
        <f t="shared" si="15"/>
        <v>31</v>
      </c>
      <c r="Y4" s="399">
        <f t="shared" si="15"/>
        <v>31</v>
      </c>
      <c r="Z4" s="399">
        <f t="shared" si="15"/>
        <v>28</v>
      </c>
      <c r="AA4" s="399">
        <f t="shared" si="15"/>
        <v>31</v>
      </c>
      <c r="AB4" s="399">
        <f t="shared" si="15"/>
        <v>30</v>
      </c>
      <c r="AC4" s="399">
        <f t="shared" si="15"/>
        <v>31</v>
      </c>
      <c r="AD4" s="399">
        <f t="shared" si="15"/>
        <v>30</v>
      </c>
      <c r="AE4" s="399">
        <f t="shared" si="15"/>
        <v>31</v>
      </c>
      <c r="AF4" s="399">
        <f t="shared" si="15"/>
        <v>31</v>
      </c>
      <c r="AG4" s="399">
        <f t="shared" si="15"/>
        <v>30</v>
      </c>
      <c r="AH4" s="399">
        <f t="shared" si="15"/>
        <v>31</v>
      </c>
      <c r="AI4" s="399">
        <f t="shared" si="15"/>
        <v>30</v>
      </c>
      <c r="AJ4" s="399">
        <f t="shared" si="15"/>
        <v>31</v>
      </c>
      <c r="AK4" s="399">
        <f t="shared" si="15"/>
        <v>31</v>
      </c>
      <c r="AL4" s="399">
        <f t="shared" si="15"/>
        <v>29</v>
      </c>
      <c r="AM4" s="399">
        <f t="shared" si="15"/>
        <v>31</v>
      </c>
      <c r="AN4" s="399">
        <f t="shared" si="15"/>
        <v>30</v>
      </c>
      <c r="AO4" s="399">
        <f t="shared" si="15"/>
        <v>31</v>
      </c>
      <c r="AP4" s="399">
        <f t="shared" si="15"/>
        <v>30</v>
      </c>
      <c r="AQ4" s="399">
        <f t="shared" si="15"/>
        <v>31</v>
      </c>
      <c r="AR4" s="399">
        <f t="shared" si="15"/>
        <v>31</v>
      </c>
      <c r="AS4" s="399">
        <f t="shared" si="15"/>
        <v>30</v>
      </c>
      <c r="AT4" s="399">
        <f t="shared" si="15"/>
        <v>31</v>
      </c>
      <c r="AU4" s="399">
        <f t="shared" si="15"/>
        <v>30</v>
      </c>
      <c r="AV4" s="399">
        <f t="shared" si="15"/>
        <v>31</v>
      </c>
      <c r="AW4" s="399">
        <f t="shared" si="15"/>
        <v>31</v>
      </c>
      <c r="AX4" s="399">
        <f t="shared" si="15"/>
        <v>28</v>
      </c>
      <c r="AY4" s="399">
        <f t="shared" si="15"/>
        <v>31</v>
      </c>
      <c r="AZ4" s="399">
        <f t="shared" si="15"/>
        <v>30</v>
      </c>
      <c r="BA4" s="399">
        <f t="shared" si="15"/>
        <v>31</v>
      </c>
      <c r="BB4" s="399">
        <f t="shared" si="15"/>
        <v>30</v>
      </c>
      <c r="BC4" s="399">
        <f t="shared" si="15"/>
        <v>31</v>
      </c>
      <c r="BD4" s="399">
        <f t="shared" si="15"/>
        <v>31</v>
      </c>
      <c r="BE4" s="399">
        <f t="shared" si="15"/>
        <v>30</v>
      </c>
      <c r="BF4" s="399">
        <f t="shared" si="15"/>
        <v>31</v>
      </c>
      <c r="BG4" s="399">
        <f t="shared" si="15"/>
        <v>30</v>
      </c>
      <c r="BH4" s="399">
        <f t="shared" si="15"/>
        <v>31</v>
      </c>
      <c r="BI4" s="399">
        <f t="shared" si="15"/>
        <v>31</v>
      </c>
      <c r="BJ4" s="399">
        <f t="shared" si="15"/>
        <v>28</v>
      </c>
      <c r="BK4" s="399">
        <f t="shared" si="15"/>
        <v>31</v>
      </c>
      <c r="BL4" s="399">
        <f t="shared" si="15"/>
        <v>30</v>
      </c>
      <c r="BM4" s="399">
        <f t="shared" si="15"/>
        <v>31</v>
      </c>
      <c r="BN4" s="399">
        <f t="shared" si="15"/>
        <v>30</v>
      </c>
      <c r="BO4" s="399">
        <f t="shared" si="15"/>
        <v>31</v>
      </c>
      <c r="BP4" s="399">
        <f t="shared" ref="BP4:EA4" si="16">BP1-BO1</f>
        <v>31</v>
      </c>
      <c r="BQ4" s="399">
        <f t="shared" si="16"/>
        <v>30</v>
      </c>
      <c r="BR4" s="399">
        <f t="shared" si="16"/>
        <v>31</v>
      </c>
      <c r="BS4" s="399">
        <f t="shared" si="16"/>
        <v>30</v>
      </c>
      <c r="BT4" s="399">
        <f t="shared" si="16"/>
        <v>31</v>
      </c>
      <c r="BU4" s="399">
        <f t="shared" si="16"/>
        <v>31</v>
      </c>
      <c r="BV4" s="399">
        <f t="shared" si="16"/>
        <v>28</v>
      </c>
      <c r="BW4" s="399">
        <f t="shared" si="16"/>
        <v>31</v>
      </c>
      <c r="BX4" s="399">
        <f t="shared" si="16"/>
        <v>30</v>
      </c>
      <c r="BY4" s="399">
        <f t="shared" si="16"/>
        <v>31</v>
      </c>
      <c r="BZ4" s="399">
        <f t="shared" si="16"/>
        <v>30</v>
      </c>
      <c r="CA4" s="399">
        <f t="shared" si="16"/>
        <v>31</v>
      </c>
      <c r="CB4" s="399">
        <f t="shared" si="16"/>
        <v>31</v>
      </c>
      <c r="CC4" s="399">
        <f t="shared" si="16"/>
        <v>30</v>
      </c>
      <c r="CD4" s="399">
        <f t="shared" si="16"/>
        <v>31</v>
      </c>
      <c r="CE4" s="399">
        <f t="shared" si="16"/>
        <v>30</v>
      </c>
      <c r="CF4" s="399">
        <f t="shared" si="16"/>
        <v>31</v>
      </c>
      <c r="CG4" s="399">
        <f t="shared" si="16"/>
        <v>31</v>
      </c>
      <c r="CH4" s="399">
        <f t="shared" si="16"/>
        <v>29</v>
      </c>
      <c r="CI4" s="399">
        <f t="shared" si="16"/>
        <v>31</v>
      </c>
      <c r="CJ4" s="399">
        <f t="shared" si="16"/>
        <v>30</v>
      </c>
      <c r="CK4" s="399">
        <f t="shared" si="16"/>
        <v>31</v>
      </c>
      <c r="CL4" s="399">
        <f t="shared" si="16"/>
        <v>30</v>
      </c>
      <c r="CM4" s="399">
        <f t="shared" si="16"/>
        <v>31</v>
      </c>
      <c r="CN4" s="399">
        <f t="shared" si="16"/>
        <v>31</v>
      </c>
      <c r="CO4" s="399">
        <f t="shared" si="16"/>
        <v>30</v>
      </c>
      <c r="CP4" s="399">
        <f t="shared" si="16"/>
        <v>31</v>
      </c>
      <c r="CQ4" s="399">
        <f t="shared" si="16"/>
        <v>30</v>
      </c>
      <c r="CR4" s="399">
        <f t="shared" si="16"/>
        <v>31</v>
      </c>
      <c r="CS4" s="399">
        <f t="shared" si="16"/>
        <v>31</v>
      </c>
      <c r="CT4" s="399">
        <f t="shared" si="16"/>
        <v>28</v>
      </c>
      <c r="CU4" s="399">
        <f t="shared" si="16"/>
        <v>31</v>
      </c>
      <c r="CV4" s="399">
        <f t="shared" si="16"/>
        <v>30</v>
      </c>
      <c r="CW4" s="399">
        <f t="shared" si="16"/>
        <v>31</v>
      </c>
      <c r="CX4" s="399">
        <f t="shared" si="16"/>
        <v>30</v>
      </c>
      <c r="CY4" s="399">
        <f t="shared" si="16"/>
        <v>31</v>
      </c>
      <c r="CZ4" s="399">
        <f t="shared" si="16"/>
        <v>31</v>
      </c>
      <c r="DA4" s="399">
        <f t="shared" si="16"/>
        <v>30</v>
      </c>
      <c r="DB4" s="399">
        <f t="shared" si="16"/>
        <v>31</v>
      </c>
      <c r="DC4" s="399">
        <f t="shared" si="16"/>
        <v>30</v>
      </c>
      <c r="DD4" s="399">
        <f t="shared" si="16"/>
        <v>31</v>
      </c>
      <c r="DE4" s="399">
        <f t="shared" si="16"/>
        <v>31</v>
      </c>
      <c r="DF4" s="399">
        <f t="shared" si="16"/>
        <v>28</v>
      </c>
      <c r="DG4" s="399">
        <f t="shared" si="16"/>
        <v>31</v>
      </c>
      <c r="DH4" s="399">
        <f t="shared" si="16"/>
        <v>30</v>
      </c>
      <c r="DI4" s="399">
        <f t="shared" si="16"/>
        <v>31</v>
      </c>
      <c r="DJ4" s="399">
        <f t="shared" si="16"/>
        <v>30</v>
      </c>
      <c r="DK4" s="399">
        <f t="shared" si="16"/>
        <v>31</v>
      </c>
      <c r="DL4" s="399">
        <f t="shared" si="16"/>
        <v>31</v>
      </c>
      <c r="DM4" s="399">
        <f t="shared" si="16"/>
        <v>30</v>
      </c>
      <c r="DN4" s="399">
        <f t="shared" si="16"/>
        <v>31</v>
      </c>
      <c r="DO4" s="399">
        <f t="shared" si="16"/>
        <v>30</v>
      </c>
      <c r="DP4" s="399">
        <f t="shared" si="16"/>
        <v>31</v>
      </c>
      <c r="DQ4" s="399">
        <f t="shared" si="16"/>
        <v>31</v>
      </c>
      <c r="DR4" s="399">
        <f t="shared" si="16"/>
        <v>28</v>
      </c>
      <c r="DS4" s="399">
        <f t="shared" si="16"/>
        <v>31</v>
      </c>
      <c r="DT4" s="399">
        <f t="shared" si="16"/>
        <v>30</v>
      </c>
      <c r="DU4" s="399">
        <f t="shared" si="16"/>
        <v>31</v>
      </c>
      <c r="DV4" s="399">
        <f t="shared" si="16"/>
        <v>30</v>
      </c>
      <c r="DW4" s="399">
        <f t="shared" si="16"/>
        <v>31</v>
      </c>
      <c r="DX4" s="399">
        <f t="shared" si="16"/>
        <v>31</v>
      </c>
      <c r="DY4" s="399">
        <f t="shared" si="16"/>
        <v>30</v>
      </c>
      <c r="DZ4" s="399">
        <f t="shared" si="16"/>
        <v>31</v>
      </c>
      <c r="EA4" s="399">
        <f t="shared" si="16"/>
        <v>30</v>
      </c>
      <c r="EB4" s="399">
        <f t="shared" ref="EB4:GM4" si="17">EB1-EA1</f>
        <v>31</v>
      </c>
      <c r="EC4" s="399">
        <f t="shared" si="17"/>
        <v>31</v>
      </c>
      <c r="ED4" s="399">
        <f t="shared" si="17"/>
        <v>29</v>
      </c>
      <c r="EE4" s="399">
        <f t="shared" si="17"/>
        <v>31</v>
      </c>
      <c r="EF4" s="399">
        <f t="shared" si="17"/>
        <v>30</v>
      </c>
      <c r="EG4" s="399">
        <f t="shared" si="17"/>
        <v>31</v>
      </c>
      <c r="EH4" s="399">
        <f t="shared" si="17"/>
        <v>30</v>
      </c>
      <c r="EI4" s="399">
        <f t="shared" si="17"/>
        <v>31</v>
      </c>
      <c r="EJ4" s="399">
        <f t="shared" si="17"/>
        <v>31</v>
      </c>
      <c r="EK4" s="399">
        <f t="shared" si="17"/>
        <v>30</v>
      </c>
      <c r="EL4" s="399">
        <f t="shared" si="17"/>
        <v>31</v>
      </c>
      <c r="EM4" s="399">
        <f t="shared" si="17"/>
        <v>30</v>
      </c>
      <c r="EN4" s="399">
        <f t="shared" si="17"/>
        <v>31</v>
      </c>
      <c r="EO4" s="399">
        <f t="shared" si="17"/>
        <v>31</v>
      </c>
      <c r="EP4" s="399">
        <f t="shared" si="17"/>
        <v>28</v>
      </c>
      <c r="EQ4" s="399">
        <f t="shared" si="17"/>
        <v>31</v>
      </c>
      <c r="ER4" s="399">
        <f t="shared" si="17"/>
        <v>30</v>
      </c>
      <c r="ES4" s="399">
        <f t="shared" si="17"/>
        <v>31</v>
      </c>
      <c r="ET4" s="399">
        <f t="shared" si="17"/>
        <v>30</v>
      </c>
      <c r="EU4" s="399">
        <f t="shared" si="17"/>
        <v>31</v>
      </c>
      <c r="EV4" s="399">
        <f t="shared" si="17"/>
        <v>31</v>
      </c>
      <c r="EW4" s="399">
        <f t="shared" si="17"/>
        <v>30</v>
      </c>
      <c r="EX4" s="399">
        <f t="shared" si="17"/>
        <v>31</v>
      </c>
      <c r="EY4" s="399">
        <f t="shared" si="17"/>
        <v>30</v>
      </c>
      <c r="EZ4" s="399">
        <f t="shared" si="17"/>
        <v>31</v>
      </c>
      <c r="FA4" s="399">
        <f t="shared" si="17"/>
        <v>31</v>
      </c>
      <c r="FB4" s="399">
        <f t="shared" si="17"/>
        <v>28</v>
      </c>
      <c r="FC4" s="399">
        <f t="shared" si="17"/>
        <v>31</v>
      </c>
      <c r="FD4" s="399">
        <f t="shared" si="17"/>
        <v>30</v>
      </c>
      <c r="FE4" s="399">
        <f t="shared" si="17"/>
        <v>31</v>
      </c>
      <c r="FF4" s="399">
        <f t="shared" si="17"/>
        <v>30</v>
      </c>
      <c r="FG4" s="399">
        <f t="shared" si="17"/>
        <v>31</v>
      </c>
      <c r="FH4" s="399">
        <f t="shared" si="17"/>
        <v>31</v>
      </c>
      <c r="FI4" s="399">
        <f t="shared" si="17"/>
        <v>30</v>
      </c>
      <c r="FJ4" s="399">
        <f t="shared" si="17"/>
        <v>31</v>
      </c>
      <c r="FK4" s="399">
        <f t="shared" si="17"/>
        <v>30</v>
      </c>
      <c r="FL4" s="399">
        <f t="shared" si="17"/>
        <v>31</v>
      </c>
      <c r="FM4" s="399">
        <f t="shared" si="17"/>
        <v>31</v>
      </c>
      <c r="FN4" s="399">
        <f t="shared" si="17"/>
        <v>28</v>
      </c>
      <c r="FO4" s="399">
        <f t="shared" si="17"/>
        <v>31</v>
      </c>
      <c r="FP4" s="399">
        <f t="shared" si="17"/>
        <v>30</v>
      </c>
      <c r="FQ4" s="399">
        <f t="shared" si="17"/>
        <v>31</v>
      </c>
      <c r="FR4" s="399">
        <f t="shared" si="17"/>
        <v>30</v>
      </c>
      <c r="FS4" s="399">
        <f t="shared" si="17"/>
        <v>31</v>
      </c>
      <c r="FT4" s="399">
        <f t="shared" si="17"/>
        <v>31</v>
      </c>
      <c r="FU4" s="399">
        <f t="shared" si="17"/>
        <v>30</v>
      </c>
      <c r="FV4" s="399">
        <f t="shared" si="17"/>
        <v>31</v>
      </c>
      <c r="FW4" s="399">
        <f t="shared" si="17"/>
        <v>30</v>
      </c>
      <c r="FX4" s="399">
        <f t="shared" si="17"/>
        <v>31</v>
      </c>
      <c r="FY4" s="399">
        <f t="shared" si="17"/>
        <v>31</v>
      </c>
      <c r="FZ4" s="399">
        <f t="shared" si="17"/>
        <v>29</v>
      </c>
      <c r="GA4" s="399">
        <f t="shared" si="17"/>
        <v>31</v>
      </c>
      <c r="GB4" s="399">
        <f t="shared" si="17"/>
        <v>30</v>
      </c>
      <c r="GC4" s="399">
        <f t="shared" si="17"/>
        <v>31</v>
      </c>
      <c r="GD4" s="399">
        <f t="shared" si="17"/>
        <v>30</v>
      </c>
      <c r="GE4" s="399">
        <f t="shared" si="17"/>
        <v>31</v>
      </c>
      <c r="GF4" s="399">
        <f t="shared" si="17"/>
        <v>31</v>
      </c>
      <c r="GG4" s="399">
        <f t="shared" si="17"/>
        <v>30</v>
      </c>
      <c r="GH4" s="399">
        <f t="shared" si="17"/>
        <v>31</v>
      </c>
      <c r="GI4" s="399">
        <f t="shared" si="17"/>
        <v>30</v>
      </c>
      <c r="GJ4" s="399">
        <f t="shared" si="17"/>
        <v>31</v>
      </c>
      <c r="GK4" s="399">
        <f t="shared" si="17"/>
        <v>31</v>
      </c>
      <c r="GL4" s="399">
        <f t="shared" si="17"/>
        <v>28</v>
      </c>
      <c r="GM4" s="399">
        <f t="shared" si="17"/>
        <v>31</v>
      </c>
      <c r="GN4" s="399">
        <f t="shared" ref="GN4:IY4" si="18">GN1-GM1</f>
        <v>30</v>
      </c>
      <c r="GO4" s="399">
        <f t="shared" si="18"/>
        <v>31</v>
      </c>
      <c r="GP4" s="399">
        <f t="shared" si="18"/>
        <v>30</v>
      </c>
      <c r="GQ4" s="399">
        <f t="shared" si="18"/>
        <v>31</v>
      </c>
      <c r="GR4" s="399">
        <f t="shared" si="18"/>
        <v>31</v>
      </c>
      <c r="GS4" s="399">
        <f t="shared" si="18"/>
        <v>30</v>
      </c>
      <c r="GT4" s="399">
        <f t="shared" si="18"/>
        <v>31</v>
      </c>
      <c r="GU4" s="399">
        <f t="shared" si="18"/>
        <v>30</v>
      </c>
      <c r="GV4" s="399">
        <f t="shared" si="18"/>
        <v>31</v>
      </c>
      <c r="GW4" s="399">
        <f t="shared" si="18"/>
        <v>31</v>
      </c>
      <c r="GX4" s="399">
        <f t="shared" si="18"/>
        <v>28</v>
      </c>
      <c r="GY4" s="399">
        <f t="shared" si="18"/>
        <v>31</v>
      </c>
      <c r="GZ4" s="399">
        <f t="shared" si="18"/>
        <v>30</v>
      </c>
      <c r="HA4" s="399">
        <f t="shared" si="18"/>
        <v>31</v>
      </c>
      <c r="HB4" s="399">
        <f t="shared" si="18"/>
        <v>30</v>
      </c>
      <c r="HC4" s="399">
        <f t="shared" si="18"/>
        <v>31</v>
      </c>
      <c r="HD4" s="399">
        <f t="shared" si="18"/>
        <v>31</v>
      </c>
      <c r="HE4" s="399">
        <f t="shared" si="18"/>
        <v>30</v>
      </c>
      <c r="HF4" s="399">
        <f t="shared" si="18"/>
        <v>31</v>
      </c>
      <c r="HG4" s="399">
        <f t="shared" si="18"/>
        <v>30</v>
      </c>
      <c r="HH4" s="399">
        <f t="shared" si="18"/>
        <v>31</v>
      </c>
      <c r="HI4" s="399">
        <f t="shared" si="18"/>
        <v>31</v>
      </c>
      <c r="HJ4" s="399">
        <f t="shared" si="18"/>
        <v>28</v>
      </c>
      <c r="HK4" s="399">
        <f t="shared" si="18"/>
        <v>31</v>
      </c>
      <c r="HL4" s="399">
        <f t="shared" si="18"/>
        <v>30</v>
      </c>
      <c r="HM4" s="399">
        <f t="shared" si="18"/>
        <v>31</v>
      </c>
      <c r="HN4" s="399">
        <f t="shared" si="18"/>
        <v>30</v>
      </c>
      <c r="HO4" s="399">
        <f t="shared" si="18"/>
        <v>31</v>
      </c>
      <c r="HP4" s="399">
        <f t="shared" si="18"/>
        <v>31</v>
      </c>
      <c r="HQ4" s="399">
        <f t="shared" si="18"/>
        <v>30</v>
      </c>
      <c r="HR4" s="399">
        <f t="shared" si="18"/>
        <v>31</v>
      </c>
      <c r="HS4" s="399">
        <f t="shared" si="18"/>
        <v>30</v>
      </c>
      <c r="HT4" s="399">
        <f t="shared" si="18"/>
        <v>31</v>
      </c>
      <c r="HU4" s="399">
        <f t="shared" si="18"/>
        <v>31</v>
      </c>
      <c r="HV4" s="399">
        <f t="shared" si="18"/>
        <v>29</v>
      </c>
      <c r="HW4" s="399">
        <f t="shared" si="18"/>
        <v>31</v>
      </c>
      <c r="HX4" s="399">
        <f t="shared" si="18"/>
        <v>30</v>
      </c>
      <c r="HY4" s="399">
        <f t="shared" si="18"/>
        <v>31</v>
      </c>
      <c r="HZ4" s="399">
        <f t="shared" si="18"/>
        <v>30</v>
      </c>
      <c r="IA4" s="399">
        <f t="shared" si="18"/>
        <v>31</v>
      </c>
      <c r="IB4" s="399">
        <f t="shared" si="18"/>
        <v>31</v>
      </c>
      <c r="IC4" s="399">
        <f t="shared" si="18"/>
        <v>30</v>
      </c>
      <c r="ID4" s="399">
        <f t="shared" si="18"/>
        <v>31</v>
      </c>
      <c r="IE4" s="399">
        <f t="shared" si="18"/>
        <v>30</v>
      </c>
      <c r="IF4" s="399">
        <f t="shared" si="18"/>
        <v>31</v>
      </c>
      <c r="IG4" s="399">
        <f t="shared" si="18"/>
        <v>31</v>
      </c>
      <c r="IH4" s="399">
        <f t="shared" si="18"/>
        <v>28</v>
      </c>
      <c r="II4" s="399">
        <f t="shared" si="18"/>
        <v>31</v>
      </c>
      <c r="IJ4" s="399">
        <f t="shared" si="18"/>
        <v>30</v>
      </c>
      <c r="IK4" s="399">
        <f t="shared" si="18"/>
        <v>31</v>
      </c>
      <c r="IL4" s="399">
        <f t="shared" si="18"/>
        <v>30</v>
      </c>
      <c r="IM4" s="399">
        <f t="shared" si="18"/>
        <v>31</v>
      </c>
      <c r="IN4" s="399">
        <f t="shared" si="18"/>
        <v>31</v>
      </c>
      <c r="IO4" s="399">
        <f t="shared" si="18"/>
        <v>30</v>
      </c>
      <c r="IP4" s="399">
        <f t="shared" si="18"/>
        <v>31</v>
      </c>
      <c r="IQ4" s="399">
        <f t="shared" si="18"/>
        <v>30</v>
      </c>
      <c r="IR4" s="399">
        <f t="shared" si="18"/>
        <v>31</v>
      </c>
      <c r="IS4" s="399">
        <f t="shared" si="18"/>
        <v>31</v>
      </c>
      <c r="IT4" s="399">
        <f t="shared" si="18"/>
        <v>28</v>
      </c>
      <c r="IU4" s="399">
        <f t="shared" si="18"/>
        <v>31</v>
      </c>
      <c r="IV4" s="399">
        <f t="shared" si="18"/>
        <v>30</v>
      </c>
      <c r="IW4" s="399">
        <f t="shared" si="18"/>
        <v>31</v>
      </c>
      <c r="IX4" s="399">
        <f t="shared" si="18"/>
        <v>30</v>
      </c>
      <c r="IY4" s="399">
        <f t="shared" si="18"/>
        <v>31</v>
      </c>
      <c r="IZ4" s="399">
        <f t="shared" ref="IZ4:JU4" si="19">IZ1-IY1</f>
        <v>31</v>
      </c>
      <c r="JA4" s="399">
        <f t="shared" si="19"/>
        <v>30</v>
      </c>
      <c r="JB4" s="399">
        <f t="shared" si="19"/>
        <v>31</v>
      </c>
      <c r="JC4" s="399">
        <f t="shared" si="19"/>
        <v>30</v>
      </c>
      <c r="JD4" s="399">
        <f t="shared" si="19"/>
        <v>31</v>
      </c>
      <c r="JE4" s="399">
        <f t="shared" si="19"/>
        <v>31</v>
      </c>
      <c r="JF4" s="399">
        <f t="shared" si="19"/>
        <v>28</v>
      </c>
      <c r="JG4" s="399">
        <f t="shared" si="19"/>
        <v>31</v>
      </c>
      <c r="JH4" s="399">
        <f t="shared" si="19"/>
        <v>30</v>
      </c>
      <c r="JI4" s="399">
        <f t="shared" si="19"/>
        <v>31</v>
      </c>
      <c r="JJ4" s="399">
        <f t="shared" si="19"/>
        <v>30</v>
      </c>
      <c r="JK4" s="399">
        <f t="shared" si="19"/>
        <v>31</v>
      </c>
      <c r="JL4" s="399">
        <f t="shared" si="19"/>
        <v>31</v>
      </c>
      <c r="JM4" s="399">
        <f t="shared" si="19"/>
        <v>30</v>
      </c>
      <c r="JN4" s="399">
        <f t="shared" si="19"/>
        <v>31</v>
      </c>
      <c r="JO4" s="399">
        <f t="shared" si="19"/>
        <v>30</v>
      </c>
      <c r="JP4" s="399">
        <f t="shared" si="19"/>
        <v>31</v>
      </c>
      <c r="JQ4" s="399">
        <f t="shared" si="19"/>
        <v>31</v>
      </c>
      <c r="JR4" s="399">
        <f t="shared" si="19"/>
        <v>29</v>
      </c>
      <c r="JS4" s="399">
        <f t="shared" si="19"/>
        <v>31</v>
      </c>
      <c r="JT4" s="399">
        <f t="shared" si="19"/>
        <v>30</v>
      </c>
      <c r="JU4" s="399">
        <f t="shared" si="19"/>
        <v>31</v>
      </c>
    </row>
    <row r="5" spans="1:310">
      <c r="A5" t="s">
        <v>244</v>
      </c>
      <c r="D5" s="399">
        <f t="shared" ref="D5:BO5" si="20">D3-EOMONTH(D3,-12)</f>
        <v>365</v>
      </c>
      <c r="E5" s="399">
        <f t="shared" si="20"/>
        <v>365</v>
      </c>
      <c r="F5" s="399">
        <f t="shared" si="20"/>
        <v>365</v>
      </c>
      <c r="G5" s="399">
        <f t="shared" si="20"/>
        <v>365</v>
      </c>
      <c r="H5" s="399">
        <f t="shared" si="20"/>
        <v>365</v>
      </c>
      <c r="I5" s="399">
        <f t="shared" si="20"/>
        <v>365</v>
      </c>
      <c r="J5" s="399">
        <f t="shared" si="20"/>
        <v>365</v>
      </c>
      <c r="K5" s="399">
        <f t="shared" si="20"/>
        <v>365</v>
      </c>
      <c r="L5" s="399">
        <f t="shared" si="20"/>
        <v>365</v>
      </c>
      <c r="M5" s="399">
        <f t="shared" si="20"/>
        <v>365</v>
      </c>
      <c r="N5" s="399">
        <f t="shared" si="20"/>
        <v>365</v>
      </c>
      <c r="O5" s="399">
        <f t="shared" si="20"/>
        <v>365</v>
      </c>
      <c r="P5" s="399">
        <f t="shared" si="20"/>
        <v>365</v>
      </c>
      <c r="Q5" s="399">
        <f t="shared" si="20"/>
        <v>365</v>
      </c>
      <c r="R5" s="399">
        <f t="shared" si="20"/>
        <v>365</v>
      </c>
      <c r="S5" s="399">
        <f t="shared" si="20"/>
        <v>365</v>
      </c>
      <c r="T5" s="399">
        <f t="shared" si="20"/>
        <v>365</v>
      </c>
      <c r="U5" s="399">
        <f t="shared" si="20"/>
        <v>365</v>
      </c>
      <c r="V5" s="399">
        <f t="shared" si="20"/>
        <v>365</v>
      </c>
      <c r="W5" s="399">
        <f t="shared" si="20"/>
        <v>365</v>
      </c>
      <c r="X5" s="399">
        <f t="shared" si="20"/>
        <v>365</v>
      </c>
      <c r="Y5" s="399">
        <f t="shared" si="20"/>
        <v>365</v>
      </c>
      <c r="Z5" s="399">
        <f t="shared" si="20"/>
        <v>365</v>
      </c>
      <c r="AA5" s="399">
        <f t="shared" si="20"/>
        <v>365</v>
      </c>
      <c r="AB5" s="399">
        <f t="shared" si="20"/>
        <v>366</v>
      </c>
      <c r="AC5" s="399">
        <f t="shared" si="20"/>
        <v>366</v>
      </c>
      <c r="AD5" s="399">
        <f t="shared" si="20"/>
        <v>366</v>
      </c>
      <c r="AE5" s="399">
        <f t="shared" si="20"/>
        <v>366</v>
      </c>
      <c r="AF5" s="399">
        <f t="shared" si="20"/>
        <v>366</v>
      </c>
      <c r="AG5" s="399">
        <f t="shared" si="20"/>
        <v>366</v>
      </c>
      <c r="AH5" s="399">
        <f t="shared" si="20"/>
        <v>366</v>
      </c>
      <c r="AI5" s="399">
        <f t="shared" si="20"/>
        <v>366</v>
      </c>
      <c r="AJ5" s="399">
        <f t="shared" si="20"/>
        <v>366</v>
      </c>
      <c r="AK5" s="399">
        <f t="shared" si="20"/>
        <v>366</v>
      </c>
      <c r="AL5" s="399">
        <f t="shared" si="20"/>
        <v>366</v>
      </c>
      <c r="AM5" s="399">
        <f t="shared" si="20"/>
        <v>366</v>
      </c>
      <c r="AN5" s="399">
        <f t="shared" si="20"/>
        <v>365</v>
      </c>
      <c r="AO5" s="399">
        <f t="shared" si="20"/>
        <v>365</v>
      </c>
      <c r="AP5" s="399">
        <f t="shared" si="20"/>
        <v>365</v>
      </c>
      <c r="AQ5" s="399">
        <f t="shared" si="20"/>
        <v>365</v>
      </c>
      <c r="AR5" s="399">
        <f t="shared" si="20"/>
        <v>365</v>
      </c>
      <c r="AS5" s="399">
        <f t="shared" si="20"/>
        <v>365</v>
      </c>
      <c r="AT5" s="399">
        <f t="shared" si="20"/>
        <v>365</v>
      </c>
      <c r="AU5" s="399">
        <f t="shared" si="20"/>
        <v>365</v>
      </c>
      <c r="AV5" s="399">
        <f t="shared" si="20"/>
        <v>365</v>
      </c>
      <c r="AW5" s="399">
        <f t="shared" si="20"/>
        <v>365</v>
      </c>
      <c r="AX5" s="399">
        <f t="shared" si="20"/>
        <v>365</v>
      </c>
      <c r="AY5" s="399">
        <f t="shared" si="20"/>
        <v>365</v>
      </c>
      <c r="AZ5" s="399">
        <f t="shared" si="20"/>
        <v>365</v>
      </c>
      <c r="BA5" s="399">
        <f t="shared" si="20"/>
        <v>365</v>
      </c>
      <c r="BB5" s="399">
        <f t="shared" si="20"/>
        <v>365</v>
      </c>
      <c r="BC5" s="399">
        <f t="shared" si="20"/>
        <v>365</v>
      </c>
      <c r="BD5" s="399">
        <f t="shared" si="20"/>
        <v>365</v>
      </c>
      <c r="BE5" s="399">
        <f t="shared" si="20"/>
        <v>365</v>
      </c>
      <c r="BF5" s="399">
        <f t="shared" si="20"/>
        <v>365</v>
      </c>
      <c r="BG5" s="399">
        <f t="shared" si="20"/>
        <v>365</v>
      </c>
      <c r="BH5" s="399">
        <f t="shared" si="20"/>
        <v>365</v>
      </c>
      <c r="BI5" s="399">
        <f t="shared" si="20"/>
        <v>365</v>
      </c>
      <c r="BJ5" s="399">
        <f t="shared" si="20"/>
        <v>365</v>
      </c>
      <c r="BK5" s="399">
        <f t="shared" si="20"/>
        <v>365</v>
      </c>
      <c r="BL5" s="399">
        <f t="shared" si="20"/>
        <v>365</v>
      </c>
      <c r="BM5" s="399">
        <f t="shared" si="20"/>
        <v>365</v>
      </c>
      <c r="BN5" s="399">
        <f t="shared" si="20"/>
        <v>365</v>
      </c>
      <c r="BO5" s="399">
        <f t="shared" si="20"/>
        <v>365</v>
      </c>
      <c r="BP5" s="399">
        <f t="shared" ref="BP5:EA5" si="21">BP3-EOMONTH(BP3,-12)</f>
        <v>365</v>
      </c>
      <c r="BQ5" s="399">
        <f t="shared" si="21"/>
        <v>365</v>
      </c>
      <c r="BR5" s="399">
        <f t="shared" si="21"/>
        <v>365</v>
      </c>
      <c r="BS5" s="399">
        <f t="shared" si="21"/>
        <v>365</v>
      </c>
      <c r="BT5" s="399">
        <f t="shared" si="21"/>
        <v>365</v>
      </c>
      <c r="BU5" s="399">
        <f t="shared" si="21"/>
        <v>365</v>
      </c>
      <c r="BV5" s="399">
        <f t="shared" si="21"/>
        <v>365</v>
      </c>
      <c r="BW5" s="399">
        <f t="shared" si="21"/>
        <v>365</v>
      </c>
      <c r="BX5" s="399">
        <f t="shared" si="21"/>
        <v>366</v>
      </c>
      <c r="BY5" s="399">
        <f t="shared" si="21"/>
        <v>366</v>
      </c>
      <c r="BZ5" s="399">
        <f t="shared" si="21"/>
        <v>366</v>
      </c>
      <c r="CA5" s="399">
        <f t="shared" si="21"/>
        <v>366</v>
      </c>
      <c r="CB5" s="399">
        <f t="shared" si="21"/>
        <v>366</v>
      </c>
      <c r="CC5" s="399">
        <f t="shared" si="21"/>
        <v>366</v>
      </c>
      <c r="CD5" s="399">
        <f t="shared" si="21"/>
        <v>366</v>
      </c>
      <c r="CE5" s="399">
        <f t="shared" si="21"/>
        <v>366</v>
      </c>
      <c r="CF5" s="399">
        <f t="shared" si="21"/>
        <v>366</v>
      </c>
      <c r="CG5" s="399">
        <f t="shared" si="21"/>
        <v>366</v>
      </c>
      <c r="CH5" s="399">
        <f t="shared" si="21"/>
        <v>366</v>
      </c>
      <c r="CI5" s="399">
        <f t="shared" si="21"/>
        <v>366</v>
      </c>
      <c r="CJ5" s="399">
        <f t="shared" si="21"/>
        <v>365</v>
      </c>
      <c r="CK5" s="399">
        <f t="shared" si="21"/>
        <v>365</v>
      </c>
      <c r="CL5" s="399">
        <f t="shared" si="21"/>
        <v>365</v>
      </c>
      <c r="CM5" s="399">
        <f t="shared" si="21"/>
        <v>365</v>
      </c>
      <c r="CN5" s="399">
        <f t="shared" si="21"/>
        <v>365</v>
      </c>
      <c r="CO5" s="399">
        <f t="shared" si="21"/>
        <v>365</v>
      </c>
      <c r="CP5" s="399">
        <f t="shared" si="21"/>
        <v>365</v>
      </c>
      <c r="CQ5" s="399">
        <f t="shared" si="21"/>
        <v>365</v>
      </c>
      <c r="CR5" s="399">
        <f t="shared" si="21"/>
        <v>365</v>
      </c>
      <c r="CS5" s="399">
        <f t="shared" si="21"/>
        <v>365</v>
      </c>
      <c r="CT5" s="399">
        <f t="shared" si="21"/>
        <v>365</v>
      </c>
      <c r="CU5" s="399">
        <f t="shared" si="21"/>
        <v>365</v>
      </c>
      <c r="CV5" s="399">
        <f t="shared" si="21"/>
        <v>365</v>
      </c>
      <c r="CW5" s="399">
        <f t="shared" si="21"/>
        <v>365</v>
      </c>
      <c r="CX5" s="399">
        <f t="shared" si="21"/>
        <v>365</v>
      </c>
      <c r="CY5" s="399">
        <f t="shared" si="21"/>
        <v>365</v>
      </c>
      <c r="CZ5" s="399">
        <f t="shared" si="21"/>
        <v>365</v>
      </c>
      <c r="DA5" s="399">
        <f t="shared" si="21"/>
        <v>365</v>
      </c>
      <c r="DB5" s="399">
        <f t="shared" si="21"/>
        <v>365</v>
      </c>
      <c r="DC5" s="399">
        <f t="shared" si="21"/>
        <v>365</v>
      </c>
      <c r="DD5" s="399">
        <f t="shared" si="21"/>
        <v>365</v>
      </c>
      <c r="DE5" s="399">
        <f t="shared" si="21"/>
        <v>365</v>
      </c>
      <c r="DF5" s="399">
        <f t="shared" si="21"/>
        <v>365</v>
      </c>
      <c r="DG5" s="399">
        <f t="shared" si="21"/>
        <v>365</v>
      </c>
      <c r="DH5" s="399">
        <f t="shared" si="21"/>
        <v>365</v>
      </c>
      <c r="DI5" s="399">
        <f t="shared" si="21"/>
        <v>365</v>
      </c>
      <c r="DJ5" s="399">
        <f t="shared" si="21"/>
        <v>365</v>
      </c>
      <c r="DK5" s="399">
        <f t="shared" si="21"/>
        <v>365</v>
      </c>
      <c r="DL5" s="399">
        <f t="shared" si="21"/>
        <v>365</v>
      </c>
      <c r="DM5" s="399">
        <f t="shared" si="21"/>
        <v>365</v>
      </c>
      <c r="DN5" s="399">
        <f t="shared" si="21"/>
        <v>365</v>
      </c>
      <c r="DO5" s="399">
        <f t="shared" si="21"/>
        <v>365</v>
      </c>
      <c r="DP5" s="399">
        <f t="shared" si="21"/>
        <v>365</v>
      </c>
      <c r="DQ5" s="399">
        <f t="shared" si="21"/>
        <v>365</v>
      </c>
      <c r="DR5" s="399">
        <f t="shared" si="21"/>
        <v>365</v>
      </c>
      <c r="DS5" s="399">
        <f t="shared" si="21"/>
        <v>365</v>
      </c>
      <c r="DT5" s="399">
        <f t="shared" si="21"/>
        <v>366</v>
      </c>
      <c r="DU5" s="399">
        <f t="shared" si="21"/>
        <v>366</v>
      </c>
      <c r="DV5" s="399">
        <f t="shared" si="21"/>
        <v>366</v>
      </c>
      <c r="DW5" s="399">
        <f t="shared" si="21"/>
        <v>366</v>
      </c>
      <c r="DX5" s="399">
        <f t="shared" si="21"/>
        <v>366</v>
      </c>
      <c r="DY5" s="399">
        <f t="shared" si="21"/>
        <v>366</v>
      </c>
      <c r="DZ5" s="399">
        <f t="shared" si="21"/>
        <v>366</v>
      </c>
      <c r="EA5" s="399">
        <f t="shared" si="21"/>
        <v>366</v>
      </c>
      <c r="EB5" s="399">
        <f t="shared" ref="EB5:GM5" si="22">EB3-EOMONTH(EB3,-12)</f>
        <v>366</v>
      </c>
      <c r="EC5" s="399">
        <f t="shared" si="22"/>
        <v>366</v>
      </c>
      <c r="ED5" s="399">
        <f t="shared" si="22"/>
        <v>366</v>
      </c>
      <c r="EE5" s="399">
        <f t="shared" si="22"/>
        <v>366</v>
      </c>
      <c r="EF5" s="399">
        <f t="shared" si="22"/>
        <v>365</v>
      </c>
      <c r="EG5" s="399">
        <f t="shared" si="22"/>
        <v>365</v>
      </c>
      <c r="EH5" s="399">
        <f t="shared" si="22"/>
        <v>365</v>
      </c>
      <c r="EI5" s="399">
        <f t="shared" si="22"/>
        <v>365</v>
      </c>
      <c r="EJ5" s="399">
        <f t="shared" si="22"/>
        <v>365</v>
      </c>
      <c r="EK5" s="399">
        <f t="shared" si="22"/>
        <v>365</v>
      </c>
      <c r="EL5" s="399">
        <f t="shared" si="22"/>
        <v>365</v>
      </c>
      <c r="EM5" s="399">
        <f t="shared" si="22"/>
        <v>365</v>
      </c>
      <c r="EN5" s="399">
        <f t="shared" si="22"/>
        <v>365</v>
      </c>
      <c r="EO5" s="399">
        <f t="shared" si="22"/>
        <v>365</v>
      </c>
      <c r="EP5" s="399">
        <f t="shared" si="22"/>
        <v>365</v>
      </c>
      <c r="EQ5" s="399">
        <f t="shared" si="22"/>
        <v>365</v>
      </c>
      <c r="ER5" s="399">
        <f t="shared" si="22"/>
        <v>365</v>
      </c>
      <c r="ES5" s="399">
        <f t="shared" si="22"/>
        <v>365</v>
      </c>
      <c r="ET5" s="399">
        <f t="shared" si="22"/>
        <v>365</v>
      </c>
      <c r="EU5" s="399">
        <f t="shared" si="22"/>
        <v>365</v>
      </c>
      <c r="EV5" s="399">
        <f t="shared" si="22"/>
        <v>365</v>
      </c>
      <c r="EW5" s="399">
        <f t="shared" si="22"/>
        <v>365</v>
      </c>
      <c r="EX5" s="399">
        <f t="shared" si="22"/>
        <v>365</v>
      </c>
      <c r="EY5" s="399">
        <f t="shared" si="22"/>
        <v>365</v>
      </c>
      <c r="EZ5" s="399">
        <f t="shared" si="22"/>
        <v>365</v>
      </c>
      <c r="FA5" s="399">
        <f t="shared" si="22"/>
        <v>365</v>
      </c>
      <c r="FB5" s="399">
        <f t="shared" si="22"/>
        <v>365</v>
      </c>
      <c r="FC5" s="399">
        <f t="shared" si="22"/>
        <v>365</v>
      </c>
      <c r="FD5" s="399">
        <f t="shared" si="22"/>
        <v>365</v>
      </c>
      <c r="FE5" s="399">
        <f t="shared" si="22"/>
        <v>365</v>
      </c>
      <c r="FF5" s="399">
        <f t="shared" si="22"/>
        <v>365</v>
      </c>
      <c r="FG5" s="399">
        <f t="shared" si="22"/>
        <v>365</v>
      </c>
      <c r="FH5" s="399">
        <f t="shared" si="22"/>
        <v>365</v>
      </c>
      <c r="FI5" s="399">
        <f t="shared" si="22"/>
        <v>365</v>
      </c>
      <c r="FJ5" s="399">
        <f t="shared" si="22"/>
        <v>365</v>
      </c>
      <c r="FK5" s="399">
        <f t="shared" si="22"/>
        <v>365</v>
      </c>
      <c r="FL5" s="399">
        <f t="shared" si="22"/>
        <v>365</v>
      </c>
      <c r="FM5" s="399">
        <f t="shared" si="22"/>
        <v>365</v>
      </c>
      <c r="FN5" s="399">
        <f t="shared" si="22"/>
        <v>365</v>
      </c>
      <c r="FO5" s="399">
        <f t="shared" si="22"/>
        <v>365</v>
      </c>
      <c r="FP5" s="399">
        <f t="shared" si="22"/>
        <v>366</v>
      </c>
      <c r="FQ5" s="399">
        <f t="shared" si="22"/>
        <v>366</v>
      </c>
      <c r="FR5" s="399">
        <f t="shared" si="22"/>
        <v>366</v>
      </c>
      <c r="FS5" s="399">
        <f t="shared" si="22"/>
        <v>366</v>
      </c>
      <c r="FT5" s="399">
        <f t="shared" si="22"/>
        <v>366</v>
      </c>
      <c r="FU5" s="399">
        <f t="shared" si="22"/>
        <v>366</v>
      </c>
      <c r="FV5" s="399">
        <f t="shared" si="22"/>
        <v>366</v>
      </c>
      <c r="FW5" s="399">
        <f t="shared" si="22"/>
        <v>366</v>
      </c>
      <c r="FX5" s="399">
        <f t="shared" si="22"/>
        <v>366</v>
      </c>
      <c r="FY5" s="399">
        <f t="shared" si="22"/>
        <v>366</v>
      </c>
      <c r="FZ5" s="399">
        <f t="shared" si="22"/>
        <v>366</v>
      </c>
      <c r="GA5" s="399">
        <f t="shared" si="22"/>
        <v>366</v>
      </c>
      <c r="GB5" s="399">
        <f t="shared" si="22"/>
        <v>365</v>
      </c>
      <c r="GC5" s="399">
        <f t="shared" si="22"/>
        <v>365</v>
      </c>
      <c r="GD5" s="399">
        <f t="shared" si="22"/>
        <v>365</v>
      </c>
      <c r="GE5" s="399">
        <f t="shared" si="22"/>
        <v>365</v>
      </c>
      <c r="GF5" s="399">
        <f t="shared" si="22"/>
        <v>365</v>
      </c>
      <c r="GG5" s="399">
        <f t="shared" si="22"/>
        <v>365</v>
      </c>
      <c r="GH5" s="399">
        <f t="shared" si="22"/>
        <v>365</v>
      </c>
      <c r="GI5" s="399">
        <f t="shared" si="22"/>
        <v>365</v>
      </c>
      <c r="GJ5" s="399">
        <f t="shared" si="22"/>
        <v>365</v>
      </c>
      <c r="GK5" s="399">
        <f t="shared" si="22"/>
        <v>365</v>
      </c>
      <c r="GL5" s="399">
        <f t="shared" si="22"/>
        <v>365</v>
      </c>
      <c r="GM5" s="399">
        <f t="shared" si="22"/>
        <v>365</v>
      </c>
      <c r="GN5" s="399">
        <f t="shared" ref="GN5:IY5" si="23">GN3-EOMONTH(GN3,-12)</f>
        <v>365</v>
      </c>
      <c r="GO5" s="399">
        <f t="shared" si="23"/>
        <v>365</v>
      </c>
      <c r="GP5" s="399">
        <f t="shared" si="23"/>
        <v>365</v>
      </c>
      <c r="GQ5" s="399">
        <f t="shared" si="23"/>
        <v>365</v>
      </c>
      <c r="GR5" s="399">
        <f t="shared" si="23"/>
        <v>365</v>
      </c>
      <c r="GS5" s="399">
        <f t="shared" si="23"/>
        <v>365</v>
      </c>
      <c r="GT5" s="399">
        <f t="shared" si="23"/>
        <v>365</v>
      </c>
      <c r="GU5" s="399">
        <f t="shared" si="23"/>
        <v>365</v>
      </c>
      <c r="GV5" s="399">
        <f t="shared" si="23"/>
        <v>365</v>
      </c>
      <c r="GW5" s="399">
        <f t="shared" si="23"/>
        <v>365</v>
      </c>
      <c r="GX5" s="399">
        <f t="shared" si="23"/>
        <v>365</v>
      </c>
      <c r="GY5" s="399">
        <f t="shared" si="23"/>
        <v>365</v>
      </c>
      <c r="GZ5" s="399">
        <f t="shared" si="23"/>
        <v>365</v>
      </c>
      <c r="HA5" s="399">
        <f t="shared" si="23"/>
        <v>365</v>
      </c>
      <c r="HB5" s="399">
        <f t="shared" si="23"/>
        <v>365</v>
      </c>
      <c r="HC5" s="399">
        <f t="shared" si="23"/>
        <v>365</v>
      </c>
      <c r="HD5" s="399">
        <f t="shared" si="23"/>
        <v>365</v>
      </c>
      <c r="HE5" s="399">
        <f t="shared" si="23"/>
        <v>365</v>
      </c>
      <c r="HF5" s="399">
        <f t="shared" si="23"/>
        <v>365</v>
      </c>
      <c r="HG5" s="399">
        <f t="shared" si="23"/>
        <v>365</v>
      </c>
      <c r="HH5" s="399">
        <f t="shared" si="23"/>
        <v>365</v>
      </c>
      <c r="HI5" s="399">
        <f t="shared" si="23"/>
        <v>365</v>
      </c>
      <c r="HJ5" s="399">
        <f t="shared" si="23"/>
        <v>365</v>
      </c>
      <c r="HK5" s="399">
        <f t="shared" si="23"/>
        <v>365</v>
      </c>
      <c r="HL5" s="399">
        <f t="shared" si="23"/>
        <v>366</v>
      </c>
      <c r="HM5" s="399">
        <f t="shared" si="23"/>
        <v>366</v>
      </c>
      <c r="HN5" s="399">
        <f t="shared" si="23"/>
        <v>366</v>
      </c>
      <c r="HO5" s="399">
        <f t="shared" si="23"/>
        <v>366</v>
      </c>
      <c r="HP5" s="399">
        <f t="shared" si="23"/>
        <v>366</v>
      </c>
      <c r="HQ5" s="399">
        <f t="shared" si="23"/>
        <v>366</v>
      </c>
      <c r="HR5" s="399">
        <f t="shared" si="23"/>
        <v>366</v>
      </c>
      <c r="HS5" s="399">
        <f t="shared" si="23"/>
        <v>366</v>
      </c>
      <c r="HT5" s="399">
        <f t="shared" si="23"/>
        <v>366</v>
      </c>
      <c r="HU5" s="399">
        <f t="shared" si="23"/>
        <v>366</v>
      </c>
      <c r="HV5" s="399">
        <f t="shared" si="23"/>
        <v>366</v>
      </c>
      <c r="HW5" s="399">
        <f t="shared" si="23"/>
        <v>366</v>
      </c>
      <c r="HX5" s="399">
        <f t="shared" si="23"/>
        <v>365</v>
      </c>
      <c r="HY5" s="399">
        <f t="shared" si="23"/>
        <v>365</v>
      </c>
      <c r="HZ5" s="399">
        <f t="shared" si="23"/>
        <v>365</v>
      </c>
      <c r="IA5" s="399">
        <f t="shared" si="23"/>
        <v>365</v>
      </c>
      <c r="IB5" s="399">
        <f t="shared" si="23"/>
        <v>365</v>
      </c>
      <c r="IC5" s="399">
        <f t="shared" si="23"/>
        <v>365</v>
      </c>
      <c r="ID5" s="399">
        <f t="shared" si="23"/>
        <v>365</v>
      </c>
      <c r="IE5" s="399">
        <f t="shared" si="23"/>
        <v>365</v>
      </c>
      <c r="IF5" s="399">
        <f t="shared" si="23"/>
        <v>365</v>
      </c>
      <c r="IG5" s="399">
        <f t="shared" si="23"/>
        <v>365</v>
      </c>
      <c r="IH5" s="399">
        <f t="shared" si="23"/>
        <v>365</v>
      </c>
      <c r="II5" s="399">
        <f t="shared" si="23"/>
        <v>365</v>
      </c>
      <c r="IJ5" s="399">
        <f t="shared" si="23"/>
        <v>365</v>
      </c>
      <c r="IK5" s="399">
        <f t="shared" si="23"/>
        <v>365</v>
      </c>
      <c r="IL5" s="399">
        <f t="shared" si="23"/>
        <v>365</v>
      </c>
      <c r="IM5" s="399">
        <f t="shared" si="23"/>
        <v>365</v>
      </c>
      <c r="IN5" s="399">
        <f t="shared" si="23"/>
        <v>365</v>
      </c>
      <c r="IO5" s="399">
        <f t="shared" si="23"/>
        <v>365</v>
      </c>
      <c r="IP5" s="399">
        <f t="shared" si="23"/>
        <v>365</v>
      </c>
      <c r="IQ5" s="399">
        <f t="shared" si="23"/>
        <v>365</v>
      </c>
      <c r="IR5" s="399">
        <f t="shared" si="23"/>
        <v>365</v>
      </c>
      <c r="IS5" s="399">
        <f t="shared" si="23"/>
        <v>365</v>
      </c>
      <c r="IT5" s="399">
        <f t="shared" si="23"/>
        <v>365</v>
      </c>
      <c r="IU5" s="399">
        <f t="shared" si="23"/>
        <v>365</v>
      </c>
      <c r="IV5" s="399">
        <f t="shared" si="23"/>
        <v>365</v>
      </c>
      <c r="IW5" s="399">
        <f t="shared" si="23"/>
        <v>365</v>
      </c>
      <c r="IX5" s="399">
        <f t="shared" si="23"/>
        <v>365</v>
      </c>
      <c r="IY5" s="399">
        <f t="shared" si="23"/>
        <v>365</v>
      </c>
      <c r="IZ5" s="399">
        <f t="shared" ref="IZ5:JU5" si="24">IZ3-EOMONTH(IZ3,-12)</f>
        <v>365</v>
      </c>
      <c r="JA5" s="399">
        <f t="shared" si="24"/>
        <v>365</v>
      </c>
      <c r="JB5" s="399">
        <f t="shared" si="24"/>
        <v>365</v>
      </c>
      <c r="JC5" s="399">
        <f t="shared" si="24"/>
        <v>365</v>
      </c>
      <c r="JD5" s="399">
        <f t="shared" si="24"/>
        <v>365</v>
      </c>
      <c r="JE5" s="399">
        <f t="shared" si="24"/>
        <v>365</v>
      </c>
      <c r="JF5" s="399">
        <f t="shared" si="24"/>
        <v>365</v>
      </c>
      <c r="JG5" s="399">
        <f t="shared" si="24"/>
        <v>365</v>
      </c>
      <c r="JH5" s="399">
        <f t="shared" si="24"/>
        <v>366</v>
      </c>
      <c r="JI5" s="399">
        <f t="shared" si="24"/>
        <v>366</v>
      </c>
      <c r="JJ5" s="399">
        <f t="shared" si="24"/>
        <v>366</v>
      </c>
      <c r="JK5" s="399">
        <f t="shared" si="24"/>
        <v>366</v>
      </c>
      <c r="JL5" s="399">
        <f t="shared" si="24"/>
        <v>366</v>
      </c>
      <c r="JM5" s="399">
        <f t="shared" si="24"/>
        <v>366</v>
      </c>
      <c r="JN5" s="399">
        <f t="shared" si="24"/>
        <v>366</v>
      </c>
      <c r="JO5" s="399">
        <f t="shared" si="24"/>
        <v>366</v>
      </c>
      <c r="JP5" s="399">
        <f t="shared" si="24"/>
        <v>366</v>
      </c>
      <c r="JQ5" s="399">
        <f t="shared" si="24"/>
        <v>366</v>
      </c>
      <c r="JR5" s="399">
        <f t="shared" si="24"/>
        <v>366</v>
      </c>
      <c r="JS5" s="399">
        <f t="shared" si="24"/>
        <v>366</v>
      </c>
      <c r="JT5" s="399">
        <f t="shared" si="24"/>
        <v>365</v>
      </c>
      <c r="JU5" s="399">
        <f t="shared" si="24"/>
        <v>365</v>
      </c>
    </row>
    <row r="6" spans="1:310">
      <c r="A6" s="1" t="s">
        <v>245</v>
      </c>
      <c r="B6" s="1"/>
      <c r="C6" s="1"/>
      <c r="D6" s="400">
        <f>Assum!B96</f>
        <v>43585</v>
      </c>
      <c r="E6" s="400">
        <f>IF(D6=0,0,IF(EOMONTH(D6,12/Assum!$B$95)&lt;=Assum!$B$98,EOMONTH(D6,12/Assum!$B$95),0))</f>
        <v>43616</v>
      </c>
      <c r="F6" s="400">
        <f>IF(E6=0,0,IF(EOMONTH(E6,12/Assum!$B$95)&lt;=Assum!$B$98,EOMONTH(E6,12/Assum!$B$95),0))</f>
        <v>43646</v>
      </c>
      <c r="G6" s="400">
        <f>IF(F6=0,0,IF(EOMONTH(F6,12/Assum!$B$95)&lt;=Assum!$B$98,EOMONTH(F6,12/Assum!$B$95),0))</f>
        <v>43677</v>
      </c>
      <c r="H6" s="400">
        <f>IF(G6=0,0,IF(EOMONTH(G6,12/Assum!$B$95)&lt;=Assum!$B$98,EOMONTH(G6,12/Assum!$B$95),0))</f>
        <v>43708</v>
      </c>
      <c r="I6" s="400">
        <f>IF(H6=0,0,IF(EOMONTH(H6,12/Assum!$B$95)&lt;=Assum!$B$98,EOMONTH(H6,12/Assum!$B$95),0))</f>
        <v>43738</v>
      </c>
      <c r="J6" s="400">
        <f>IF(I6=0,0,IF(EOMONTH(I6,12/Assum!$B$95)&lt;=Assum!$B$98,EOMONTH(I6,12/Assum!$B$95),0))</f>
        <v>43769</v>
      </c>
      <c r="K6" s="400">
        <f>IF(J6=0,0,IF(EOMONTH(J6,12/Assum!$B$95)&lt;=Assum!$B$98,EOMONTH(J6,12/Assum!$B$95),0))</f>
        <v>43799</v>
      </c>
      <c r="L6" s="400">
        <f>IF(K6=0,0,IF(EOMONTH(K6,12/Assum!$B$95)&lt;=Assum!$B$98,EOMONTH(K6,12/Assum!$B$95),0))</f>
        <v>43830</v>
      </c>
      <c r="M6" s="400">
        <f>IF(L6=0,0,IF(EOMONTH(L6,12/Assum!$B$95)&lt;=Assum!$B$98,EOMONTH(L6,12/Assum!$B$95),0))</f>
        <v>43861</v>
      </c>
      <c r="N6" s="400">
        <f>IF(M6=0,0,IF(EOMONTH(M6,12/Assum!$B$95)&lt;=Assum!$B$98,EOMONTH(M6,12/Assum!$B$95),0))</f>
        <v>43890</v>
      </c>
      <c r="O6" s="400">
        <f>IF(N6=0,0,IF(EOMONTH(N6,12/Assum!$B$95)&lt;=Assum!$B$98,EOMONTH(N6,12/Assum!$B$95),0))</f>
        <v>43921</v>
      </c>
      <c r="P6" s="400">
        <f>IF(O6=0,0,IF(EOMONTH(O6,12/Assum!$B$95)&lt;=Assum!$B$98,EOMONTH(O6,12/Assum!$B$95),0))</f>
        <v>43951</v>
      </c>
      <c r="Q6" s="400">
        <f>IF(P6=0,0,IF(EOMONTH(P6,12/Assum!$B$95)&lt;=Assum!$B$98,EOMONTH(P6,12/Assum!$B$95),0))</f>
        <v>43982</v>
      </c>
      <c r="R6" s="400">
        <f>IF(Q6=0,0,IF(EOMONTH(Q6,12/Assum!$B$95)&lt;=Assum!$B$98,EOMONTH(Q6,12/Assum!$B$95),0))</f>
        <v>44012</v>
      </c>
      <c r="S6" s="400">
        <f>IF(R6=0,0,IF(EOMONTH(R6,12/Assum!$B$95)&lt;=Assum!$B$98,EOMONTH(R6,12/Assum!$B$95),0))</f>
        <v>44043</v>
      </c>
      <c r="T6" s="400">
        <f>IF(S6=0,0,IF(EOMONTH(S6,12/Assum!$B$95)&lt;=Assum!$B$98,EOMONTH(S6,12/Assum!$B$95),0))</f>
        <v>44074</v>
      </c>
      <c r="U6" s="400">
        <f>IF(T6=0,0,IF(EOMONTH(T6,12/Assum!$B$95)&lt;=Assum!$B$98,EOMONTH(T6,12/Assum!$B$95),0))</f>
        <v>44104</v>
      </c>
      <c r="V6" s="400">
        <f>IF(U6=0,0,IF(EOMONTH(U6,12/Assum!$B$95)&lt;=Assum!$B$98,EOMONTH(U6,12/Assum!$B$95),0))</f>
        <v>44135</v>
      </c>
      <c r="W6" s="400">
        <f>IF(V6=0,0,IF(EOMONTH(V6,12/Assum!$B$95)&lt;=Assum!$B$98,EOMONTH(V6,12/Assum!$B$95),0))</f>
        <v>44165</v>
      </c>
      <c r="X6" s="400">
        <f>IF(W6=0,0,IF(EOMONTH(W6,12/Assum!$B$95)&lt;=Assum!$B$98,EOMONTH(W6,12/Assum!$B$95),0))</f>
        <v>44196</v>
      </c>
      <c r="Y6" s="400">
        <f>IF(X6=0,0,IF(EOMONTH(X6,12/Assum!$B$95)&lt;=Assum!$B$98,EOMONTH(X6,12/Assum!$B$95),0))</f>
        <v>44227</v>
      </c>
      <c r="Z6" s="400">
        <f>IF(Y6=0,0,IF(EOMONTH(Y6,12/Assum!$B$95)&lt;=Assum!$B$98,EOMONTH(Y6,12/Assum!$B$95),0))</f>
        <v>44255</v>
      </c>
      <c r="AA6" s="400">
        <f>IF(Z6=0,0,IF(EOMONTH(Z6,12/Assum!$B$95)&lt;=Assum!$B$98,EOMONTH(Z6,12/Assum!$B$95),0))</f>
        <v>44286</v>
      </c>
      <c r="AB6" s="400">
        <f>IF(AA6=0,0,IF(EOMONTH(AA6,12/Assum!$B$95)&lt;=Assum!$B$98,EOMONTH(AA6,12/Assum!$B$95),0))</f>
        <v>44316</v>
      </c>
      <c r="AC6" s="400">
        <f>IF(AB6=0,0,IF(EOMONTH(AB6,12/Assum!$B$95)&lt;=Assum!$B$98,EOMONTH(AB6,12/Assum!$B$95),0))</f>
        <v>44347</v>
      </c>
      <c r="AD6" s="400">
        <f>IF(AC6=0,0,IF(EOMONTH(AC6,12/Assum!$B$95)&lt;=Assum!$B$98,EOMONTH(AC6,12/Assum!$B$95),0))</f>
        <v>44377</v>
      </c>
      <c r="AE6" s="400">
        <f>IF(AD6=0,0,IF(EOMONTH(AD6,12/Assum!$B$95)&lt;=Assum!$B$98,EOMONTH(AD6,12/Assum!$B$95),0))</f>
        <v>44408</v>
      </c>
      <c r="AF6" s="400">
        <f>IF(AE6=0,0,IF(EOMONTH(AE6,12/Assum!$B$95)&lt;=Assum!$B$98,EOMONTH(AE6,12/Assum!$B$95),0))</f>
        <v>44439</v>
      </c>
      <c r="AG6" s="400">
        <f>IF(AF6=0,0,IF(EOMONTH(AF6,12/Assum!$B$95)&lt;=Assum!$B$98,EOMONTH(AF6,12/Assum!$B$95),0))</f>
        <v>44469</v>
      </c>
      <c r="AH6" s="400">
        <f>IF(AG6=0,0,IF(EOMONTH(AG6,12/Assum!$B$95)&lt;=Assum!$B$98,EOMONTH(AG6,12/Assum!$B$95),0))</f>
        <v>44500</v>
      </c>
      <c r="AI6" s="400">
        <f>IF(AH6=0,0,IF(EOMONTH(AH6,12/Assum!$B$95)&lt;=Assum!$B$98,EOMONTH(AH6,12/Assum!$B$95),0))</f>
        <v>44530</v>
      </c>
      <c r="AJ6" s="400">
        <f>IF(AI6=0,0,IF(EOMONTH(AI6,12/Assum!$B$95)&lt;=Assum!$B$98,EOMONTH(AI6,12/Assum!$B$95),0))</f>
        <v>44561</v>
      </c>
      <c r="AK6" s="400">
        <f>IF(AJ6=0,0,IF(EOMONTH(AJ6,12/Assum!$B$95)&lt;=Assum!$B$98,EOMONTH(AJ6,12/Assum!$B$95),0))</f>
        <v>44592</v>
      </c>
      <c r="AL6" s="400">
        <f>IF(AK6=0,0,IF(EOMONTH(AK6,12/Assum!$B$95)&lt;=Assum!$B$98,EOMONTH(AK6,12/Assum!$B$95),0))</f>
        <v>44620</v>
      </c>
      <c r="AM6" s="400">
        <f>IF(AL6=0,0,IF(EOMONTH(AL6,12/Assum!$B$95)&lt;=Assum!$B$98,EOMONTH(AL6,12/Assum!$B$95),0))</f>
        <v>44651</v>
      </c>
      <c r="AN6" s="400">
        <f>IF(AM6=0,0,IF(EOMONTH(AM6,12/Assum!$B$95)&lt;=Assum!$B$98,EOMONTH(AM6,12/Assum!$B$95),0))</f>
        <v>44681</v>
      </c>
      <c r="AO6" s="400">
        <f>IF(AN6=0,0,IF(EOMONTH(AN6,12/Assum!$B$95)&lt;=Assum!$B$98,EOMONTH(AN6,12/Assum!$B$95),0))</f>
        <v>44712</v>
      </c>
      <c r="AP6" s="400">
        <f>IF(AO6=0,0,IF(EOMONTH(AO6,12/Assum!$B$95)&lt;=Assum!$B$98,EOMONTH(AO6,12/Assum!$B$95),0))</f>
        <v>44742</v>
      </c>
      <c r="AQ6" s="400">
        <f>IF(AP6=0,0,IF(EOMONTH(AP6,12/Assum!$B$95)&lt;=Assum!$B$98,EOMONTH(AP6,12/Assum!$B$95),0))</f>
        <v>44773</v>
      </c>
      <c r="AR6" s="400">
        <f>IF(AQ6=0,0,IF(EOMONTH(AQ6,12/Assum!$B$95)&lt;=Assum!$B$98,EOMONTH(AQ6,12/Assum!$B$95),0))</f>
        <v>44804</v>
      </c>
      <c r="AS6" s="400">
        <f>IF(AR6=0,0,IF(EOMONTH(AR6,12/Assum!$B$95)&lt;=Assum!$B$98,EOMONTH(AR6,12/Assum!$B$95),0))</f>
        <v>44834</v>
      </c>
      <c r="AT6" s="400">
        <f>IF(AS6=0,0,IF(EOMONTH(AS6,12/Assum!$B$95)&lt;=Assum!$B$98,EOMONTH(AS6,12/Assum!$B$95),0))</f>
        <v>44865</v>
      </c>
      <c r="AU6" s="400">
        <f>IF(AT6=0,0,IF(EOMONTH(AT6,12/Assum!$B$95)&lt;=Assum!$B$98,EOMONTH(AT6,12/Assum!$B$95),0))</f>
        <v>44895</v>
      </c>
      <c r="AV6" s="400">
        <f>IF(AU6=0,0,IF(EOMONTH(AU6,12/Assum!$B$95)&lt;=Assum!$B$98,EOMONTH(AU6,12/Assum!$B$95),0))</f>
        <v>44926</v>
      </c>
      <c r="AW6" s="400">
        <f>IF(AV6=0,0,IF(EOMONTH(AV6,12/Assum!$B$95)&lt;=Assum!$B$98,EOMONTH(AV6,12/Assum!$B$95),0))</f>
        <v>44957</v>
      </c>
      <c r="AX6" s="400">
        <f>IF(AW6=0,0,IF(EOMONTH(AW6,12/Assum!$B$95)&lt;=Assum!$B$98,EOMONTH(AW6,12/Assum!$B$95),0))</f>
        <v>44985</v>
      </c>
      <c r="AY6" s="400">
        <f>IF(AX6=0,0,IF(EOMONTH(AX6,12/Assum!$B$95)&lt;=Assum!$B$98,EOMONTH(AX6,12/Assum!$B$95),0))</f>
        <v>45016</v>
      </c>
      <c r="AZ6" s="400">
        <f>IF(AY6=0,0,IF(EOMONTH(AY6,12/Assum!$B$95)&lt;=Assum!$B$98,EOMONTH(AY6,12/Assum!$B$95),0))</f>
        <v>45046</v>
      </c>
      <c r="BA6" s="400">
        <f>IF(AZ6=0,0,IF(EOMONTH(AZ6,12/Assum!$B$95)&lt;=Assum!$B$98,EOMONTH(AZ6,12/Assum!$B$95),0))</f>
        <v>45077</v>
      </c>
      <c r="BB6" s="400">
        <f>IF(BA6=0,0,IF(EOMONTH(BA6,12/Assum!$B$95)&lt;=Assum!$B$98,EOMONTH(BA6,12/Assum!$B$95),0))</f>
        <v>45107</v>
      </c>
      <c r="BC6" s="400">
        <f>IF(BB6=0,0,IF(EOMONTH(BB6,12/Assum!$B$95)&lt;=Assum!$B$98,EOMONTH(BB6,12/Assum!$B$95),0))</f>
        <v>45138</v>
      </c>
      <c r="BD6" s="400">
        <f>IF(BC6=0,0,IF(EOMONTH(BC6,12/Assum!$B$95)&lt;=Assum!$B$98,EOMONTH(BC6,12/Assum!$B$95),0))</f>
        <v>45169</v>
      </c>
      <c r="BE6" s="400">
        <f>IF(BD6=0,0,IF(EOMONTH(BD6,12/Assum!$B$95)&lt;=Assum!$B$98,EOMONTH(BD6,12/Assum!$B$95),0))</f>
        <v>45199</v>
      </c>
      <c r="BF6" s="400">
        <f>IF(BE6=0,0,IF(EOMONTH(BE6,12/Assum!$B$95)&lt;=Assum!$B$98,EOMONTH(BE6,12/Assum!$B$95),0))</f>
        <v>45230</v>
      </c>
      <c r="BG6" s="400">
        <f>IF(BF6=0,0,IF(EOMONTH(BF6,12/Assum!$B$95)&lt;=Assum!$B$98,EOMONTH(BF6,12/Assum!$B$95),0))</f>
        <v>45260</v>
      </c>
      <c r="BH6" s="400">
        <f>IF(BG6=0,0,IF(EOMONTH(BG6,12/Assum!$B$95)&lt;=Assum!$B$98,EOMONTH(BG6,12/Assum!$B$95),0))</f>
        <v>45291</v>
      </c>
      <c r="BI6" s="400">
        <f>IF(BH6=0,0,IF(EOMONTH(BH6,12/Assum!$B$95)&lt;=Assum!$B$98,EOMONTH(BH6,12/Assum!$B$95),0))</f>
        <v>45322</v>
      </c>
      <c r="BJ6" s="400">
        <f>IF(BI6=0,0,IF(EOMONTH(BI6,12/Assum!$B$95)&lt;=Assum!$B$98,EOMONTH(BI6,12/Assum!$B$95),0))</f>
        <v>45351</v>
      </c>
      <c r="BK6" s="400">
        <f>IF(BJ6=0,0,IF(EOMONTH(BJ6,12/Assum!$B$95)&lt;=Assum!$B$98,EOMONTH(BJ6,12/Assum!$B$95),0))</f>
        <v>45382</v>
      </c>
      <c r="BL6" s="400">
        <f>IF(BK6=0,0,IF(EOMONTH(BK6,12/Assum!$B$95)&lt;=Assum!$B$98,EOMONTH(BK6,12/Assum!$B$95),0))</f>
        <v>45412</v>
      </c>
      <c r="BM6" s="400">
        <f>IF(BL6=0,0,IF(EOMONTH(BL6,12/Assum!$B$95)&lt;=Assum!$B$98,EOMONTH(BL6,12/Assum!$B$95),0))</f>
        <v>45443</v>
      </c>
      <c r="BN6" s="400">
        <f>IF(BM6=0,0,IF(EOMONTH(BM6,12/Assum!$B$95)&lt;=Assum!$B$98,EOMONTH(BM6,12/Assum!$B$95),0))</f>
        <v>45473</v>
      </c>
      <c r="BO6" s="400">
        <f>IF(BN6=0,0,IF(EOMONTH(BN6,12/Assum!$B$95)&lt;=Assum!$B$98,EOMONTH(BN6,12/Assum!$B$95),0))</f>
        <v>45504</v>
      </c>
      <c r="BP6" s="400">
        <f>IF(BO6=0,0,IF(EOMONTH(BO6,12/Assum!$B$95)&lt;=Assum!$B$98,EOMONTH(BO6,12/Assum!$B$95),0))</f>
        <v>45535</v>
      </c>
      <c r="BQ6" s="400">
        <f>IF(BP6=0,0,IF(EOMONTH(BP6,12/Assum!$B$95)&lt;=Assum!$B$98,EOMONTH(BP6,12/Assum!$B$95),0))</f>
        <v>45565</v>
      </c>
      <c r="BR6" s="400">
        <f>IF(BQ6=0,0,IF(EOMONTH(BQ6,12/Assum!$B$95)&lt;=Assum!$B$98,EOMONTH(BQ6,12/Assum!$B$95),0))</f>
        <v>45596</v>
      </c>
      <c r="BS6" s="400">
        <f>IF(BR6=0,0,IF(EOMONTH(BR6,12/Assum!$B$95)&lt;=Assum!$B$98,EOMONTH(BR6,12/Assum!$B$95),0))</f>
        <v>45626</v>
      </c>
      <c r="BT6" s="400">
        <f>IF(BS6=0,0,IF(EOMONTH(BS6,12/Assum!$B$95)&lt;=Assum!$B$98,EOMONTH(BS6,12/Assum!$B$95),0))</f>
        <v>45657</v>
      </c>
      <c r="BU6" s="400">
        <f>IF(BT6=0,0,IF(EOMONTH(BT6,12/Assum!$B$95)&lt;=Assum!$B$98,EOMONTH(BT6,12/Assum!$B$95),0))</f>
        <v>45688</v>
      </c>
      <c r="BV6" s="400">
        <f>IF(BU6=0,0,IF(EOMONTH(BU6,12/Assum!$B$95)&lt;=Assum!$B$98,EOMONTH(BU6,12/Assum!$B$95),0))</f>
        <v>45716</v>
      </c>
      <c r="BW6" s="400">
        <f>IF(BV6=0,0,IF(EOMONTH(BV6,12/Assum!$B$95)&lt;=Assum!$B$98,EOMONTH(BV6,12/Assum!$B$95),0))</f>
        <v>45747</v>
      </c>
      <c r="BX6" s="400">
        <f>IF(BW6=0,0,IF(EOMONTH(BW6,12/Assum!$B$95)&lt;=Assum!$B$98,EOMONTH(BW6,12/Assum!$B$95),0))</f>
        <v>45777</v>
      </c>
      <c r="BY6" s="400">
        <f>IF(BX6=0,0,IF(EOMONTH(BX6,12/Assum!$B$95)&lt;=Assum!$B$98,EOMONTH(BX6,12/Assum!$B$95),0))</f>
        <v>45808</v>
      </c>
      <c r="BZ6" s="400">
        <f>IF(BY6=0,0,IF(EOMONTH(BY6,12/Assum!$B$95)&lt;=Assum!$B$98,EOMONTH(BY6,12/Assum!$B$95),0))</f>
        <v>45838</v>
      </c>
      <c r="CA6" s="400">
        <f>IF(BZ6=0,0,IF(EOMONTH(BZ6,12/Assum!$B$95)&lt;=Assum!$B$98,EOMONTH(BZ6,12/Assum!$B$95),0))</f>
        <v>45869</v>
      </c>
      <c r="CB6" s="400">
        <f>IF(CA6=0,0,IF(EOMONTH(CA6,12/Assum!$B$95)&lt;=Assum!$B$98,EOMONTH(CA6,12/Assum!$B$95),0))</f>
        <v>45900</v>
      </c>
      <c r="CC6" s="400">
        <f>IF(CB6=0,0,IF(EOMONTH(CB6,12/Assum!$B$95)&lt;=Assum!$B$98,EOMONTH(CB6,12/Assum!$B$95),0))</f>
        <v>45930</v>
      </c>
      <c r="CD6" s="400">
        <f>IF(CC6=0,0,IF(EOMONTH(CC6,12/Assum!$B$95)&lt;=Assum!$B$98,EOMONTH(CC6,12/Assum!$B$95),0))</f>
        <v>45961</v>
      </c>
      <c r="CE6" s="400">
        <f>IF(CD6=0,0,IF(EOMONTH(CD6,12/Assum!$B$95)&lt;=Assum!$B$98,EOMONTH(CD6,12/Assum!$B$95),0))</f>
        <v>45991</v>
      </c>
      <c r="CF6" s="400">
        <f>IF(CE6=0,0,IF(EOMONTH(CE6,12/Assum!$B$95)&lt;=Assum!$B$98,EOMONTH(CE6,12/Assum!$B$95),0))</f>
        <v>46022</v>
      </c>
      <c r="CG6" s="400">
        <f>IF(CF6=0,0,IF(EOMONTH(CF6,12/Assum!$B$95)&lt;=Assum!$B$98,EOMONTH(CF6,12/Assum!$B$95),0))</f>
        <v>46053</v>
      </c>
      <c r="CH6" s="400">
        <f>IF(CG6=0,0,IF(EOMONTH(CG6,12/Assum!$B$95)&lt;=Assum!$B$98,EOMONTH(CG6,12/Assum!$B$95),0))</f>
        <v>46081</v>
      </c>
      <c r="CI6" s="400">
        <f>IF(CH6=0,0,IF(EOMONTH(CH6,12/Assum!$B$95)&lt;=Assum!$B$98,EOMONTH(CH6,12/Assum!$B$95),0))</f>
        <v>46112</v>
      </c>
      <c r="CJ6" s="400">
        <f>IF(CI6=0,0,IF(EOMONTH(CI6,12/Assum!$B$95)&lt;=Assum!$B$98,EOMONTH(CI6,12/Assum!$B$95),0))</f>
        <v>46142</v>
      </c>
      <c r="CK6" s="400">
        <f>IF(CJ6=0,0,IF(EOMONTH(CJ6,12/Assum!$B$95)&lt;=Assum!$B$98,EOMONTH(CJ6,12/Assum!$B$95),0))</f>
        <v>46173</v>
      </c>
      <c r="CL6" s="400">
        <f>IF(CK6=0,0,IF(EOMONTH(CK6,12/Assum!$B$95)&lt;=Assum!$B$98,EOMONTH(CK6,12/Assum!$B$95),0))</f>
        <v>46203</v>
      </c>
      <c r="CM6" s="400">
        <f>IF(CL6=0,0,IF(EOMONTH(CL6,12/Assum!$B$95)&lt;=Assum!$B$98,EOMONTH(CL6,12/Assum!$B$95),0))</f>
        <v>46234</v>
      </c>
      <c r="CN6" s="400">
        <f>IF(CM6=0,0,IF(EOMONTH(CM6,12/Assum!$B$95)&lt;=Assum!$B$98,EOMONTH(CM6,12/Assum!$B$95),0))</f>
        <v>46265</v>
      </c>
      <c r="CO6" s="400">
        <f>IF(CN6=0,0,IF(EOMONTH(CN6,12/Assum!$B$95)&lt;=Assum!$B$98,EOMONTH(CN6,12/Assum!$B$95),0))</f>
        <v>46295</v>
      </c>
      <c r="CP6" s="400">
        <f>IF(CO6=0,0,IF(EOMONTH(CO6,12/Assum!$B$95)&lt;=Assum!$B$98,EOMONTH(CO6,12/Assum!$B$95),0))</f>
        <v>46326</v>
      </c>
      <c r="CQ6" s="400">
        <f>IF(CP6=0,0,IF(EOMONTH(CP6,12/Assum!$B$95)&lt;=Assum!$B$98,EOMONTH(CP6,12/Assum!$B$95),0))</f>
        <v>46356</v>
      </c>
      <c r="CR6" s="400">
        <f>IF(CQ6=0,0,IF(EOMONTH(CQ6,12/Assum!$B$95)&lt;=Assum!$B$98,EOMONTH(CQ6,12/Assum!$B$95),0))</f>
        <v>46387</v>
      </c>
      <c r="CS6" s="400">
        <f>IF(CR6=0,0,IF(EOMONTH(CR6,12/Assum!$B$95)&lt;=Assum!$B$98,EOMONTH(CR6,12/Assum!$B$95),0))</f>
        <v>46418</v>
      </c>
      <c r="CT6" s="400">
        <f>IF(CS6=0,0,IF(EOMONTH(CS6,12/Assum!$B$95)&lt;=Assum!$B$98,EOMONTH(CS6,12/Assum!$B$95),0))</f>
        <v>46446</v>
      </c>
      <c r="CU6" s="400">
        <f>IF(CT6=0,0,IF(EOMONTH(CT6,12/Assum!$B$95)&lt;=Assum!$B$98,EOMONTH(CT6,12/Assum!$B$95),0))</f>
        <v>46477</v>
      </c>
      <c r="CV6" s="400">
        <f>IF(CU6=0,0,IF(EOMONTH(CU6,12/Assum!$B$95)&lt;=Assum!$B$98,EOMONTH(CU6,12/Assum!$B$95),0))</f>
        <v>46507</v>
      </c>
      <c r="CW6" s="400">
        <f>IF(CV6=0,0,IF(EOMONTH(CV6,12/Assum!$B$95)&lt;=Assum!$B$98,EOMONTH(CV6,12/Assum!$B$95),0))</f>
        <v>46538</v>
      </c>
      <c r="CX6" s="400">
        <f>IF(CW6=0,0,IF(EOMONTH(CW6,12/Assum!$B$95)&lt;=Assum!$B$98,EOMONTH(CW6,12/Assum!$B$95),0))</f>
        <v>46568</v>
      </c>
      <c r="CY6" s="400">
        <f>IF(CX6=0,0,IF(EOMONTH(CX6,12/Assum!$B$95)&lt;=Assum!$B$98,EOMONTH(CX6,12/Assum!$B$95),0))</f>
        <v>46599</v>
      </c>
      <c r="CZ6" s="400">
        <f>IF(CY6=0,0,IF(EOMONTH(CY6,12/Assum!$B$95)&lt;=Assum!$B$98,EOMONTH(CY6,12/Assum!$B$95),0))</f>
        <v>46630</v>
      </c>
      <c r="DA6" s="400">
        <f>IF(CZ6=0,0,IF(EOMONTH(CZ6,12/Assum!$B$95)&lt;=Assum!$B$98,EOMONTH(CZ6,12/Assum!$B$95),0))</f>
        <v>46660</v>
      </c>
      <c r="DB6" s="400">
        <f>IF(DA6=0,0,IF(EOMONTH(DA6,12/Assum!$B$95)&lt;=Assum!$B$98,EOMONTH(DA6,12/Assum!$B$95),0))</f>
        <v>46691</v>
      </c>
      <c r="DC6" s="400">
        <f>IF(DB6=0,0,IF(EOMONTH(DB6,12/Assum!$B$95)&lt;=Assum!$B$98,EOMONTH(DB6,12/Assum!$B$95),0))</f>
        <v>46721</v>
      </c>
      <c r="DD6" s="400">
        <f>IF(DC6=0,0,IF(EOMONTH(DC6,12/Assum!$B$95)&lt;=Assum!$B$98,EOMONTH(DC6,12/Assum!$B$95),0))</f>
        <v>46752</v>
      </c>
      <c r="DE6" s="400">
        <f>IF(DD6=0,0,IF(EOMONTH(DD6,12/Assum!$B$95)&lt;=Assum!$B$98,EOMONTH(DD6,12/Assum!$B$95),0))</f>
        <v>46783</v>
      </c>
      <c r="DF6" s="400">
        <f>IF(DE6=0,0,IF(EOMONTH(DE6,12/Assum!$B$95)&lt;=Assum!$B$98,EOMONTH(DE6,12/Assum!$B$95),0))</f>
        <v>46812</v>
      </c>
      <c r="DG6" s="400">
        <f>IF(DF6=0,0,IF(EOMONTH(DF6,12/Assum!$B$95)&lt;=Assum!$B$98,EOMONTH(DF6,12/Assum!$B$95),0))</f>
        <v>46843</v>
      </c>
      <c r="DH6" s="400">
        <f>IF(DG6=0,0,IF(EOMONTH(DG6,12/Assum!$B$95)&lt;=Assum!$B$98,EOMONTH(DG6,12/Assum!$B$95),0))</f>
        <v>46873</v>
      </c>
      <c r="DI6" s="400">
        <f>IF(DH6=0,0,IF(EOMONTH(DH6,12/Assum!$B$95)&lt;=Assum!$B$98,EOMONTH(DH6,12/Assum!$B$95),0))</f>
        <v>46904</v>
      </c>
      <c r="DJ6" s="400">
        <f>IF(DI6=0,0,IF(EOMONTH(DI6,12/Assum!$B$95)&lt;=Assum!$B$98,EOMONTH(DI6,12/Assum!$B$95),0))</f>
        <v>46934</v>
      </c>
      <c r="DK6" s="400">
        <f>IF(DJ6=0,0,IF(EOMONTH(DJ6,12/Assum!$B$95)&lt;=Assum!$B$98,EOMONTH(DJ6,12/Assum!$B$95),0))</f>
        <v>46965</v>
      </c>
      <c r="DL6" s="400">
        <f>IF(DK6=0,0,IF(EOMONTH(DK6,12/Assum!$B$95)&lt;=Assum!$B$98,EOMONTH(DK6,12/Assum!$B$95),0))</f>
        <v>46996</v>
      </c>
      <c r="DM6" s="400">
        <f>IF(DL6=0,0,IF(EOMONTH(DL6,12/Assum!$B$95)&lt;=Assum!$B$98,EOMONTH(DL6,12/Assum!$B$95),0))</f>
        <v>47026</v>
      </c>
      <c r="DN6" s="400">
        <f>IF(DM6=0,0,IF(EOMONTH(DM6,12/Assum!$B$95)&lt;=Assum!$B$98,EOMONTH(DM6,12/Assum!$B$95),0))</f>
        <v>47057</v>
      </c>
      <c r="DO6" s="400">
        <f>IF(DN6=0,0,IF(EOMONTH(DN6,12/Assum!$B$95)&lt;=Assum!$B$98,EOMONTH(DN6,12/Assum!$B$95),0))</f>
        <v>47087</v>
      </c>
      <c r="DP6" s="400">
        <f>IF(DO6=0,0,IF(EOMONTH(DO6,12/Assum!$B$95)&lt;=Assum!$B$98,EOMONTH(DO6,12/Assum!$B$95),0))</f>
        <v>47118</v>
      </c>
      <c r="DQ6" s="400">
        <f>IF(DP6=0,0,IF(EOMONTH(DP6,12/Assum!$B$95)&lt;=Assum!$B$98,EOMONTH(DP6,12/Assum!$B$95),0))</f>
        <v>47149</v>
      </c>
      <c r="DR6" s="400">
        <f>IF(DQ6=0,0,IF(EOMONTH(DQ6,12/Assum!$B$95)&lt;=Assum!$B$98,EOMONTH(DQ6,12/Assum!$B$95),0))</f>
        <v>47177</v>
      </c>
      <c r="DS6" s="400">
        <f>IF(DR6=0,0,IF(EOMONTH(DR6,12/Assum!$B$95)&lt;=Assum!$B$98,EOMONTH(DR6,12/Assum!$B$95),0))</f>
        <v>47208</v>
      </c>
      <c r="DT6" s="400">
        <f>IF(DS6=0,0,IF(EOMONTH(DS6,12/Assum!$B$95)&lt;=Assum!$B$98,EOMONTH(DS6,12/Assum!$B$95),0))</f>
        <v>47238</v>
      </c>
      <c r="DU6" s="400">
        <f>IF(DT6=0,0,IF(EOMONTH(DT6,12/Assum!$B$95)&lt;=Assum!$B$98,EOMONTH(DT6,12/Assum!$B$95),0))</f>
        <v>47269</v>
      </c>
      <c r="DV6" s="400">
        <f>IF(DU6=0,0,IF(EOMONTH(DU6,12/Assum!$B$95)&lt;=Assum!$B$98,EOMONTH(DU6,12/Assum!$B$95),0))</f>
        <v>47299</v>
      </c>
      <c r="DW6" s="400">
        <f>IF(DV6=0,0,IF(EOMONTH(DV6,12/Assum!$B$95)&lt;=Assum!$B$98,EOMONTH(DV6,12/Assum!$B$95),0))</f>
        <v>47330</v>
      </c>
      <c r="DX6" s="400">
        <f>IF(DW6=0,0,IF(EOMONTH(DW6,12/Assum!$B$95)&lt;=Assum!$B$98,EOMONTH(DW6,12/Assum!$B$95),0))</f>
        <v>47361</v>
      </c>
      <c r="DY6" s="400">
        <f>IF(DX6=0,0,IF(EOMONTH(DX6,12/Assum!$B$95)&lt;=Assum!$B$98,EOMONTH(DX6,12/Assum!$B$95),0))</f>
        <v>47391</v>
      </c>
      <c r="DZ6" s="400">
        <f>IF(DY6=0,0,IF(EOMONTH(DY6,12/Assum!$B$95)&lt;=Assum!$B$98,EOMONTH(DY6,12/Assum!$B$95),0))</f>
        <v>47422</v>
      </c>
      <c r="EA6" s="400">
        <f>IF(DZ6=0,0,IF(EOMONTH(DZ6,12/Assum!$B$95)&lt;=Assum!$B$98,EOMONTH(DZ6,12/Assum!$B$95),0))</f>
        <v>47452</v>
      </c>
      <c r="EB6" s="400">
        <f>IF(EA6=0,0,IF(EOMONTH(EA6,12/Assum!$B$95)&lt;=Assum!$B$98,EOMONTH(EA6,12/Assum!$B$95),0))</f>
        <v>47483</v>
      </c>
      <c r="EC6" s="400">
        <f>IF(EB6=0,0,IF(EOMONTH(EB6,12/Assum!$B$95)&lt;=Assum!$B$98,EOMONTH(EB6,12/Assum!$B$95),0))</f>
        <v>47514</v>
      </c>
      <c r="ED6" s="400">
        <f>IF(EC6=0,0,IF(EOMONTH(EC6,12/Assum!$B$95)&lt;=Assum!$B$98,EOMONTH(EC6,12/Assum!$B$95),0))</f>
        <v>47542</v>
      </c>
      <c r="EE6" s="400">
        <f>IF(ED6=0,0,IF(EOMONTH(ED6,12/Assum!$B$95)&lt;=Assum!$B$98,EOMONTH(ED6,12/Assum!$B$95),0))</f>
        <v>47573</v>
      </c>
      <c r="EF6" s="400">
        <f>IF(EE6=0,0,IF(EOMONTH(EE6,12/Assum!$B$95)&lt;=Assum!$B$98,EOMONTH(EE6,12/Assum!$B$95),0))</f>
        <v>47603</v>
      </c>
      <c r="EG6" s="400">
        <f>IF(EF6=0,0,IF(EOMONTH(EF6,12/Assum!$B$95)&lt;=Assum!$B$98,EOMONTH(EF6,12/Assum!$B$95),0))</f>
        <v>47634</v>
      </c>
      <c r="EH6" s="400">
        <f>IF(EG6=0,0,IF(EOMONTH(EG6,12/Assum!$B$95)&lt;=Assum!$B$98,EOMONTH(EG6,12/Assum!$B$95),0))</f>
        <v>47664</v>
      </c>
      <c r="EI6" s="400">
        <f>IF(EH6=0,0,IF(EOMONTH(EH6,12/Assum!$B$95)&lt;=Assum!$B$98,EOMONTH(EH6,12/Assum!$B$95),0))</f>
        <v>47695</v>
      </c>
      <c r="EJ6" s="400">
        <f>IF(EI6=0,0,IF(EOMONTH(EI6,12/Assum!$B$95)&lt;=Assum!$B$98,EOMONTH(EI6,12/Assum!$B$95),0))</f>
        <v>47726</v>
      </c>
      <c r="EK6" s="400">
        <f>IF(EJ6=0,0,IF(EOMONTH(EJ6,12/Assum!$B$95)&lt;=Assum!$B$98,EOMONTH(EJ6,12/Assum!$B$95),0))</f>
        <v>47756</v>
      </c>
      <c r="EL6" s="400">
        <f>IF(EK6=0,0,IF(EOMONTH(EK6,12/Assum!$B$95)&lt;=Assum!$B$98,EOMONTH(EK6,12/Assum!$B$95),0))</f>
        <v>47787</v>
      </c>
      <c r="EM6" s="400">
        <f>IF(EL6=0,0,IF(EOMONTH(EL6,12/Assum!$B$95)&lt;=Assum!$B$98,EOMONTH(EL6,12/Assum!$B$95),0))</f>
        <v>47817</v>
      </c>
      <c r="EN6" s="400">
        <f>IF(EM6=0,0,IF(EOMONTH(EM6,12/Assum!$B$95)&lt;=Assum!$B$98,EOMONTH(EM6,12/Assum!$B$95),0))</f>
        <v>47848</v>
      </c>
      <c r="EO6" s="400">
        <f>IF(EN6=0,0,IF(EOMONTH(EN6,12/Assum!$B$95)&lt;=Assum!$B$98,EOMONTH(EN6,12/Assum!$B$95),0))</f>
        <v>47879</v>
      </c>
      <c r="EP6" s="400">
        <f>IF(EO6=0,0,IF(EOMONTH(EO6,12/Assum!$B$95)&lt;=Assum!$B$98,EOMONTH(EO6,12/Assum!$B$95),0))</f>
        <v>47907</v>
      </c>
      <c r="EQ6" s="400">
        <f>IF(EP6=0,0,IF(EOMONTH(EP6,12/Assum!$B$95)&lt;=Assum!$B$98,EOMONTH(EP6,12/Assum!$B$95),0))</f>
        <v>47938</v>
      </c>
      <c r="ER6" s="400">
        <f>IF(EQ6=0,0,IF(EOMONTH(EQ6,12/Assum!$B$95)&lt;=Assum!$B$98,EOMONTH(EQ6,12/Assum!$B$95),0))</f>
        <v>47968</v>
      </c>
      <c r="ES6" s="400">
        <f>IF(ER6=0,0,IF(EOMONTH(ER6,12/Assum!$B$95)&lt;=Assum!$B$98,EOMONTH(ER6,12/Assum!$B$95),0))</f>
        <v>47999</v>
      </c>
      <c r="ET6" s="400">
        <f>IF(ES6=0,0,IF(EOMONTH(ES6,12/Assum!$B$95)&lt;=Assum!$B$98,EOMONTH(ES6,12/Assum!$B$95),0))</f>
        <v>48029</v>
      </c>
      <c r="EU6" s="400">
        <f>IF(ET6=0,0,IF(EOMONTH(ET6,12/Assum!$B$95)&lt;=Assum!$B$98,EOMONTH(ET6,12/Assum!$B$95),0))</f>
        <v>48060</v>
      </c>
      <c r="EV6" s="400">
        <f>IF(EU6=0,0,IF(EOMONTH(EU6,12/Assum!$B$95)&lt;=Assum!$B$98,EOMONTH(EU6,12/Assum!$B$95),0))</f>
        <v>48091</v>
      </c>
      <c r="EW6" s="400">
        <f>IF(EV6=0,0,IF(EOMONTH(EV6,12/Assum!$B$95)&lt;=Assum!$B$98,EOMONTH(EV6,12/Assum!$B$95),0))</f>
        <v>48121</v>
      </c>
      <c r="EX6" s="400">
        <f>IF(EW6=0,0,IF(EOMONTH(EW6,12/Assum!$B$95)&lt;=Assum!$B$98,EOMONTH(EW6,12/Assum!$B$95),0))</f>
        <v>48152</v>
      </c>
      <c r="EY6" s="400">
        <f>IF(EX6=0,0,IF(EOMONTH(EX6,12/Assum!$B$95)&lt;=Assum!$B$98,EOMONTH(EX6,12/Assum!$B$95),0))</f>
        <v>48182</v>
      </c>
      <c r="EZ6" s="400">
        <f>IF(EY6=0,0,IF(EOMONTH(EY6,12/Assum!$B$95)&lt;=Assum!$B$98,EOMONTH(EY6,12/Assum!$B$95),0))</f>
        <v>48213</v>
      </c>
      <c r="FA6" s="400">
        <f>IF(EZ6=0,0,IF(EOMONTH(EZ6,12/Assum!$B$95)&lt;=Assum!$B$98,EOMONTH(EZ6,12/Assum!$B$95),0))</f>
        <v>48244</v>
      </c>
      <c r="FB6" s="400">
        <f>IF(FA6=0,0,IF(EOMONTH(FA6,12/Assum!$B$95)&lt;=Assum!$B$98,EOMONTH(FA6,12/Assum!$B$95),0))</f>
        <v>48273</v>
      </c>
      <c r="FC6" s="400">
        <f>IF(FB6=0,0,IF(EOMONTH(FB6,12/Assum!$B$95)&lt;=Assum!$B$98,EOMONTH(FB6,12/Assum!$B$95),0))</f>
        <v>48304</v>
      </c>
      <c r="FD6" s="400">
        <f>IF(FC6=0,0,IF(EOMONTH(FC6,12/Assum!$B$95)&lt;=Assum!$B$98,EOMONTH(FC6,12/Assum!$B$95),0))</f>
        <v>48334</v>
      </c>
      <c r="FE6" s="400">
        <f>IF(FD6=0,0,IF(EOMONTH(FD6,12/Assum!$B$95)&lt;=Assum!$B$98,EOMONTH(FD6,12/Assum!$B$95),0))</f>
        <v>48365</v>
      </c>
      <c r="FF6" s="400">
        <f>IF(FE6=0,0,IF(EOMONTH(FE6,12/Assum!$B$95)&lt;=Assum!$B$98,EOMONTH(FE6,12/Assum!$B$95),0))</f>
        <v>48395</v>
      </c>
      <c r="FG6" s="400">
        <f>IF(FF6=0,0,IF(EOMONTH(FF6,12/Assum!$B$95)&lt;=Assum!$B$98,EOMONTH(FF6,12/Assum!$B$95),0))</f>
        <v>48426</v>
      </c>
      <c r="FH6" s="400">
        <f>IF(FG6=0,0,IF(EOMONTH(FG6,12/Assum!$B$95)&lt;=Assum!$B$98,EOMONTH(FG6,12/Assum!$B$95),0))</f>
        <v>48457</v>
      </c>
      <c r="FI6" s="400">
        <f>IF(FH6=0,0,IF(EOMONTH(FH6,12/Assum!$B$95)&lt;=Assum!$B$98,EOMONTH(FH6,12/Assum!$B$95),0))</f>
        <v>48487</v>
      </c>
      <c r="FJ6" s="400">
        <f>IF(FI6=0,0,IF(EOMONTH(FI6,12/Assum!$B$95)&lt;=Assum!$B$98,EOMONTH(FI6,12/Assum!$B$95),0))</f>
        <v>48518</v>
      </c>
      <c r="FK6" s="400">
        <f>IF(FJ6=0,0,IF(EOMONTH(FJ6,12/Assum!$B$95)&lt;=Assum!$B$98,EOMONTH(FJ6,12/Assum!$B$95),0))</f>
        <v>48548</v>
      </c>
      <c r="FL6" s="400">
        <f>IF(FK6=0,0,IF(EOMONTH(FK6,12/Assum!$B$95)&lt;=Assum!$B$98,EOMONTH(FK6,12/Assum!$B$95),0))</f>
        <v>48579</v>
      </c>
      <c r="FM6" s="400">
        <f>IF(FL6=0,0,IF(EOMONTH(FL6,12/Assum!$B$95)&lt;=Assum!$B$98,EOMONTH(FL6,12/Assum!$B$95),0))</f>
        <v>48610</v>
      </c>
      <c r="FN6" s="400">
        <f>IF(FM6=0,0,IF(EOMONTH(FM6,12/Assum!$B$95)&lt;=Assum!$B$98,EOMONTH(FM6,12/Assum!$B$95),0))</f>
        <v>48638</v>
      </c>
      <c r="FO6" s="400">
        <f>IF(FN6=0,0,IF(EOMONTH(FN6,12/Assum!$B$95)&lt;=Assum!$B$98,EOMONTH(FN6,12/Assum!$B$95),0))</f>
        <v>48669</v>
      </c>
      <c r="FP6" s="400">
        <f>IF(FO6=0,0,IF(EOMONTH(FO6,12/Assum!$B$95)&lt;=Assum!$B$98,EOMONTH(FO6,12/Assum!$B$95),0))</f>
        <v>48699</v>
      </c>
      <c r="FQ6" s="400">
        <f>IF(FP6=0,0,IF(EOMONTH(FP6,12/Assum!$B$95)&lt;=Assum!$B$98,EOMONTH(FP6,12/Assum!$B$95),0))</f>
        <v>48730</v>
      </c>
      <c r="FR6" s="400">
        <f>IF(FQ6=0,0,IF(EOMONTH(FQ6,12/Assum!$B$95)&lt;=Assum!$B$98,EOMONTH(FQ6,12/Assum!$B$95),0))</f>
        <v>48760</v>
      </c>
      <c r="FS6" s="400">
        <f>IF(FR6=0,0,IF(EOMONTH(FR6,12/Assum!$B$95)&lt;=Assum!$B$98,EOMONTH(FR6,12/Assum!$B$95),0))</f>
        <v>48791</v>
      </c>
      <c r="FT6" s="400">
        <f>IF(FS6=0,0,IF(EOMONTH(FS6,12/Assum!$B$95)&lt;=Assum!$B$98,EOMONTH(FS6,12/Assum!$B$95),0))</f>
        <v>48822</v>
      </c>
      <c r="FU6" s="400">
        <f>IF(FT6=0,0,IF(EOMONTH(FT6,12/Assum!$B$95)&lt;=Assum!$B$98,EOMONTH(FT6,12/Assum!$B$95),0))</f>
        <v>48852</v>
      </c>
      <c r="FV6" s="400">
        <f>IF(FU6=0,0,IF(EOMONTH(FU6,12/Assum!$B$95)&lt;=Assum!$B$98,EOMONTH(FU6,12/Assum!$B$95),0))</f>
        <v>48883</v>
      </c>
      <c r="FW6" s="400">
        <f>IF(FV6=0,0,IF(EOMONTH(FV6,12/Assum!$B$95)&lt;=Assum!$B$98,EOMONTH(FV6,12/Assum!$B$95),0))</f>
        <v>48913</v>
      </c>
      <c r="FX6" s="400">
        <f>IF(FW6=0,0,IF(EOMONTH(FW6,12/Assum!$B$95)&lt;=Assum!$B$98,EOMONTH(FW6,12/Assum!$B$95),0))</f>
        <v>48944</v>
      </c>
      <c r="FY6" s="400">
        <f>IF(FX6=0,0,IF(EOMONTH(FX6,12/Assum!$B$95)&lt;=Assum!$B$98,EOMONTH(FX6,12/Assum!$B$95),0))</f>
        <v>48975</v>
      </c>
      <c r="FZ6" s="400">
        <f>IF(FY6=0,0,IF(EOMONTH(FY6,12/Assum!$B$95)&lt;=Assum!$B$98,EOMONTH(FY6,12/Assum!$B$95),0))</f>
        <v>49003</v>
      </c>
      <c r="GA6" s="400">
        <f>IF(FZ6=0,0,IF(EOMONTH(FZ6,12/Assum!$B$95)&lt;=Assum!$B$98,EOMONTH(FZ6,12/Assum!$B$95),0))</f>
        <v>49034</v>
      </c>
      <c r="GB6" s="400">
        <f>IF(GA6=0,0,IF(EOMONTH(GA6,12/Assum!$B$95)&lt;=Assum!$B$98,EOMONTH(GA6,12/Assum!$B$95),0))</f>
        <v>49064</v>
      </c>
      <c r="GC6" s="400">
        <f>IF(GB6=0,0,IF(EOMONTH(GB6,12/Assum!$B$95)&lt;=Assum!$B$98,EOMONTH(GB6,12/Assum!$B$95),0))</f>
        <v>49095</v>
      </c>
      <c r="GD6" s="400">
        <f>IF(GC6=0,0,IF(EOMONTH(GC6,12/Assum!$B$95)&lt;=Assum!$B$98,EOMONTH(GC6,12/Assum!$B$95),0))</f>
        <v>49125</v>
      </c>
      <c r="GE6" s="400">
        <f>IF(GD6=0,0,IF(EOMONTH(GD6,12/Assum!$B$95)&lt;=Assum!$B$98,EOMONTH(GD6,12/Assum!$B$95),0))</f>
        <v>49156</v>
      </c>
      <c r="GF6" s="400">
        <f>IF(GE6=0,0,IF(EOMONTH(GE6,12/Assum!$B$95)&lt;=Assum!$B$98,EOMONTH(GE6,12/Assum!$B$95),0))</f>
        <v>49187</v>
      </c>
      <c r="GG6" s="400">
        <f>IF(GF6=0,0,IF(EOMONTH(GF6,12/Assum!$B$95)&lt;=Assum!$B$98,EOMONTH(GF6,12/Assum!$B$95),0))</f>
        <v>49217</v>
      </c>
      <c r="GH6" s="400">
        <f>IF(GG6=0,0,IF(EOMONTH(GG6,12/Assum!$B$95)&lt;=Assum!$B$98,EOMONTH(GG6,12/Assum!$B$95),0))</f>
        <v>49248</v>
      </c>
      <c r="GI6" s="400">
        <f>IF(GH6=0,0,IF(EOMONTH(GH6,12/Assum!$B$95)&lt;=Assum!$B$98,EOMONTH(GH6,12/Assum!$B$95),0))</f>
        <v>49278</v>
      </c>
      <c r="GJ6" s="400">
        <f>IF(GI6=0,0,IF(EOMONTH(GI6,12/Assum!$B$95)&lt;=Assum!$B$98,EOMONTH(GI6,12/Assum!$B$95),0))</f>
        <v>49309</v>
      </c>
      <c r="GK6" s="400">
        <f>IF(GJ6=0,0,IF(EOMONTH(GJ6,12/Assum!$B$95)&lt;=Assum!$B$98,EOMONTH(GJ6,12/Assum!$B$95),0))</f>
        <v>49340</v>
      </c>
      <c r="GL6" s="400">
        <f>IF(GK6=0,0,IF(EOMONTH(GK6,12/Assum!$B$95)&lt;=Assum!$B$98,EOMONTH(GK6,12/Assum!$B$95),0))</f>
        <v>49368</v>
      </c>
      <c r="GM6" s="400">
        <f>IF(GL6=0,0,IF(EOMONTH(GL6,12/Assum!$B$95)&lt;=Assum!$B$98,EOMONTH(GL6,12/Assum!$B$95),0))</f>
        <v>49399</v>
      </c>
      <c r="GN6" s="400">
        <f>IF(GM6=0,0,IF(EOMONTH(GM6,12/Assum!$B$95)&lt;=Assum!$B$98,EOMONTH(GM6,12/Assum!$B$95),0))</f>
        <v>49429</v>
      </c>
      <c r="GO6" s="400">
        <f>IF(GN6=0,0,IF(EOMONTH(GN6,12/Assum!$B$95)&lt;=Assum!$B$98,EOMONTH(GN6,12/Assum!$B$95),0))</f>
        <v>49460</v>
      </c>
      <c r="GP6" s="400">
        <f>IF(GO6=0,0,IF(EOMONTH(GO6,12/Assum!$B$95)&lt;=Assum!$B$98,EOMONTH(GO6,12/Assum!$B$95),0))</f>
        <v>49490</v>
      </c>
      <c r="GQ6" s="400">
        <f>IF(GP6=0,0,IF(EOMONTH(GP6,12/Assum!$B$95)&lt;=Assum!$B$98,EOMONTH(GP6,12/Assum!$B$95),0))</f>
        <v>49521</v>
      </c>
      <c r="GR6" s="400">
        <f>IF(GQ6=0,0,IF(EOMONTH(GQ6,12/Assum!$B$95)&lt;=Assum!$B$98,EOMONTH(GQ6,12/Assum!$B$95),0))</f>
        <v>49552</v>
      </c>
      <c r="GS6" s="400">
        <f>IF(GR6=0,0,IF(EOMONTH(GR6,12/Assum!$B$95)&lt;=Assum!$B$98,EOMONTH(GR6,12/Assum!$B$95),0))</f>
        <v>49582</v>
      </c>
      <c r="GT6" s="400">
        <f>IF(GS6=0,0,IF(EOMONTH(GS6,12/Assum!$B$95)&lt;=Assum!$B$98,EOMONTH(GS6,12/Assum!$B$95),0))</f>
        <v>49613</v>
      </c>
      <c r="GU6" s="400">
        <f>IF(GT6=0,0,IF(EOMONTH(GT6,12/Assum!$B$95)&lt;=Assum!$B$98,EOMONTH(GT6,12/Assum!$B$95),0))</f>
        <v>49643</v>
      </c>
      <c r="GV6" s="400">
        <f>IF(GU6=0,0,IF(EOMONTH(GU6,12/Assum!$B$95)&lt;=Assum!$B$98,EOMONTH(GU6,12/Assum!$B$95),0))</f>
        <v>49674</v>
      </c>
      <c r="GW6" s="400">
        <f>IF(GV6=0,0,IF(EOMONTH(GV6,12/Assum!$B$95)&lt;=Assum!$B$98,EOMONTH(GV6,12/Assum!$B$95),0))</f>
        <v>49705</v>
      </c>
      <c r="GX6" s="400">
        <f>IF(GW6=0,0,IF(EOMONTH(GW6,12/Assum!$B$95)&lt;=Assum!$B$98,EOMONTH(GW6,12/Assum!$B$95),0))</f>
        <v>49734</v>
      </c>
      <c r="GY6" s="400">
        <f>IF(GX6=0,0,IF(EOMONTH(GX6,12/Assum!$B$95)&lt;=Assum!$B$98,EOMONTH(GX6,12/Assum!$B$95),0))</f>
        <v>49765</v>
      </c>
      <c r="GZ6" s="400">
        <f>IF(GY6=0,0,IF(EOMONTH(GY6,12/Assum!$B$95)&lt;=Assum!$B$98,EOMONTH(GY6,12/Assum!$B$95),0))</f>
        <v>49795</v>
      </c>
      <c r="HA6" s="400">
        <f>IF(GZ6=0,0,IF(EOMONTH(GZ6,12/Assum!$B$95)&lt;=Assum!$B$98,EOMONTH(GZ6,12/Assum!$B$95),0))</f>
        <v>49826</v>
      </c>
      <c r="HB6" s="400">
        <f>IF(HA6=0,0,IF(EOMONTH(HA6,12/Assum!$B$95)&lt;=Assum!$B$98,EOMONTH(HA6,12/Assum!$B$95),0))</f>
        <v>49856</v>
      </c>
      <c r="HC6" s="400">
        <f>IF(HB6=0,0,IF(EOMONTH(HB6,12/Assum!$B$95)&lt;=Assum!$B$98,EOMONTH(HB6,12/Assum!$B$95),0))</f>
        <v>49887</v>
      </c>
      <c r="HD6" s="400">
        <f>IF(HC6=0,0,IF(EOMONTH(HC6,12/Assum!$B$95)&lt;=Assum!$B$98,EOMONTH(HC6,12/Assum!$B$95),0))</f>
        <v>49918</v>
      </c>
      <c r="HE6" s="400">
        <f>IF(HD6=0,0,IF(EOMONTH(HD6,12/Assum!$B$95)&lt;=Assum!$B$98,EOMONTH(HD6,12/Assum!$B$95),0))</f>
        <v>49948</v>
      </c>
      <c r="HF6" s="400">
        <f>IF(HE6=0,0,IF(EOMONTH(HE6,12/Assum!$B$95)&lt;=Assum!$B$98,EOMONTH(HE6,12/Assum!$B$95),0))</f>
        <v>49979</v>
      </c>
      <c r="HG6" s="400">
        <f>IF(HF6=0,0,IF(EOMONTH(HF6,12/Assum!$B$95)&lt;=Assum!$B$98,EOMONTH(HF6,12/Assum!$B$95),0))</f>
        <v>50009</v>
      </c>
      <c r="HH6" s="400">
        <f>IF(HG6=0,0,IF(EOMONTH(HG6,12/Assum!$B$95)&lt;=Assum!$B$98,EOMONTH(HG6,12/Assum!$B$95),0))</f>
        <v>50040</v>
      </c>
      <c r="HI6" s="400">
        <f>IF(HH6=0,0,IF(EOMONTH(HH6,12/Assum!$B$95)&lt;=Assum!$B$98,EOMONTH(HH6,12/Assum!$B$95),0))</f>
        <v>50071</v>
      </c>
      <c r="HJ6" s="400">
        <f>IF(HI6=0,0,IF(EOMONTH(HI6,12/Assum!$B$95)&lt;=Assum!$B$98,EOMONTH(HI6,12/Assum!$B$95),0))</f>
        <v>50099</v>
      </c>
      <c r="HK6" s="400">
        <f>IF(HJ6=0,0,IF(EOMONTH(HJ6,12/Assum!$B$95)&lt;=Assum!$B$98,EOMONTH(HJ6,12/Assum!$B$95),0))</f>
        <v>50130</v>
      </c>
      <c r="HL6" s="400">
        <f>IF(HK6=0,0,IF(EOMONTH(HK6,12/Assum!$B$95)&lt;=Assum!$B$98,EOMONTH(HK6,12/Assum!$B$95),0))</f>
        <v>0</v>
      </c>
      <c r="HM6" s="400">
        <f>IF(HL6=0,0,IF(EOMONTH(HL6,12/Assum!$B$95)&lt;=Assum!$B$98,EOMONTH(HL6,12/Assum!$B$95),0))</f>
        <v>0</v>
      </c>
      <c r="HN6" s="400">
        <f>IF(HM6=0,0,IF(EOMONTH(HM6,12/Assum!$B$95)&lt;=Assum!$B$98,EOMONTH(HM6,12/Assum!$B$95),0))</f>
        <v>0</v>
      </c>
      <c r="HO6" s="400">
        <f>IF(HN6=0,0,IF(EOMONTH(HN6,12/Assum!$B$95)&lt;=Assum!$B$98,EOMONTH(HN6,12/Assum!$B$95),0))</f>
        <v>0</v>
      </c>
      <c r="HP6" s="400">
        <f>IF(HO6=0,0,IF(EOMONTH(HO6,12/Assum!$B$95)&lt;=Assum!$B$98,EOMONTH(HO6,12/Assum!$B$95),0))</f>
        <v>0</v>
      </c>
      <c r="HQ6" s="400">
        <f>IF(HP6=0,0,IF(EOMONTH(HP6,12/Assum!$B$95)&lt;=Assum!$B$98,EOMONTH(HP6,12/Assum!$B$95),0))</f>
        <v>0</v>
      </c>
      <c r="HR6" s="400">
        <f>IF(HQ6=0,0,IF(EOMONTH(HQ6,12/Assum!$B$95)&lt;=Assum!$B$98,EOMONTH(HQ6,12/Assum!$B$95),0))</f>
        <v>0</v>
      </c>
      <c r="HS6" s="400">
        <f>IF(HR6=0,0,IF(EOMONTH(HR6,12/Assum!$B$95)&lt;=Assum!$B$98,EOMONTH(HR6,12/Assum!$B$95),0))</f>
        <v>0</v>
      </c>
      <c r="HT6" s="400">
        <f>IF(HS6=0,0,IF(EOMONTH(HS6,12/Assum!$B$95)&lt;=Assum!$B$98,EOMONTH(HS6,12/Assum!$B$95),0))</f>
        <v>0</v>
      </c>
      <c r="HU6" s="400">
        <f>IF(HT6=0,0,IF(EOMONTH(HT6,12/Assum!$B$95)&lt;=Assum!$B$98,EOMONTH(HT6,12/Assum!$B$95),0))</f>
        <v>0</v>
      </c>
      <c r="HV6" s="400">
        <f>IF(HU6=0,0,IF(EOMONTH(HU6,12/Assum!$B$95)&lt;=Assum!$B$98,EOMONTH(HU6,12/Assum!$B$95),0))</f>
        <v>0</v>
      </c>
      <c r="HW6" s="400">
        <f>IF(HV6=0,0,IF(EOMONTH(HV6,12/Assum!$B$95)&lt;=Assum!$B$98,EOMONTH(HV6,12/Assum!$B$95),0))</f>
        <v>0</v>
      </c>
      <c r="HX6" s="400">
        <f>IF(HW6=0,0,IF(EOMONTH(HW6,12/Assum!$B$95)&lt;=Assum!$B$98,EOMONTH(HW6,12/Assum!$B$95),0))</f>
        <v>0</v>
      </c>
      <c r="HY6" s="400">
        <f>IF(HX6=0,0,IF(EOMONTH(HX6,12/Assum!$B$95)&lt;=Assum!$B$98,EOMONTH(HX6,12/Assum!$B$95),0))</f>
        <v>0</v>
      </c>
      <c r="HZ6" s="400">
        <f>IF(HY6=0,0,IF(EOMONTH(HY6,12/Assum!$B$95)&lt;=Assum!$B$98,EOMONTH(HY6,12/Assum!$B$95),0))</f>
        <v>0</v>
      </c>
      <c r="IA6" s="400">
        <f>IF(HZ6=0,0,IF(EOMONTH(HZ6,12/Assum!$B$95)&lt;=Assum!$B$98,EOMONTH(HZ6,12/Assum!$B$95),0))</f>
        <v>0</v>
      </c>
      <c r="IB6" s="400">
        <f>IF(IA6=0,0,IF(EOMONTH(IA6,12/Assum!$B$95)&lt;=Assum!$B$98,EOMONTH(IA6,12/Assum!$B$95),0))</f>
        <v>0</v>
      </c>
      <c r="IC6" s="400">
        <f>IF(IB6=0,0,IF(EOMONTH(IB6,12/Assum!$B$95)&lt;=Assum!$B$98,EOMONTH(IB6,12/Assum!$B$95),0))</f>
        <v>0</v>
      </c>
      <c r="ID6" s="400">
        <f>IF(IC6=0,0,IF(EOMONTH(IC6,12/Assum!$B$95)&lt;=Assum!$B$98,EOMONTH(IC6,12/Assum!$B$95),0))</f>
        <v>0</v>
      </c>
      <c r="IE6" s="400">
        <f>IF(ID6=0,0,IF(EOMONTH(ID6,12/Assum!$B$95)&lt;=Assum!$B$98,EOMONTH(ID6,12/Assum!$B$95),0))</f>
        <v>0</v>
      </c>
      <c r="IF6" s="400">
        <f>IF(IE6=0,0,IF(EOMONTH(IE6,12/Assum!$B$95)&lt;=Assum!$B$98,EOMONTH(IE6,12/Assum!$B$95),0))</f>
        <v>0</v>
      </c>
      <c r="IG6" s="400">
        <f>IF(IF6=0,0,IF(EOMONTH(IF6,12/Assum!$B$95)&lt;=Assum!$B$98,EOMONTH(IF6,12/Assum!$B$95),0))</f>
        <v>0</v>
      </c>
      <c r="IH6" s="400">
        <f>IF(IG6=0,0,IF(EOMONTH(IG6,12/Assum!$B$95)&lt;=Assum!$B$98,EOMONTH(IG6,12/Assum!$B$95),0))</f>
        <v>0</v>
      </c>
      <c r="II6" s="400">
        <f>IF(IH6=0,0,IF(EOMONTH(IH6,12/Assum!$B$95)&lt;=Assum!$B$98,EOMONTH(IH6,12/Assum!$B$95),0))</f>
        <v>0</v>
      </c>
      <c r="IJ6" s="400">
        <f>IF(II6=0,0,IF(EOMONTH(II6,12/Assum!$B$95)&lt;=Assum!$B$98,EOMONTH(II6,12/Assum!$B$95),0))</f>
        <v>0</v>
      </c>
      <c r="IK6" s="400">
        <f>IF(IJ6=0,0,IF(EOMONTH(IJ6,12/Assum!$B$95)&lt;=Assum!$B$98,EOMONTH(IJ6,12/Assum!$B$95),0))</f>
        <v>0</v>
      </c>
      <c r="IL6" s="400">
        <f>IF(IK6=0,0,IF(EOMONTH(IK6,12/Assum!$B$95)&lt;=Assum!$B$98,EOMONTH(IK6,12/Assum!$B$95),0))</f>
        <v>0</v>
      </c>
      <c r="IM6" s="400">
        <f>IF(IL6=0,0,IF(EOMONTH(IL6,12/Assum!$B$95)&lt;=Assum!$B$98,EOMONTH(IL6,12/Assum!$B$95),0))</f>
        <v>0</v>
      </c>
      <c r="IN6" s="400">
        <f>IF(IM6=0,0,IF(EOMONTH(IM6,12/Assum!$B$95)&lt;=Assum!$B$98,EOMONTH(IM6,12/Assum!$B$95),0))</f>
        <v>0</v>
      </c>
      <c r="IO6" s="400">
        <f>IF(IN6=0,0,IF(EOMONTH(IN6,12/Assum!$B$95)&lt;=Assum!$B$98,EOMONTH(IN6,12/Assum!$B$95),0))</f>
        <v>0</v>
      </c>
      <c r="IP6" s="400">
        <f>IF(IO6=0,0,IF(EOMONTH(IO6,12/Assum!$B$95)&lt;=Assum!$B$98,EOMONTH(IO6,12/Assum!$B$95),0))</f>
        <v>0</v>
      </c>
      <c r="IQ6" s="400">
        <f>IF(IP6=0,0,IF(EOMONTH(IP6,12/Assum!$B$95)&lt;=Assum!$B$98,EOMONTH(IP6,12/Assum!$B$95),0))</f>
        <v>0</v>
      </c>
      <c r="IR6" s="400">
        <f>IF(IQ6=0,0,IF(EOMONTH(IQ6,12/Assum!$B$95)&lt;=Assum!$B$98,EOMONTH(IQ6,12/Assum!$B$95),0))</f>
        <v>0</v>
      </c>
      <c r="IS6" s="400">
        <f>IF(IR6=0,0,IF(EOMONTH(IR6,12/Assum!$B$95)&lt;=Assum!$B$98,EOMONTH(IR6,12/Assum!$B$95),0))</f>
        <v>0</v>
      </c>
      <c r="IT6" s="400">
        <f>IF(IS6=0,0,IF(EOMONTH(IS6,12/Assum!$B$95)&lt;=Assum!$B$98,EOMONTH(IS6,12/Assum!$B$95),0))</f>
        <v>0</v>
      </c>
      <c r="IU6" s="400">
        <f>IF(IT6=0,0,IF(EOMONTH(IT6,12/Assum!$B$95)&lt;=Assum!$B$98,EOMONTH(IT6,12/Assum!$B$95),0))</f>
        <v>0</v>
      </c>
      <c r="IV6" s="400">
        <f>IF(IU6=0,0,IF(EOMONTH(IU6,12/Assum!$B$95)&lt;=Assum!$B$98,EOMONTH(IU6,12/Assum!$B$95),0))</f>
        <v>0</v>
      </c>
      <c r="IW6" s="400">
        <f>IF(IV6=0,0,IF(EOMONTH(IV6,12/Assum!$B$95)&lt;=Assum!$B$98,EOMONTH(IV6,12/Assum!$B$95),0))</f>
        <v>0</v>
      </c>
      <c r="IX6" s="400">
        <f>IF(IW6=0,0,IF(EOMONTH(IW6,12/Assum!$B$95)&lt;=Assum!$B$98,EOMONTH(IW6,12/Assum!$B$95),0))</f>
        <v>0</v>
      </c>
      <c r="IY6" s="400">
        <f>IF(IX6=0,0,IF(EOMONTH(IX6,12/Assum!$B$95)&lt;=Assum!$B$98,EOMONTH(IX6,12/Assum!$B$95),0))</f>
        <v>0</v>
      </c>
      <c r="IZ6" s="400">
        <f>IF(IY6=0,0,IF(EOMONTH(IY6,12/Assum!$B$95)&lt;=Assum!$B$98,EOMONTH(IY6,12/Assum!$B$95),0))</f>
        <v>0</v>
      </c>
      <c r="JA6" s="400">
        <f>IF(IZ6=0,0,IF(EOMONTH(IZ6,12/Assum!$B$95)&lt;=Assum!$B$98,EOMONTH(IZ6,12/Assum!$B$95),0))</f>
        <v>0</v>
      </c>
      <c r="JB6" s="400">
        <f>IF(JA6=0,0,IF(EOMONTH(JA6,12/Assum!$B$95)&lt;=Assum!$B$98,EOMONTH(JA6,12/Assum!$B$95),0))</f>
        <v>0</v>
      </c>
      <c r="JC6" s="400">
        <f>IF(JB6=0,0,IF(EOMONTH(JB6,12/Assum!$B$95)&lt;=Assum!$B$98,EOMONTH(JB6,12/Assum!$B$95),0))</f>
        <v>0</v>
      </c>
      <c r="JD6" s="400">
        <f>IF(JC6=0,0,IF(EOMONTH(JC6,12/Assum!$B$95)&lt;=Assum!$B$98,EOMONTH(JC6,12/Assum!$B$95),0))</f>
        <v>0</v>
      </c>
      <c r="JE6" s="400">
        <f>IF(JD6=0,0,IF(EOMONTH(JD6,12/Assum!$B$95)&lt;=Assum!$B$98,EOMONTH(JD6,12/Assum!$B$95),0))</f>
        <v>0</v>
      </c>
      <c r="JF6" s="400">
        <f>IF(JE6=0,0,IF(EOMONTH(JE6,12/Assum!$B$95)&lt;=Assum!$B$98,EOMONTH(JE6,12/Assum!$B$95),0))</f>
        <v>0</v>
      </c>
      <c r="JG6" s="400">
        <f>IF(JF6=0,0,IF(EOMONTH(JF6,12/Assum!$B$95)&lt;=Assum!$B$98,EOMONTH(JF6,12/Assum!$B$95),0))</f>
        <v>0</v>
      </c>
      <c r="JH6" s="400">
        <f>IF(JG6=0,0,IF(EOMONTH(JG6,12/Assum!$B$95)&lt;=Assum!$B$98,EOMONTH(JG6,12/Assum!$B$95),0))</f>
        <v>0</v>
      </c>
      <c r="JI6" s="400">
        <f>IF(JH6=0,0,IF(EOMONTH(JH6,12/Assum!$B$95)&lt;=Assum!$B$98,EOMONTH(JH6,12/Assum!$B$95),0))</f>
        <v>0</v>
      </c>
      <c r="JJ6" s="400">
        <f>IF(JI6=0,0,IF(EOMONTH(JI6,12/Assum!$B$95)&lt;=Assum!$B$98,EOMONTH(JI6,12/Assum!$B$95),0))</f>
        <v>0</v>
      </c>
      <c r="JK6" s="400">
        <f>IF(JJ6=0,0,IF(EOMONTH(JJ6,12/Assum!$B$95)&lt;=Assum!$B$98,EOMONTH(JJ6,12/Assum!$B$95),0))</f>
        <v>0</v>
      </c>
      <c r="JL6" s="400">
        <f>IF(JK6=0,0,IF(EOMONTH(JK6,12/Assum!$B$95)&lt;=Assum!$B$98,EOMONTH(JK6,12/Assum!$B$95),0))</f>
        <v>0</v>
      </c>
      <c r="JM6" s="400">
        <f>IF(JL6=0,0,IF(EOMONTH(JL6,12/Assum!$B$95)&lt;=Assum!$B$98,EOMONTH(JL6,12/Assum!$B$95),0))</f>
        <v>0</v>
      </c>
      <c r="JN6" s="400">
        <f>IF(JM6=0,0,IF(EOMONTH(JM6,12/Assum!$B$95)&lt;=Assum!$B$98,EOMONTH(JM6,12/Assum!$B$95),0))</f>
        <v>0</v>
      </c>
      <c r="JO6" s="400">
        <f>IF(JN6=0,0,IF(EOMONTH(JN6,12/Assum!$B$95)&lt;=Assum!$B$98,EOMONTH(JN6,12/Assum!$B$95),0))</f>
        <v>0</v>
      </c>
      <c r="JP6" s="400">
        <f>IF(JO6=0,0,IF(EOMONTH(JO6,12/Assum!$B$95)&lt;=Assum!$B$98,EOMONTH(JO6,12/Assum!$B$95),0))</f>
        <v>0</v>
      </c>
      <c r="JQ6" s="400">
        <f>IF(JP6=0,0,IF(EOMONTH(JP6,12/Assum!$B$95)&lt;=Assum!$B$98,EOMONTH(JP6,12/Assum!$B$95),0))</f>
        <v>0</v>
      </c>
      <c r="JR6" s="400">
        <f>IF(JQ6=0,0,IF(EOMONTH(JQ6,12/Assum!$B$95)&lt;=Assum!$B$98,EOMONTH(JQ6,12/Assum!$B$95),0))</f>
        <v>0</v>
      </c>
      <c r="JS6" s="400">
        <f>IF(JR6=0,0,IF(EOMONTH(JR6,12/Assum!$B$95)&lt;=Assum!$B$98,EOMONTH(JR6,12/Assum!$B$95),0))</f>
        <v>0</v>
      </c>
      <c r="JT6" s="400">
        <f>IF(JS6=0,0,IF(EOMONTH(JS6,12/Assum!$B$95)&lt;=Assum!$B$98,EOMONTH(JS6,12/Assum!$B$95),0))</f>
        <v>0</v>
      </c>
      <c r="JU6" s="400">
        <f>IF(JT6=0,0,IF(EOMONTH(JT6,12/Assum!$B$95)&lt;=Assum!$B$98,EOMONTH(JT6,12/Assum!$B$95),0))</f>
        <v>0</v>
      </c>
    </row>
    <row r="7" spans="1:310">
      <c r="D7" s="62">
        <f t="shared" ref="D7:BO7" si="25">IF(D6=0,0,1)</f>
        <v>1</v>
      </c>
      <c r="E7" s="62">
        <f t="shared" si="25"/>
        <v>1</v>
      </c>
      <c r="F7" s="62">
        <f t="shared" si="25"/>
        <v>1</v>
      </c>
      <c r="G7" s="62">
        <f t="shared" si="25"/>
        <v>1</v>
      </c>
      <c r="H7" s="62">
        <f t="shared" si="25"/>
        <v>1</v>
      </c>
      <c r="I7" s="62">
        <f t="shared" si="25"/>
        <v>1</v>
      </c>
      <c r="J7" s="62">
        <f t="shared" si="25"/>
        <v>1</v>
      </c>
      <c r="K7" s="62">
        <f t="shared" si="25"/>
        <v>1</v>
      </c>
      <c r="L7" s="62">
        <f t="shared" si="25"/>
        <v>1</v>
      </c>
      <c r="M7" s="62">
        <f t="shared" si="25"/>
        <v>1</v>
      </c>
      <c r="N7" s="62">
        <f t="shared" si="25"/>
        <v>1</v>
      </c>
      <c r="O7" s="62">
        <f t="shared" si="25"/>
        <v>1</v>
      </c>
      <c r="P7" s="62">
        <f t="shared" si="25"/>
        <v>1</v>
      </c>
      <c r="Q7" s="62">
        <f t="shared" si="25"/>
        <v>1</v>
      </c>
      <c r="R7" s="62">
        <f t="shared" si="25"/>
        <v>1</v>
      </c>
      <c r="S7" s="62">
        <f t="shared" si="25"/>
        <v>1</v>
      </c>
      <c r="T7" s="62">
        <f t="shared" si="25"/>
        <v>1</v>
      </c>
      <c r="U7" s="62">
        <f t="shared" si="25"/>
        <v>1</v>
      </c>
      <c r="V7" s="62">
        <f t="shared" si="25"/>
        <v>1</v>
      </c>
      <c r="W7" s="62">
        <f t="shared" si="25"/>
        <v>1</v>
      </c>
      <c r="X7" s="62">
        <f t="shared" si="25"/>
        <v>1</v>
      </c>
      <c r="Y7" s="62">
        <f t="shared" si="25"/>
        <v>1</v>
      </c>
      <c r="Z7" s="62">
        <f t="shared" si="25"/>
        <v>1</v>
      </c>
      <c r="AA7" s="62">
        <f t="shared" si="25"/>
        <v>1</v>
      </c>
      <c r="AB7" s="62">
        <f t="shared" si="25"/>
        <v>1</v>
      </c>
      <c r="AC7" s="62">
        <f t="shared" si="25"/>
        <v>1</v>
      </c>
      <c r="AD7" s="62">
        <f t="shared" si="25"/>
        <v>1</v>
      </c>
      <c r="AE7" s="62">
        <f t="shared" si="25"/>
        <v>1</v>
      </c>
      <c r="AF7" s="62">
        <f t="shared" si="25"/>
        <v>1</v>
      </c>
      <c r="AG7" s="62">
        <f t="shared" si="25"/>
        <v>1</v>
      </c>
      <c r="AH7" s="62">
        <f t="shared" si="25"/>
        <v>1</v>
      </c>
      <c r="AI7" s="62">
        <f t="shared" si="25"/>
        <v>1</v>
      </c>
      <c r="AJ7" s="62">
        <f t="shared" si="25"/>
        <v>1</v>
      </c>
      <c r="AK7" s="62">
        <f t="shared" si="25"/>
        <v>1</v>
      </c>
      <c r="AL7" s="62">
        <f t="shared" si="25"/>
        <v>1</v>
      </c>
      <c r="AM7" s="62">
        <f t="shared" si="25"/>
        <v>1</v>
      </c>
      <c r="AN7" s="62">
        <f t="shared" si="25"/>
        <v>1</v>
      </c>
      <c r="AO7" s="62">
        <f t="shared" si="25"/>
        <v>1</v>
      </c>
      <c r="AP7" s="62">
        <f t="shared" si="25"/>
        <v>1</v>
      </c>
      <c r="AQ7" s="62">
        <f t="shared" si="25"/>
        <v>1</v>
      </c>
      <c r="AR7" s="62">
        <f t="shared" si="25"/>
        <v>1</v>
      </c>
      <c r="AS7" s="62">
        <f t="shared" si="25"/>
        <v>1</v>
      </c>
      <c r="AT7" s="62">
        <f t="shared" si="25"/>
        <v>1</v>
      </c>
      <c r="AU7" s="62">
        <f t="shared" si="25"/>
        <v>1</v>
      </c>
      <c r="AV7" s="62">
        <f t="shared" si="25"/>
        <v>1</v>
      </c>
      <c r="AW7" s="62">
        <f t="shared" si="25"/>
        <v>1</v>
      </c>
      <c r="AX7" s="62">
        <f t="shared" si="25"/>
        <v>1</v>
      </c>
      <c r="AY7" s="62">
        <f t="shared" si="25"/>
        <v>1</v>
      </c>
      <c r="AZ7" s="62">
        <f t="shared" si="25"/>
        <v>1</v>
      </c>
      <c r="BA7" s="62">
        <f t="shared" si="25"/>
        <v>1</v>
      </c>
      <c r="BB7" s="62">
        <f t="shared" si="25"/>
        <v>1</v>
      </c>
      <c r="BC7" s="62">
        <f t="shared" si="25"/>
        <v>1</v>
      </c>
      <c r="BD7" s="62">
        <f t="shared" si="25"/>
        <v>1</v>
      </c>
      <c r="BE7" s="62">
        <f t="shared" si="25"/>
        <v>1</v>
      </c>
      <c r="BF7" s="62">
        <f t="shared" si="25"/>
        <v>1</v>
      </c>
      <c r="BG7" s="62">
        <f t="shared" si="25"/>
        <v>1</v>
      </c>
      <c r="BH7" s="62">
        <f t="shared" si="25"/>
        <v>1</v>
      </c>
      <c r="BI7" s="62">
        <f t="shared" si="25"/>
        <v>1</v>
      </c>
      <c r="BJ7" s="62">
        <f t="shared" si="25"/>
        <v>1</v>
      </c>
      <c r="BK7" s="62">
        <f t="shared" si="25"/>
        <v>1</v>
      </c>
      <c r="BL7" s="62">
        <f t="shared" si="25"/>
        <v>1</v>
      </c>
      <c r="BM7" s="62">
        <f t="shared" si="25"/>
        <v>1</v>
      </c>
      <c r="BN7" s="62">
        <f t="shared" si="25"/>
        <v>1</v>
      </c>
      <c r="BO7" s="62">
        <f t="shared" si="25"/>
        <v>1</v>
      </c>
      <c r="BP7" s="62">
        <f t="shared" ref="BP7:EA7" si="26">IF(BP6=0,0,1)</f>
        <v>1</v>
      </c>
      <c r="BQ7" s="62">
        <f t="shared" si="26"/>
        <v>1</v>
      </c>
      <c r="BR7" s="62">
        <f t="shared" si="26"/>
        <v>1</v>
      </c>
      <c r="BS7" s="62">
        <f t="shared" si="26"/>
        <v>1</v>
      </c>
      <c r="BT7" s="62">
        <f t="shared" si="26"/>
        <v>1</v>
      </c>
      <c r="BU7" s="62">
        <f t="shared" si="26"/>
        <v>1</v>
      </c>
      <c r="BV7" s="62">
        <f t="shared" si="26"/>
        <v>1</v>
      </c>
      <c r="BW7" s="62">
        <f t="shared" si="26"/>
        <v>1</v>
      </c>
      <c r="BX7" s="62">
        <f t="shared" si="26"/>
        <v>1</v>
      </c>
      <c r="BY7" s="62">
        <f t="shared" si="26"/>
        <v>1</v>
      </c>
      <c r="BZ7" s="62">
        <f t="shared" si="26"/>
        <v>1</v>
      </c>
      <c r="CA7" s="62">
        <f t="shared" si="26"/>
        <v>1</v>
      </c>
      <c r="CB7" s="62">
        <f t="shared" si="26"/>
        <v>1</v>
      </c>
      <c r="CC7" s="62">
        <f t="shared" si="26"/>
        <v>1</v>
      </c>
      <c r="CD7" s="62">
        <f t="shared" si="26"/>
        <v>1</v>
      </c>
      <c r="CE7" s="62">
        <f t="shared" si="26"/>
        <v>1</v>
      </c>
      <c r="CF7" s="62">
        <f t="shared" si="26"/>
        <v>1</v>
      </c>
      <c r="CG7" s="62">
        <f t="shared" si="26"/>
        <v>1</v>
      </c>
      <c r="CH7" s="62">
        <f t="shared" si="26"/>
        <v>1</v>
      </c>
      <c r="CI7" s="62">
        <f t="shared" si="26"/>
        <v>1</v>
      </c>
      <c r="CJ7" s="62">
        <f t="shared" si="26"/>
        <v>1</v>
      </c>
      <c r="CK7" s="62">
        <f t="shared" si="26"/>
        <v>1</v>
      </c>
      <c r="CL7" s="62">
        <f t="shared" si="26"/>
        <v>1</v>
      </c>
      <c r="CM7" s="62">
        <f t="shared" si="26"/>
        <v>1</v>
      </c>
      <c r="CN7" s="62">
        <f t="shared" si="26"/>
        <v>1</v>
      </c>
      <c r="CO7" s="62">
        <f t="shared" si="26"/>
        <v>1</v>
      </c>
      <c r="CP7" s="62">
        <f t="shared" si="26"/>
        <v>1</v>
      </c>
      <c r="CQ7" s="62">
        <f t="shared" si="26"/>
        <v>1</v>
      </c>
      <c r="CR7" s="62">
        <f t="shared" si="26"/>
        <v>1</v>
      </c>
      <c r="CS7" s="62">
        <f t="shared" si="26"/>
        <v>1</v>
      </c>
      <c r="CT7" s="62">
        <f t="shared" si="26"/>
        <v>1</v>
      </c>
      <c r="CU7" s="62">
        <f t="shared" si="26"/>
        <v>1</v>
      </c>
      <c r="CV7" s="62">
        <f t="shared" si="26"/>
        <v>1</v>
      </c>
      <c r="CW7" s="62">
        <f t="shared" si="26"/>
        <v>1</v>
      </c>
      <c r="CX7" s="62">
        <f t="shared" si="26"/>
        <v>1</v>
      </c>
      <c r="CY7" s="62">
        <f t="shared" si="26"/>
        <v>1</v>
      </c>
      <c r="CZ7" s="62">
        <f t="shared" si="26"/>
        <v>1</v>
      </c>
      <c r="DA7" s="62">
        <f t="shared" si="26"/>
        <v>1</v>
      </c>
      <c r="DB7" s="62">
        <f t="shared" si="26"/>
        <v>1</v>
      </c>
      <c r="DC7" s="62">
        <f t="shared" si="26"/>
        <v>1</v>
      </c>
      <c r="DD7" s="62">
        <f t="shared" si="26"/>
        <v>1</v>
      </c>
      <c r="DE7" s="62">
        <f t="shared" si="26"/>
        <v>1</v>
      </c>
      <c r="DF7" s="62">
        <f t="shared" si="26"/>
        <v>1</v>
      </c>
      <c r="DG7" s="62">
        <f t="shared" si="26"/>
        <v>1</v>
      </c>
      <c r="DH7" s="62">
        <f t="shared" si="26"/>
        <v>1</v>
      </c>
      <c r="DI7" s="62">
        <f t="shared" si="26"/>
        <v>1</v>
      </c>
      <c r="DJ7" s="62">
        <f t="shared" si="26"/>
        <v>1</v>
      </c>
      <c r="DK7" s="62">
        <f t="shared" si="26"/>
        <v>1</v>
      </c>
      <c r="DL7" s="62">
        <f t="shared" si="26"/>
        <v>1</v>
      </c>
      <c r="DM7" s="62">
        <f t="shared" si="26"/>
        <v>1</v>
      </c>
      <c r="DN7" s="62">
        <f t="shared" si="26"/>
        <v>1</v>
      </c>
      <c r="DO7" s="62">
        <f t="shared" si="26"/>
        <v>1</v>
      </c>
      <c r="DP7" s="62">
        <f t="shared" si="26"/>
        <v>1</v>
      </c>
      <c r="DQ7" s="62">
        <f t="shared" si="26"/>
        <v>1</v>
      </c>
      <c r="DR7" s="62">
        <f t="shared" si="26"/>
        <v>1</v>
      </c>
      <c r="DS7" s="62">
        <f t="shared" si="26"/>
        <v>1</v>
      </c>
      <c r="DT7" s="62">
        <f t="shared" si="26"/>
        <v>1</v>
      </c>
      <c r="DU7" s="62">
        <f t="shared" si="26"/>
        <v>1</v>
      </c>
      <c r="DV7" s="62">
        <f t="shared" si="26"/>
        <v>1</v>
      </c>
      <c r="DW7" s="62">
        <f t="shared" si="26"/>
        <v>1</v>
      </c>
      <c r="DX7" s="62">
        <f t="shared" si="26"/>
        <v>1</v>
      </c>
      <c r="DY7" s="62">
        <f t="shared" si="26"/>
        <v>1</v>
      </c>
      <c r="DZ7" s="62">
        <f t="shared" si="26"/>
        <v>1</v>
      </c>
      <c r="EA7" s="62">
        <f t="shared" si="26"/>
        <v>1</v>
      </c>
      <c r="EB7" s="62">
        <f t="shared" ref="EB7:GM7" si="27">IF(EB6=0,0,1)</f>
        <v>1</v>
      </c>
      <c r="EC7" s="62">
        <f t="shared" si="27"/>
        <v>1</v>
      </c>
      <c r="ED7" s="62">
        <f t="shared" si="27"/>
        <v>1</v>
      </c>
      <c r="EE7" s="62">
        <f t="shared" si="27"/>
        <v>1</v>
      </c>
      <c r="EF7" s="62">
        <f t="shared" si="27"/>
        <v>1</v>
      </c>
      <c r="EG7" s="62">
        <f t="shared" si="27"/>
        <v>1</v>
      </c>
      <c r="EH7" s="62">
        <f t="shared" si="27"/>
        <v>1</v>
      </c>
      <c r="EI7" s="62">
        <f t="shared" si="27"/>
        <v>1</v>
      </c>
      <c r="EJ7" s="62">
        <f t="shared" si="27"/>
        <v>1</v>
      </c>
      <c r="EK7" s="62">
        <f t="shared" si="27"/>
        <v>1</v>
      </c>
      <c r="EL7" s="62">
        <f t="shared" si="27"/>
        <v>1</v>
      </c>
      <c r="EM7" s="62">
        <f t="shared" si="27"/>
        <v>1</v>
      </c>
      <c r="EN7" s="62">
        <f t="shared" si="27"/>
        <v>1</v>
      </c>
      <c r="EO7" s="62">
        <f t="shared" si="27"/>
        <v>1</v>
      </c>
      <c r="EP7" s="62">
        <f t="shared" si="27"/>
        <v>1</v>
      </c>
      <c r="EQ7" s="62">
        <f t="shared" si="27"/>
        <v>1</v>
      </c>
      <c r="ER7" s="62">
        <f t="shared" si="27"/>
        <v>1</v>
      </c>
      <c r="ES7" s="62">
        <f t="shared" si="27"/>
        <v>1</v>
      </c>
      <c r="ET7" s="62">
        <f t="shared" si="27"/>
        <v>1</v>
      </c>
      <c r="EU7" s="62">
        <f t="shared" si="27"/>
        <v>1</v>
      </c>
      <c r="EV7" s="62">
        <f t="shared" si="27"/>
        <v>1</v>
      </c>
      <c r="EW7" s="62">
        <f t="shared" si="27"/>
        <v>1</v>
      </c>
      <c r="EX7" s="62">
        <f t="shared" si="27"/>
        <v>1</v>
      </c>
      <c r="EY7" s="62">
        <f t="shared" si="27"/>
        <v>1</v>
      </c>
      <c r="EZ7" s="62">
        <f t="shared" si="27"/>
        <v>1</v>
      </c>
      <c r="FA7" s="62">
        <f t="shared" si="27"/>
        <v>1</v>
      </c>
      <c r="FB7" s="62">
        <f t="shared" si="27"/>
        <v>1</v>
      </c>
      <c r="FC7" s="62">
        <f t="shared" si="27"/>
        <v>1</v>
      </c>
      <c r="FD7" s="62">
        <f t="shared" si="27"/>
        <v>1</v>
      </c>
      <c r="FE7" s="62">
        <f t="shared" si="27"/>
        <v>1</v>
      </c>
      <c r="FF7" s="62">
        <f t="shared" si="27"/>
        <v>1</v>
      </c>
      <c r="FG7" s="62">
        <f t="shared" si="27"/>
        <v>1</v>
      </c>
      <c r="FH7" s="62">
        <f t="shared" si="27"/>
        <v>1</v>
      </c>
      <c r="FI7" s="62">
        <f t="shared" si="27"/>
        <v>1</v>
      </c>
      <c r="FJ7" s="62">
        <f t="shared" si="27"/>
        <v>1</v>
      </c>
      <c r="FK7" s="62">
        <f t="shared" si="27"/>
        <v>1</v>
      </c>
      <c r="FL7" s="62">
        <f t="shared" si="27"/>
        <v>1</v>
      </c>
      <c r="FM7" s="62">
        <f t="shared" si="27"/>
        <v>1</v>
      </c>
      <c r="FN7" s="62">
        <f t="shared" si="27"/>
        <v>1</v>
      </c>
      <c r="FO7" s="62">
        <f t="shared" si="27"/>
        <v>1</v>
      </c>
      <c r="FP7" s="62">
        <f t="shared" si="27"/>
        <v>1</v>
      </c>
      <c r="FQ7" s="62">
        <f t="shared" si="27"/>
        <v>1</v>
      </c>
      <c r="FR7" s="62">
        <f t="shared" si="27"/>
        <v>1</v>
      </c>
      <c r="FS7" s="62">
        <f t="shared" si="27"/>
        <v>1</v>
      </c>
      <c r="FT7" s="62">
        <f t="shared" si="27"/>
        <v>1</v>
      </c>
      <c r="FU7" s="62">
        <f t="shared" si="27"/>
        <v>1</v>
      </c>
      <c r="FV7" s="62">
        <f t="shared" si="27"/>
        <v>1</v>
      </c>
      <c r="FW7" s="62">
        <f t="shared" si="27"/>
        <v>1</v>
      </c>
      <c r="FX7" s="62">
        <f t="shared" si="27"/>
        <v>1</v>
      </c>
      <c r="FY7" s="62">
        <f t="shared" si="27"/>
        <v>1</v>
      </c>
      <c r="FZ7" s="62">
        <f t="shared" si="27"/>
        <v>1</v>
      </c>
      <c r="GA7" s="62">
        <f t="shared" si="27"/>
        <v>1</v>
      </c>
      <c r="GB7" s="62">
        <f t="shared" si="27"/>
        <v>1</v>
      </c>
      <c r="GC7" s="62">
        <f t="shared" si="27"/>
        <v>1</v>
      </c>
      <c r="GD7" s="62">
        <f t="shared" si="27"/>
        <v>1</v>
      </c>
      <c r="GE7" s="62">
        <f t="shared" si="27"/>
        <v>1</v>
      </c>
      <c r="GF7" s="62">
        <f t="shared" si="27"/>
        <v>1</v>
      </c>
      <c r="GG7" s="62">
        <f t="shared" si="27"/>
        <v>1</v>
      </c>
      <c r="GH7" s="62">
        <f t="shared" si="27"/>
        <v>1</v>
      </c>
      <c r="GI7" s="62">
        <f t="shared" si="27"/>
        <v>1</v>
      </c>
      <c r="GJ7" s="62">
        <f t="shared" si="27"/>
        <v>1</v>
      </c>
      <c r="GK7" s="62">
        <f t="shared" si="27"/>
        <v>1</v>
      </c>
      <c r="GL7" s="62">
        <f t="shared" si="27"/>
        <v>1</v>
      </c>
      <c r="GM7" s="62">
        <f t="shared" si="27"/>
        <v>1</v>
      </c>
      <c r="GN7" s="62">
        <f t="shared" ref="GN7:IY7" si="28">IF(GN6=0,0,1)</f>
        <v>1</v>
      </c>
      <c r="GO7" s="62">
        <f t="shared" si="28"/>
        <v>1</v>
      </c>
      <c r="GP7" s="62">
        <f t="shared" si="28"/>
        <v>1</v>
      </c>
      <c r="GQ7" s="62">
        <f t="shared" si="28"/>
        <v>1</v>
      </c>
      <c r="GR7" s="62">
        <f t="shared" si="28"/>
        <v>1</v>
      </c>
      <c r="GS7" s="62">
        <f t="shared" si="28"/>
        <v>1</v>
      </c>
      <c r="GT7" s="62">
        <f t="shared" si="28"/>
        <v>1</v>
      </c>
      <c r="GU7" s="62">
        <f t="shared" si="28"/>
        <v>1</v>
      </c>
      <c r="GV7" s="62">
        <f t="shared" si="28"/>
        <v>1</v>
      </c>
      <c r="GW7" s="62">
        <f t="shared" si="28"/>
        <v>1</v>
      </c>
      <c r="GX7" s="62">
        <f t="shared" si="28"/>
        <v>1</v>
      </c>
      <c r="GY7" s="62">
        <f t="shared" si="28"/>
        <v>1</v>
      </c>
      <c r="GZ7" s="62">
        <f t="shared" si="28"/>
        <v>1</v>
      </c>
      <c r="HA7" s="62">
        <f t="shared" si="28"/>
        <v>1</v>
      </c>
      <c r="HB7" s="62">
        <f t="shared" si="28"/>
        <v>1</v>
      </c>
      <c r="HC7" s="62">
        <f t="shared" si="28"/>
        <v>1</v>
      </c>
      <c r="HD7" s="62">
        <f t="shared" si="28"/>
        <v>1</v>
      </c>
      <c r="HE7" s="62">
        <f t="shared" si="28"/>
        <v>1</v>
      </c>
      <c r="HF7" s="62">
        <f t="shared" si="28"/>
        <v>1</v>
      </c>
      <c r="HG7" s="62">
        <f t="shared" si="28"/>
        <v>1</v>
      </c>
      <c r="HH7" s="62">
        <f t="shared" si="28"/>
        <v>1</v>
      </c>
      <c r="HI7" s="62">
        <f t="shared" si="28"/>
        <v>1</v>
      </c>
      <c r="HJ7" s="62">
        <f t="shared" si="28"/>
        <v>1</v>
      </c>
      <c r="HK7" s="62">
        <f t="shared" si="28"/>
        <v>1</v>
      </c>
      <c r="HL7" s="62">
        <f t="shared" si="28"/>
        <v>0</v>
      </c>
      <c r="HM7" s="62">
        <f t="shared" si="28"/>
        <v>0</v>
      </c>
      <c r="HN7" s="62">
        <f t="shared" si="28"/>
        <v>0</v>
      </c>
      <c r="HO7" s="62">
        <f t="shared" si="28"/>
        <v>0</v>
      </c>
      <c r="HP7" s="62">
        <f t="shared" si="28"/>
        <v>0</v>
      </c>
      <c r="HQ7" s="62">
        <f t="shared" si="28"/>
        <v>0</v>
      </c>
      <c r="HR7" s="62">
        <f t="shared" si="28"/>
        <v>0</v>
      </c>
      <c r="HS7" s="62">
        <f t="shared" si="28"/>
        <v>0</v>
      </c>
      <c r="HT7" s="62">
        <f t="shared" si="28"/>
        <v>0</v>
      </c>
      <c r="HU7" s="62">
        <f t="shared" si="28"/>
        <v>0</v>
      </c>
      <c r="HV7" s="62">
        <f t="shared" si="28"/>
        <v>0</v>
      </c>
      <c r="HW7" s="62">
        <f t="shared" si="28"/>
        <v>0</v>
      </c>
      <c r="HX7" s="62">
        <f t="shared" si="28"/>
        <v>0</v>
      </c>
      <c r="HY7" s="62">
        <f t="shared" si="28"/>
        <v>0</v>
      </c>
      <c r="HZ7" s="62">
        <f t="shared" si="28"/>
        <v>0</v>
      </c>
      <c r="IA7" s="62">
        <f t="shared" si="28"/>
        <v>0</v>
      </c>
      <c r="IB7" s="62">
        <f t="shared" si="28"/>
        <v>0</v>
      </c>
      <c r="IC7" s="62">
        <f t="shared" si="28"/>
        <v>0</v>
      </c>
      <c r="ID7" s="62">
        <f t="shared" si="28"/>
        <v>0</v>
      </c>
      <c r="IE7" s="62">
        <f t="shared" si="28"/>
        <v>0</v>
      </c>
      <c r="IF7" s="62">
        <f t="shared" si="28"/>
        <v>0</v>
      </c>
      <c r="IG7" s="62">
        <f t="shared" si="28"/>
        <v>0</v>
      </c>
      <c r="IH7" s="62">
        <f t="shared" si="28"/>
        <v>0</v>
      </c>
      <c r="II7" s="62">
        <f t="shared" si="28"/>
        <v>0</v>
      </c>
      <c r="IJ7" s="62">
        <f t="shared" si="28"/>
        <v>0</v>
      </c>
      <c r="IK7" s="62">
        <f t="shared" si="28"/>
        <v>0</v>
      </c>
      <c r="IL7" s="62">
        <f t="shared" si="28"/>
        <v>0</v>
      </c>
      <c r="IM7" s="62">
        <f t="shared" si="28"/>
        <v>0</v>
      </c>
      <c r="IN7" s="62">
        <f t="shared" si="28"/>
        <v>0</v>
      </c>
      <c r="IO7" s="62">
        <f t="shared" si="28"/>
        <v>0</v>
      </c>
      <c r="IP7" s="62">
        <f t="shared" si="28"/>
        <v>0</v>
      </c>
      <c r="IQ7" s="62">
        <f t="shared" si="28"/>
        <v>0</v>
      </c>
      <c r="IR7" s="62">
        <f t="shared" si="28"/>
        <v>0</v>
      </c>
      <c r="IS7" s="62">
        <f t="shared" si="28"/>
        <v>0</v>
      </c>
      <c r="IT7" s="62">
        <f t="shared" si="28"/>
        <v>0</v>
      </c>
      <c r="IU7" s="62">
        <f t="shared" si="28"/>
        <v>0</v>
      </c>
      <c r="IV7" s="62">
        <f t="shared" si="28"/>
        <v>0</v>
      </c>
      <c r="IW7" s="62">
        <f t="shared" si="28"/>
        <v>0</v>
      </c>
      <c r="IX7" s="62">
        <f t="shared" si="28"/>
        <v>0</v>
      </c>
      <c r="IY7" s="62">
        <f t="shared" si="28"/>
        <v>0</v>
      </c>
      <c r="IZ7" s="62">
        <f t="shared" ref="IZ7:JU7" si="29">IF(IZ6=0,0,1)</f>
        <v>0</v>
      </c>
      <c r="JA7" s="62">
        <f t="shared" si="29"/>
        <v>0</v>
      </c>
      <c r="JB7" s="62">
        <f t="shared" si="29"/>
        <v>0</v>
      </c>
      <c r="JC7" s="62">
        <f t="shared" si="29"/>
        <v>0</v>
      </c>
      <c r="JD7" s="62">
        <f t="shared" si="29"/>
        <v>0</v>
      </c>
      <c r="JE7" s="62">
        <f t="shared" si="29"/>
        <v>0</v>
      </c>
      <c r="JF7" s="62">
        <f t="shared" si="29"/>
        <v>0</v>
      </c>
      <c r="JG7" s="62">
        <f t="shared" si="29"/>
        <v>0</v>
      </c>
      <c r="JH7" s="62">
        <f t="shared" si="29"/>
        <v>0</v>
      </c>
      <c r="JI7" s="62">
        <f t="shared" si="29"/>
        <v>0</v>
      </c>
      <c r="JJ7" s="62">
        <f t="shared" si="29"/>
        <v>0</v>
      </c>
      <c r="JK7" s="62">
        <f t="shared" si="29"/>
        <v>0</v>
      </c>
      <c r="JL7" s="62">
        <f t="shared" si="29"/>
        <v>0</v>
      </c>
      <c r="JM7" s="62">
        <f t="shared" si="29"/>
        <v>0</v>
      </c>
      <c r="JN7" s="62">
        <f t="shared" si="29"/>
        <v>0</v>
      </c>
      <c r="JO7" s="62">
        <f t="shared" si="29"/>
        <v>0</v>
      </c>
      <c r="JP7" s="62">
        <f t="shared" si="29"/>
        <v>0</v>
      </c>
      <c r="JQ7" s="62">
        <f t="shared" si="29"/>
        <v>0</v>
      </c>
      <c r="JR7" s="62">
        <f t="shared" si="29"/>
        <v>0</v>
      </c>
      <c r="JS7" s="62">
        <f t="shared" si="29"/>
        <v>0</v>
      </c>
      <c r="JT7" s="62">
        <f t="shared" si="29"/>
        <v>0</v>
      </c>
      <c r="JU7" s="62">
        <f t="shared" si="29"/>
        <v>0</v>
      </c>
    </row>
    <row r="9" spans="1:310">
      <c r="A9" s="401" t="s">
        <v>246</v>
      </c>
      <c r="B9" s="401"/>
      <c r="C9" s="401"/>
      <c r="D9" s="62">
        <f t="shared" ref="D9:BO9" si="30">SUMIF($6:$6,D1,$7:$7)</f>
        <v>0</v>
      </c>
      <c r="E9" s="62">
        <f t="shared" si="30"/>
        <v>0</v>
      </c>
      <c r="F9" s="62">
        <f t="shared" si="30"/>
        <v>0</v>
      </c>
      <c r="G9" s="62">
        <f t="shared" si="30"/>
        <v>0</v>
      </c>
      <c r="H9" s="62">
        <f t="shared" si="30"/>
        <v>0</v>
      </c>
      <c r="I9" s="62">
        <f t="shared" si="30"/>
        <v>0</v>
      </c>
      <c r="J9" s="62">
        <f t="shared" si="30"/>
        <v>0</v>
      </c>
      <c r="K9" s="62">
        <f t="shared" si="30"/>
        <v>0</v>
      </c>
      <c r="L9" s="62">
        <f t="shared" si="30"/>
        <v>0</v>
      </c>
      <c r="M9" s="62">
        <f t="shared" si="30"/>
        <v>0</v>
      </c>
      <c r="N9" s="62">
        <f t="shared" si="30"/>
        <v>0</v>
      </c>
      <c r="O9" s="62">
        <f t="shared" si="30"/>
        <v>0</v>
      </c>
      <c r="P9" s="62">
        <f t="shared" si="30"/>
        <v>0</v>
      </c>
      <c r="Q9" s="62">
        <f t="shared" si="30"/>
        <v>0</v>
      </c>
      <c r="R9" s="62">
        <f t="shared" si="30"/>
        <v>0</v>
      </c>
      <c r="S9" s="62">
        <f t="shared" si="30"/>
        <v>0</v>
      </c>
      <c r="T9" s="62">
        <f t="shared" si="30"/>
        <v>0</v>
      </c>
      <c r="U9" s="62">
        <f t="shared" si="30"/>
        <v>0</v>
      </c>
      <c r="V9" s="62">
        <f t="shared" si="30"/>
        <v>0</v>
      </c>
      <c r="W9" s="62">
        <f t="shared" si="30"/>
        <v>0</v>
      </c>
      <c r="X9" s="62">
        <f t="shared" si="30"/>
        <v>0</v>
      </c>
      <c r="Y9" s="62">
        <f t="shared" si="30"/>
        <v>0</v>
      </c>
      <c r="Z9" s="62">
        <f t="shared" si="30"/>
        <v>0</v>
      </c>
      <c r="AA9" s="62">
        <f t="shared" si="30"/>
        <v>0</v>
      </c>
      <c r="AB9" s="62">
        <f t="shared" si="30"/>
        <v>1</v>
      </c>
      <c r="AC9" s="62">
        <f t="shared" si="30"/>
        <v>1</v>
      </c>
      <c r="AD9" s="62">
        <f t="shared" si="30"/>
        <v>1</v>
      </c>
      <c r="AE9" s="62">
        <f t="shared" si="30"/>
        <v>1</v>
      </c>
      <c r="AF9" s="62">
        <f t="shared" si="30"/>
        <v>1</v>
      </c>
      <c r="AG9" s="62">
        <f t="shared" si="30"/>
        <v>1</v>
      </c>
      <c r="AH9" s="62">
        <f t="shared" si="30"/>
        <v>1</v>
      </c>
      <c r="AI9" s="62">
        <f t="shared" si="30"/>
        <v>1</v>
      </c>
      <c r="AJ9" s="62">
        <f t="shared" si="30"/>
        <v>1</v>
      </c>
      <c r="AK9" s="62">
        <f t="shared" si="30"/>
        <v>1</v>
      </c>
      <c r="AL9" s="62">
        <f t="shared" si="30"/>
        <v>1</v>
      </c>
      <c r="AM9" s="62">
        <f t="shared" si="30"/>
        <v>1</v>
      </c>
      <c r="AN9" s="62">
        <f t="shared" si="30"/>
        <v>1</v>
      </c>
      <c r="AO9" s="62">
        <f t="shared" si="30"/>
        <v>1</v>
      </c>
      <c r="AP9" s="62">
        <f t="shared" si="30"/>
        <v>1</v>
      </c>
      <c r="AQ9" s="62">
        <f t="shared" si="30"/>
        <v>1</v>
      </c>
      <c r="AR9" s="62">
        <f t="shared" si="30"/>
        <v>1</v>
      </c>
      <c r="AS9" s="62">
        <f t="shared" si="30"/>
        <v>1</v>
      </c>
      <c r="AT9" s="62">
        <f t="shared" si="30"/>
        <v>1</v>
      </c>
      <c r="AU9" s="62">
        <f t="shared" si="30"/>
        <v>1</v>
      </c>
      <c r="AV9" s="62">
        <f t="shared" si="30"/>
        <v>1</v>
      </c>
      <c r="AW9" s="62">
        <f t="shared" si="30"/>
        <v>1</v>
      </c>
      <c r="AX9" s="62">
        <f t="shared" si="30"/>
        <v>1</v>
      </c>
      <c r="AY9" s="62">
        <f t="shared" si="30"/>
        <v>1</v>
      </c>
      <c r="AZ9" s="62">
        <f t="shared" si="30"/>
        <v>1</v>
      </c>
      <c r="BA9" s="62">
        <f t="shared" si="30"/>
        <v>1</v>
      </c>
      <c r="BB9" s="62">
        <f t="shared" si="30"/>
        <v>1</v>
      </c>
      <c r="BC9" s="62">
        <f t="shared" si="30"/>
        <v>1</v>
      </c>
      <c r="BD9" s="62">
        <f t="shared" si="30"/>
        <v>1</v>
      </c>
      <c r="BE9" s="62">
        <f t="shared" si="30"/>
        <v>1</v>
      </c>
      <c r="BF9" s="62">
        <f t="shared" si="30"/>
        <v>1</v>
      </c>
      <c r="BG9" s="62">
        <f t="shared" si="30"/>
        <v>1</v>
      </c>
      <c r="BH9" s="62">
        <f t="shared" si="30"/>
        <v>1</v>
      </c>
      <c r="BI9" s="62">
        <f t="shared" si="30"/>
        <v>1</v>
      </c>
      <c r="BJ9" s="62">
        <f t="shared" si="30"/>
        <v>1</v>
      </c>
      <c r="BK9" s="62">
        <f t="shared" si="30"/>
        <v>1</v>
      </c>
      <c r="BL9" s="62">
        <f t="shared" si="30"/>
        <v>1</v>
      </c>
      <c r="BM9" s="62">
        <f t="shared" si="30"/>
        <v>1</v>
      </c>
      <c r="BN9" s="62">
        <f t="shared" si="30"/>
        <v>1</v>
      </c>
      <c r="BO9" s="62">
        <f t="shared" si="30"/>
        <v>1</v>
      </c>
      <c r="BP9" s="62">
        <f t="shared" ref="BP9:EA9" si="31">SUMIF($6:$6,BP1,$7:$7)</f>
        <v>1</v>
      </c>
      <c r="BQ9" s="62">
        <f t="shared" si="31"/>
        <v>1</v>
      </c>
      <c r="BR9" s="62">
        <f t="shared" si="31"/>
        <v>1</v>
      </c>
      <c r="BS9" s="62">
        <f t="shared" si="31"/>
        <v>1</v>
      </c>
      <c r="BT9" s="62">
        <f t="shared" si="31"/>
        <v>1</v>
      </c>
      <c r="BU9" s="62">
        <f t="shared" si="31"/>
        <v>1</v>
      </c>
      <c r="BV9" s="62">
        <f t="shared" si="31"/>
        <v>1</v>
      </c>
      <c r="BW9" s="62">
        <f t="shared" si="31"/>
        <v>1</v>
      </c>
      <c r="BX9" s="62">
        <f t="shared" si="31"/>
        <v>1</v>
      </c>
      <c r="BY9" s="62">
        <f t="shared" si="31"/>
        <v>1</v>
      </c>
      <c r="BZ9" s="62">
        <f t="shared" si="31"/>
        <v>1</v>
      </c>
      <c r="CA9" s="62">
        <f t="shared" si="31"/>
        <v>1</v>
      </c>
      <c r="CB9" s="62">
        <f t="shared" si="31"/>
        <v>1</v>
      </c>
      <c r="CC9" s="62">
        <f t="shared" si="31"/>
        <v>1</v>
      </c>
      <c r="CD9" s="62">
        <f t="shared" si="31"/>
        <v>1</v>
      </c>
      <c r="CE9" s="62">
        <f t="shared" si="31"/>
        <v>1</v>
      </c>
      <c r="CF9" s="62">
        <f t="shared" si="31"/>
        <v>1</v>
      </c>
      <c r="CG9" s="62">
        <f t="shared" si="31"/>
        <v>1</v>
      </c>
      <c r="CH9" s="62">
        <f t="shared" si="31"/>
        <v>1</v>
      </c>
      <c r="CI9" s="62">
        <f t="shared" si="31"/>
        <v>1</v>
      </c>
      <c r="CJ9" s="62">
        <f t="shared" si="31"/>
        <v>1</v>
      </c>
      <c r="CK9" s="62">
        <f t="shared" si="31"/>
        <v>1</v>
      </c>
      <c r="CL9" s="62">
        <f t="shared" si="31"/>
        <v>1</v>
      </c>
      <c r="CM9" s="62">
        <f t="shared" si="31"/>
        <v>1</v>
      </c>
      <c r="CN9" s="62">
        <f t="shared" si="31"/>
        <v>1</v>
      </c>
      <c r="CO9" s="62">
        <f t="shared" si="31"/>
        <v>1</v>
      </c>
      <c r="CP9" s="62">
        <f t="shared" si="31"/>
        <v>1</v>
      </c>
      <c r="CQ9" s="62">
        <f t="shared" si="31"/>
        <v>1</v>
      </c>
      <c r="CR9" s="62">
        <f t="shared" si="31"/>
        <v>1</v>
      </c>
      <c r="CS9" s="62">
        <f t="shared" si="31"/>
        <v>1</v>
      </c>
      <c r="CT9" s="62">
        <f t="shared" si="31"/>
        <v>1</v>
      </c>
      <c r="CU9" s="62">
        <f t="shared" si="31"/>
        <v>1</v>
      </c>
      <c r="CV9" s="62">
        <f t="shared" si="31"/>
        <v>1</v>
      </c>
      <c r="CW9" s="62">
        <f t="shared" si="31"/>
        <v>1</v>
      </c>
      <c r="CX9" s="62">
        <f t="shared" si="31"/>
        <v>1</v>
      </c>
      <c r="CY9" s="62">
        <f t="shared" si="31"/>
        <v>1</v>
      </c>
      <c r="CZ9" s="62">
        <f t="shared" si="31"/>
        <v>1</v>
      </c>
      <c r="DA9" s="62">
        <f t="shared" si="31"/>
        <v>1</v>
      </c>
      <c r="DB9" s="62">
        <f t="shared" si="31"/>
        <v>1</v>
      </c>
      <c r="DC9" s="62">
        <f t="shared" si="31"/>
        <v>1</v>
      </c>
      <c r="DD9" s="62">
        <f t="shared" si="31"/>
        <v>1</v>
      </c>
      <c r="DE9" s="62">
        <f t="shared" si="31"/>
        <v>1</v>
      </c>
      <c r="DF9" s="62">
        <f t="shared" si="31"/>
        <v>1</v>
      </c>
      <c r="DG9" s="62">
        <f t="shared" si="31"/>
        <v>1</v>
      </c>
      <c r="DH9" s="62">
        <f t="shared" si="31"/>
        <v>1</v>
      </c>
      <c r="DI9" s="62">
        <f t="shared" si="31"/>
        <v>1</v>
      </c>
      <c r="DJ9" s="62">
        <f t="shared" si="31"/>
        <v>1</v>
      </c>
      <c r="DK9" s="62">
        <f t="shared" si="31"/>
        <v>1</v>
      </c>
      <c r="DL9" s="62">
        <f t="shared" si="31"/>
        <v>1</v>
      </c>
      <c r="DM9" s="62">
        <f t="shared" si="31"/>
        <v>1</v>
      </c>
      <c r="DN9" s="62">
        <f t="shared" si="31"/>
        <v>1</v>
      </c>
      <c r="DO9" s="62">
        <f t="shared" si="31"/>
        <v>1</v>
      </c>
      <c r="DP9" s="62">
        <f t="shared" si="31"/>
        <v>1</v>
      </c>
      <c r="DQ9" s="62">
        <f t="shared" si="31"/>
        <v>1</v>
      </c>
      <c r="DR9" s="62">
        <f t="shared" si="31"/>
        <v>1</v>
      </c>
      <c r="DS9" s="62">
        <f t="shared" si="31"/>
        <v>1</v>
      </c>
      <c r="DT9" s="62">
        <f t="shared" si="31"/>
        <v>1</v>
      </c>
      <c r="DU9" s="62">
        <f t="shared" si="31"/>
        <v>1</v>
      </c>
      <c r="DV9" s="62">
        <f t="shared" si="31"/>
        <v>1</v>
      </c>
      <c r="DW9" s="62">
        <f t="shared" si="31"/>
        <v>1</v>
      </c>
      <c r="DX9" s="62">
        <f t="shared" si="31"/>
        <v>1</v>
      </c>
      <c r="DY9" s="62">
        <f t="shared" si="31"/>
        <v>1</v>
      </c>
      <c r="DZ9" s="62">
        <f t="shared" si="31"/>
        <v>1</v>
      </c>
      <c r="EA9" s="62">
        <f t="shared" si="31"/>
        <v>1</v>
      </c>
      <c r="EB9" s="62">
        <f t="shared" ref="EB9:GM9" si="32">SUMIF($6:$6,EB1,$7:$7)</f>
        <v>1</v>
      </c>
      <c r="EC9" s="62">
        <f t="shared" si="32"/>
        <v>1</v>
      </c>
      <c r="ED9" s="62">
        <f t="shared" si="32"/>
        <v>1</v>
      </c>
      <c r="EE9" s="62">
        <f t="shared" si="32"/>
        <v>1</v>
      </c>
      <c r="EF9" s="62">
        <f t="shared" si="32"/>
        <v>1</v>
      </c>
      <c r="EG9" s="62">
        <f t="shared" si="32"/>
        <v>1</v>
      </c>
      <c r="EH9" s="62">
        <f t="shared" si="32"/>
        <v>1</v>
      </c>
      <c r="EI9" s="62">
        <f t="shared" si="32"/>
        <v>1</v>
      </c>
      <c r="EJ9" s="62">
        <f t="shared" si="32"/>
        <v>1</v>
      </c>
      <c r="EK9" s="62">
        <f t="shared" si="32"/>
        <v>1</v>
      </c>
      <c r="EL9" s="62">
        <f t="shared" si="32"/>
        <v>1</v>
      </c>
      <c r="EM9" s="62">
        <f t="shared" si="32"/>
        <v>1</v>
      </c>
      <c r="EN9" s="62">
        <f t="shared" si="32"/>
        <v>1</v>
      </c>
      <c r="EO9" s="62">
        <f t="shared" si="32"/>
        <v>1</v>
      </c>
      <c r="EP9" s="62">
        <f t="shared" si="32"/>
        <v>1</v>
      </c>
      <c r="EQ9" s="62">
        <f t="shared" si="32"/>
        <v>1</v>
      </c>
      <c r="ER9" s="62">
        <f t="shared" si="32"/>
        <v>1</v>
      </c>
      <c r="ES9" s="62">
        <f t="shared" si="32"/>
        <v>1</v>
      </c>
      <c r="ET9" s="62">
        <f t="shared" si="32"/>
        <v>1</v>
      </c>
      <c r="EU9" s="62">
        <f t="shared" si="32"/>
        <v>1</v>
      </c>
      <c r="EV9" s="62">
        <f t="shared" si="32"/>
        <v>1</v>
      </c>
      <c r="EW9" s="62">
        <f t="shared" si="32"/>
        <v>1</v>
      </c>
      <c r="EX9" s="62">
        <f t="shared" si="32"/>
        <v>1</v>
      </c>
      <c r="EY9" s="62">
        <f t="shared" si="32"/>
        <v>1</v>
      </c>
      <c r="EZ9" s="62">
        <f t="shared" si="32"/>
        <v>1</v>
      </c>
      <c r="FA9" s="62">
        <f t="shared" si="32"/>
        <v>1</v>
      </c>
      <c r="FB9" s="62">
        <f t="shared" si="32"/>
        <v>1</v>
      </c>
      <c r="FC9" s="62">
        <f t="shared" si="32"/>
        <v>1</v>
      </c>
      <c r="FD9" s="62">
        <f t="shared" si="32"/>
        <v>1</v>
      </c>
      <c r="FE9" s="62">
        <f t="shared" si="32"/>
        <v>1</v>
      </c>
      <c r="FF9" s="62">
        <f t="shared" si="32"/>
        <v>1</v>
      </c>
      <c r="FG9" s="62">
        <f t="shared" si="32"/>
        <v>1</v>
      </c>
      <c r="FH9" s="62">
        <f t="shared" si="32"/>
        <v>1</v>
      </c>
      <c r="FI9" s="62">
        <f t="shared" si="32"/>
        <v>1</v>
      </c>
      <c r="FJ9" s="62">
        <f t="shared" si="32"/>
        <v>1</v>
      </c>
      <c r="FK9" s="62">
        <f t="shared" si="32"/>
        <v>1</v>
      </c>
      <c r="FL9" s="62">
        <f t="shared" si="32"/>
        <v>1</v>
      </c>
      <c r="FM9" s="62">
        <f t="shared" si="32"/>
        <v>1</v>
      </c>
      <c r="FN9" s="62">
        <f t="shared" si="32"/>
        <v>1</v>
      </c>
      <c r="FO9" s="62">
        <f t="shared" si="32"/>
        <v>1</v>
      </c>
      <c r="FP9" s="62">
        <f t="shared" si="32"/>
        <v>1</v>
      </c>
      <c r="FQ9" s="62">
        <f t="shared" si="32"/>
        <v>1</v>
      </c>
      <c r="FR9" s="62">
        <f t="shared" si="32"/>
        <v>1</v>
      </c>
      <c r="FS9" s="62">
        <f t="shared" si="32"/>
        <v>1</v>
      </c>
      <c r="FT9" s="62">
        <f t="shared" si="32"/>
        <v>1</v>
      </c>
      <c r="FU9" s="62">
        <f t="shared" si="32"/>
        <v>1</v>
      </c>
      <c r="FV9" s="62">
        <f t="shared" si="32"/>
        <v>1</v>
      </c>
      <c r="FW9" s="62">
        <f t="shared" si="32"/>
        <v>1</v>
      </c>
      <c r="FX9" s="62">
        <f t="shared" si="32"/>
        <v>1</v>
      </c>
      <c r="FY9" s="62">
        <f t="shared" si="32"/>
        <v>1</v>
      </c>
      <c r="FZ9" s="62">
        <f t="shared" si="32"/>
        <v>1</v>
      </c>
      <c r="GA9" s="62">
        <f t="shared" si="32"/>
        <v>1</v>
      </c>
      <c r="GB9" s="62">
        <f t="shared" si="32"/>
        <v>1</v>
      </c>
      <c r="GC9" s="62">
        <f t="shared" si="32"/>
        <v>1</v>
      </c>
      <c r="GD9" s="62">
        <f t="shared" si="32"/>
        <v>1</v>
      </c>
      <c r="GE9" s="62">
        <f t="shared" si="32"/>
        <v>1</v>
      </c>
      <c r="GF9" s="62">
        <f t="shared" si="32"/>
        <v>1</v>
      </c>
      <c r="GG9" s="62">
        <f t="shared" si="32"/>
        <v>1</v>
      </c>
      <c r="GH9" s="62">
        <f t="shared" si="32"/>
        <v>1</v>
      </c>
      <c r="GI9" s="62">
        <f t="shared" si="32"/>
        <v>1</v>
      </c>
      <c r="GJ9" s="62">
        <f t="shared" si="32"/>
        <v>1</v>
      </c>
      <c r="GK9" s="62">
        <f t="shared" si="32"/>
        <v>1</v>
      </c>
      <c r="GL9" s="62">
        <f t="shared" si="32"/>
        <v>1</v>
      </c>
      <c r="GM9" s="62">
        <f t="shared" si="32"/>
        <v>1</v>
      </c>
      <c r="GN9" s="62">
        <f t="shared" ref="GN9:IY9" si="33">SUMIF($6:$6,GN1,$7:$7)</f>
        <v>1</v>
      </c>
      <c r="GO9" s="62">
        <f t="shared" si="33"/>
        <v>1</v>
      </c>
      <c r="GP9" s="62">
        <f t="shared" si="33"/>
        <v>1</v>
      </c>
      <c r="GQ9" s="62">
        <f t="shared" si="33"/>
        <v>1</v>
      </c>
      <c r="GR9" s="62">
        <f t="shared" si="33"/>
        <v>1</v>
      </c>
      <c r="GS9" s="62">
        <f t="shared" si="33"/>
        <v>1</v>
      </c>
      <c r="GT9" s="62">
        <f t="shared" si="33"/>
        <v>1</v>
      </c>
      <c r="GU9" s="62">
        <f t="shared" si="33"/>
        <v>1</v>
      </c>
      <c r="GV9" s="62">
        <f t="shared" si="33"/>
        <v>1</v>
      </c>
      <c r="GW9" s="62">
        <f t="shared" si="33"/>
        <v>1</v>
      </c>
      <c r="GX9" s="62">
        <f t="shared" si="33"/>
        <v>1</v>
      </c>
      <c r="GY9" s="62">
        <f t="shared" si="33"/>
        <v>1</v>
      </c>
      <c r="GZ9" s="62">
        <f t="shared" si="33"/>
        <v>1</v>
      </c>
      <c r="HA9" s="62">
        <f t="shared" si="33"/>
        <v>1</v>
      </c>
      <c r="HB9" s="62">
        <f t="shared" si="33"/>
        <v>1</v>
      </c>
      <c r="HC9" s="62">
        <f t="shared" si="33"/>
        <v>1</v>
      </c>
      <c r="HD9" s="62">
        <f t="shared" si="33"/>
        <v>1</v>
      </c>
      <c r="HE9" s="62">
        <f t="shared" si="33"/>
        <v>1</v>
      </c>
      <c r="HF9" s="62">
        <f t="shared" si="33"/>
        <v>1</v>
      </c>
      <c r="HG9" s="62">
        <f t="shared" si="33"/>
        <v>1</v>
      </c>
      <c r="HH9" s="62">
        <f t="shared" si="33"/>
        <v>1</v>
      </c>
      <c r="HI9" s="62">
        <f t="shared" si="33"/>
        <v>1</v>
      </c>
      <c r="HJ9" s="62">
        <f t="shared" si="33"/>
        <v>1</v>
      </c>
      <c r="HK9" s="62">
        <f t="shared" si="33"/>
        <v>1</v>
      </c>
      <c r="HL9" s="62">
        <f t="shared" si="33"/>
        <v>1</v>
      </c>
      <c r="HM9" s="62">
        <f t="shared" si="33"/>
        <v>1</v>
      </c>
      <c r="HN9" s="62">
        <f t="shared" si="33"/>
        <v>1</v>
      </c>
      <c r="HO9" s="62">
        <f t="shared" si="33"/>
        <v>1</v>
      </c>
      <c r="HP9" s="62">
        <f t="shared" si="33"/>
        <v>1</v>
      </c>
      <c r="HQ9" s="62">
        <f t="shared" si="33"/>
        <v>1</v>
      </c>
      <c r="HR9" s="62">
        <f t="shared" si="33"/>
        <v>1</v>
      </c>
      <c r="HS9" s="62">
        <f t="shared" si="33"/>
        <v>1</v>
      </c>
      <c r="HT9" s="62">
        <f t="shared" si="33"/>
        <v>1</v>
      </c>
      <c r="HU9" s="62">
        <f t="shared" si="33"/>
        <v>1</v>
      </c>
      <c r="HV9" s="62">
        <f t="shared" si="33"/>
        <v>1</v>
      </c>
      <c r="HW9" s="62">
        <f t="shared" si="33"/>
        <v>1</v>
      </c>
      <c r="HX9" s="62">
        <f t="shared" si="33"/>
        <v>1</v>
      </c>
      <c r="HY9" s="62">
        <f t="shared" si="33"/>
        <v>1</v>
      </c>
      <c r="HZ9" s="62">
        <f t="shared" si="33"/>
        <v>1</v>
      </c>
      <c r="IA9" s="62">
        <f t="shared" si="33"/>
        <v>1</v>
      </c>
      <c r="IB9" s="62">
        <f t="shared" si="33"/>
        <v>1</v>
      </c>
      <c r="IC9" s="62">
        <f t="shared" si="33"/>
        <v>1</v>
      </c>
      <c r="ID9" s="62">
        <f t="shared" si="33"/>
        <v>1</v>
      </c>
      <c r="IE9" s="62">
        <f t="shared" si="33"/>
        <v>1</v>
      </c>
      <c r="IF9" s="62">
        <f t="shared" si="33"/>
        <v>1</v>
      </c>
      <c r="IG9" s="62">
        <f t="shared" si="33"/>
        <v>1</v>
      </c>
      <c r="IH9" s="62">
        <f t="shared" si="33"/>
        <v>1</v>
      </c>
      <c r="II9" s="62">
        <f t="shared" si="33"/>
        <v>1</v>
      </c>
      <c r="IJ9" s="62">
        <f t="shared" si="33"/>
        <v>0</v>
      </c>
      <c r="IK9" s="62">
        <f t="shared" si="33"/>
        <v>0</v>
      </c>
      <c r="IL9" s="62">
        <f t="shared" si="33"/>
        <v>0</v>
      </c>
      <c r="IM9" s="62">
        <f t="shared" si="33"/>
        <v>0</v>
      </c>
      <c r="IN9" s="62">
        <f t="shared" si="33"/>
        <v>0</v>
      </c>
      <c r="IO9" s="62">
        <f t="shared" si="33"/>
        <v>0</v>
      </c>
      <c r="IP9" s="62">
        <f t="shared" si="33"/>
        <v>0</v>
      </c>
      <c r="IQ9" s="62">
        <f t="shared" si="33"/>
        <v>0</v>
      </c>
      <c r="IR9" s="62">
        <f t="shared" si="33"/>
        <v>0</v>
      </c>
      <c r="IS9" s="62">
        <f t="shared" si="33"/>
        <v>0</v>
      </c>
      <c r="IT9" s="62">
        <f t="shared" si="33"/>
        <v>0</v>
      </c>
      <c r="IU9" s="62">
        <f t="shared" si="33"/>
        <v>0</v>
      </c>
      <c r="IV9" s="62">
        <f t="shared" si="33"/>
        <v>0</v>
      </c>
      <c r="IW9" s="62">
        <f t="shared" si="33"/>
        <v>0</v>
      </c>
      <c r="IX9" s="62">
        <f t="shared" si="33"/>
        <v>0</v>
      </c>
      <c r="IY9" s="62">
        <f t="shared" si="33"/>
        <v>0</v>
      </c>
      <c r="IZ9" s="62">
        <f t="shared" ref="IZ9:JU9" si="34">SUMIF($6:$6,IZ1,$7:$7)</f>
        <v>0</v>
      </c>
      <c r="JA9" s="62">
        <f t="shared" si="34"/>
        <v>0</v>
      </c>
      <c r="JB9" s="62">
        <f t="shared" si="34"/>
        <v>0</v>
      </c>
      <c r="JC9" s="62">
        <f t="shared" si="34"/>
        <v>0</v>
      </c>
      <c r="JD9" s="62">
        <f t="shared" si="34"/>
        <v>0</v>
      </c>
      <c r="JE9" s="62">
        <f t="shared" si="34"/>
        <v>0</v>
      </c>
      <c r="JF9" s="62">
        <f t="shared" si="34"/>
        <v>0</v>
      </c>
      <c r="JG9" s="62">
        <f t="shared" si="34"/>
        <v>0</v>
      </c>
      <c r="JH9" s="62">
        <f t="shared" si="34"/>
        <v>0</v>
      </c>
      <c r="JI9" s="62">
        <f t="shared" si="34"/>
        <v>0</v>
      </c>
      <c r="JJ9" s="62">
        <f t="shared" si="34"/>
        <v>0</v>
      </c>
      <c r="JK9" s="62">
        <f t="shared" si="34"/>
        <v>0</v>
      </c>
      <c r="JL9" s="62">
        <f t="shared" si="34"/>
        <v>0</v>
      </c>
      <c r="JM9" s="62">
        <f t="shared" si="34"/>
        <v>0</v>
      </c>
      <c r="JN9" s="62">
        <f t="shared" si="34"/>
        <v>0</v>
      </c>
      <c r="JO9" s="62">
        <f t="shared" si="34"/>
        <v>0</v>
      </c>
      <c r="JP9" s="62">
        <f t="shared" si="34"/>
        <v>0</v>
      </c>
      <c r="JQ9" s="62">
        <f t="shared" si="34"/>
        <v>0</v>
      </c>
      <c r="JR9" s="62">
        <f t="shared" si="34"/>
        <v>0</v>
      </c>
      <c r="JS9" s="62">
        <f t="shared" si="34"/>
        <v>0</v>
      </c>
      <c r="JT9" s="62">
        <f t="shared" si="34"/>
        <v>0</v>
      </c>
      <c r="JU9" s="62">
        <f t="shared" si="34"/>
        <v>0</v>
      </c>
    </row>
    <row r="10" spans="1:310">
      <c r="A10" s="372" t="s">
        <v>247</v>
      </c>
      <c r="B10" s="372"/>
      <c r="C10" s="372"/>
      <c r="D10" s="372">
        <f t="shared" ref="D10:BO10" si="35">IF(D9=1,SUMIF($42:$42,D3,$43:$43)/SUMIF($42:$42,D3,$44:$44),0)</f>
        <v>0</v>
      </c>
      <c r="E10" s="372">
        <f t="shared" si="35"/>
        <v>0</v>
      </c>
      <c r="F10" s="372">
        <f t="shared" si="35"/>
        <v>0</v>
      </c>
      <c r="G10" s="372">
        <f t="shared" si="35"/>
        <v>0</v>
      </c>
      <c r="H10" s="372">
        <f t="shared" si="35"/>
        <v>0</v>
      </c>
      <c r="I10" s="372">
        <f t="shared" si="35"/>
        <v>0</v>
      </c>
      <c r="J10" s="372">
        <f t="shared" si="35"/>
        <v>0</v>
      </c>
      <c r="K10" s="372">
        <f t="shared" si="35"/>
        <v>0</v>
      </c>
      <c r="L10" s="372">
        <f t="shared" si="35"/>
        <v>0</v>
      </c>
      <c r="M10" s="372">
        <f t="shared" si="35"/>
        <v>0</v>
      </c>
      <c r="N10" s="372">
        <f t="shared" si="35"/>
        <v>0</v>
      </c>
      <c r="O10" s="372">
        <f t="shared" si="35"/>
        <v>0</v>
      </c>
      <c r="P10" s="372">
        <f t="shared" si="35"/>
        <v>0</v>
      </c>
      <c r="Q10" s="372">
        <f t="shared" si="35"/>
        <v>0</v>
      </c>
      <c r="R10" s="372">
        <f t="shared" si="35"/>
        <v>0</v>
      </c>
      <c r="S10" s="372">
        <f t="shared" si="35"/>
        <v>0</v>
      </c>
      <c r="T10" s="372">
        <f t="shared" si="35"/>
        <v>0</v>
      </c>
      <c r="U10" s="372">
        <f t="shared" si="35"/>
        <v>0</v>
      </c>
      <c r="V10" s="372">
        <f t="shared" si="35"/>
        <v>0</v>
      </c>
      <c r="W10" s="372">
        <f t="shared" si="35"/>
        <v>0</v>
      </c>
      <c r="X10" s="372">
        <f t="shared" si="35"/>
        <v>0</v>
      </c>
      <c r="Y10" s="372">
        <f t="shared" si="35"/>
        <v>0</v>
      </c>
      <c r="Z10" s="372">
        <f t="shared" si="35"/>
        <v>0</v>
      </c>
      <c r="AA10" s="372">
        <f t="shared" si="35"/>
        <v>0</v>
      </c>
      <c r="AB10" s="372">
        <f t="shared" si="35"/>
        <v>3.3333333333333335E-3</v>
      </c>
      <c r="AC10" s="372">
        <f t="shared" si="35"/>
        <v>3.3333333333333335E-3</v>
      </c>
      <c r="AD10" s="372">
        <f t="shared" si="35"/>
        <v>3.3333333333333335E-3</v>
      </c>
      <c r="AE10" s="372">
        <f t="shared" si="35"/>
        <v>3.3333333333333335E-3</v>
      </c>
      <c r="AF10" s="372">
        <f t="shared" si="35"/>
        <v>3.3333333333333335E-3</v>
      </c>
      <c r="AG10" s="372">
        <f t="shared" si="35"/>
        <v>3.3333333333333335E-3</v>
      </c>
      <c r="AH10" s="372">
        <f t="shared" si="35"/>
        <v>3.3333333333333335E-3</v>
      </c>
      <c r="AI10" s="372">
        <f t="shared" si="35"/>
        <v>3.3333333333333335E-3</v>
      </c>
      <c r="AJ10" s="372">
        <f t="shared" si="35"/>
        <v>3.3333333333333335E-3</v>
      </c>
      <c r="AK10" s="372">
        <f t="shared" si="35"/>
        <v>3.3333333333333335E-3</v>
      </c>
      <c r="AL10" s="372">
        <f t="shared" si="35"/>
        <v>3.3333333333333335E-3</v>
      </c>
      <c r="AM10" s="372">
        <f t="shared" si="35"/>
        <v>3.3333333333333335E-3</v>
      </c>
      <c r="AN10" s="372">
        <f t="shared" si="35"/>
        <v>2.7083333333333334E-3</v>
      </c>
      <c r="AO10" s="372">
        <f t="shared" si="35"/>
        <v>2.7083333333333334E-3</v>
      </c>
      <c r="AP10" s="372">
        <f t="shared" si="35"/>
        <v>2.7083333333333334E-3</v>
      </c>
      <c r="AQ10" s="372">
        <f t="shared" si="35"/>
        <v>2.7083333333333334E-3</v>
      </c>
      <c r="AR10" s="372">
        <f t="shared" si="35"/>
        <v>2.7083333333333334E-3</v>
      </c>
      <c r="AS10" s="372">
        <f t="shared" si="35"/>
        <v>2.7083333333333334E-3</v>
      </c>
      <c r="AT10" s="372">
        <f t="shared" si="35"/>
        <v>2.7083333333333334E-3</v>
      </c>
      <c r="AU10" s="372">
        <f t="shared" si="35"/>
        <v>2.7083333333333334E-3</v>
      </c>
      <c r="AV10" s="372">
        <f t="shared" si="35"/>
        <v>2.7083333333333334E-3</v>
      </c>
      <c r="AW10" s="372">
        <f t="shared" si="35"/>
        <v>2.7083333333333334E-3</v>
      </c>
      <c r="AX10" s="372">
        <f t="shared" si="35"/>
        <v>2.7083333333333334E-3</v>
      </c>
      <c r="AY10" s="372">
        <f t="shared" si="35"/>
        <v>2.7083333333333334E-3</v>
      </c>
      <c r="AZ10" s="372">
        <f t="shared" si="35"/>
        <v>4.5833333333333334E-3</v>
      </c>
      <c r="BA10" s="372">
        <f t="shared" si="35"/>
        <v>4.5833333333333334E-3</v>
      </c>
      <c r="BB10" s="372">
        <f t="shared" si="35"/>
        <v>4.5833333333333334E-3</v>
      </c>
      <c r="BC10" s="372">
        <f t="shared" si="35"/>
        <v>4.5833333333333334E-3</v>
      </c>
      <c r="BD10" s="372">
        <f t="shared" si="35"/>
        <v>4.5833333333333334E-3</v>
      </c>
      <c r="BE10" s="372">
        <f t="shared" si="35"/>
        <v>4.5833333333333334E-3</v>
      </c>
      <c r="BF10" s="372">
        <f t="shared" si="35"/>
        <v>4.5833333333333334E-3</v>
      </c>
      <c r="BG10" s="372">
        <f t="shared" si="35"/>
        <v>4.5833333333333334E-3</v>
      </c>
      <c r="BH10" s="372">
        <f t="shared" si="35"/>
        <v>4.5833333333333334E-3</v>
      </c>
      <c r="BI10" s="372">
        <f t="shared" si="35"/>
        <v>4.5833333333333334E-3</v>
      </c>
      <c r="BJ10" s="372">
        <f t="shared" si="35"/>
        <v>4.5833333333333334E-3</v>
      </c>
      <c r="BK10" s="372">
        <f t="shared" si="35"/>
        <v>4.5833333333333334E-3</v>
      </c>
      <c r="BL10" s="372">
        <f t="shared" si="35"/>
        <v>4.5833333333333334E-3</v>
      </c>
      <c r="BM10" s="372">
        <f t="shared" si="35"/>
        <v>4.5833333333333334E-3</v>
      </c>
      <c r="BN10" s="372">
        <f t="shared" si="35"/>
        <v>4.5833333333333334E-3</v>
      </c>
      <c r="BO10" s="372">
        <f t="shared" si="35"/>
        <v>4.5833333333333334E-3</v>
      </c>
      <c r="BP10" s="372">
        <f t="shared" ref="BP10:EA10" si="36">IF(BP9=1,SUMIF($42:$42,BP3,$43:$43)/SUMIF($42:$42,BP3,$44:$44),0)</f>
        <v>4.5833333333333334E-3</v>
      </c>
      <c r="BQ10" s="372">
        <f t="shared" si="36"/>
        <v>4.5833333333333334E-3</v>
      </c>
      <c r="BR10" s="372">
        <f t="shared" si="36"/>
        <v>4.5833333333333334E-3</v>
      </c>
      <c r="BS10" s="372">
        <f t="shared" si="36"/>
        <v>4.5833333333333334E-3</v>
      </c>
      <c r="BT10" s="372">
        <f t="shared" si="36"/>
        <v>4.5833333333333334E-3</v>
      </c>
      <c r="BU10" s="372">
        <f t="shared" si="36"/>
        <v>4.5833333333333334E-3</v>
      </c>
      <c r="BV10" s="372">
        <f t="shared" si="36"/>
        <v>4.5833333333333334E-3</v>
      </c>
      <c r="BW10" s="372">
        <f t="shared" si="36"/>
        <v>4.5833333333333334E-3</v>
      </c>
      <c r="BX10" s="372">
        <f t="shared" si="36"/>
        <v>4.5833333333333334E-3</v>
      </c>
      <c r="BY10" s="372">
        <f t="shared" si="36"/>
        <v>4.5833333333333334E-3</v>
      </c>
      <c r="BZ10" s="372">
        <f t="shared" si="36"/>
        <v>4.5833333333333334E-3</v>
      </c>
      <c r="CA10" s="372">
        <f t="shared" si="36"/>
        <v>4.5833333333333334E-3</v>
      </c>
      <c r="CB10" s="372">
        <f t="shared" si="36"/>
        <v>4.5833333333333334E-3</v>
      </c>
      <c r="CC10" s="372">
        <f t="shared" si="36"/>
        <v>4.5833333333333334E-3</v>
      </c>
      <c r="CD10" s="372">
        <f t="shared" si="36"/>
        <v>4.5833333333333334E-3</v>
      </c>
      <c r="CE10" s="372">
        <f t="shared" si="36"/>
        <v>4.5833333333333334E-3</v>
      </c>
      <c r="CF10" s="372">
        <f t="shared" si="36"/>
        <v>4.5833333333333334E-3</v>
      </c>
      <c r="CG10" s="372">
        <f t="shared" si="36"/>
        <v>4.5833333333333334E-3</v>
      </c>
      <c r="CH10" s="372">
        <f t="shared" si="36"/>
        <v>4.5833333333333334E-3</v>
      </c>
      <c r="CI10" s="372">
        <f t="shared" si="36"/>
        <v>4.5833333333333334E-3</v>
      </c>
      <c r="CJ10" s="372">
        <f t="shared" si="36"/>
        <v>4.5833333333333334E-3</v>
      </c>
      <c r="CK10" s="372">
        <f t="shared" si="36"/>
        <v>4.5833333333333334E-3</v>
      </c>
      <c r="CL10" s="372">
        <f t="shared" si="36"/>
        <v>4.5833333333333334E-3</v>
      </c>
      <c r="CM10" s="372">
        <f t="shared" si="36"/>
        <v>4.5833333333333334E-3</v>
      </c>
      <c r="CN10" s="372">
        <f t="shared" si="36"/>
        <v>4.5833333333333334E-3</v>
      </c>
      <c r="CO10" s="372">
        <f t="shared" si="36"/>
        <v>4.5833333333333334E-3</v>
      </c>
      <c r="CP10" s="372">
        <f t="shared" si="36"/>
        <v>4.5833333333333334E-3</v>
      </c>
      <c r="CQ10" s="372">
        <f t="shared" si="36"/>
        <v>4.5833333333333334E-3</v>
      </c>
      <c r="CR10" s="372">
        <f t="shared" si="36"/>
        <v>4.5833333333333334E-3</v>
      </c>
      <c r="CS10" s="372">
        <f t="shared" si="36"/>
        <v>4.5833333333333334E-3</v>
      </c>
      <c r="CT10" s="372">
        <f t="shared" si="36"/>
        <v>4.5833333333333334E-3</v>
      </c>
      <c r="CU10" s="372">
        <f t="shared" si="36"/>
        <v>4.5833333333333334E-3</v>
      </c>
      <c r="CV10" s="372">
        <f t="shared" si="36"/>
        <v>4.5833333333333334E-3</v>
      </c>
      <c r="CW10" s="372">
        <f t="shared" si="36"/>
        <v>4.5833333333333334E-3</v>
      </c>
      <c r="CX10" s="372">
        <f t="shared" si="36"/>
        <v>4.5833333333333334E-3</v>
      </c>
      <c r="CY10" s="372">
        <f t="shared" si="36"/>
        <v>4.5833333333333334E-3</v>
      </c>
      <c r="CZ10" s="372">
        <f t="shared" si="36"/>
        <v>4.5833333333333334E-3</v>
      </c>
      <c r="DA10" s="372">
        <f t="shared" si="36"/>
        <v>4.5833333333333334E-3</v>
      </c>
      <c r="DB10" s="372">
        <f t="shared" si="36"/>
        <v>4.5833333333333334E-3</v>
      </c>
      <c r="DC10" s="372">
        <f t="shared" si="36"/>
        <v>4.5833333333333334E-3</v>
      </c>
      <c r="DD10" s="372">
        <f t="shared" si="36"/>
        <v>4.5833333333333334E-3</v>
      </c>
      <c r="DE10" s="372">
        <f t="shared" si="36"/>
        <v>4.5833333333333334E-3</v>
      </c>
      <c r="DF10" s="372">
        <f t="shared" si="36"/>
        <v>4.5833333333333334E-3</v>
      </c>
      <c r="DG10" s="372">
        <f t="shared" si="36"/>
        <v>4.5833333333333334E-3</v>
      </c>
      <c r="DH10" s="372">
        <f t="shared" si="36"/>
        <v>4.5833333333333334E-3</v>
      </c>
      <c r="DI10" s="372">
        <f t="shared" si="36"/>
        <v>4.5833333333333334E-3</v>
      </c>
      <c r="DJ10" s="372">
        <f t="shared" si="36"/>
        <v>4.5833333333333334E-3</v>
      </c>
      <c r="DK10" s="372">
        <f t="shared" si="36"/>
        <v>4.5833333333333334E-3</v>
      </c>
      <c r="DL10" s="372">
        <f t="shared" si="36"/>
        <v>4.5833333333333334E-3</v>
      </c>
      <c r="DM10" s="372">
        <f t="shared" si="36"/>
        <v>4.5833333333333334E-3</v>
      </c>
      <c r="DN10" s="372">
        <f t="shared" si="36"/>
        <v>4.5833333333333334E-3</v>
      </c>
      <c r="DO10" s="372">
        <f t="shared" si="36"/>
        <v>4.5833333333333334E-3</v>
      </c>
      <c r="DP10" s="372">
        <f t="shared" si="36"/>
        <v>4.5833333333333334E-3</v>
      </c>
      <c r="DQ10" s="372">
        <f t="shared" si="36"/>
        <v>4.5833333333333334E-3</v>
      </c>
      <c r="DR10" s="372">
        <f t="shared" si="36"/>
        <v>4.5833333333333334E-3</v>
      </c>
      <c r="DS10" s="372">
        <f t="shared" si="36"/>
        <v>4.5833333333333334E-3</v>
      </c>
      <c r="DT10" s="372">
        <f t="shared" si="36"/>
        <v>4.5833333333333334E-3</v>
      </c>
      <c r="DU10" s="372">
        <f t="shared" si="36"/>
        <v>4.5833333333333334E-3</v>
      </c>
      <c r="DV10" s="372">
        <f t="shared" si="36"/>
        <v>4.5833333333333334E-3</v>
      </c>
      <c r="DW10" s="372">
        <f t="shared" si="36"/>
        <v>4.5833333333333334E-3</v>
      </c>
      <c r="DX10" s="372">
        <f t="shared" si="36"/>
        <v>4.5833333333333334E-3</v>
      </c>
      <c r="DY10" s="372">
        <f t="shared" si="36"/>
        <v>4.5833333333333334E-3</v>
      </c>
      <c r="DZ10" s="372">
        <f t="shared" si="36"/>
        <v>4.5833333333333334E-3</v>
      </c>
      <c r="EA10" s="372">
        <f t="shared" si="36"/>
        <v>4.5833333333333334E-3</v>
      </c>
      <c r="EB10" s="372">
        <f t="shared" ref="EB10:GM10" si="37">IF(EB9=1,SUMIF($42:$42,EB3,$43:$43)/SUMIF($42:$42,EB3,$44:$44),0)</f>
        <v>4.5833333333333334E-3</v>
      </c>
      <c r="EC10" s="372">
        <f t="shared" si="37"/>
        <v>4.5833333333333334E-3</v>
      </c>
      <c r="ED10" s="372">
        <f t="shared" si="37"/>
        <v>4.5833333333333334E-3</v>
      </c>
      <c r="EE10" s="372">
        <f t="shared" si="37"/>
        <v>4.5833333333333334E-3</v>
      </c>
      <c r="EF10" s="372">
        <f t="shared" si="37"/>
        <v>4.5833333333333334E-3</v>
      </c>
      <c r="EG10" s="372">
        <f t="shared" si="37"/>
        <v>4.5833333333333334E-3</v>
      </c>
      <c r="EH10" s="372">
        <f t="shared" si="37"/>
        <v>4.5833333333333334E-3</v>
      </c>
      <c r="EI10" s="372">
        <f t="shared" si="37"/>
        <v>4.5833333333333334E-3</v>
      </c>
      <c r="EJ10" s="372">
        <f t="shared" si="37"/>
        <v>4.5833333333333334E-3</v>
      </c>
      <c r="EK10" s="372">
        <f t="shared" si="37"/>
        <v>4.5833333333333334E-3</v>
      </c>
      <c r="EL10" s="372">
        <f t="shared" si="37"/>
        <v>4.5833333333333334E-3</v>
      </c>
      <c r="EM10" s="372">
        <f t="shared" si="37"/>
        <v>4.5833333333333334E-3</v>
      </c>
      <c r="EN10" s="372">
        <f t="shared" si="37"/>
        <v>4.5833333333333334E-3</v>
      </c>
      <c r="EO10" s="372">
        <f t="shared" si="37"/>
        <v>4.5833333333333334E-3</v>
      </c>
      <c r="EP10" s="372">
        <f t="shared" si="37"/>
        <v>4.5833333333333334E-3</v>
      </c>
      <c r="EQ10" s="372">
        <f t="shared" si="37"/>
        <v>4.5833333333333334E-3</v>
      </c>
      <c r="ER10" s="372">
        <f t="shared" si="37"/>
        <v>4.5833333333333334E-3</v>
      </c>
      <c r="ES10" s="372">
        <f t="shared" si="37"/>
        <v>4.5833333333333334E-3</v>
      </c>
      <c r="ET10" s="372">
        <f t="shared" si="37"/>
        <v>4.5833333333333334E-3</v>
      </c>
      <c r="EU10" s="372">
        <f t="shared" si="37"/>
        <v>4.5833333333333334E-3</v>
      </c>
      <c r="EV10" s="372">
        <f t="shared" si="37"/>
        <v>4.5833333333333334E-3</v>
      </c>
      <c r="EW10" s="372">
        <f t="shared" si="37"/>
        <v>4.5833333333333334E-3</v>
      </c>
      <c r="EX10" s="372">
        <f t="shared" si="37"/>
        <v>4.5833333333333334E-3</v>
      </c>
      <c r="EY10" s="372">
        <f t="shared" si="37"/>
        <v>4.5833333333333334E-3</v>
      </c>
      <c r="EZ10" s="372">
        <f t="shared" si="37"/>
        <v>4.5833333333333334E-3</v>
      </c>
      <c r="FA10" s="372">
        <f t="shared" si="37"/>
        <v>4.5833333333333334E-3</v>
      </c>
      <c r="FB10" s="372">
        <f t="shared" si="37"/>
        <v>4.5833333333333334E-3</v>
      </c>
      <c r="FC10" s="372">
        <f t="shared" si="37"/>
        <v>4.5833333333333334E-3</v>
      </c>
      <c r="FD10" s="372">
        <f t="shared" si="37"/>
        <v>5.0000000000000001E-3</v>
      </c>
      <c r="FE10" s="372">
        <f t="shared" si="37"/>
        <v>5.0000000000000001E-3</v>
      </c>
      <c r="FF10" s="372">
        <f t="shared" si="37"/>
        <v>5.0000000000000001E-3</v>
      </c>
      <c r="FG10" s="372">
        <f t="shared" si="37"/>
        <v>5.0000000000000001E-3</v>
      </c>
      <c r="FH10" s="372">
        <f t="shared" si="37"/>
        <v>5.0000000000000001E-3</v>
      </c>
      <c r="FI10" s="372">
        <f t="shared" si="37"/>
        <v>5.0000000000000001E-3</v>
      </c>
      <c r="FJ10" s="372">
        <f t="shared" si="37"/>
        <v>5.0000000000000001E-3</v>
      </c>
      <c r="FK10" s="372">
        <f t="shared" si="37"/>
        <v>5.0000000000000001E-3</v>
      </c>
      <c r="FL10" s="372">
        <f t="shared" si="37"/>
        <v>5.0000000000000001E-3</v>
      </c>
      <c r="FM10" s="372">
        <f t="shared" si="37"/>
        <v>5.0000000000000001E-3</v>
      </c>
      <c r="FN10" s="372">
        <f t="shared" si="37"/>
        <v>5.0000000000000001E-3</v>
      </c>
      <c r="FO10" s="372">
        <f t="shared" si="37"/>
        <v>5.0000000000000001E-3</v>
      </c>
      <c r="FP10" s="372">
        <f t="shared" si="37"/>
        <v>5.0000000000000001E-3</v>
      </c>
      <c r="FQ10" s="372">
        <f t="shared" si="37"/>
        <v>5.0000000000000001E-3</v>
      </c>
      <c r="FR10" s="372">
        <f t="shared" si="37"/>
        <v>5.0000000000000001E-3</v>
      </c>
      <c r="FS10" s="372">
        <f t="shared" si="37"/>
        <v>5.0000000000000001E-3</v>
      </c>
      <c r="FT10" s="372">
        <f t="shared" si="37"/>
        <v>5.0000000000000001E-3</v>
      </c>
      <c r="FU10" s="372">
        <f t="shared" si="37"/>
        <v>5.0000000000000001E-3</v>
      </c>
      <c r="FV10" s="372">
        <f t="shared" si="37"/>
        <v>5.0000000000000001E-3</v>
      </c>
      <c r="FW10" s="372">
        <f t="shared" si="37"/>
        <v>5.0000000000000001E-3</v>
      </c>
      <c r="FX10" s="372">
        <f t="shared" si="37"/>
        <v>5.0000000000000001E-3</v>
      </c>
      <c r="FY10" s="372">
        <f t="shared" si="37"/>
        <v>5.0000000000000001E-3</v>
      </c>
      <c r="FZ10" s="372">
        <f t="shared" si="37"/>
        <v>5.0000000000000001E-3</v>
      </c>
      <c r="GA10" s="372">
        <f t="shared" si="37"/>
        <v>5.0000000000000001E-3</v>
      </c>
      <c r="GB10" s="372">
        <f t="shared" si="37"/>
        <v>5.0000000000000001E-3</v>
      </c>
      <c r="GC10" s="372">
        <f t="shared" si="37"/>
        <v>5.0000000000000001E-3</v>
      </c>
      <c r="GD10" s="372">
        <f t="shared" si="37"/>
        <v>5.0000000000000001E-3</v>
      </c>
      <c r="GE10" s="372">
        <f t="shared" si="37"/>
        <v>5.0000000000000001E-3</v>
      </c>
      <c r="GF10" s="372">
        <f t="shared" si="37"/>
        <v>5.0000000000000001E-3</v>
      </c>
      <c r="GG10" s="372">
        <f t="shared" si="37"/>
        <v>5.0000000000000001E-3</v>
      </c>
      <c r="GH10" s="372">
        <f t="shared" si="37"/>
        <v>5.0000000000000001E-3</v>
      </c>
      <c r="GI10" s="372">
        <f t="shared" si="37"/>
        <v>5.0000000000000001E-3</v>
      </c>
      <c r="GJ10" s="372">
        <f t="shared" si="37"/>
        <v>5.0000000000000001E-3</v>
      </c>
      <c r="GK10" s="372">
        <f t="shared" si="37"/>
        <v>5.0000000000000001E-3</v>
      </c>
      <c r="GL10" s="372">
        <f t="shared" si="37"/>
        <v>5.0000000000000001E-3</v>
      </c>
      <c r="GM10" s="372">
        <f t="shared" si="37"/>
        <v>5.0000000000000001E-3</v>
      </c>
      <c r="GN10" s="372">
        <f t="shared" ref="GN10:IY10" si="38">IF(GN9=1,SUMIF($42:$42,GN3,$43:$43)/SUMIF($42:$42,GN3,$44:$44),0)</f>
        <v>5.208333333333333E-3</v>
      </c>
      <c r="GO10" s="372">
        <f t="shared" si="38"/>
        <v>5.208333333333333E-3</v>
      </c>
      <c r="GP10" s="372">
        <f t="shared" si="38"/>
        <v>5.208333333333333E-3</v>
      </c>
      <c r="GQ10" s="372">
        <f t="shared" si="38"/>
        <v>5.208333333333333E-3</v>
      </c>
      <c r="GR10" s="372">
        <f t="shared" si="38"/>
        <v>5.208333333333333E-3</v>
      </c>
      <c r="GS10" s="372">
        <f t="shared" si="38"/>
        <v>5.208333333333333E-3</v>
      </c>
      <c r="GT10" s="372">
        <f t="shared" si="38"/>
        <v>5.208333333333333E-3</v>
      </c>
      <c r="GU10" s="372">
        <f t="shared" si="38"/>
        <v>5.208333333333333E-3</v>
      </c>
      <c r="GV10" s="372">
        <f t="shared" si="38"/>
        <v>5.208333333333333E-3</v>
      </c>
      <c r="GW10" s="372">
        <f t="shared" si="38"/>
        <v>5.208333333333333E-3</v>
      </c>
      <c r="GX10" s="372">
        <f t="shared" si="38"/>
        <v>5.208333333333333E-3</v>
      </c>
      <c r="GY10" s="372">
        <f t="shared" si="38"/>
        <v>5.208333333333333E-3</v>
      </c>
      <c r="GZ10" s="372">
        <f t="shared" si="38"/>
        <v>5.4166666666666669E-3</v>
      </c>
      <c r="HA10" s="372">
        <f t="shared" si="38"/>
        <v>5.4166666666666669E-3</v>
      </c>
      <c r="HB10" s="372">
        <f t="shared" si="38"/>
        <v>5.4166666666666669E-3</v>
      </c>
      <c r="HC10" s="372">
        <f t="shared" si="38"/>
        <v>5.4166666666666669E-3</v>
      </c>
      <c r="HD10" s="372">
        <f t="shared" si="38"/>
        <v>5.4166666666666669E-3</v>
      </c>
      <c r="HE10" s="372">
        <f t="shared" si="38"/>
        <v>5.4166666666666669E-3</v>
      </c>
      <c r="HF10" s="372">
        <f t="shared" si="38"/>
        <v>5.4166666666666669E-3</v>
      </c>
      <c r="HG10" s="372">
        <f t="shared" si="38"/>
        <v>5.4166666666666669E-3</v>
      </c>
      <c r="HH10" s="372">
        <f t="shared" si="38"/>
        <v>5.4166666666666669E-3</v>
      </c>
      <c r="HI10" s="372">
        <f t="shared" si="38"/>
        <v>5.4166666666666669E-3</v>
      </c>
      <c r="HJ10" s="372">
        <f t="shared" si="38"/>
        <v>5.4166666666666669E-3</v>
      </c>
      <c r="HK10" s="372">
        <f t="shared" si="38"/>
        <v>5.4166666666666669E-3</v>
      </c>
      <c r="HL10" s="372">
        <f t="shared" si="38"/>
        <v>5.4166666666666669E-3</v>
      </c>
      <c r="HM10" s="372">
        <f t="shared" si="38"/>
        <v>5.4166666666666669E-3</v>
      </c>
      <c r="HN10" s="372">
        <f t="shared" si="38"/>
        <v>5.4166666666666669E-3</v>
      </c>
      <c r="HO10" s="372">
        <f t="shared" si="38"/>
        <v>5.4166666666666669E-3</v>
      </c>
      <c r="HP10" s="372">
        <f t="shared" si="38"/>
        <v>5.4166666666666669E-3</v>
      </c>
      <c r="HQ10" s="372">
        <f t="shared" si="38"/>
        <v>5.4166666666666669E-3</v>
      </c>
      <c r="HR10" s="372">
        <f t="shared" si="38"/>
        <v>5.4166666666666669E-3</v>
      </c>
      <c r="HS10" s="372">
        <f t="shared" si="38"/>
        <v>5.4166666666666669E-3</v>
      </c>
      <c r="HT10" s="372">
        <f t="shared" si="38"/>
        <v>5.4166666666666669E-3</v>
      </c>
      <c r="HU10" s="372">
        <f t="shared" si="38"/>
        <v>5.4166666666666669E-3</v>
      </c>
      <c r="HV10" s="372">
        <f t="shared" si="38"/>
        <v>5.4166666666666669E-3</v>
      </c>
      <c r="HW10" s="372">
        <f t="shared" si="38"/>
        <v>5.4166666666666669E-3</v>
      </c>
      <c r="HX10" s="372">
        <f t="shared" si="38"/>
        <v>5.0000000000000044E-3</v>
      </c>
      <c r="HY10" s="372">
        <f t="shared" si="38"/>
        <v>5.0000000000000044E-3</v>
      </c>
      <c r="HZ10" s="372">
        <f t="shared" si="38"/>
        <v>5.0000000000000044E-3</v>
      </c>
      <c r="IA10" s="372">
        <f t="shared" si="38"/>
        <v>5.0000000000000044E-3</v>
      </c>
      <c r="IB10" s="372">
        <f t="shared" si="38"/>
        <v>5.0000000000000044E-3</v>
      </c>
      <c r="IC10" s="372">
        <f t="shared" si="38"/>
        <v>5.0000000000000044E-3</v>
      </c>
      <c r="ID10" s="372">
        <f t="shared" si="38"/>
        <v>5.0000000000000044E-3</v>
      </c>
      <c r="IE10" s="372">
        <f t="shared" si="38"/>
        <v>5.0000000000000044E-3</v>
      </c>
      <c r="IF10" s="372">
        <f t="shared" si="38"/>
        <v>5.0000000000000044E-3</v>
      </c>
      <c r="IG10" s="372">
        <f t="shared" si="38"/>
        <v>5.0000000000000044E-3</v>
      </c>
      <c r="IH10" s="372">
        <f t="shared" si="38"/>
        <v>5.0000000000000044E-3</v>
      </c>
      <c r="II10" s="372">
        <f t="shared" si="38"/>
        <v>5.0000000000000044E-3</v>
      </c>
      <c r="IJ10" s="372">
        <f t="shared" si="38"/>
        <v>0</v>
      </c>
      <c r="IK10" s="372">
        <f t="shared" si="38"/>
        <v>0</v>
      </c>
      <c r="IL10" s="372">
        <f t="shared" si="38"/>
        <v>0</v>
      </c>
      <c r="IM10" s="372">
        <f t="shared" si="38"/>
        <v>0</v>
      </c>
      <c r="IN10" s="372">
        <f t="shared" si="38"/>
        <v>0</v>
      </c>
      <c r="IO10" s="372">
        <f t="shared" si="38"/>
        <v>0</v>
      </c>
      <c r="IP10" s="372">
        <f t="shared" si="38"/>
        <v>0</v>
      </c>
      <c r="IQ10" s="372">
        <f t="shared" si="38"/>
        <v>0</v>
      </c>
      <c r="IR10" s="372">
        <f t="shared" si="38"/>
        <v>0</v>
      </c>
      <c r="IS10" s="372">
        <f t="shared" si="38"/>
        <v>0</v>
      </c>
      <c r="IT10" s="372">
        <f t="shared" si="38"/>
        <v>0</v>
      </c>
      <c r="IU10" s="372">
        <f t="shared" si="38"/>
        <v>0</v>
      </c>
      <c r="IV10" s="372">
        <f t="shared" si="38"/>
        <v>0</v>
      </c>
      <c r="IW10" s="372">
        <f t="shared" si="38"/>
        <v>0</v>
      </c>
      <c r="IX10" s="372">
        <f t="shared" si="38"/>
        <v>0</v>
      </c>
      <c r="IY10" s="372">
        <f t="shared" si="38"/>
        <v>0</v>
      </c>
      <c r="IZ10" s="372">
        <f t="shared" ref="IZ10:JU10" si="39">IF(IZ9=1,SUMIF($42:$42,IZ3,$43:$43)/SUMIF($42:$42,IZ3,$44:$44),0)</f>
        <v>0</v>
      </c>
      <c r="JA10" s="372">
        <f t="shared" si="39"/>
        <v>0</v>
      </c>
      <c r="JB10" s="372">
        <f t="shared" si="39"/>
        <v>0</v>
      </c>
      <c r="JC10" s="372">
        <f t="shared" si="39"/>
        <v>0</v>
      </c>
      <c r="JD10" s="372">
        <f t="shared" si="39"/>
        <v>0</v>
      </c>
      <c r="JE10" s="372">
        <f t="shared" si="39"/>
        <v>0</v>
      </c>
      <c r="JF10" s="372">
        <f t="shared" si="39"/>
        <v>0</v>
      </c>
      <c r="JG10" s="372">
        <f t="shared" si="39"/>
        <v>0</v>
      </c>
      <c r="JH10" s="372">
        <f t="shared" si="39"/>
        <v>0</v>
      </c>
      <c r="JI10" s="372">
        <f t="shared" si="39"/>
        <v>0</v>
      </c>
      <c r="JJ10" s="372">
        <f t="shared" si="39"/>
        <v>0</v>
      </c>
      <c r="JK10" s="372">
        <f t="shared" si="39"/>
        <v>0</v>
      </c>
      <c r="JL10" s="372">
        <f t="shared" si="39"/>
        <v>0</v>
      </c>
      <c r="JM10" s="372">
        <f t="shared" si="39"/>
        <v>0</v>
      </c>
      <c r="JN10" s="372">
        <f t="shared" si="39"/>
        <v>0</v>
      </c>
      <c r="JO10" s="372">
        <f t="shared" si="39"/>
        <v>0</v>
      </c>
      <c r="JP10" s="372">
        <f t="shared" si="39"/>
        <v>0</v>
      </c>
      <c r="JQ10" s="372">
        <f t="shared" si="39"/>
        <v>0</v>
      </c>
      <c r="JR10" s="372">
        <f t="shared" si="39"/>
        <v>0</v>
      </c>
      <c r="JS10" s="372">
        <f t="shared" si="39"/>
        <v>0</v>
      </c>
      <c r="JT10" s="372">
        <f t="shared" si="39"/>
        <v>0</v>
      </c>
      <c r="JU10" s="372">
        <f t="shared" si="39"/>
        <v>0</v>
      </c>
    </row>
    <row r="11" spans="1:310">
      <c r="A11" s="1" t="s">
        <v>248</v>
      </c>
      <c r="B11" s="1"/>
      <c r="C11" s="1"/>
    </row>
    <row r="12" spans="1:310">
      <c r="A12" t="s">
        <v>249</v>
      </c>
      <c r="B12" s="9"/>
      <c r="C12" s="9"/>
      <c r="D12" s="9">
        <f>Assum!B85</f>
        <v>107.18</v>
      </c>
      <c r="E12" s="9">
        <f>IF(D12&gt;0,IF(E1=Assum!$D$88,0,D15+(D16*(1-Assum!$B$99))),0)</f>
        <v>108.38641636975285</v>
      </c>
      <c r="F12" s="9">
        <f>IF(E12&gt;0,IF(F1=Assum!$D$88,0,E15+(E16*(1-Assum!$B$99))),0)</f>
        <v>109.64707866868513</v>
      </c>
      <c r="G12" s="9">
        <f>IF(F12&gt;0,IF(G1=Assum!$D$88,0,F15+(F16*(1-Assum!$B$99))),0)</f>
        <v>110.88126443656607</v>
      </c>
      <c r="H12" s="9">
        <f>IF(G12&gt;0,IF(H1=Assum!$D$88,0,G15+(G16*(1-Assum!$B$99))),0)</f>
        <v>112.17094477119635</v>
      </c>
      <c r="I12" s="9">
        <f>IF(H12&gt;0,IF(I1=Assum!$D$88,0,H15+(H16*(1-Assum!$B$99))),0)</f>
        <v>113.47562561446966</v>
      </c>
      <c r="J12" s="9">
        <f>IF(I12&gt;0,IF(J1=Assum!$D$88,0,I15+(I16*(1-Assum!$B$99))),0)</f>
        <v>114.75290544568109</v>
      </c>
      <c r="K12" s="9">
        <f>IF(J12&gt;0,IF(K1=Assum!$D$88,0,J15+(J16*(1-Assum!$B$99))),0)</f>
        <v>116.08761754737839</v>
      </c>
      <c r="L12" s="9">
        <f>IF(K12&gt;0,IF(L1=Assum!$D$88,0,K15+(K16*(1-Assum!$B$99))),0)</f>
        <v>117.39429791810767</v>
      </c>
      <c r="M12" s="9">
        <f>IF(L12&gt;0,IF(M1=Assum!$D$88,0,L15+(L16*(1-Assum!$B$99))),0)</f>
        <v>118.75973254037721</v>
      </c>
      <c r="N12" s="9">
        <f>IF(M12&gt;0,IF(N1=Assum!$D$88,0,M15+(M16*(1-Assum!$B$99))),0)</f>
        <v>120.14104878331109</v>
      </c>
      <c r="O12" s="9">
        <f>IF(N12&gt;0,IF(O1=Assum!$D$88,0,N15+(N16*(1-Assum!$B$99))),0)</f>
        <v>121.4032007961496</v>
      </c>
      <c r="P12" s="9">
        <f>IF(O12&gt;0,IF(P1=Assum!$D$88,0,O15+(O16*(1-Assum!$B$99))),0)</f>
        <v>0</v>
      </c>
      <c r="Q12" s="9">
        <f>IF(P12&gt;0,IF(Q1=Assum!$D$88,0,P15+(P16*(1-Assum!$B$99))),0)</f>
        <v>0</v>
      </c>
      <c r="R12" s="9">
        <f>IF(Q12&gt;0,IF(R1=Assum!$D$88,0,Q15+(Q16*(1-Assum!$B$99))),0)</f>
        <v>0</v>
      </c>
      <c r="S12" s="9">
        <f>IF(R12&gt;0,IF(S1=Assum!$D$88,0,R15+(R16*(1-Assum!$B$99))),0)</f>
        <v>0</v>
      </c>
      <c r="T12" s="9">
        <f>IF(S12&gt;0,IF(T1=Assum!$D$88,0,S15+(S16*(1-Assum!$B$99))),0)</f>
        <v>0</v>
      </c>
      <c r="U12" s="9">
        <f>IF(T12&gt;0,IF(U1=Assum!$D$88,0,T15+(T16*(1-Assum!$B$99))),0)</f>
        <v>0</v>
      </c>
      <c r="V12" s="9">
        <f>IF(U12&gt;0,IF(V1=Assum!$D$88,0,U15+(U16*(1-Assum!$B$99))),0)</f>
        <v>0</v>
      </c>
      <c r="W12" s="9">
        <f>IF(V12&gt;0,IF(W1=Assum!$D$88,0,V15+(V16*(1-Assum!$B$99))),0)</f>
        <v>0</v>
      </c>
      <c r="X12" s="9">
        <f>IF(W12&gt;0,IF(X1=Assum!$D$88,0,W15+(W16*(1-Assum!$B$99))),0)</f>
        <v>0</v>
      </c>
      <c r="Y12" s="9">
        <f>IF(X12&gt;0,IF(Y1=Assum!$D$88,0,X15+(X16*(1-Assum!$B$99))),0)</f>
        <v>0</v>
      </c>
      <c r="Z12" s="9">
        <f>IF(Y12&gt;0,IF(Z1=Assum!$D$88,0,Y15+(Y16*(1-Assum!$B$99))),0)</f>
        <v>0</v>
      </c>
      <c r="AA12" s="9">
        <f>IF(Z12&gt;0,IF(AA1=Assum!$D$88,0,Z15+(Z16*(1-Assum!$B$99))),0)</f>
        <v>0</v>
      </c>
      <c r="AB12" s="9">
        <f>IF(AA12&gt;0,IF(AB1=Assum!$D$88,0,AA15+(AA16*(1-Assum!$B$99))),0)</f>
        <v>0</v>
      </c>
      <c r="AC12" s="9">
        <f>IF(AB12&gt;0,IF(AC1=Assum!$D$88,0,AB15+(AB16*(1-Assum!$B$99))),0)</f>
        <v>0</v>
      </c>
      <c r="AD12" s="9">
        <f>IF(AC12&gt;0,IF(AD1=Assum!$D$88,0,AC15+(AC16*(1-Assum!$B$99))),0)</f>
        <v>0</v>
      </c>
      <c r="AE12" s="9">
        <f>IF(AD12&gt;0,IF(AE1=Assum!$D$88,0,AD15+(AD16*(1-Assum!$B$99))),0)</f>
        <v>0</v>
      </c>
      <c r="AF12" s="9">
        <f>IF(AE12&gt;0,IF(AF1=Assum!$D$88,0,AE15+(AE16*(1-Assum!$B$99))),0)</f>
        <v>0</v>
      </c>
      <c r="AG12" s="9">
        <f>IF(AF12&gt;0,IF(AG1=Assum!$D$88,0,AF15+(AF16*(1-Assum!$B$99))),0)</f>
        <v>0</v>
      </c>
      <c r="AH12" s="9">
        <f>IF(AG12&gt;0,IF(AH1=Assum!$D$88,0,AG15+(AG16*(1-Assum!$B$99))),0)</f>
        <v>0</v>
      </c>
      <c r="AI12" s="9">
        <f>IF(AH12&gt;0,IF(AI1=Assum!$D$88,0,AH15+(AH16*(1-Assum!$B$99))),0)</f>
        <v>0</v>
      </c>
      <c r="AJ12" s="9">
        <f>IF(AI12&gt;0,IF(AJ1=Assum!$D$88,0,AI15+(AI16*(1-Assum!$B$99))),0)</f>
        <v>0</v>
      </c>
      <c r="AK12" s="9">
        <f>IF(AJ12&gt;0,IF(AK1=Assum!$D$88,0,AJ15+(AJ16*(1-Assum!$B$99))),0)</f>
        <v>0</v>
      </c>
      <c r="AL12" s="9">
        <f>IF(AK12&gt;0,IF(AL1=Assum!$D$88,0,AK15+(AK16*(1-Assum!$B$99))),0)</f>
        <v>0</v>
      </c>
      <c r="AM12" s="9">
        <f>IF(AL12&gt;0,IF(AM1=Assum!$D$88,0,AL15+(AL16*(1-Assum!$B$99))),0)</f>
        <v>0</v>
      </c>
      <c r="AN12" s="9">
        <f>IF(AM12&gt;0,IF(AN1=Assum!$D$88,0,AM15+(AM16*(1-Assum!$B$99))),0)</f>
        <v>0</v>
      </c>
      <c r="AO12" s="9">
        <f>IF(AN12&gt;0,IF(AO1=Assum!$D$88,0,AN15+(AN16*(1-Assum!$B$99))),0)</f>
        <v>0</v>
      </c>
      <c r="AP12" s="9">
        <f>IF(AO12&gt;0,IF(AP1=Assum!$D$88,0,AO15+(AO16*(1-Assum!$B$99))),0)</f>
        <v>0</v>
      </c>
      <c r="AQ12" s="9">
        <f>IF(AP12&gt;0,IF(AQ1=Assum!$D$88,0,AP15+(AP16*(1-Assum!$B$99))),0)</f>
        <v>0</v>
      </c>
      <c r="AR12" s="9">
        <f>IF(AQ12&gt;0,IF(AR1=Assum!$D$88,0,AQ15+(AQ16*(1-Assum!$B$99))),0)</f>
        <v>0</v>
      </c>
      <c r="AS12" s="9">
        <f>IF(AR12&gt;0,IF(AS1=Assum!$D$88,0,AR15+(AR16*(1-Assum!$B$99))),0)</f>
        <v>0</v>
      </c>
      <c r="AT12" s="9">
        <f>IF(AS12&gt;0,IF(AT1=Assum!$D$88,0,AS15+(AS16*(1-Assum!$B$99))),0)</f>
        <v>0</v>
      </c>
      <c r="AU12" s="9">
        <f>IF(AT12&gt;0,IF(AU1=Assum!$D$88,0,AT15+(AT16*(1-Assum!$B$99))),0)</f>
        <v>0</v>
      </c>
      <c r="AV12" s="9">
        <f>IF(AU12&gt;0,IF(AV1=Assum!$D$88,0,AU15+(AU16*(1-Assum!$B$99))),0)</f>
        <v>0</v>
      </c>
      <c r="AW12" s="9">
        <f>IF(AV12&gt;0,IF(AW1=Assum!$D$88,0,AV15+(AV16*(1-Assum!$B$99))),0)</f>
        <v>0</v>
      </c>
      <c r="AX12" s="9">
        <f>IF(AW12&gt;0,IF(AX1=Assum!$D$88,0,AW15+(AW16*(1-Assum!$B$99))),0)</f>
        <v>0</v>
      </c>
      <c r="AY12" s="9">
        <f>IF(AX12&gt;0,IF(AY1=Assum!$D$88,0,AX15+(AX16*(1-Assum!$B$99))),0)</f>
        <v>0</v>
      </c>
      <c r="AZ12" s="9">
        <f>IF(AY12&gt;0,IF(AZ1=Assum!$D$88,0,AY15+(AY16*(1-Assum!$B$99))),0)</f>
        <v>0</v>
      </c>
      <c r="BA12" s="9">
        <f>IF(AZ12&gt;0,IF(BA1=Assum!$D$88,0,AZ15+(AZ16*(1-Assum!$B$99))),0)</f>
        <v>0</v>
      </c>
      <c r="BB12" s="9">
        <f>IF(BA12&gt;0,IF(BB1=Assum!$D$88,0,BA15+(BA16*(1-Assum!$B$99))),0)</f>
        <v>0</v>
      </c>
      <c r="BC12" s="9">
        <f>IF(BB12&gt;0,IF(BC1=Assum!$D$88,0,BB15+(BB16*(1-Assum!$B$99))),0)</f>
        <v>0</v>
      </c>
      <c r="BD12" s="9">
        <f>IF(BC12&gt;0,IF(BD1=Assum!$D$88,0,BC15+(BC16*(1-Assum!$B$99))),0)</f>
        <v>0</v>
      </c>
      <c r="BE12" s="9">
        <f>IF(BD12&gt;0,IF(BE1=Assum!$D$88,0,BD15+(BD16*(1-Assum!$B$99))),0)</f>
        <v>0</v>
      </c>
      <c r="BF12" s="9">
        <f>IF(BE12&gt;0,IF(BF1=Assum!$D$88,0,BE15+(BE16*(1-Assum!$B$99))),0)</f>
        <v>0</v>
      </c>
      <c r="BG12" s="9">
        <f>IF(BF12&gt;0,IF(BG1=Assum!$D$88,0,BF15+(BF16*(1-Assum!$B$99))),0)</f>
        <v>0</v>
      </c>
      <c r="BH12" s="9">
        <f>IF(BG12&gt;0,IF(BH1=Assum!$D$88,0,BG15+(BG16*(1-Assum!$B$99))),0)</f>
        <v>0</v>
      </c>
      <c r="BI12" s="9">
        <f>IF(BH12&gt;0,IF(BI1=Assum!$D$88,0,BH15+(BH16*(1-Assum!$B$99))),0)</f>
        <v>0</v>
      </c>
      <c r="BJ12" s="9">
        <f>IF(BI12&gt;0,IF(BJ1=Assum!$D$88,0,BI15+(BI16*(1-Assum!$B$99))),0)</f>
        <v>0</v>
      </c>
      <c r="BK12" s="9">
        <f>IF(BJ12&gt;0,IF(BK1=Assum!$D$88,0,BJ15+(BJ16*(1-Assum!$B$99))),0)</f>
        <v>0</v>
      </c>
      <c r="BL12" s="9">
        <f>IF(BK12&gt;0,IF(BL1=Assum!$D$88,0,BK15+(BK16*(1-Assum!$B$99))),0)</f>
        <v>0</v>
      </c>
      <c r="BM12" s="9">
        <f>IF(BL12&gt;0,IF(BM1=Assum!$D$88,0,BL15+(BL16*(1-Assum!$B$99))),0)</f>
        <v>0</v>
      </c>
      <c r="BN12" s="9">
        <f>IF(BM12&gt;0,IF(BN1=Assum!$D$88,0,BM15+(BM16*(1-Assum!$B$99))),0)</f>
        <v>0</v>
      </c>
      <c r="BO12" s="9">
        <f>IF(BN12&gt;0,IF(BO1=Assum!$D$88,0,BN15+(BN16*(1-Assum!$B$99))),0)</f>
        <v>0</v>
      </c>
      <c r="BP12" s="9">
        <f>IF(BO12&gt;0,IF(BP1=Assum!$D$88,0,BO15+(BO16*(1-Assum!$B$99))),0)</f>
        <v>0</v>
      </c>
      <c r="BQ12" s="9">
        <f>IF(BP12&gt;0,IF(BQ1=Assum!$D$88,0,BP15+(BP16*(1-Assum!$B$99))),0)</f>
        <v>0</v>
      </c>
      <c r="BR12" s="9">
        <f>IF(BQ12&gt;0,IF(BR1=Assum!$D$88,0,BQ15+(BQ16*(1-Assum!$B$99))),0)</f>
        <v>0</v>
      </c>
      <c r="BS12" s="9">
        <f>IF(BR12&gt;0,IF(BS1=Assum!$D$88,0,BR15+(BR16*(1-Assum!$B$99))),0)</f>
        <v>0</v>
      </c>
      <c r="BT12" s="9">
        <f>IF(BS12&gt;0,IF(BT1=Assum!$D$88,0,BS15+(BS16*(1-Assum!$B$99))),0)</f>
        <v>0</v>
      </c>
      <c r="BU12" s="9">
        <f>IF(BT12&gt;0,IF(BU1=Assum!$D$88,0,BT15+(BT16*(1-Assum!$B$99))),0)</f>
        <v>0</v>
      </c>
      <c r="BV12" s="9">
        <f>IF(BU12&gt;0,IF(BV1=Assum!$D$88,0,BU15+(BU16*(1-Assum!$B$99))),0)</f>
        <v>0</v>
      </c>
      <c r="BW12" s="9">
        <f>IF(BV12&gt;0,IF(BW1=Assum!$D$88,0,BV15+(BV16*(1-Assum!$B$99))),0)</f>
        <v>0</v>
      </c>
      <c r="BX12" s="9">
        <f>IF(BW12&gt;0,IF(BX1=Assum!$D$88,0,BW15+(BW16*(1-Assum!$B$99))),0)</f>
        <v>0</v>
      </c>
      <c r="BY12" s="9">
        <f>IF(BX12&gt;0,IF(BY1=Assum!$D$88,0,BX15+(BX16*(1-Assum!$B$99))),0)</f>
        <v>0</v>
      </c>
      <c r="BZ12" s="9">
        <f>IF(BY12&gt;0,IF(BZ1=Assum!$D$88,0,BY15+(BY16*(1-Assum!$B$99))),0)</f>
        <v>0</v>
      </c>
      <c r="CA12" s="9">
        <f>IF(BZ12&gt;0,IF(CA1=Assum!$D$88,0,BZ15+(BZ16*(1-Assum!$B$99))),0)</f>
        <v>0</v>
      </c>
      <c r="CB12" s="9">
        <f>IF(CA12&gt;0,IF(CB1=Assum!$D$88,0,CA15+(CA16*(1-Assum!$B$99))),0)</f>
        <v>0</v>
      </c>
      <c r="CC12" s="9">
        <f>IF(CB12&gt;0,IF(CC1=Assum!$D$88,0,CB15+(CB16*(1-Assum!$B$99))),0)</f>
        <v>0</v>
      </c>
      <c r="CD12" s="9">
        <f>IF(CC12&gt;0,IF(CD1=Assum!$D$88,0,CC15+(CC16*(1-Assum!$B$99))),0)</f>
        <v>0</v>
      </c>
      <c r="CE12" s="9">
        <f>IF(CD12&gt;0,IF(CE1=Assum!$D$88,0,CD15+(CD16*(1-Assum!$B$99))),0)</f>
        <v>0</v>
      </c>
      <c r="CF12" s="9">
        <f>IF(CE12&gt;0,IF(CF1=Assum!$D$88,0,CE15+(CE16*(1-Assum!$B$99))),0)</f>
        <v>0</v>
      </c>
      <c r="CG12" s="9">
        <f>IF(CF12&gt;0,IF(CG1=Assum!$D$88,0,CF15+(CF16*(1-Assum!$B$99))),0)</f>
        <v>0</v>
      </c>
      <c r="CH12" s="9">
        <f>IF(CG12&gt;0,IF(CH1=Assum!$D$88,0,CG15+(CG16*(1-Assum!$B$99))),0)</f>
        <v>0</v>
      </c>
      <c r="CI12" s="9">
        <f>IF(CH12&gt;0,IF(CI1=Assum!$D$88,0,CH15+(CH16*(1-Assum!$B$99))),0)</f>
        <v>0</v>
      </c>
      <c r="CJ12" s="9">
        <f>IF(CI12&gt;0,IF(CJ1=Assum!$D$88,0,CI15+(CI16*(1-Assum!$B$99))),0)</f>
        <v>0</v>
      </c>
      <c r="CK12" s="9">
        <f>IF(CJ12&gt;0,IF(CK1=Assum!$D$88,0,CJ15+(CJ16*(1-Assum!$B$99))),0)</f>
        <v>0</v>
      </c>
      <c r="CL12" s="9">
        <f>IF(CK12&gt;0,IF(CL1=Assum!$D$88,0,CK15+(CK16*(1-Assum!$B$99))),0)</f>
        <v>0</v>
      </c>
      <c r="CM12" s="9">
        <f>IF(CL12&gt;0,IF(CM1=Assum!$D$88,0,CL15+(CL16*(1-Assum!$B$99))),0)</f>
        <v>0</v>
      </c>
      <c r="CN12" s="9">
        <f>IF(CM12&gt;0,IF(CN1=Assum!$D$88,0,CM15+(CM16*(1-Assum!$B$99))),0)</f>
        <v>0</v>
      </c>
      <c r="CO12" s="9">
        <f>IF(CN12&gt;0,IF(CO1=Assum!$D$88,0,CN15+(CN16*(1-Assum!$B$99))),0)</f>
        <v>0</v>
      </c>
      <c r="CP12" s="9">
        <f>IF(CO12&gt;0,IF(CP1=Assum!$D$88,0,CO15+(CO16*(1-Assum!$B$99))),0)</f>
        <v>0</v>
      </c>
      <c r="CQ12" s="9">
        <f>IF(CP12&gt;0,IF(CQ1=Assum!$D$88,0,CP15+(CP16*(1-Assum!$B$99))),0)</f>
        <v>0</v>
      </c>
      <c r="CR12" s="9">
        <f>IF(CQ12&gt;0,IF(CR1=Assum!$D$88,0,CQ15+(CQ16*(1-Assum!$B$99))),0)</f>
        <v>0</v>
      </c>
      <c r="CS12" s="9">
        <f>IF(CR12&gt;0,IF(CS1=Assum!$D$88,0,CR15+(CR16*(1-Assum!$B$99))),0)</f>
        <v>0</v>
      </c>
      <c r="CT12" s="9">
        <f>IF(CS12&gt;0,IF(CT1=Assum!$D$88,0,CS15+(CS16*(1-Assum!$B$99))),0)</f>
        <v>0</v>
      </c>
      <c r="CU12" s="9">
        <f>IF(CT12&gt;0,IF(CU1=Assum!$D$88,0,CT15+(CT16*(1-Assum!$B$99))),0)</f>
        <v>0</v>
      </c>
      <c r="CV12" s="9">
        <f>IF(CU12&gt;0,IF(CV1=Assum!$D$88,0,CU15+(CU16*(1-Assum!$B$99))),0)</f>
        <v>0</v>
      </c>
      <c r="CW12" s="9">
        <f>IF(CV12&gt;0,IF(CW1=Assum!$D$88,0,CV15+(CV16*(1-Assum!$B$99))),0)</f>
        <v>0</v>
      </c>
      <c r="CX12" s="9">
        <f>IF(CW12&gt;0,IF(CX1=Assum!$D$88,0,CW15+(CW16*(1-Assum!$B$99))),0)</f>
        <v>0</v>
      </c>
      <c r="CY12" s="9">
        <f>IF(CX12&gt;0,IF(CY1=Assum!$D$88,0,CX15+(CX16*(1-Assum!$B$99))),0)</f>
        <v>0</v>
      </c>
      <c r="CZ12" s="9">
        <f>IF(CY12&gt;0,IF(CZ1=Assum!$D$88,0,CY15+(CY16*(1-Assum!$B$99))),0)</f>
        <v>0</v>
      </c>
      <c r="DA12" s="9">
        <f>IF(CZ12&gt;0,IF(DA1=Assum!$D$88,0,CZ15+(CZ16*(1-Assum!$B$99))),0)</f>
        <v>0</v>
      </c>
      <c r="DB12" s="9">
        <f>IF(DA12&gt;0,IF(DB1=Assum!$D$88,0,DA15+(DA16*(1-Assum!$B$99))),0)</f>
        <v>0</v>
      </c>
      <c r="DC12" s="9">
        <f>IF(DB12&gt;0,IF(DC1=Assum!$D$88,0,DB15+(DB16*(1-Assum!$B$99))),0)</f>
        <v>0</v>
      </c>
      <c r="DD12" s="9">
        <f>IF(DC12&gt;0,IF(DD1=Assum!$D$88,0,DC15+(DC16*(1-Assum!$B$99))),0)</f>
        <v>0</v>
      </c>
      <c r="DE12" s="9">
        <f>IF(DD12&gt;0,IF(DE1=Assum!$D$88,0,DD15+(DD16*(1-Assum!$B$99))),0)</f>
        <v>0</v>
      </c>
      <c r="DF12" s="9">
        <f>IF(DE12&gt;0,IF(DF1=Assum!$D$88,0,DE15+(DE16*(1-Assum!$B$99))),0)</f>
        <v>0</v>
      </c>
      <c r="DG12" s="9">
        <f>IF(DF12&gt;0,IF(DG1=Assum!$D$88,0,DF15+(DF16*(1-Assum!$B$99))),0)</f>
        <v>0</v>
      </c>
      <c r="DH12" s="9">
        <f>IF(DG12&gt;0,IF(DH1=Assum!$D$88,0,DG15+(DG16*(1-Assum!$B$99))),0)</f>
        <v>0</v>
      </c>
      <c r="DI12" s="9">
        <f>IF(DH12&gt;0,IF(DI1=Assum!$D$88,0,DH15+(DH16*(1-Assum!$B$99))),0)</f>
        <v>0</v>
      </c>
      <c r="DJ12" s="9">
        <f>IF(DI12&gt;0,IF(DJ1=Assum!$D$88,0,DI15+(DI16*(1-Assum!$B$99))),0)</f>
        <v>0</v>
      </c>
      <c r="DK12" s="9">
        <f>IF(DJ12&gt;0,IF(DK1=Assum!$D$88,0,DJ15+(DJ16*(1-Assum!$B$99))),0)</f>
        <v>0</v>
      </c>
      <c r="DL12" s="9">
        <f>IF(DK12&gt;0,IF(DL1=Assum!$D$88,0,DK15+(DK16*(1-Assum!$B$99))),0)</f>
        <v>0</v>
      </c>
      <c r="DM12" s="9">
        <f>IF(DL12&gt;0,IF(DM1=Assum!$D$88,0,DL15+(DL16*(1-Assum!$B$99))),0)</f>
        <v>0</v>
      </c>
      <c r="DN12" s="9">
        <f>IF(DM12&gt;0,IF(DN1=Assum!$D$88,0,DM15+(DM16*(1-Assum!$B$99))),0)</f>
        <v>0</v>
      </c>
      <c r="DO12" s="9">
        <f>IF(DN12&gt;0,IF(DO1=Assum!$D$88,0,DN15+(DN16*(1-Assum!$B$99))),0)</f>
        <v>0</v>
      </c>
      <c r="DP12" s="9">
        <f>IF(DO12&gt;0,IF(DP1=Assum!$D$88,0,DO15+(DO16*(1-Assum!$B$99))),0)</f>
        <v>0</v>
      </c>
      <c r="DQ12" s="9">
        <f>IF(DP12&gt;0,IF(DQ1=Assum!$D$88,0,DP15+(DP16*(1-Assum!$B$99))),0)</f>
        <v>0</v>
      </c>
      <c r="DR12" s="9">
        <f>IF(DQ12&gt;0,IF(DR1=Assum!$D$88,0,DQ15+(DQ16*(1-Assum!$B$99))),0)</f>
        <v>0</v>
      </c>
      <c r="DS12" s="9">
        <f>IF(DR12&gt;0,IF(DS1=Assum!$D$88,0,DR15+(DR16*(1-Assum!$B$99))),0)</f>
        <v>0</v>
      </c>
      <c r="DT12" s="9">
        <f>IF(DS12&gt;0,IF(DT1=Assum!$D$88,0,DS15+(DS16*(1-Assum!$B$99))),0)</f>
        <v>0</v>
      </c>
      <c r="DU12" s="9">
        <f>IF(DT12&gt;0,IF(DU1=Assum!$D$88,0,DT15+(DT16*(1-Assum!$B$99))),0)</f>
        <v>0</v>
      </c>
      <c r="DV12" s="9">
        <f>IF(DU12&gt;0,IF(DV1=Assum!$D$88,0,DU15+(DU16*(1-Assum!$B$99))),0)</f>
        <v>0</v>
      </c>
      <c r="DW12" s="9">
        <f>IF(DV12&gt;0,IF(DW1=Assum!$D$88,0,DV15+(DV16*(1-Assum!$B$99))),0)</f>
        <v>0</v>
      </c>
      <c r="DX12" s="9">
        <f>IF(DW12&gt;0,IF(DX1=Assum!$D$88,0,DW15+(DW16*(1-Assum!$B$99))),0)</f>
        <v>0</v>
      </c>
      <c r="DY12" s="9">
        <f>IF(DX12&gt;0,IF(DY1=Assum!$D$88,0,DX15+(DX16*(1-Assum!$B$99))),0)</f>
        <v>0</v>
      </c>
      <c r="DZ12" s="9">
        <f>IF(DY12&gt;0,IF(DZ1=Assum!$D$88,0,DY15+(DY16*(1-Assum!$B$99))),0)</f>
        <v>0</v>
      </c>
      <c r="EA12" s="9">
        <f>IF(DZ12&gt;0,IF(EA1=Assum!$D$88,0,DZ15+(DZ16*(1-Assum!$B$99))),0)</f>
        <v>0</v>
      </c>
      <c r="EB12" s="9">
        <f>IF(EA12&gt;0,IF(EB1=Assum!$D$88,0,EA15+(EA16*(1-Assum!$B$99))),0)</f>
        <v>0</v>
      </c>
      <c r="EC12" s="9">
        <f>IF(EB12&gt;0,IF(EC1=Assum!$D$88,0,EB15+(EB16*(1-Assum!$B$99))),0)</f>
        <v>0</v>
      </c>
      <c r="ED12" s="9">
        <f>IF(EC12&gt;0,IF(ED1=Assum!$D$88,0,EC15+(EC16*(1-Assum!$B$99))),0)</f>
        <v>0</v>
      </c>
      <c r="EE12" s="9">
        <f>IF(ED12&gt;0,IF(EE1=Assum!$D$88,0,ED15+(ED16*(1-Assum!$B$99))),0)</f>
        <v>0</v>
      </c>
      <c r="EF12" s="9">
        <f>IF(EE12&gt;0,IF(EF1=Assum!$D$88,0,EE15+(EE16*(1-Assum!$B$99))),0)</f>
        <v>0</v>
      </c>
      <c r="EG12" s="9">
        <f>IF(EF12&gt;0,IF(EG1=Assum!$D$88,0,EF15+(EF16*(1-Assum!$B$99))),0)</f>
        <v>0</v>
      </c>
      <c r="EH12" s="9">
        <f>IF(EG12&gt;0,IF(EH1=Assum!$D$88,0,EG15+(EG16*(1-Assum!$B$99))),0)</f>
        <v>0</v>
      </c>
      <c r="EI12" s="9">
        <f>IF(EH12&gt;0,IF(EI1=Assum!$D$88,0,EH15+(EH16*(1-Assum!$B$99))),0)</f>
        <v>0</v>
      </c>
      <c r="EJ12" s="9">
        <f>IF(EI12&gt;0,IF(EJ1=Assum!$D$88,0,EI15+(EI16*(1-Assum!$B$99))),0)</f>
        <v>0</v>
      </c>
      <c r="EK12" s="9">
        <f>IF(EJ12&gt;0,IF(EK1=Assum!$D$88,0,EJ15+(EJ16*(1-Assum!$B$99))),0)</f>
        <v>0</v>
      </c>
      <c r="EL12" s="9">
        <f>IF(EK12&gt;0,IF(EL1=Assum!$D$88,0,EK15+(EK16*(1-Assum!$B$99))),0)</f>
        <v>0</v>
      </c>
      <c r="EM12" s="9">
        <f>IF(EL12&gt;0,IF(EM1=Assum!$D$88,0,EL15+(EL16*(1-Assum!$B$99))),0)</f>
        <v>0</v>
      </c>
      <c r="EN12" s="9">
        <f>IF(EM12&gt;0,IF(EN1=Assum!$D$88,0,EM15+(EM16*(1-Assum!$B$99))),0)</f>
        <v>0</v>
      </c>
      <c r="EO12" s="9">
        <f>IF(EN12&gt;0,IF(EO1=Assum!$D$88,0,EN15+(EN16*(1-Assum!$B$99))),0)</f>
        <v>0</v>
      </c>
      <c r="EP12" s="9">
        <f>IF(EO12&gt;0,IF(EP1=Assum!$D$88,0,EO15+(EO16*(1-Assum!$B$99))),0)</f>
        <v>0</v>
      </c>
      <c r="EQ12" s="9">
        <f>IF(EP12&gt;0,IF(EQ1=Assum!$D$88,0,EP15+(EP16*(1-Assum!$B$99))),0)</f>
        <v>0</v>
      </c>
      <c r="ER12" s="9">
        <f>IF(EQ12&gt;0,IF(ER1=Assum!$D$88,0,EQ15+(EQ16*(1-Assum!$B$99))),0)</f>
        <v>0</v>
      </c>
      <c r="ES12" s="9">
        <f>IF(ER12&gt;0,IF(ES1=Assum!$D$88,0,ER15+(ER16*(1-Assum!$B$99))),0)</f>
        <v>0</v>
      </c>
      <c r="ET12" s="9">
        <f>IF(ES12&gt;0,IF(ET1=Assum!$D$88,0,ES15+(ES16*(1-Assum!$B$99))),0)</f>
        <v>0</v>
      </c>
      <c r="EU12" s="9">
        <f>IF(ET12&gt;0,IF(EU1=Assum!$D$88,0,ET15+(ET16*(1-Assum!$B$99))),0)</f>
        <v>0</v>
      </c>
      <c r="EV12" s="9">
        <f>IF(EU12&gt;0,IF(EV1=Assum!$D$88,0,EU15+(EU16*(1-Assum!$B$99))),0)</f>
        <v>0</v>
      </c>
      <c r="EW12" s="9">
        <f>IF(EV12&gt;0,IF(EW1=Assum!$D$88,0,EV15+(EV16*(1-Assum!$B$99))),0)</f>
        <v>0</v>
      </c>
      <c r="EX12" s="9">
        <f>IF(EW12&gt;0,IF(EX1=Assum!$D$88,0,EW15+(EW16*(1-Assum!$B$99))),0)</f>
        <v>0</v>
      </c>
      <c r="EY12" s="9">
        <f>IF(EX12&gt;0,IF(EY1=Assum!$D$88,0,EX15+(EX16*(1-Assum!$B$99))),0)</f>
        <v>0</v>
      </c>
      <c r="EZ12" s="9">
        <f>IF(EY12&gt;0,IF(EZ1=Assum!$D$88,0,EY15+(EY16*(1-Assum!$B$99))),0)</f>
        <v>0</v>
      </c>
      <c r="FA12" s="9">
        <f>IF(EZ12&gt;0,IF(FA1=Assum!$D$88,0,EZ15+(EZ16*(1-Assum!$B$99))),0)</f>
        <v>0</v>
      </c>
      <c r="FB12" s="9">
        <f>IF(FA12&gt;0,IF(FB1=Assum!$D$88,0,FA15+(FA16*(1-Assum!$B$99))),0)</f>
        <v>0</v>
      </c>
      <c r="FC12" s="9">
        <f>IF(FB12&gt;0,IF(FC1=Assum!$D$88,0,FB15+(FB16*(1-Assum!$B$99))),0)</f>
        <v>0</v>
      </c>
      <c r="FD12" s="9">
        <f>IF(FC12&gt;0,IF(FD1=Assum!$D$88,0,FC15+(FC16*(1-Assum!$B$99))),0)</f>
        <v>0</v>
      </c>
      <c r="FE12" s="9">
        <f>IF(FD12&gt;0,IF(FE1=Assum!$D$88,0,FD15+(FD16*(1-Assum!$B$99))),0)</f>
        <v>0</v>
      </c>
      <c r="FF12" s="9">
        <f>IF(FE12&gt;0,IF(FF1=Assum!$D$88,0,FE15+(FE16*(1-Assum!$B$99))),0)</f>
        <v>0</v>
      </c>
      <c r="FG12" s="9">
        <f>IF(FF12&gt;0,IF(FG1=Assum!$D$88,0,FF15+(FF16*(1-Assum!$B$99))),0)</f>
        <v>0</v>
      </c>
      <c r="FH12" s="9">
        <f>IF(FG12&gt;0,IF(FH1=Assum!$D$88,0,FG15+(FG16*(1-Assum!$B$99))),0)</f>
        <v>0</v>
      </c>
      <c r="FI12" s="9">
        <f>IF(FH12&gt;0,IF(FI1=Assum!$D$88,0,FH15+(FH16*(1-Assum!$B$99))),0)</f>
        <v>0</v>
      </c>
      <c r="FJ12" s="9">
        <f>IF(FI12&gt;0,IF(FJ1=Assum!$D$88,0,FI15+(FI16*(1-Assum!$B$99))),0)</f>
        <v>0</v>
      </c>
      <c r="FK12" s="9">
        <f>IF(FJ12&gt;0,IF(FK1=Assum!$D$88,0,FJ15+(FJ16*(1-Assum!$B$99))),0)</f>
        <v>0</v>
      </c>
      <c r="FL12" s="9">
        <f>IF(FK12&gt;0,IF(FL1=Assum!$D$88,0,FK15+(FK16*(1-Assum!$B$99))),0)</f>
        <v>0</v>
      </c>
      <c r="FM12" s="9">
        <f>IF(FL12&gt;0,IF(FM1=Assum!$D$88,0,FL15+(FL16*(1-Assum!$B$99))),0)</f>
        <v>0</v>
      </c>
      <c r="FN12" s="9">
        <f>IF(FM12&gt;0,IF(FN1=Assum!$D$88,0,FM15+(FM16*(1-Assum!$B$99))),0)</f>
        <v>0</v>
      </c>
      <c r="FO12" s="9">
        <f>IF(FN12&gt;0,IF(FO1=Assum!$D$88,0,FN15+(FN16*(1-Assum!$B$99))),0)</f>
        <v>0</v>
      </c>
      <c r="FP12" s="9">
        <f>IF(FO12&gt;0,IF(FP1=Assum!$D$88,0,FO15+(FO16*(1-Assum!$B$99))),0)</f>
        <v>0</v>
      </c>
      <c r="FQ12" s="9">
        <f>IF(FP12&gt;0,IF(FQ1=Assum!$D$88,0,FP15+(FP16*(1-Assum!$B$99))),0)</f>
        <v>0</v>
      </c>
      <c r="FR12" s="9">
        <f>IF(FQ12&gt;0,IF(FR1=Assum!$D$88,0,FQ15+(FQ16*(1-Assum!$B$99))),0)</f>
        <v>0</v>
      </c>
      <c r="FS12" s="9">
        <f>IF(FR12&gt;0,IF(FS1=Assum!$D$88,0,FR15+(FR16*(1-Assum!$B$99))),0)</f>
        <v>0</v>
      </c>
      <c r="FT12" s="9">
        <f>IF(FS12&gt;0,IF(FT1=Assum!$D$88,0,FS15+(FS16*(1-Assum!$B$99))),0)</f>
        <v>0</v>
      </c>
      <c r="FU12" s="9">
        <f>IF(FT12&gt;0,IF(FU1=Assum!$D$88,0,FT15+(FT16*(1-Assum!$B$99))),0)</f>
        <v>0</v>
      </c>
      <c r="FV12" s="9">
        <f>IF(FU12&gt;0,IF(FV1=Assum!$D$88,0,FU15+(FU16*(1-Assum!$B$99))),0)</f>
        <v>0</v>
      </c>
      <c r="FW12" s="9">
        <f>IF(FV12&gt;0,IF(FW1=Assum!$D$88,0,FV15+(FV16*(1-Assum!$B$99))),0)</f>
        <v>0</v>
      </c>
      <c r="FX12" s="9">
        <f>IF(FW12&gt;0,IF(FX1=Assum!$D$88,0,FW15+(FW16*(1-Assum!$B$99))),0)</f>
        <v>0</v>
      </c>
      <c r="FY12" s="9">
        <f>IF(FX12&gt;0,IF(FY1=Assum!$D$88,0,FX15+(FX16*(1-Assum!$B$99))),0)</f>
        <v>0</v>
      </c>
      <c r="FZ12" s="9">
        <f>IF(FY12&gt;0,IF(FZ1=Assum!$D$88,0,FY15+(FY16*(1-Assum!$B$99))),0)</f>
        <v>0</v>
      </c>
      <c r="GA12" s="9">
        <f>IF(FZ12&gt;0,IF(GA1=Assum!$D$88,0,FZ15+(FZ16*(1-Assum!$B$99))),0)</f>
        <v>0</v>
      </c>
      <c r="GB12" s="9">
        <f>IF(GA12&gt;0,IF(GB1=Assum!$D$88,0,GA15+(GA16*(1-Assum!$B$99))),0)</f>
        <v>0</v>
      </c>
      <c r="GC12" s="9">
        <f>IF(GB12&gt;0,IF(GC1=Assum!$D$88,0,GB15+(GB16*(1-Assum!$B$99))),0)</f>
        <v>0</v>
      </c>
      <c r="GD12" s="9">
        <f>IF(GC12&gt;0,IF(GD1=Assum!$D$88,0,GC15+(GC16*(1-Assum!$B$99))),0)</f>
        <v>0</v>
      </c>
      <c r="GE12" s="9">
        <f>IF(GD12&gt;0,IF(GE1=Assum!$D$88,0,GD15+(GD16*(1-Assum!$B$99))),0)</f>
        <v>0</v>
      </c>
      <c r="GF12" s="9">
        <f>IF(GE12&gt;0,IF(GF1=Assum!$D$88,0,GE15+(GE16*(1-Assum!$B$99))),0)</f>
        <v>0</v>
      </c>
      <c r="GG12" s="9">
        <f>IF(GF12&gt;0,IF(GG1=Assum!$D$88,0,GF15+(GF16*(1-Assum!$B$99))),0)</f>
        <v>0</v>
      </c>
      <c r="GH12" s="9">
        <f>IF(GG12&gt;0,IF(GH1=Assum!$D$88,0,GG15+(GG16*(1-Assum!$B$99))),0)</f>
        <v>0</v>
      </c>
      <c r="GI12" s="9">
        <f>IF(GH12&gt;0,IF(GI1=Assum!$D$88,0,GH15+(GH16*(1-Assum!$B$99))),0)</f>
        <v>0</v>
      </c>
      <c r="GJ12" s="9">
        <f>IF(GI12&gt;0,IF(GJ1=Assum!$D$88,0,GI15+(GI16*(1-Assum!$B$99))),0)</f>
        <v>0</v>
      </c>
      <c r="GK12" s="9">
        <f>IF(GJ12&gt;0,IF(GK1=Assum!$D$88,0,GJ15+(GJ16*(1-Assum!$B$99))),0)</f>
        <v>0</v>
      </c>
      <c r="GL12" s="9">
        <f>IF(GK12&gt;0,IF(GL1=Assum!$D$88,0,GK15+(GK16*(1-Assum!$B$99))),0)</f>
        <v>0</v>
      </c>
      <c r="GM12" s="9">
        <f>IF(GL12&gt;0,IF(GM1=Assum!$D$88,0,GL15+(GL16*(1-Assum!$B$99))),0)</f>
        <v>0</v>
      </c>
      <c r="GN12" s="9">
        <f>IF(GM12&gt;0,IF(GN1=Assum!$D$88,0,GM15+(GM16*(1-Assum!$B$99))),0)</f>
        <v>0</v>
      </c>
      <c r="GO12" s="9">
        <f>IF(GN12&gt;0,IF(GO1=Assum!$D$88,0,GN15+(GN16*(1-Assum!$B$99))),0)</f>
        <v>0</v>
      </c>
      <c r="GP12" s="9">
        <f>IF(GO12&gt;0,IF(GP1=Assum!$D$88,0,GO15+(GO16*(1-Assum!$B$99))),0)</f>
        <v>0</v>
      </c>
      <c r="GQ12" s="9">
        <f>IF(GP12&gt;0,IF(GQ1=Assum!$D$88,0,GP15+(GP16*(1-Assum!$B$99))),0)</f>
        <v>0</v>
      </c>
      <c r="GR12" s="9">
        <f>IF(GQ12&gt;0,IF(GR1=Assum!$D$88,0,GQ15+(GQ16*(1-Assum!$B$99))),0)</f>
        <v>0</v>
      </c>
      <c r="GS12" s="9">
        <f>IF(GR12&gt;0,IF(GS1=Assum!$D$88,0,GR15+(GR16*(1-Assum!$B$99))),0)</f>
        <v>0</v>
      </c>
      <c r="GT12" s="9">
        <f>IF(GS12&gt;0,IF(GT1=Assum!$D$88,0,GS15+(GS16*(1-Assum!$B$99))),0)</f>
        <v>0</v>
      </c>
      <c r="GU12" s="9">
        <f>IF(GT12&gt;0,IF(GU1=Assum!$D$88,0,GT15+(GT16*(1-Assum!$B$99))),0)</f>
        <v>0</v>
      </c>
      <c r="GV12" s="9">
        <f>IF(GU12&gt;0,IF(GV1=Assum!$D$88,0,GU15+(GU16*(1-Assum!$B$99))),0)</f>
        <v>0</v>
      </c>
      <c r="GW12" s="9">
        <f>IF(GV12&gt;0,IF(GW1=Assum!$D$88,0,GV15+(GV16*(1-Assum!$B$99))),0)</f>
        <v>0</v>
      </c>
      <c r="GX12" s="9">
        <f>IF(GW12&gt;0,IF(GX1=Assum!$D$88,0,GW15+(GW16*(1-Assum!$B$99))),0)</f>
        <v>0</v>
      </c>
      <c r="GY12" s="9">
        <f>IF(GX12&gt;0,IF(GY1=Assum!$D$88,0,GX15+(GX16*(1-Assum!$B$99))),0)</f>
        <v>0</v>
      </c>
      <c r="GZ12" s="9">
        <f>IF(GY12&gt;0,IF(GZ1=Assum!$D$88,0,GY15+(GY16*(1-Assum!$B$99))),0)</f>
        <v>0</v>
      </c>
      <c r="HA12" s="9">
        <f>IF(GZ12&gt;0,IF(HA1=Assum!$D$88,0,GZ15+(GZ16*(1-Assum!$B$99))),0)</f>
        <v>0</v>
      </c>
      <c r="HB12" s="9">
        <f>IF(HA12&gt;0,IF(HB1=Assum!$D$88,0,HA15+(HA16*(1-Assum!$B$99))),0)</f>
        <v>0</v>
      </c>
      <c r="HC12" s="9">
        <f>IF(HB12&gt;0,IF(HC1=Assum!$D$88,0,HB15+(HB16*(1-Assum!$B$99))),0)</f>
        <v>0</v>
      </c>
      <c r="HD12" s="9">
        <f>IF(HC12&gt;0,IF(HD1=Assum!$D$88,0,HC15+(HC16*(1-Assum!$B$99))),0)</f>
        <v>0</v>
      </c>
      <c r="HE12" s="9">
        <f>IF(HD12&gt;0,IF(HE1=Assum!$D$88,0,HD15+(HD16*(1-Assum!$B$99))),0)</f>
        <v>0</v>
      </c>
      <c r="HF12" s="9">
        <f>IF(HE12&gt;0,IF(HF1=Assum!$D$88,0,HE15+(HE16*(1-Assum!$B$99))),0)</f>
        <v>0</v>
      </c>
      <c r="HG12" s="9">
        <f>IF(HF12&gt;0,IF(HG1=Assum!$D$88,0,HF15+(HF16*(1-Assum!$B$99))),0)</f>
        <v>0</v>
      </c>
      <c r="HH12" s="9">
        <f>IF(HG12&gt;0,IF(HH1=Assum!$D$88,0,HG15+(HG16*(1-Assum!$B$99))),0)</f>
        <v>0</v>
      </c>
      <c r="HI12" s="9">
        <f>IF(HH12&gt;0,IF(HI1=Assum!$D$88,0,HH15+(HH16*(1-Assum!$B$99))),0)</f>
        <v>0</v>
      </c>
      <c r="HJ12" s="9">
        <f>IF(HI12&gt;0,IF(HJ1=Assum!$D$88,0,HI15+(HI16*(1-Assum!$B$99))),0)</f>
        <v>0</v>
      </c>
      <c r="HK12" s="9">
        <f>IF(HJ12&gt;0,IF(HK1=Assum!$D$88,0,HJ15+(HJ16*(1-Assum!$B$99))),0)</f>
        <v>0</v>
      </c>
      <c r="HL12" s="9">
        <f>IF(HK12&gt;0,IF(HL1=Assum!$D$88,0,HK15+(HK16*(1-Assum!$B$99))),0)</f>
        <v>0</v>
      </c>
      <c r="HM12" s="9">
        <f>IF(HL12&gt;0,IF(HM1=Assum!$D$88,0,HL15+(HL16*(1-Assum!$B$99))),0)</f>
        <v>0</v>
      </c>
      <c r="HN12" s="9">
        <f>IF(HM12&gt;0,IF(HN1=Assum!$D$88,0,HM15+(HM16*(1-Assum!$B$99))),0)</f>
        <v>0</v>
      </c>
      <c r="HO12" s="9">
        <f>IF(HN12&gt;0,IF(HO1=Assum!$D$88,0,HN15+(HN16*(1-Assum!$B$99))),0)</f>
        <v>0</v>
      </c>
      <c r="HP12" s="9">
        <f>IF(HO12&gt;0,IF(HP1=Assum!$D$88,0,HO15+(HO16*(1-Assum!$B$99))),0)</f>
        <v>0</v>
      </c>
      <c r="HQ12" s="9">
        <f>IF(HP12&gt;0,IF(HQ1=Assum!$D$88,0,HP15+(HP16*(1-Assum!$B$99))),0)</f>
        <v>0</v>
      </c>
      <c r="HR12" s="9">
        <f>IF(HQ12&gt;0,IF(HR1=Assum!$D$88,0,HQ15+(HQ16*(1-Assum!$B$99))),0)</f>
        <v>0</v>
      </c>
      <c r="HS12" s="9">
        <f>IF(HR12&gt;0,IF(HS1=Assum!$D$88,0,HR15+(HR16*(1-Assum!$B$99))),0)</f>
        <v>0</v>
      </c>
      <c r="HT12" s="9">
        <f>IF(HS12&gt;0,IF(HT1=Assum!$D$88,0,HS15+(HS16*(1-Assum!$B$99))),0)</f>
        <v>0</v>
      </c>
      <c r="HU12" s="9">
        <f>IF(HT12&gt;0,IF(HU1=Assum!$D$88,0,HT15+(HT16*(1-Assum!$B$99))),0)</f>
        <v>0</v>
      </c>
      <c r="HV12" s="9">
        <f>IF(HU12&gt;0,IF(HV1=Assum!$D$88,0,HU15+(HU16*(1-Assum!$B$99))),0)</f>
        <v>0</v>
      </c>
      <c r="HW12" s="9">
        <f>IF(HV12&gt;0,IF(HW1=Assum!$D$88,0,HV15+(HV16*(1-Assum!$B$99))),0)</f>
        <v>0</v>
      </c>
      <c r="HX12" s="9">
        <f>IF(HW12&gt;0,IF(HX1=Assum!$D$88,0,HW15+(HW16*(1-Assum!$B$99))),0)</f>
        <v>0</v>
      </c>
      <c r="HY12" s="9">
        <f>IF(HX12&gt;0,IF(HY1=Assum!$D$88,0,HX15+(HX16*(1-Assum!$B$99))),0)</f>
        <v>0</v>
      </c>
      <c r="HZ12" s="9">
        <f>IF(HY12&gt;0,IF(HZ1=Assum!$D$88,0,HY15+(HY16*(1-Assum!$B$99))),0)</f>
        <v>0</v>
      </c>
      <c r="IA12" s="9">
        <f>IF(HZ12&gt;0,IF(IA1=Assum!$D$88,0,HZ15+(HZ16*(1-Assum!$B$99))),0)</f>
        <v>0</v>
      </c>
      <c r="IB12" s="9">
        <f>IF(IA12&gt;0,IF(IB1=Assum!$D$88,0,IA15+(IA16*(1-Assum!$B$99))),0)</f>
        <v>0</v>
      </c>
      <c r="IC12" s="9">
        <f>IF(IB12&gt;0,IF(IC1=Assum!$D$88,0,IB15+(IB16*(1-Assum!$B$99))),0)</f>
        <v>0</v>
      </c>
      <c r="ID12" s="9">
        <f>IF(IC12&gt;0,IF(ID1=Assum!$D$88,0,IC15+(IC16*(1-Assum!$B$99))),0)</f>
        <v>0</v>
      </c>
      <c r="IE12" s="9">
        <f>IF(ID12&gt;0,IF(IE1=Assum!$D$88,0,ID15+(ID16*(1-Assum!$B$99))),0)</f>
        <v>0</v>
      </c>
      <c r="IF12" s="9">
        <f>IF(IE12&gt;0,IF(IF1=Assum!$D$88,0,IE15+(IE16*(1-Assum!$B$99))),0)</f>
        <v>0</v>
      </c>
      <c r="IG12" s="9">
        <f>IF(IF12&gt;0,IF(IG1=Assum!$D$88,0,IF15+(IF16*(1-Assum!$B$99))),0)</f>
        <v>0</v>
      </c>
      <c r="IH12" s="9">
        <f>IF(IG12&gt;0,IF(IH1=Assum!$D$88,0,IG15+(IG16*(1-Assum!$B$99))),0)</f>
        <v>0</v>
      </c>
      <c r="II12" s="9">
        <f>IF(IH12&gt;0,IF(II1=Assum!$D$88,0,IH15+(IH16*(1-Assum!$B$99))),0)</f>
        <v>0</v>
      </c>
      <c r="IJ12" s="9">
        <f>IF(II12&gt;0,IF(IJ1=Assum!$D$88,0,II15+(II16*(1-Assum!$B$99))),0)</f>
        <v>0</v>
      </c>
      <c r="IK12" s="9">
        <f>IF(IJ12&gt;0,IF(IK1=Assum!$D$88,0,IJ15+(IJ16*(1-Assum!$B$99))),0)</f>
        <v>0</v>
      </c>
      <c r="IL12" s="9">
        <f>IF(IK12&gt;0,IF(IL1=Assum!$D$88,0,IK15+(IK16*(1-Assum!$B$99))),0)</f>
        <v>0</v>
      </c>
      <c r="IM12" s="9">
        <f>IF(IL12&gt;0,IF(IM1=Assum!$D$88,0,IL15+(IL16*(1-Assum!$B$99))),0)</f>
        <v>0</v>
      </c>
      <c r="IN12" s="9">
        <f>IF(IM12&gt;0,IF(IN1=Assum!$D$88,0,IM15+(IM16*(1-Assum!$B$99))),0)</f>
        <v>0</v>
      </c>
      <c r="IO12" s="9">
        <f>IF(IN12&gt;0,IF(IO1=Assum!$D$88,0,IN15+(IN16*(1-Assum!$B$99))),0)</f>
        <v>0</v>
      </c>
      <c r="IP12" s="9">
        <f>IF(IO12&gt;0,IF(IP1=Assum!$D$88,0,IO15+(IO16*(1-Assum!$B$99))),0)</f>
        <v>0</v>
      </c>
      <c r="IQ12" s="9">
        <f>IF(IP12&gt;0,IF(IQ1=Assum!$D$88,0,IP15+(IP16*(1-Assum!$B$99))),0)</f>
        <v>0</v>
      </c>
      <c r="IR12" s="9">
        <f>IF(IQ12&gt;0,IF(IR1=Assum!$D$88,0,IQ15+(IQ16*(1-Assum!$B$99))),0)</f>
        <v>0</v>
      </c>
      <c r="IS12" s="9">
        <f>IF(IR12&gt;0,IF(IS1=Assum!$D$88,0,IR15+(IR16*(1-Assum!$B$99))),0)</f>
        <v>0</v>
      </c>
      <c r="IT12" s="9">
        <f>IF(IS12&gt;0,IF(IT1=Assum!$D$88,0,IS15+(IS16*(1-Assum!$B$99))),0)</f>
        <v>0</v>
      </c>
      <c r="IU12" s="9">
        <f>IF(IT12&gt;0,IF(IU1=Assum!$D$88,0,IT15+(IT16*(1-Assum!$B$99))),0)</f>
        <v>0</v>
      </c>
      <c r="IV12" s="9">
        <f>IF(IU12&gt;0,IF(IV1=Assum!$D$88,0,IU15+(IU16*(1-Assum!$B$99))),0)</f>
        <v>0</v>
      </c>
      <c r="IW12" s="9">
        <f>IF(IV12&gt;0,IF(IW1=Assum!$D$88,0,IV15+(IV16*(1-Assum!$B$99))),0)</f>
        <v>0</v>
      </c>
      <c r="IX12" s="9">
        <f>IF(IW12&gt;0,IF(IX1=Assum!$D$88,0,IW15+(IW16*(1-Assum!$B$99))),0)</f>
        <v>0</v>
      </c>
      <c r="IY12" s="9">
        <f>IF(IX12&gt;0,IF(IY1=Assum!$D$88,0,IX15+(IX16*(1-Assum!$B$99))),0)</f>
        <v>0</v>
      </c>
      <c r="IZ12" s="9">
        <f>IF(IY12&gt;0,IF(IZ1=Assum!$D$88,0,IY15+(IY16*(1-Assum!$B$99))),0)</f>
        <v>0</v>
      </c>
      <c r="JA12" s="9">
        <f>IF(IZ12&gt;0,IF(JA1=Assum!$D$88,0,IZ15+(IZ16*(1-Assum!$B$99))),0)</f>
        <v>0</v>
      </c>
      <c r="JB12" s="9">
        <f>IF(JA12&gt;0,IF(JB1=Assum!$D$88,0,JA15+(JA16*(1-Assum!$B$99))),0)</f>
        <v>0</v>
      </c>
      <c r="JC12" s="9">
        <f>IF(JB12&gt;0,IF(JC1=Assum!$D$88,0,JB15+(JB16*(1-Assum!$B$99))),0)</f>
        <v>0</v>
      </c>
      <c r="JD12" s="9">
        <f>IF(JC12&gt;0,IF(JD1=Assum!$D$88,0,JC15+(JC16*(1-Assum!$B$99))),0)</f>
        <v>0</v>
      </c>
      <c r="JE12" s="9">
        <f>IF(JD12&gt;0,IF(JE1=Assum!$D$88,0,JD15+(JD16*(1-Assum!$B$99))),0)</f>
        <v>0</v>
      </c>
      <c r="JF12" s="9">
        <f>IF(JE12&gt;0,IF(JF1=Assum!$D$88,0,JE15+(JE16*(1-Assum!$B$99))),0)</f>
        <v>0</v>
      </c>
      <c r="JG12" s="9">
        <f>IF(JF12&gt;0,IF(JG1=Assum!$D$88,0,JF15+(JF16*(1-Assum!$B$99))),0)</f>
        <v>0</v>
      </c>
      <c r="JH12" s="9">
        <f>IF(JG12&gt;0,IF(JH1=Assum!$D$88,0,JG15+(JG16*(1-Assum!$B$99))),0)</f>
        <v>0</v>
      </c>
      <c r="JI12" s="9">
        <f>IF(JH12&gt;0,IF(JI1=Assum!$D$88,0,JH15+(JH16*(1-Assum!$B$99))),0)</f>
        <v>0</v>
      </c>
      <c r="JJ12" s="9">
        <f>IF(JI12&gt;0,IF(JJ1=Assum!$D$88,0,JI15+(JI16*(1-Assum!$B$99))),0)</f>
        <v>0</v>
      </c>
      <c r="JK12" s="9">
        <f>IF(JJ12&gt;0,IF(JK1=Assum!$D$88,0,JJ15+(JJ16*(1-Assum!$B$99))),0)</f>
        <v>0</v>
      </c>
      <c r="JL12" s="9">
        <f>IF(JK12&gt;0,IF(JL1=Assum!$D$88,0,JK15+(JK16*(1-Assum!$B$99))),0)</f>
        <v>0</v>
      </c>
      <c r="JM12" s="9">
        <f>IF(JL12&gt;0,IF(JM1=Assum!$D$88,0,JL15+(JL16*(1-Assum!$B$99))),0)</f>
        <v>0</v>
      </c>
      <c r="JN12" s="9">
        <f>IF(JM12&gt;0,IF(JN1=Assum!$D$88,0,JM15+(JM16*(1-Assum!$B$99))),0)</f>
        <v>0</v>
      </c>
      <c r="JO12" s="9">
        <f>IF(JN12&gt;0,IF(JO1=Assum!$D$88,0,JN15+(JN16*(1-Assum!$B$99))),0)</f>
        <v>0</v>
      </c>
      <c r="JP12" s="9">
        <f>IF(JO12&gt;0,IF(JP1=Assum!$D$88,0,JO15+(JO16*(1-Assum!$B$99))),0)</f>
        <v>0</v>
      </c>
      <c r="JQ12" s="9">
        <f>IF(JP12&gt;0,IF(JQ1=Assum!$D$88,0,JP15+(JP16*(1-Assum!$B$99))),0)</f>
        <v>0</v>
      </c>
      <c r="JR12" s="9">
        <f>IF(JQ12&gt;0,IF(JR1=Assum!$D$88,0,JQ15+(JQ16*(1-Assum!$B$99))),0)</f>
        <v>0</v>
      </c>
      <c r="JS12" s="9">
        <f>IF(JR12&gt;0,IF(JS1=Assum!$D$88,0,JR15+(JR16*(1-Assum!$B$99))),0)</f>
        <v>0</v>
      </c>
      <c r="JT12" s="9">
        <f>IF(JS12&gt;0,IF(JT1=Assum!$D$88,0,JS15+(JS16*(1-Assum!$B$99))),0)</f>
        <v>0</v>
      </c>
      <c r="JU12" s="9">
        <f>IF(JT12&gt;0,IF(JU1=Assum!$D$88,0,JT15+(JT16*(1-Assum!$B$99))),0)</f>
        <v>0</v>
      </c>
    </row>
    <row r="13" spans="1:310">
      <c r="A13" t="s">
        <v>188</v>
      </c>
    </row>
    <row r="14" spans="1:310">
      <c r="A14" t="s">
        <v>250</v>
      </c>
    </row>
    <row r="15" spans="1:310">
      <c r="A15" t="s">
        <v>251</v>
      </c>
      <c r="D15" s="9">
        <f>D12+D13-D14</f>
        <v>107.18</v>
      </c>
      <c r="E15" s="9">
        <f t="shared" ref="E15:BP15" si="40">E12+E13-E14</f>
        <v>108.38641636975285</v>
      </c>
      <c r="F15" s="9">
        <f t="shared" si="40"/>
        <v>109.64707866868513</v>
      </c>
      <c r="G15" s="9">
        <f t="shared" si="40"/>
        <v>110.88126443656607</v>
      </c>
      <c r="H15" s="9">
        <f t="shared" si="40"/>
        <v>112.17094477119635</v>
      </c>
      <c r="I15" s="9">
        <f t="shared" si="40"/>
        <v>113.47562561446966</v>
      </c>
      <c r="J15" s="9">
        <f t="shared" si="40"/>
        <v>114.75290544568109</v>
      </c>
      <c r="K15" s="9">
        <f t="shared" si="40"/>
        <v>116.08761754737839</v>
      </c>
      <c r="L15" s="9">
        <f t="shared" si="40"/>
        <v>117.39429791810767</v>
      </c>
      <c r="M15" s="9">
        <f t="shared" si="40"/>
        <v>118.75973254037721</v>
      </c>
      <c r="N15" s="9">
        <f t="shared" si="40"/>
        <v>120.14104878331109</v>
      </c>
      <c r="O15" s="9">
        <f t="shared" si="40"/>
        <v>121.4032007961496</v>
      </c>
      <c r="P15" s="9">
        <f t="shared" si="40"/>
        <v>0</v>
      </c>
      <c r="Q15" s="9">
        <f t="shared" si="40"/>
        <v>0</v>
      </c>
      <c r="R15" s="9">
        <f t="shared" si="40"/>
        <v>0</v>
      </c>
      <c r="S15" s="9">
        <f t="shared" si="40"/>
        <v>0</v>
      </c>
      <c r="T15" s="9">
        <f t="shared" si="40"/>
        <v>0</v>
      </c>
      <c r="U15" s="9">
        <f t="shared" si="40"/>
        <v>0</v>
      </c>
      <c r="V15" s="9">
        <f t="shared" si="40"/>
        <v>0</v>
      </c>
      <c r="W15" s="9">
        <f t="shared" si="40"/>
        <v>0</v>
      </c>
      <c r="X15" s="9">
        <f t="shared" si="40"/>
        <v>0</v>
      </c>
      <c r="Y15" s="9">
        <f t="shared" si="40"/>
        <v>0</v>
      </c>
      <c r="Z15" s="9">
        <f t="shared" si="40"/>
        <v>0</v>
      </c>
      <c r="AA15" s="9">
        <f t="shared" si="40"/>
        <v>0</v>
      </c>
      <c r="AB15" s="9">
        <f t="shared" si="40"/>
        <v>0</v>
      </c>
      <c r="AC15" s="9">
        <f t="shared" si="40"/>
        <v>0</v>
      </c>
      <c r="AD15" s="9">
        <f t="shared" si="40"/>
        <v>0</v>
      </c>
      <c r="AE15" s="9">
        <f t="shared" si="40"/>
        <v>0</v>
      </c>
      <c r="AF15" s="9">
        <f t="shared" si="40"/>
        <v>0</v>
      </c>
      <c r="AG15" s="9">
        <f t="shared" si="40"/>
        <v>0</v>
      </c>
      <c r="AH15" s="9">
        <f t="shared" si="40"/>
        <v>0</v>
      </c>
      <c r="AI15" s="9">
        <f t="shared" si="40"/>
        <v>0</v>
      </c>
      <c r="AJ15" s="9">
        <f t="shared" si="40"/>
        <v>0</v>
      </c>
      <c r="AK15" s="9">
        <f t="shared" si="40"/>
        <v>0</v>
      </c>
      <c r="AL15" s="9">
        <f t="shared" si="40"/>
        <v>0</v>
      </c>
      <c r="AM15" s="9">
        <f t="shared" si="40"/>
        <v>0</v>
      </c>
      <c r="AN15" s="9">
        <f t="shared" si="40"/>
        <v>0</v>
      </c>
      <c r="AO15" s="9">
        <f t="shared" si="40"/>
        <v>0</v>
      </c>
      <c r="AP15" s="9">
        <f t="shared" si="40"/>
        <v>0</v>
      </c>
      <c r="AQ15" s="9">
        <f t="shared" si="40"/>
        <v>0</v>
      </c>
      <c r="AR15" s="9">
        <f t="shared" si="40"/>
        <v>0</v>
      </c>
      <c r="AS15" s="9">
        <f t="shared" si="40"/>
        <v>0</v>
      </c>
      <c r="AT15" s="9">
        <f t="shared" si="40"/>
        <v>0</v>
      </c>
      <c r="AU15" s="9">
        <f t="shared" si="40"/>
        <v>0</v>
      </c>
      <c r="AV15" s="9">
        <f t="shared" si="40"/>
        <v>0</v>
      </c>
      <c r="AW15" s="9">
        <f t="shared" si="40"/>
        <v>0</v>
      </c>
      <c r="AX15" s="9">
        <f t="shared" si="40"/>
        <v>0</v>
      </c>
      <c r="AY15" s="9">
        <f t="shared" si="40"/>
        <v>0</v>
      </c>
      <c r="AZ15" s="9">
        <f t="shared" si="40"/>
        <v>0</v>
      </c>
      <c r="BA15" s="9">
        <f t="shared" si="40"/>
        <v>0</v>
      </c>
      <c r="BB15" s="9">
        <f t="shared" si="40"/>
        <v>0</v>
      </c>
      <c r="BC15" s="9">
        <f t="shared" si="40"/>
        <v>0</v>
      </c>
      <c r="BD15" s="9">
        <f t="shared" si="40"/>
        <v>0</v>
      </c>
      <c r="BE15" s="9">
        <f t="shared" si="40"/>
        <v>0</v>
      </c>
      <c r="BF15" s="9">
        <f t="shared" si="40"/>
        <v>0</v>
      </c>
      <c r="BG15" s="9">
        <f t="shared" si="40"/>
        <v>0</v>
      </c>
      <c r="BH15" s="9">
        <f t="shared" si="40"/>
        <v>0</v>
      </c>
      <c r="BI15" s="9">
        <f t="shared" si="40"/>
        <v>0</v>
      </c>
      <c r="BJ15" s="9">
        <f t="shared" si="40"/>
        <v>0</v>
      </c>
      <c r="BK15" s="9">
        <f t="shared" si="40"/>
        <v>0</v>
      </c>
      <c r="BL15" s="9">
        <f t="shared" si="40"/>
        <v>0</v>
      </c>
      <c r="BM15" s="9">
        <f t="shared" si="40"/>
        <v>0</v>
      </c>
      <c r="BN15" s="9">
        <f t="shared" si="40"/>
        <v>0</v>
      </c>
      <c r="BO15" s="9">
        <f t="shared" si="40"/>
        <v>0</v>
      </c>
      <c r="BP15" s="9">
        <f t="shared" si="40"/>
        <v>0</v>
      </c>
      <c r="BQ15" s="9">
        <f t="shared" ref="BQ15:EB15" si="41">BQ12+BQ13-BQ14</f>
        <v>0</v>
      </c>
      <c r="BR15" s="9">
        <f t="shared" si="41"/>
        <v>0</v>
      </c>
      <c r="BS15" s="9">
        <f t="shared" si="41"/>
        <v>0</v>
      </c>
      <c r="BT15" s="9">
        <f t="shared" si="41"/>
        <v>0</v>
      </c>
      <c r="BU15" s="9">
        <f t="shared" si="41"/>
        <v>0</v>
      </c>
      <c r="BV15" s="9">
        <f t="shared" si="41"/>
        <v>0</v>
      </c>
      <c r="BW15" s="9">
        <f t="shared" si="41"/>
        <v>0</v>
      </c>
      <c r="BX15" s="9">
        <f t="shared" si="41"/>
        <v>0</v>
      </c>
      <c r="BY15" s="9">
        <f t="shared" si="41"/>
        <v>0</v>
      </c>
      <c r="BZ15" s="9">
        <f t="shared" si="41"/>
        <v>0</v>
      </c>
      <c r="CA15" s="9">
        <f t="shared" si="41"/>
        <v>0</v>
      </c>
      <c r="CB15" s="9">
        <f t="shared" si="41"/>
        <v>0</v>
      </c>
      <c r="CC15" s="9">
        <f t="shared" si="41"/>
        <v>0</v>
      </c>
      <c r="CD15" s="9">
        <f t="shared" si="41"/>
        <v>0</v>
      </c>
      <c r="CE15" s="9">
        <f t="shared" si="41"/>
        <v>0</v>
      </c>
      <c r="CF15" s="9">
        <f t="shared" si="41"/>
        <v>0</v>
      </c>
      <c r="CG15" s="9">
        <f t="shared" si="41"/>
        <v>0</v>
      </c>
      <c r="CH15" s="9">
        <f t="shared" si="41"/>
        <v>0</v>
      </c>
      <c r="CI15" s="9">
        <f t="shared" si="41"/>
        <v>0</v>
      </c>
      <c r="CJ15" s="9">
        <f t="shared" si="41"/>
        <v>0</v>
      </c>
      <c r="CK15" s="9">
        <f t="shared" si="41"/>
        <v>0</v>
      </c>
      <c r="CL15" s="9">
        <f t="shared" si="41"/>
        <v>0</v>
      </c>
      <c r="CM15" s="9">
        <f t="shared" si="41"/>
        <v>0</v>
      </c>
      <c r="CN15" s="9">
        <f t="shared" si="41"/>
        <v>0</v>
      </c>
      <c r="CO15" s="9">
        <f t="shared" si="41"/>
        <v>0</v>
      </c>
      <c r="CP15" s="9">
        <f t="shared" si="41"/>
        <v>0</v>
      </c>
      <c r="CQ15" s="9">
        <f t="shared" si="41"/>
        <v>0</v>
      </c>
      <c r="CR15" s="9">
        <f t="shared" si="41"/>
        <v>0</v>
      </c>
      <c r="CS15" s="9">
        <f t="shared" si="41"/>
        <v>0</v>
      </c>
      <c r="CT15" s="9">
        <f t="shared" si="41"/>
        <v>0</v>
      </c>
      <c r="CU15" s="9">
        <f t="shared" si="41"/>
        <v>0</v>
      </c>
      <c r="CV15" s="9">
        <f t="shared" si="41"/>
        <v>0</v>
      </c>
      <c r="CW15" s="9">
        <f t="shared" si="41"/>
        <v>0</v>
      </c>
      <c r="CX15" s="9">
        <f t="shared" si="41"/>
        <v>0</v>
      </c>
      <c r="CY15" s="9">
        <f t="shared" si="41"/>
        <v>0</v>
      </c>
      <c r="CZ15" s="9">
        <f t="shared" si="41"/>
        <v>0</v>
      </c>
      <c r="DA15" s="9">
        <f t="shared" si="41"/>
        <v>0</v>
      </c>
      <c r="DB15" s="9">
        <f t="shared" si="41"/>
        <v>0</v>
      </c>
      <c r="DC15" s="9">
        <f t="shared" si="41"/>
        <v>0</v>
      </c>
      <c r="DD15" s="9">
        <f t="shared" si="41"/>
        <v>0</v>
      </c>
      <c r="DE15" s="9">
        <f t="shared" si="41"/>
        <v>0</v>
      </c>
      <c r="DF15" s="9">
        <f t="shared" si="41"/>
        <v>0</v>
      </c>
      <c r="DG15" s="9">
        <f t="shared" si="41"/>
        <v>0</v>
      </c>
      <c r="DH15" s="9">
        <f t="shared" si="41"/>
        <v>0</v>
      </c>
      <c r="DI15" s="9">
        <f t="shared" si="41"/>
        <v>0</v>
      </c>
      <c r="DJ15" s="9">
        <f t="shared" si="41"/>
        <v>0</v>
      </c>
      <c r="DK15" s="9">
        <f t="shared" si="41"/>
        <v>0</v>
      </c>
      <c r="DL15" s="9">
        <f t="shared" si="41"/>
        <v>0</v>
      </c>
      <c r="DM15" s="9">
        <f t="shared" si="41"/>
        <v>0</v>
      </c>
      <c r="DN15" s="9">
        <f t="shared" si="41"/>
        <v>0</v>
      </c>
      <c r="DO15" s="9">
        <f t="shared" si="41"/>
        <v>0</v>
      </c>
      <c r="DP15" s="9">
        <f t="shared" si="41"/>
        <v>0</v>
      </c>
      <c r="DQ15" s="9">
        <f t="shared" si="41"/>
        <v>0</v>
      </c>
      <c r="DR15" s="9">
        <f t="shared" si="41"/>
        <v>0</v>
      </c>
      <c r="DS15" s="9">
        <f t="shared" si="41"/>
        <v>0</v>
      </c>
      <c r="DT15" s="9">
        <f t="shared" si="41"/>
        <v>0</v>
      </c>
      <c r="DU15" s="9">
        <f t="shared" si="41"/>
        <v>0</v>
      </c>
      <c r="DV15" s="9">
        <f t="shared" si="41"/>
        <v>0</v>
      </c>
      <c r="DW15" s="9">
        <f t="shared" si="41"/>
        <v>0</v>
      </c>
      <c r="DX15" s="9">
        <f t="shared" si="41"/>
        <v>0</v>
      </c>
      <c r="DY15" s="9">
        <f t="shared" si="41"/>
        <v>0</v>
      </c>
      <c r="DZ15" s="9">
        <f t="shared" si="41"/>
        <v>0</v>
      </c>
      <c r="EA15" s="9">
        <f t="shared" si="41"/>
        <v>0</v>
      </c>
      <c r="EB15" s="9">
        <f t="shared" si="41"/>
        <v>0</v>
      </c>
      <c r="EC15" s="9">
        <f t="shared" ref="EC15:GN15" si="42">EC12+EC13-EC14</f>
        <v>0</v>
      </c>
      <c r="ED15" s="9">
        <f t="shared" si="42"/>
        <v>0</v>
      </c>
      <c r="EE15" s="9">
        <f t="shared" si="42"/>
        <v>0</v>
      </c>
      <c r="EF15" s="9">
        <f t="shared" si="42"/>
        <v>0</v>
      </c>
      <c r="EG15" s="9">
        <f t="shared" si="42"/>
        <v>0</v>
      </c>
      <c r="EH15" s="9">
        <f t="shared" si="42"/>
        <v>0</v>
      </c>
      <c r="EI15" s="9">
        <f t="shared" si="42"/>
        <v>0</v>
      </c>
      <c r="EJ15" s="9">
        <f t="shared" si="42"/>
        <v>0</v>
      </c>
      <c r="EK15" s="9">
        <f t="shared" si="42"/>
        <v>0</v>
      </c>
      <c r="EL15" s="9">
        <f t="shared" si="42"/>
        <v>0</v>
      </c>
      <c r="EM15" s="9">
        <f t="shared" si="42"/>
        <v>0</v>
      </c>
      <c r="EN15" s="9">
        <f t="shared" si="42"/>
        <v>0</v>
      </c>
      <c r="EO15" s="9">
        <f t="shared" si="42"/>
        <v>0</v>
      </c>
      <c r="EP15" s="9">
        <f t="shared" si="42"/>
        <v>0</v>
      </c>
      <c r="EQ15" s="9">
        <f t="shared" si="42"/>
        <v>0</v>
      </c>
      <c r="ER15" s="9">
        <f t="shared" si="42"/>
        <v>0</v>
      </c>
      <c r="ES15" s="9">
        <f t="shared" si="42"/>
        <v>0</v>
      </c>
      <c r="ET15" s="9">
        <f t="shared" si="42"/>
        <v>0</v>
      </c>
      <c r="EU15" s="9">
        <f t="shared" si="42"/>
        <v>0</v>
      </c>
      <c r="EV15" s="9">
        <f t="shared" si="42"/>
        <v>0</v>
      </c>
      <c r="EW15" s="9">
        <f t="shared" si="42"/>
        <v>0</v>
      </c>
      <c r="EX15" s="9">
        <f t="shared" si="42"/>
        <v>0</v>
      </c>
      <c r="EY15" s="9">
        <f t="shared" si="42"/>
        <v>0</v>
      </c>
      <c r="EZ15" s="9">
        <f t="shared" si="42"/>
        <v>0</v>
      </c>
      <c r="FA15" s="9">
        <f t="shared" si="42"/>
        <v>0</v>
      </c>
      <c r="FB15" s="9">
        <f t="shared" si="42"/>
        <v>0</v>
      </c>
      <c r="FC15" s="9">
        <f t="shared" si="42"/>
        <v>0</v>
      </c>
      <c r="FD15" s="9">
        <f t="shared" si="42"/>
        <v>0</v>
      </c>
      <c r="FE15" s="9">
        <f t="shared" si="42"/>
        <v>0</v>
      </c>
      <c r="FF15" s="9">
        <f t="shared" si="42"/>
        <v>0</v>
      </c>
      <c r="FG15" s="9">
        <f t="shared" si="42"/>
        <v>0</v>
      </c>
      <c r="FH15" s="9">
        <f t="shared" si="42"/>
        <v>0</v>
      </c>
      <c r="FI15" s="9">
        <f t="shared" si="42"/>
        <v>0</v>
      </c>
      <c r="FJ15" s="9">
        <f t="shared" si="42"/>
        <v>0</v>
      </c>
      <c r="FK15" s="9">
        <f t="shared" si="42"/>
        <v>0</v>
      </c>
      <c r="FL15" s="9">
        <f t="shared" si="42"/>
        <v>0</v>
      </c>
      <c r="FM15" s="9">
        <f t="shared" si="42"/>
        <v>0</v>
      </c>
      <c r="FN15" s="9">
        <f t="shared" si="42"/>
        <v>0</v>
      </c>
      <c r="FO15" s="9">
        <f t="shared" si="42"/>
        <v>0</v>
      </c>
      <c r="FP15" s="9">
        <f t="shared" si="42"/>
        <v>0</v>
      </c>
      <c r="FQ15" s="9">
        <f t="shared" si="42"/>
        <v>0</v>
      </c>
      <c r="FR15" s="9">
        <f t="shared" si="42"/>
        <v>0</v>
      </c>
      <c r="FS15" s="9">
        <f t="shared" si="42"/>
        <v>0</v>
      </c>
      <c r="FT15" s="9">
        <f t="shared" si="42"/>
        <v>0</v>
      </c>
      <c r="FU15" s="9">
        <f t="shared" si="42"/>
        <v>0</v>
      </c>
      <c r="FV15" s="9">
        <f t="shared" si="42"/>
        <v>0</v>
      </c>
      <c r="FW15" s="9">
        <f t="shared" si="42"/>
        <v>0</v>
      </c>
      <c r="FX15" s="9">
        <f t="shared" si="42"/>
        <v>0</v>
      </c>
      <c r="FY15" s="9">
        <f t="shared" si="42"/>
        <v>0</v>
      </c>
      <c r="FZ15" s="9">
        <f t="shared" si="42"/>
        <v>0</v>
      </c>
      <c r="GA15" s="9">
        <f t="shared" si="42"/>
        <v>0</v>
      </c>
      <c r="GB15" s="9">
        <f t="shared" si="42"/>
        <v>0</v>
      </c>
      <c r="GC15" s="9">
        <f t="shared" si="42"/>
        <v>0</v>
      </c>
      <c r="GD15" s="9">
        <f t="shared" si="42"/>
        <v>0</v>
      </c>
      <c r="GE15" s="9">
        <f t="shared" si="42"/>
        <v>0</v>
      </c>
      <c r="GF15" s="9">
        <f t="shared" si="42"/>
        <v>0</v>
      </c>
      <c r="GG15" s="9">
        <f t="shared" si="42"/>
        <v>0</v>
      </c>
      <c r="GH15" s="9">
        <f t="shared" si="42"/>
        <v>0</v>
      </c>
      <c r="GI15" s="9">
        <f t="shared" si="42"/>
        <v>0</v>
      </c>
      <c r="GJ15" s="9">
        <f t="shared" si="42"/>
        <v>0</v>
      </c>
      <c r="GK15" s="9">
        <f t="shared" si="42"/>
        <v>0</v>
      </c>
      <c r="GL15" s="9">
        <f t="shared" si="42"/>
        <v>0</v>
      </c>
      <c r="GM15" s="9">
        <f t="shared" si="42"/>
        <v>0</v>
      </c>
      <c r="GN15" s="9">
        <f t="shared" si="42"/>
        <v>0</v>
      </c>
      <c r="GO15" s="9">
        <f t="shared" ref="GO15:IZ15" si="43">GO12+GO13-GO14</f>
        <v>0</v>
      </c>
      <c r="GP15" s="9">
        <f t="shared" si="43"/>
        <v>0</v>
      </c>
      <c r="GQ15" s="9">
        <f t="shared" si="43"/>
        <v>0</v>
      </c>
      <c r="GR15" s="9">
        <f t="shared" si="43"/>
        <v>0</v>
      </c>
      <c r="GS15" s="9">
        <f t="shared" si="43"/>
        <v>0</v>
      </c>
      <c r="GT15" s="9">
        <f t="shared" si="43"/>
        <v>0</v>
      </c>
      <c r="GU15" s="9">
        <f t="shared" si="43"/>
        <v>0</v>
      </c>
      <c r="GV15" s="9">
        <f t="shared" si="43"/>
        <v>0</v>
      </c>
      <c r="GW15" s="9">
        <f t="shared" si="43"/>
        <v>0</v>
      </c>
      <c r="GX15" s="9">
        <f t="shared" si="43"/>
        <v>0</v>
      </c>
      <c r="GY15" s="9">
        <f t="shared" si="43"/>
        <v>0</v>
      </c>
      <c r="GZ15" s="9">
        <f t="shared" si="43"/>
        <v>0</v>
      </c>
      <c r="HA15" s="9">
        <f t="shared" si="43"/>
        <v>0</v>
      </c>
      <c r="HB15" s="9">
        <f t="shared" si="43"/>
        <v>0</v>
      </c>
      <c r="HC15" s="9">
        <f t="shared" si="43"/>
        <v>0</v>
      </c>
      <c r="HD15" s="9">
        <f t="shared" si="43"/>
        <v>0</v>
      </c>
      <c r="HE15" s="9">
        <f t="shared" si="43"/>
        <v>0</v>
      </c>
      <c r="HF15" s="9">
        <f t="shared" si="43"/>
        <v>0</v>
      </c>
      <c r="HG15" s="9">
        <f t="shared" si="43"/>
        <v>0</v>
      </c>
      <c r="HH15" s="9">
        <f t="shared" si="43"/>
        <v>0</v>
      </c>
      <c r="HI15" s="9">
        <f t="shared" si="43"/>
        <v>0</v>
      </c>
      <c r="HJ15" s="9">
        <f t="shared" si="43"/>
        <v>0</v>
      </c>
      <c r="HK15" s="9">
        <f t="shared" si="43"/>
        <v>0</v>
      </c>
      <c r="HL15" s="9">
        <f t="shared" si="43"/>
        <v>0</v>
      </c>
      <c r="HM15" s="9">
        <f t="shared" si="43"/>
        <v>0</v>
      </c>
      <c r="HN15" s="9">
        <f t="shared" si="43"/>
        <v>0</v>
      </c>
      <c r="HO15" s="9">
        <f t="shared" si="43"/>
        <v>0</v>
      </c>
      <c r="HP15" s="9">
        <f t="shared" si="43"/>
        <v>0</v>
      </c>
      <c r="HQ15" s="9">
        <f t="shared" si="43"/>
        <v>0</v>
      </c>
      <c r="HR15" s="9">
        <f t="shared" si="43"/>
        <v>0</v>
      </c>
      <c r="HS15" s="9">
        <f t="shared" si="43"/>
        <v>0</v>
      </c>
      <c r="HT15" s="9">
        <f t="shared" si="43"/>
        <v>0</v>
      </c>
      <c r="HU15" s="9">
        <f t="shared" si="43"/>
        <v>0</v>
      </c>
      <c r="HV15" s="9">
        <f t="shared" si="43"/>
        <v>0</v>
      </c>
      <c r="HW15" s="9">
        <f t="shared" si="43"/>
        <v>0</v>
      </c>
      <c r="HX15" s="9">
        <f t="shared" si="43"/>
        <v>0</v>
      </c>
      <c r="HY15" s="9">
        <f t="shared" si="43"/>
        <v>0</v>
      </c>
      <c r="HZ15" s="9">
        <f t="shared" si="43"/>
        <v>0</v>
      </c>
      <c r="IA15" s="9">
        <f t="shared" si="43"/>
        <v>0</v>
      </c>
      <c r="IB15" s="9">
        <f t="shared" si="43"/>
        <v>0</v>
      </c>
      <c r="IC15" s="9">
        <f t="shared" si="43"/>
        <v>0</v>
      </c>
      <c r="ID15" s="9">
        <f t="shared" si="43"/>
        <v>0</v>
      </c>
      <c r="IE15" s="9">
        <f t="shared" si="43"/>
        <v>0</v>
      </c>
      <c r="IF15" s="9">
        <f t="shared" si="43"/>
        <v>0</v>
      </c>
      <c r="IG15" s="9">
        <f t="shared" si="43"/>
        <v>0</v>
      </c>
      <c r="IH15" s="9">
        <f t="shared" si="43"/>
        <v>0</v>
      </c>
      <c r="II15" s="9">
        <f t="shared" si="43"/>
        <v>0</v>
      </c>
      <c r="IJ15" s="9">
        <f t="shared" si="43"/>
        <v>0</v>
      </c>
      <c r="IK15" s="9">
        <f t="shared" si="43"/>
        <v>0</v>
      </c>
      <c r="IL15" s="9">
        <f t="shared" si="43"/>
        <v>0</v>
      </c>
      <c r="IM15" s="9">
        <f t="shared" si="43"/>
        <v>0</v>
      </c>
      <c r="IN15" s="9">
        <f t="shared" si="43"/>
        <v>0</v>
      </c>
      <c r="IO15" s="9">
        <f t="shared" si="43"/>
        <v>0</v>
      </c>
      <c r="IP15" s="9">
        <f t="shared" si="43"/>
        <v>0</v>
      </c>
      <c r="IQ15" s="9">
        <f t="shared" si="43"/>
        <v>0</v>
      </c>
      <c r="IR15" s="9">
        <f t="shared" si="43"/>
        <v>0</v>
      </c>
      <c r="IS15" s="9">
        <f t="shared" si="43"/>
        <v>0</v>
      </c>
      <c r="IT15" s="9">
        <f t="shared" si="43"/>
        <v>0</v>
      </c>
      <c r="IU15" s="9">
        <f t="shared" si="43"/>
        <v>0</v>
      </c>
      <c r="IV15" s="9">
        <f t="shared" si="43"/>
        <v>0</v>
      </c>
      <c r="IW15" s="9">
        <f t="shared" si="43"/>
        <v>0</v>
      </c>
      <c r="IX15" s="9">
        <f t="shared" si="43"/>
        <v>0</v>
      </c>
      <c r="IY15" s="9">
        <f t="shared" si="43"/>
        <v>0</v>
      </c>
      <c r="IZ15" s="9">
        <f t="shared" si="43"/>
        <v>0</v>
      </c>
      <c r="JA15" s="9">
        <f t="shared" ref="JA15:JU15" si="44">JA12+JA13-JA14</f>
        <v>0</v>
      </c>
      <c r="JB15" s="9">
        <f t="shared" si="44"/>
        <v>0</v>
      </c>
      <c r="JC15" s="9">
        <f t="shared" si="44"/>
        <v>0</v>
      </c>
      <c r="JD15" s="9">
        <f t="shared" si="44"/>
        <v>0</v>
      </c>
      <c r="JE15" s="9">
        <f t="shared" si="44"/>
        <v>0</v>
      </c>
      <c r="JF15" s="9">
        <f t="shared" si="44"/>
        <v>0</v>
      </c>
      <c r="JG15" s="9">
        <f t="shared" si="44"/>
        <v>0</v>
      </c>
      <c r="JH15" s="9">
        <f t="shared" si="44"/>
        <v>0</v>
      </c>
      <c r="JI15" s="9">
        <f t="shared" si="44"/>
        <v>0</v>
      </c>
      <c r="JJ15" s="9">
        <f t="shared" si="44"/>
        <v>0</v>
      </c>
      <c r="JK15" s="9">
        <f t="shared" si="44"/>
        <v>0</v>
      </c>
      <c r="JL15" s="9">
        <f t="shared" si="44"/>
        <v>0</v>
      </c>
      <c r="JM15" s="9">
        <f t="shared" si="44"/>
        <v>0</v>
      </c>
      <c r="JN15" s="9">
        <f t="shared" si="44"/>
        <v>0</v>
      </c>
      <c r="JO15" s="9">
        <f t="shared" si="44"/>
        <v>0</v>
      </c>
      <c r="JP15" s="9">
        <f t="shared" si="44"/>
        <v>0</v>
      </c>
      <c r="JQ15" s="9">
        <f t="shared" si="44"/>
        <v>0</v>
      </c>
      <c r="JR15" s="9">
        <f t="shared" si="44"/>
        <v>0</v>
      </c>
      <c r="JS15" s="9">
        <f t="shared" si="44"/>
        <v>0</v>
      </c>
      <c r="JT15" s="9">
        <f t="shared" si="44"/>
        <v>0</v>
      </c>
      <c r="JU15" s="9">
        <f t="shared" si="44"/>
        <v>0</v>
      </c>
    </row>
    <row r="16" spans="1:310">
      <c r="A16" t="s">
        <v>252</v>
      </c>
      <c r="D16" s="9">
        <f>IF(D1&gt;Assum!$B$107,D12*Assum!$B$105*D$4/D$5,0)</f>
        <v>1.2064163697528472</v>
      </c>
      <c r="E16" s="9">
        <f>IF(E1&gt;Assum!$B$107,E12*Assum!$B$105*E$4/E$5,0)</f>
        <v>1.2606622989322795</v>
      </c>
      <c r="F16" s="9">
        <f>IF(F1&gt;Assum!$B$107,F12*Assum!$B$105*F$4/F$5,0)</f>
        <v>1.2341857678809476</v>
      </c>
      <c r="G16" s="9">
        <f>IF(G1&gt;Assum!$B$107,G12*Assum!$B$105*G$4/G$5,0)</f>
        <v>1.289680334630277</v>
      </c>
      <c r="H16" s="9">
        <f>IF(H1&gt;Assum!$B$107,H12*Assum!$B$105*H$4/H$5,0)</f>
        <v>1.3046808432733183</v>
      </c>
      <c r="I16" s="9">
        <f>IF(I1&gt;Assum!$B$107,I12*Assum!$B$105*I$4/I$5,0)</f>
        <v>1.2772798312114357</v>
      </c>
      <c r="J16" s="9">
        <f>IF(J1&gt;Assum!$B$107,J12*Assum!$B$105*J$4/J$5,0)</f>
        <v>1.3347121016972943</v>
      </c>
      <c r="K16" s="9">
        <f>IF(K1&gt;Assum!$B$107,K12*Assum!$B$105*K$4/K$5,0)</f>
        <v>1.3066803707292884</v>
      </c>
      <c r="L16" s="9">
        <f>IF(L1&gt;Assum!$B$107,L12*Assum!$B$105*L$4/L$5,0)</f>
        <v>1.3654346222695397</v>
      </c>
      <c r="M16" s="9">
        <f>IF(M1&gt;Assum!$B$107,M12*Assum!$B$105*M$4/M$5,0)</f>
        <v>1.3813162429338837</v>
      </c>
      <c r="N16" s="9">
        <f>IF(N1&gt;Assum!$B$107,N12*Assum!$B$105*N$4/N$5,0)</f>
        <v>1.2621520128385062</v>
      </c>
      <c r="O16" s="9">
        <f>IF(O1&gt;Assum!$B$107,O12*Assum!$B$105*O$4/O$5,0)</f>
        <v>1.4120629073231541</v>
      </c>
      <c r="P16" s="9">
        <f>IF(P1&gt;Assum!$B$107,P12*Assum!$B$105*P$4/P$5,0)</f>
        <v>0</v>
      </c>
      <c r="Q16" s="9">
        <f>IF(Q1&gt;Assum!$B$107,Q12*Assum!$B$105*Q$4/Q$5,0)</f>
        <v>0</v>
      </c>
      <c r="R16" s="9">
        <f>IF(R1&gt;Assum!$B$107,R12*Assum!$B$105*R$4/R$5,0)</f>
        <v>0</v>
      </c>
      <c r="S16" s="9">
        <f>IF(S1&gt;Assum!$B$107,S12*Assum!$B$105*S$4/S$5,0)</f>
        <v>0</v>
      </c>
      <c r="T16" s="9">
        <f>IF(T1&gt;Assum!$B$107,T12*Assum!$B$105*T$4/T$5,0)</f>
        <v>0</v>
      </c>
      <c r="U16" s="9">
        <f>IF(U1&gt;Assum!$B$107,U12*Assum!$B$105*U$4/U$5,0)</f>
        <v>0</v>
      </c>
      <c r="V16" s="9">
        <f>IF(V1&gt;Assum!$B$107,V12*Assum!$B$105*V$4/V$5,0)</f>
        <v>0</v>
      </c>
      <c r="W16" s="9">
        <f>IF(W1&gt;Assum!$B$107,W12*Assum!$B$105*W$4/W$5,0)</f>
        <v>0</v>
      </c>
      <c r="X16" s="9">
        <f>IF(X1&gt;Assum!$B$107,X12*Assum!$B$105*X$4/X$5,0)</f>
        <v>0</v>
      </c>
      <c r="Y16" s="9">
        <f>IF(Y1&gt;Assum!$B$107,Y12*Assum!$B$105*Y$4/Y$5,0)</f>
        <v>0</v>
      </c>
      <c r="Z16" s="9">
        <f>IF(Z1&gt;Assum!$B$107,Z12*Assum!$B$105*Z$4/Z$5,0)</f>
        <v>0</v>
      </c>
      <c r="AA16" s="9">
        <f>IF(AA1&gt;Assum!$B$107,AA12*Assum!$B$105*AA$4/AA$5,0)</f>
        <v>0</v>
      </c>
      <c r="AB16" s="9">
        <f>IF(AB1&gt;Assum!$B$107,AB12*Assum!$B$105*AB$4/AB$5,0)</f>
        <v>0</v>
      </c>
      <c r="AC16" s="9">
        <f>IF(AC1&gt;Assum!$B$107,AC12*Assum!$B$105*AC$4/AC$5,0)</f>
        <v>0</v>
      </c>
      <c r="AD16" s="9">
        <f>IF(AD1&gt;Assum!$B$107,AD12*Assum!$B$105*AD$4/AD$5,0)</f>
        <v>0</v>
      </c>
      <c r="AE16" s="9">
        <f>IF(AE1&gt;Assum!$B$107,AE12*Assum!$B$105*AE$4/AE$5,0)</f>
        <v>0</v>
      </c>
      <c r="AF16" s="9">
        <f>IF(AF1&gt;Assum!$B$107,AF12*Assum!$B$105*AF$4/AF$5,0)</f>
        <v>0</v>
      </c>
      <c r="AG16" s="9">
        <f>IF(AG1&gt;Assum!$B$107,AG12*Assum!$B$105*AG$4/AG$5,0)</f>
        <v>0</v>
      </c>
      <c r="AH16" s="9">
        <f>IF(AH1&gt;Assum!$B$107,AH12*Assum!$B$105*AH$4/AH$5,0)</f>
        <v>0</v>
      </c>
      <c r="AI16" s="9">
        <f>IF(AI1&gt;Assum!$B$107,AI12*Assum!$B$105*AI$4/AI$5,0)</f>
        <v>0</v>
      </c>
      <c r="AJ16" s="9">
        <f>IF(AJ1&gt;Assum!$B$107,AJ12*Assum!$B$105*AJ$4/AJ$5,0)</f>
        <v>0</v>
      </c>
      <c r="AK16" s="9">
        <f>IF(AK1&gt;Assum!$B$107,AK12*Assum!$B$105*AK$4/AK$5,0)</f>
        <v>0</v>
      </c>
      <c r="AL16" s="9">
        <f>IF(AL1&gt;Assum!$B$107,AL12*Assum!$B$105*AL$4/AL$5,0)</f>
        <v>0</v>
      </c>
      <c r="AM16" s="9">
        <f>IF(AM1&gt;Assum!$B$107,AM12*Assum!$B$105*AM$4/AM$5,0)</f>
        <v>0</v>
      </c>
      <c r="AN16" s="9">
        <f>IF(AN1&gt;Assum!$B$107,AN12*Assum!$B$105*AN$4/AN$5,0)</f>
        <v>0</v>
      </c>
      <c r="AO16" s="9">
        <f>IF(AO1&gt;Assum!$B$107,AO12*Assum!$B$105*AO$4/AO$5,0)</f>
        <v>0</v>
      </c>
      <c r="AP16" s="9">
        <f>IF(AP1&gt;Assum!$B$107,AP12*Assum!$B$105*AP$4/AP$5,0)</f>
        <v>0</v>
      </c>
      <c r="AQ16" s="9">
        <f>IF(AQ1&gt;Assum!$B$107,AQ12*Assum!$B$105*AQ$4/AQ$5,0)</f>
        <v>0</v>
      </c>
      <c r="AR16" s="9">
        <f>IF(AR1&gt;Assum!$B$107,AR12*Assum!$B$105*AR$4/AR$5,0)</f>
        <v>0</v>
      </c>
      <c r="AS16" s="9">
        <f>IF(AS1&gt;Assum!$B$107,AS12*Assum!$B$105*AS$4/AS$5,0)</f>
        <v>0</v>
      </c>
      <c r="AT16" s="9">
        <f>IF(AT1&gt;Assum!$B$107,AT12*Assum!$B$105*AT$4/AT$5,0)</f>
        <v>0</v>
      </c>
      <c r="AU16" s="9">
        <f>IF(AU1&gt;Assum!$B$107,AU12*Assum!$B$105*AU$4/AU$5,0)</f>
        <v>0</v>
      </c>
      <c r="AV16" s="9">
        <f>IF(AV1&gt;Assum!$B$107,AV12*Assum!$B$105*AV$4/AV$5,0)</f>
        <v>0</v>
      </c>
      <c r="AW16" s="9">
        <f>IF(AW1&gt;Assum!$B$107,AW12*Assum!$B$105*AW$4/AW$5,0)</f>
        <v>0</v>
      </c>
      <c r="AX16" s="9">
        <f>IF(AX1&gt;Assum!$B$107,AX12*Assum!$B$105*AX$4/AX$5,0)</f>
        <v>0</v>
      </c>
      <c r="AY16" s="9">
        <f>IF(AY1&gt;Assum!$B$107,AY12*Assum!$B$105*AY$4/AY$5,0)</f>
        <v>0</v>
      </c>
      <c r="AZ16" s="9">
        <f>IF(AZ1&gt;Assum!$B$107,AZ12*Assum!$B$105*AZ$4/AZ$5,0)</f>
        <v>0</v>
      </c>
      <c r="BA16" s="9">
        <f>IF(BA1&gt;Assum!$B$107,BA12*Assum!$B$105*BA$4/BA$5,0)</f>
        <v>0</v>
      </c>
      <c r="BB16" s="9">
        <f>IF(BB1&gt;Assum!$B$107,BB12*Assum!$B$105*BB$4/BB$5,0)</f>
        <v>0</v>
      </c>
      <c r="BC16" s="9">
        <f>IF(BC1&gt;Assum!$B$107,BC12*Assum!$B$105*BC$4/BC$5,0)</f>
        <v>0</v>
      </c>
      <c r="BD16" s="9">
        <f>IF(BD1&gt;Assum!$B$107,BD12*Assum!$B$105*BD$4/BD$5,0)</f>
        <v>0</v>
      </c>
      <c r="BE16" s="9">
        <f>IF(BE1&gt;Assum!$B$107,BE12*Assum!$B$105*BE$4/BE$5,0)</f>
        <v>0</v>
      </c>
      <c r="BF16" s="9">
        <f>IF(BF1&gt;Assum!$B$107,BF12*Assum!$B$105*BF$4/BF$5,0)</f>
        <v>0</v>
      </c>
      <c r="BG16" s="9">
        <f>IF(BG1&gt;Assum!$B$107,BG12*Assum!$B$105*BG$4/BG$5,0)</f>
        <v>0</v>
      </c>
      <c r="BH16" s="9">
        <f>IF(BH1&gt;Assum!$B$107,BH12*Assum!$B$105*BH$4/BH$5,0)</f>
        <v>0</v>
      </c>
      <c r="BI16" s="9">
        <f>IF(BI1&gt;Assum!$B$107,BI12*Assum!$B$105*BI$4/BI$5,0)</f>
        <v>0</v>
      </c>
      <c r="BJ16" s="9">
        <f>IF(BJ1&gt;Assum!$B$107,BJ12*Assum!$B$105*BJ$4/BJ$5,0)</f>
        <v>0</v>
      </c>
      <c r="BK16" s="9">
        <f>IF(BK1&gt;Assum!$B$107,BK12*Assum!$B$105*BK$4/BK$5,0)</f>
        <v>0</v>
      </c>
      <c r="BL16" s="9">
        <f>IF(BL1&gt;Assum!$B$107,BL12*Assum!$B$105*BL$4/BL$5,0)</f>
        <v>0</v>
      </c>
      <c r="BM16" s="9">
        <f>IF(BM1&gt;Assum!$B$107,BM12*Assum!$B$105*BM$4/BM$5,0)</f>
        <v>0</v>
      </c>
      <c r="BN16" s="9">
        <f>IF(BN1&gt;Assum!$B$107,BN12*Assum!$B$105*BN$4/BN$5,0)</f>
        <v>0</v>
      </c>
      <c r="BO16" s="9">
        <f>IF(BO1&gt;Assum!$B$107,BO12*Assum!$B$105*BO$4/BO$5,0)</f>
        <v>0</v>
      </c>
      <c r="BP16" s="9">
        <f>IF(BP1&gt;Assum!$B$107,BP12*Assum!$B$105*BP$4/BP$5,0)</f>
        <v>0</v>
      </c>
      <c r="BQ16" s="9">
        <f>IF(BQ1&gt;Assum!$B$107,BQ12*Assum!$B$105*BQ$4/BQ$5,0)</f>
        <v>0</v>
      </c>
      <c r="BR16" s="9">
        <f>IF(BR1&gt;Assum!$B$107,BR12*Assum!$B$105*BR$4/BR$5,0)</f>
        <v>0</v>
      </c>
      <c r="BS16" s="9">
        <f>IF(BS1&gt;Assum!$B$107,BS12*Assum!$B$105*BS$4/BS$5,0)</f>
        <v>0</v>
      </c>
      <c r="BT16" s="9">
        <f>IF(BT1&gt;Assum!$B$107,BT12*Assum!$B$105*BT$4/BT$5,0)</f>
        <v>0</v>
      </c>
      <c r="BU16" s="9">
        <f>IF(BU1&gt;Assum!$B$107,BU12*Assum!$B$105*BU$4/BU$5,0)</f>
        <v>0</v>
      </c>
      <c r="BV16" s="9">
        <f>IF(BV1&gt;Assum!$B$107,BV12*Assum!$B$105*BV$4/BV$5,0)</f>
        <v>0</v>
      </c>
      <c r="BW16" s="9">
        <f>IF(BW1&gt;Assum!$B$107,BW12*Assum!$B$105*BW$4/BW$5,0)</f>
        <v>0</v>
      </c>
      <c r="BX16" s="9">
        <f>IF(BX1&gt;Assum!$B$107,BX12*Assum!$B$105*BX$4/BX$5,0)</f>
        <v>0</v>
      </c>
      <c r="BY16" s="9">
        <f>IF(BY1&gt;Assum!$B$107,BY12*Assum!$B$105*BY$4/BY$5,0)</f>
        <v>0</v>
      </c>
      <c r="BZ16" s="9">
        <f>IF(BZ1&gt;Assum!$B$107,BZ12*Assum!$B$105*BZ$4/BZ$5,0)</f>
        <v>0</v>
      </c>
      <c r="CA16" s="9">
        <f>IF(CA1&gt;Assum!$B$107,CA12*Assum!$B$105*CA$4/CA$5,0)</f>
        <v>0</v>
      </c>
      <c r="CB16" s="9">
        <f>IF(CB1&gt;Assum!$B$107,CB12*Assum!$B$105*CB$4/CB$5,0)</f>
        <v>0</v>
      </c>
      <c r="CC16" s="9">
        <f>IF(CC1&gt;Assum!$B$107,CC12*Assum!$B$105*CC$4/CC$5,0)</f>
        <v>0</v>
      </c>
      <c r="CD16" s="9">
        <f>IF(CD1&gt;Assum!$B$107,CD12*Assum!$B$105*CD$4/CD$5,0)</f>
        <v>0</v>
      </c>
      <c r="CE16" s="9">
        <f>IF(CE1&gt;Assum!$B$107,CE12*Assum!$B$105*CE$4/CE$5,0)</f>
        <v>0</v>
      </c>
      <c r="CF16" s="9">
        <f>IF(CF1&gt;Assum!$B$107,CF12*Assum!$B$105*CF$4/CF$5,0)</f>
        <v>0</v>
      </c>
      <c r="CG16" s="9">
        <f>IF(CG1&gt;Assum!$B$107,CG12*Assum!$B$105*CG$4/CG$5,0)</f>
        <v>0</v>
      </c>
      <c r="CH16" s="9">
        <f>IF(CH1&gt;Assum!$B$107,CH12*Assum!$B$105*CH$4/CH$5,0)</f>
        <v>0</v>
      </c>
      <c r="CI16" s="9">
        <f>IF(CI1&gt;Assum!$B$107,CI12*Assum!$B$105*CI$4/CI$5,0)</f>
        <v>0</v>
      </c>
      <c r="CJ16" s="9">
        <f>IF(CJ1&gt;Assum!$B$107,CJ12*Assum!$B$105*CJ$4/CJ$5,0)</f>
        <v>0</v>
      </c>
      <c r="CK16" s="9">
        <f>IF(CK1&gt;Assum!$B$107,CK12*Assum!$B$105*CK$4/CK$5,0)</f>
        <v>0</v>
      </c>
      <c r="CL16" s="9">
        <f>IF(CL1&gt;Assum!$B$107,CL12*Assum!$B$105*CL$4/CL$5,0)</f>
        <v>0</v>
      </c>
      <c r="CM16" s="9">
        <f>IF(CM1&gt;Assum!$B$107,CM12*Assum!$B$105*CM$4/CM$5,0)</f>
        <v>0</v>
      </c>
      <c r="CN16" s="9">
        <f>IF(CN1&gt;Assum!$B$107,CN12*Assum!$B$105*CN$4/CN$5,0)</f>
        <v>0</v>
      </c>
      <c r="CO16" s="9">
        <f>IF(CO1&gt;Assum!$B$107,CO12*Assum!$B$105*CO$4/CO$5,0)</f>
        <v>0</v>
      </c>
      <c r="CP16" s="9">
        <f>IF(CP1&gt;Assum!$B$107,CP12*Assum!$B$105*CP$4/CP$5,0)</f>
        <v>0</v>
      </c>
      <c r="CQ16" s="9">
        <f>IF(CQ1&gt;Assum!$B$107,CQ12*Assum!$B$105*CQ$4/CQ$5,0)</f>
        <v>0</v>
      </c>
      <c r="CR16" s="9">
        <f>IF(CR1&gt;Assum!$B$107,CR12*Assum!$B$105*CR$4/CR$5,0)</f>
        <v>0</v>
      </c>
      <c r="CS16" s="9">
        <f>IF(CS1&gt;Assum!$B$107,CS12*Assum!$B$105*CS$4/CS$5,0)</f>
        <v>0</v>
      </c>
      <c r="CT16" s="9">
        <f>IF(CT1&gt;Assum!$B$107,CT12*Assum!$B$105*CT$4/CT$5,0)</f>
        <v>0</v>
      </c>
      <c r="CU16" s="9">
        <f>IF(CU1&gt;Assum!$B$107,CU12*Assum!$B$105*CU$4/CU$5,0)</f>
        <v>0</v>
      </c>
      <c r="CV16" s="9">
        <f>IF(CV1&gt;Assum!$B$107,CV12*Assum!$B$105*CV$4/CV$5,0)</f>
        <v>0</v>
      </c>
      <c r="CW16" s="9">
        <f>IF(CW1&gt;Assum!$B$107,CW12*Assum!$B$105*CW$4/CW$5,0)</f>
        <v>0</v>
      </c>
      <c r="CX16" s="9">
        <f>IF(CX1&gt;Assum!$B$107,CX12*Assum!$B$105*CX$4/CX$5,0)</f>
        <v>0</v>
      </c>
      <c r="CY16" s="9">
        <f>IF(CY1&gt;Assum!$B$107,CY12*Assum!$B$105*CY$4/CY$5,0)</f>
        <v>0</v>
      </c>
      <c r="CZ16" s="9">
        <f>IF(CZ1&gt;Assum!$B$107,CZ12*Assum!$B$105*CZ$4/CZ$5,0)</f>
        <v>0</v>
      </c>
      <c r="DA16" s="9">
        <f>IF(DA1&gt;Assum!$B$107,DA12*Assum!$B$105*DA$4/DA$5,0)</f>
        <v>0</v>
      </c>
      <c r="DB16" s="9">
        <f>IF(DB1&gt;Assum!$B$107,DB12*Assum!$B$105*DB$4/DB$5,0)</f>
        <v>0</v>
      </c>
      <c r="DC16" s="9">
        <f>IF(DC1&gt;Assum!$B$107,DC12*Assum!$B$105*DC$4/DC$5,0)</f>
        <v>0</v>
      </c>
      <c r="DD16" s="9">
        <f>IF(DD1&gt;Assum!$B$107,DD12*Assum!$B$105*DD$4/DD$5,0)</f>
        <v>0</v>
      </c>
      <c r="DE16" s="9">
        <f>IF(DE1&gt;Assum!$B$107,DE12*Assum!$B$105*DE$4/DE$5,0)</f>
        <v>0</v>
      </c>
      <c r="DF16" s="9">
        <f>IF(DF1&gt;Assum!$B$107,DF12*Assum!$B$105*DF$4/DF$5,0)</f>
        <v>0</v>
      </c>
      <c r="DG16" s="9">
        <f>IF(DG1&gt;Assum!$B$107,DG12*Assum!$B$105*DG$4/DG$5,0)</f>
        <v>0</v>
      </c>
      <c r="DH16" s="9">
        <f>IF(DH1&gt;Assum!$B$107,DH12*Assum!$B$105*DH$4/DH$5,0)</f>
        <v>0</v>
      </c>
      <c r="DI16" s="9">
        <f>IF(DI1&gt;Assum!$B$107,DI12*Assum!$B$105*DI$4/DI$5,0)</f>
        <v>0</v>
      </c>
      <c r="DJ16" s="9">
        <f>IF(DJ1&gt;Assum!$B$107,DJ12*Assum!$B$105*DJ$4/DJ$5,0)</f>
        <v>0</v>
      </c>
      <c r="DK16" s="9">
        <f>IF(DK1&gt;Assum!$B$107,DK12*Assum!$B$105*DK$4/DK$5,0)</f>
        <v>0</v>
      </c>
      <c r="DL16" s="9">
        <f>IF(DL1&gt;Assum!$B$107,DL12*Assum!$B$105*DL$4/DL$5,0)</f>
        <v>0</v>
      </c>
      <c r="DM16" s="9">
        <f>IF(DM1&gt;Assum!$B$107,DM12*Assum!$B$105*DM$4/DM$5,0)</f>
        <v>0</v>
      </c>
      <c r="DN16" s="9">
        <f>IF(DN1&gt;Assum!$B$107,DN12*Assum!$B$105*DN$4/DN$5,0)</f>
        <v>0</v>
      </c>
      <c r="DO16" s="9">
        <f>IF(DO1&gt;Assum!$B$107,DO12*Assum!$B$105*DO$4/DO$5,0)</f>
        <v>0</v>
      </c>
      <c r="DP16" s="9">
        <f>IF(DP1&gt;Assum!$B$107,DP12*Assum!$B$105*DP$4/DP$5,0)</f>
        <v>0</v>
      </c>
      <c r="DQ16" s="9">
        <f>IF(DQ1&gt;Assum!$B$107,DQ12*Assum!$B$105*DQ$4/DQ$5,0)</f>
        <v>0</v>
      </c>
      <c r="DR16" s="9">
        <f>IF(DR1&gt;Assum!$B$107,DR12*Assum!$B$105*DR$4/DR$5,0)</f>
        <v>0</v>
      </c>
      <c r="DS16" s="9">
        <f>IF(DS1&gt;Assum!$B$107,DS12*Assum!$B$105*DS$4/DS$5,0)</f>
        <v>0</v>
      </c>
      <c r="DT16" s="9">
        <f>IF(DT1&gt;Assum!$B$107,DT12*Assum!$B$105*DT$4/DT$5,0)</f>
        <v>0</v>
      </c>
      <c r="DU16" s="9">
        <f>IF(DU1&gt;Assum!$B$107,DU12*Assum!$B$105*DU$4/DU$5,0)</f>
        <v>0</v>
      </c>
      <c r="DV16" s="9">
        <f>IF(DV1&gt;Assum!$B$107,DV12*Assum!$B$105*DV$4/DV$5,0)</f>
        <v>0</v>
      </c>
      <c r="DW16" s="9">
        <f>IF(DW1&gt;Assum!$B$107,DW12*Assum!$B$105*DW$4/DW$5,0)</f>
        <v>0</v>
      </c>
      <c r="DX16" s="9">
        <f>IF(DX1&gt;Assum!$B$107,DX12*Assum!$B$105*DX$4/DX$5,0)</f>
        <v>0</v>
      </c>
      <c r="DY16" s="9">
        <f>IF(DY1&gt;Assum!$B$107,DY12*Assum!$B$105*DY$4/DY$5,0)</f>
        <v>0</v>
      </c>
      <c r="DZ16" s="9">
        <f>IF(DZ1&gt;Assum!$B$107,DZ12*Assum!$B$105*DZ$4/DZ$5,0)</f>
        <v>0</v>
      </c>
      <c r="EA16" s="9">
        <f>IF(EA1&gt;Assum!$B$107,EA12*Assum!$B$105*EA$4/EA$5,0)</f>
        <v>0</v>
      </c>
      <c r="EB16" s="9">
        <f>IF(EB1&gt;Assum!$B$107,EB12*Assum!$B$105*EB$4/EB$5,0)</f>
        <v>0</v>
      </c>
      <c r="EC16" s="9">
        <f>IF(EC1&gt;Assum!$B$107,EC12*Assum!$B$105*EC$4/EC$5,0)</f>
        <v>0</v>
      </c>
      <c r="ED16" s="9">
        <f>IF(ED1&gt;Assum!$B$107,ED12*Assum!$B$105*ED$4/ED$5,0)</f>
        <v>0</v>
      </c>
      <c r="EE16" s="9">
        <f>IF(EE1&gt;Assum!$B$107,EE12*Assum!$B$105*EE$4/EE$5,0)</f>
        <v>0</v>
      </c>
      <c r="EF16" s="9">
        <f>IF(EF1&gt;Assum!$B$107,EF12*Assum!$B$105*EF$4/EF$5,0)</f>
        <v>0</v>
      </c>
      <c r="EG16" s="9">
        <f>IF(EG1&gt;Assum!$B$107,EG12*Assum!$B$105*EG$4/EG$5,0)</f>
        <v>0</v>
      </c>
      <c r="EH16" s="9">
        <f>IF(EH1&gt;Assum!$B$107,EH12*Assum!$B$105*EH$4/EH$5,0)</f>
        <v>0</v>
      </c>
      <c r="EI16" s="9">
        <f>IF(EI1&gt;Assum!$B$107,EI12*Assum!$B$105*EI$4/EI$5,0)</f>
        <v>0</v>
      </c>
      <c r="EJ16" s="9">
        <f>IF(EJ1&gt;Assum!$B$107,EJ12*Assum!$B$105*EJ$4/EJ$5,0)</f>
        <v>0</v>
      </c>
      <c r="EK16" s="9">
        <f>IF(EK1&gt;Assum!$B$107,EK12*Assum!$B$105*EK$4/EK$5,0)</f>
        <v>0</v>
      </c>
      <c r="EL16" s="9">
        <f>IF(EL1&gt;Assum!$B$107,EL12*Assum!$B$105*EL$4/EL$5,0)</f>
        <v>0</v>
      </c>
      <c r="EM16" s="9">
        <f>IF(EM1&gt;Assum!$B$107,EM12*Assum!$B$105*EM$4/EM$5,0)</f>
        <v>0</v>
      </c>
      <c r="EN16" s="9">
        <f>IF(EN1&gt;Assum!$B$107,EN12*Assum!$B$105*EN$4/EN$5,0)</f>
        <v>0</v>
      </c>
      <c r="EO16" s="9">
        <f>IF(EO1&gt;Assum!$B$107,EO12*Assum!$B$105*EO$4/EO$5,0)</f>
        <v>0</v>
      </c>
      <c r="EP16" s="9">
        <f>IF(EP1&gt;Assum!$B$107,EP12*Assum!$B$105*EP$4/EP$5,0)</f>
        <v>0</v>
      </c>
      <c r="EQ16" s="9">
        <f>IF(EQ1&gt;Assum!$B$107,EQ12*Assum!$B$105*EQ$4/EQ$5,0)</f>
        <v>0</v>
      </c>
      <c r="ER16" s="9">
        <f>IF(ER1&gt;Assum!$B$107,ER12*Assum!$B$105*ER$4/ER$5,0)</f>
        <v>0</v>
      </c>
      <c r="ES16" s="9">
        <f>IF(ES1&gt;Assum!$B$107,ES12*Assum!$B$105*ES$4/ES$5,0)</f>
        <v>0</v>
      </c>
      <c r="ET16" s="9">
        <f>IF(ET1&gt;Assum!$B$107,ET12*Assum!$B$105*ET$4/ET$5,0)</f>
        <v>0</v>
      </c>
      <c r="EU16" s="9">
        <f>IF(EU1&gt;Assum!$B$107,EU12*Assum!$B$105*EU$4/EU$5,0)</f>
        <v>0</v>
      </c>
      <c r="EV16" s="9">
        <f>IF(EV1&gt;Assum!$B$107,EV12*Assum!$B$105*EV$4/EV$5,0)</f>
        <v>0</v>
      </c>
      <c r="EW16" s="9">
        <f>IF(EW1&gt;Assum!$B$107,EW12*Assum!$B$105*EW$4/EW$5,0)</f>
        <v>0</v>
      </c>
      <c r="EX16" s="9">
        <f>IF(EX1&gt;Assum!$B$107,EX12*Assum!$B$105*EX$4/EX$5,0)</f>
        <v>0</v>
      </c>
      <c r="EY16" s="9">
        <f>IF(EY1&gt;Assum!$B$107,EY12*Assum!$B$105*EY$4/EY$5,0)</f>
        <v>0</v>
      </c>
      <c r="EZ16" s="9">
        <f>IF(EZ1&gt;Assum!$B$107,EZ12*Assum!$B$105*EZ$4/EZ$5,0)</f>
        <v>0</v>
      </c>
      <c r="FA16" s="9">
        <f>IF(FA1&gt;Assum!$B$107,FA12*Assum!$B$105*FA$4/FA$5,0)</f>
        <v>0</v>
      </c>
      <c r="FB16" s="9">
        <f>IF(FB1&gt;Assum!$B$107,FB12*Assum!$B$105*FB$4/FB$5,0)</f>
        <v>0</v>
      </c>
      <c r="FC16" s="9">
        <f>IF(FC1&gt;Assum!$B$107,FC12*Assum!$B$105*FC$4/FC$5,0)</f>
        <v>0</v>
      </c>
      <c r="FD16" s="9">
        <f>IF(FD1&gt;Assum!$B$107,FD12*Assum!$B$105*FD$4/FD$5,0)</f>
        <v>0</v>
      </c>
      <c r="FE16" s="9">
        <f>IF(FE1&gt;Assum!$B$107,FE12*Assum!$B$105*FE$4/FE$5,0)</f>
        <v>0</v>
      </c>
      <c r="FF16" s="9">
        <f>IF(FF1&gt;Assum!$B$107,FF12*Assum!$B$105*FF$4/FF$5,0)</f>
        <v>0</v>
      </c>
      <c r="FG16" s="9">
        <f>IF(FG1&gt;Assum!$B$107,FG12*Assum!$B$105*FG$4/FG$5,0)</f>
        <v>0</v>
      </c>
      <c r="FH16" s="9">
        <f>IF(FH1&gt;Assum!$B$107,FH12*Assum!$B$105*FH$4/FH$5,0)</f>
        <v>0</v>
      </c>
      <c r="FI16" s="9">
        <f>IF(FI1&gt;Assum!$B$107,FI12*Assum!$B$105*FI$4/FI$5,0)</f>
        <v>0</v>
      </c>
      <c r="FJ16" s="9">
        <f>IF(FJ1&gt;Assum!$B$107,FJ12*Assum!$B$105*FJ$4/FJ$5,0)</f>
        <v>0</v>
      </c>
      <c r="FK16" s="9">
        <f>IF(FK1&gt;Assum!$B$107,FK12*Assum!$B$105*FK$4/FK$5,0)</f>
        <v>0</v>
      </c>
      <c r="FL16" s="9">
        <f>IF(FL1&gt;Assum!$B$107,FL12*Assum!$B$105*FL$4/FL$5,0)</f>
        <v>0</v>
      </c>
      <c r="FM16" s="9">
        <f>IF(FM1&gt;Assum!$B$107,FM12*Assum!$B$105*FM$4/FM$5,0)</f>
        <v>0</v>
      </c>
      <c r="FN16" s="9">
        <f>IF(FN1&gt;Assum!$B$107,FN12*Assum!$B$105*FN$4/FN$5,0)</f>
        <v>0</v>
      </c>
      <c r="FO16" s="9">
        <f>IF(FO1&gt;Assum!$B$107,FO12*Assum!$B$105*FO$4/FO$5,0)</f>
        <v>0</v>
      </c>
      <c r="FP16" s="9">
        <f>IF(FP1&gt;Assum!$B$107,FP12*Assum!$B$105*FP$4/FP$5,0)</f>
        <v>0</v>
      </c>
      <c r="FQ16" s="9">
        <f>IF(FQ1&gt;Assum!$B$107,FQ12*Assum!$B$105*FQ$4/FQ$5,0)</f>
        <v>0</v>
      </c>
      <c r="FR16" s="9">
        <f>IF(FR1&gt;Assum!$B$107,FR12*Assum!$B$105*FR$4/FR$5,0)</f>
        <v>0</v>
      </c>
      <c r="FS16" s="9">
        <f>IF(FS1&gt;Assum!$B$107,FS12*Assum!$B$105*FS$4/FS$5,0)</f>
        <v>0</v>
      </c>
      <c r="FT16" s="9">
        <f>IF(FT1&gt;Assum!$B$107,FT12*Assum!$B$105*FT$4/FT$5,0)</f>
        <v>0</v>
      </c>
      <c r="FU16" s="9">
        <f>IF(FU1&gt;Assum!$B$107,FU12*Assum!$B$105*FU$4/FU$5,0)</f>
        <v>0</v>
      </c>
      <c r="FV16" s="9">
        <f>IF(FV1&gt;Assum!$B$107,FV12*Assum!$B$105*FV$4/FV$5,0)</f>
        <v>0</v>
      </c>
      <c r="FW16" s="9">
        <f>IF(FW1&gt;Assum!$B$107,FW12*Assum!$B$105*FW$4/FW$5,0)</f>
        <v>0</v>
      </c>
      <c r="FX16" s="9">
        <f>IF(FX1&gt;Assum!$B$107,FX12*Assum!$B$105*FX$4/FX$5,0)</f>
        <v>0</v>
      </c>
      <c r="FY16" s="9">
        <f>IF(FY1&gt;Assum!$B$107,FY12*Assum!$B$105*FY$4/FY$5,0)</f>
        <v>0</v>
      </c>
      <c r="FZ16" s="9">
        <f>IF(FZ1&gt;Assum!$B$107,FZ12*Assum!$B$105*FZ$4/FZ$5,0)</f>
        <v>0</v>
      </c>
      <c r="GA16" s="9">
        <f>IF(GA1&gt;Assum!$B$107,GA12*Assum!$B$105*GA$4/GA$5,0)</f>
        <v>0</v>
      </c>
      <c r="GB16" s="9">
        <f>IF(GB1&gt;Assum!$B$107,GB12*Assum!$B$105*GB$4/GB$5,0)</f>
        <v>0</v>
      </c>
      <c r="GC16" s="9">
        <f>IF(GC1&gt;Assum!$B$107,GC12*Assum!$B$105*GC$4/GC$5,0)</f>
        <v>0</v>
      </c>
      <c r="GD16" s="9">
        <f>IF(GD1&gt;Assum!$B$107,GD12*Assum!$B$105*GD$4/GD$5,0)</f>
        <v>0</v>
      </c>
      <c r="GE16" s="9">
        <f>IF(GE1&gt;Assum!$B$107,GE12*Assum!$B$105*GE$4/GE$5,0)</f>
        <v>0</v>
      </c>
      <c r="GF16" s="9">
        <f>IF(GF1&gt;Assum!$B$107,GF12*Assum!$B$105*GF$4/GF$5,0)</f>
        <v>0</v>
      </c>
      <c r="GG16" s="9">
        <f>IF(GG1&gt;Assum!$B$107,GG12*Assum!$B$105*GG$4/GG$5,0)</f>
        <v>0</v>
      </c>
      <c r="GH16" s="9">
        <f>IF(GH1&gt;Assum!$B$107,GH12*Assum!$B$105*GH$4/GH$5,0)</f>
        <v>0</v>
      </c>
      <c r="GI16" s="9">
        <f>IF(GI1&gt;Assum!$B$107,GI12*Assum!$B$105*GI$4/GI$5,0)</f>
        <v>0</v>
      </c>
      <c r="GJ16" s="9">
        <f>IF(GJ1&gt;Assum!$B$107,GJ12*Assum!$B$105*GJ$4/GJ$5,0)</f>
        <v>0</v>
      </c>
      <c r="GK16" s="9">
        <f>IF(GK1&gt;Assum!$B$107,GK12*Assum!$B$105*GK$4/GK$5,0)</f>
        <v>0</v>
      </c>
      <c r="GL16" s="9">
        <f>IF(GL1&gt;Assum!$B$107,GL12*Assum!$B$105*GL$4/GL$5,0)</f>
        <v>0</v>
      </c>
      <c r="GM16" s="9">
        <f>IF(GM1&gt;Assum!$B$107,GM12*Assum!$B$105*GM$4/GM$5,0)</f>
        <v>0</v>
      </c>
      <c r="GN16" s="9">
        <f>IF(GN1&gt;Assum!$B$107,GN12*Assum!$B$105*GN$4/GN$5,0)</f>
        <v>0</v>
      </c>
      <c r="GO16" s="9">
        <f>IF(GO1&gt;Assum!$B$107,GO12*Assum!$B$105*GO$4/GO$5,0)</f>
        <v>0</v>
      </c>
      <c r="GP16" s="9">
        <f>IF(GP1&gt;Assum!$B$107,GP12*Assum!$B$105*GP$4/GP$5,0)</f>
        <v>0</v>
      </c>
      <c r="GQ16" s="9">
        <f>IF(GQ1&gt;Assum!$B$107,GQ12*Assum!$B$105*GQ$4/GQ$5,0)</f>
        <v>0</v>
      </c>
      <c r="GR16" s="9">
        <f>IF(GR1&gt;Assum!$B$107,GR12*Assum!$B$105*GR$4/GR$5,0)</f>
        <v>0</v>
      </c>
      <c r="GS16" s="9">
        <f>IF(GS1&gt;Assum!$B$107,GS12*Assum!$B$105*GS$4/GS$5,0)</f>
        <v>0</v>
      </c>
      <c r="GT16" s="9">
        <f>IF(GT1&gt;Assum!$B$107,GT12*Assum!$B$105*GT$4/GT$5,0)</f>
        <v>0</v>
      </c>
      <c r="GU16" s="9">
        <f>IF(GU1&gt;Assum!$B$107,GU12*Assum!$B$105*GU$4/GU$5,0)</f>
        <v>0</v>
      </c>
      <c r="GV16" s="9">
        <f>IF(GV1&gt;Assum!$B$107,GV12*Assum!$B$105*GV$4/GV$5,0)</f>
        <v>0</v>
      </c>
      <c r="GW16" s="9">
        <f>IF(GW1&gt;Assum!$B$107,GW12*Assum!$B$105*GW$4/GW$5,0)</f>
        <v>0</v>
      </c>
      <c r="GX16" s="9">
        <f>IF(GX1&gt;Assum!$B$107,GX12*Assum!$B$105*GX$4/GX$5,0)</f>
        <v>0</v>
      </c>
      <c r="GY16" s="9">
        <f>IF(GY1&gt;Assum!$B$107,GY12*Assum!$B$105*GY$4/GY$5,0)</f>
        <v>0</v>
      </c>
      <c r="GZ16" s="9">
        <f>IF(GZ1&gt;Assum!$B$107,GZ12*Assum!$B$105*GZ$4/GZ$5,0)</f>
        <v>0</v>
      </c>
      <c r="HA16" s="9">
        <f>IF(HA1&gt;Assum!$B$107,HA12*Assum!$B$105*HA$4/HA$5,0)</f>
        <v>0</v>
      </c>
      <c r="HB16" s="9">
        <f>IF(HB1&gt;Assum!$B$107,HB12*Assum!$B$105*HB$4/HB$5,0)</f>
        <v>0</v>
      </c>
      <c r="HC16" s="9">
        <f>IF(HC1&gt;Assum!$B$107,HC12*Assum!$B$105*HC$4/HC$5,0)</f>
        <v>0</v>
      </c>
      <c r="HD16" s="9">
        <f>IF(HD1&gt;Assum!$B$107,HD12*Assum!$B$105*HD$4/HD$5,0)</f>
        <v>0</v>
      </c>
      <c r="HE16" s="9">
        <f>IF(HE1&gt;Assum!$B$107,HE12*Assum!$B$105*HE$4/HE$5,0)</f>
        <v>0</v>
      </c>
      <c r="HF16" s="9">
        <f>IF(HF1&gt;Assum!$B$107,HF12*Assum!$B$105*HF$4/HF$5,0)</f>
        <v>0</v>
      </c>
      <c r="HG16" s="9">
        <f>IF(HG1&gt;Assum!$B$107,HG12*Assum!$B$105*HG$4/HG$5,0)</f>
        <v>0</v>
      </c>
      <c r="HH16" s="9">
        <f>IF(HH1&gt;Assum!$B$107,HH12*Assum!$B$105*HH$4/HH$5,0)</f>
        <v>0</v>
      </c>
      <c r="HI16" s="9">
        <f>IF(HI1&gt;Assum!$B$107,HI12*Assum!$B$105*HI$4/HI$5,0)</f>
        <v>0</v>
      </c>
      <c r="HJ16" s="9">
        <f>IF(HJ1&gt;Assum!$B$107,HJ12*Assum!$B$105*HJ$4/HJ$5,0)</f>
        <v>0</v>
      </c>
      <c r="HK16" s="9">
        <f>IF(HK1&gt;Assum!$B$107,HK12*Assum!$B$105*HK$4/HK$5,0)</f>
        <v>0</v>
      </c>
      <c r="HL16" s="9">
        <f>IF(HL1&gt;Assum!$B$107,HL12*Assum!$B$105*HL$4/HL$5,0)</f>
        <v>0</v>
      </c>
      <c r="HM16" s="9">
        <f>IF(HM1&gt;Assum!$B$107,HM12*Assum!$B$105*HM$4/HM$5,0)</f>
        <v>0</v>
      </c>
      <c r="HN16" s="9">
        <f>IF(HN1&gt;Assum!$B$107,HN12*Assum!$B$105*HN$4/HN$5,0)</f>
        <v>0</v>
      </c>
      <c r="HO16" s="9">
        <f>IF(HO1&gt;Assum!$B$107,HO12*Assum!$B$105*HO$4/HO$5,0)</f>
        <v>0</v>
      </c>
      <c r="HP16" s="9">
        <f>IF(HP1&gt;Assum!$B$107,HP12*Assum!$B$105*HP$4/HP$5,0)</f>
        <v>0</v>
      </c>
      <c r="HQ16" s="9">
        <f>IF(HQ1&gt;Assum!$B$107,HQ12*Assum!$B$105*HQ$4/HQ$5,0)</f>
        <v>0</v>
      </c>
      <c r="HR16" s="9">
        <f>IF(HR1&gt;Assum!$B$107,HR12*Assum!$B$105*HR$4/HR$5,0)</f>
        <v>0</v>
      </c>
      <c r="HS16" s="9">
        <f>IF(HS1&gt;Assum!$B$107,HS12*Assum!$B$105*HS$4/HS$5,0)</f>
        <v>0</v>
      </c>
      <c r="HT16" s="9">
        <f>IF(HT1&gt;Assum!$B$107,HT12*Assum!$B$105*HT$4/HT$5,0)</f>
        <v>0</v>
      </c>
      <c r="HU16" s="9">
        <f>IF(HU1&gt;Assum!$B$107,HU12*Assum!$B$105*HU$4/HU$5,0)</f>
        <v>0</v>
      </c>
      <c r="HV16" s="9">
        <f>IF(HV1&gt;Assum!$B$107,HV12*Assum!$B$105*HV$4/HV$5,0)</f>
        <v>0</v>
      </c>
      <c r="HW16" s="9">
        <f>IF(HW1&gt;Assum!$B$107,HW12*Assum!$B$105*HW$4/HW$5,0)</f>
        <v>0</v>
      </c>
      <c r="HX16" s="9">
        <f>IF(HX1&gt;Assum!$B$107,HX12*Assum!$B$105*HX$4/HX$5,0)</f>
        <v>0</v>
      </c>
      <c r="HY16" s="9">
        <f>IF(HY1&gt;Assum!$B$107,HY12*Assum!$B$105*HY$4/HY$5,0)</f>
        <v>0</v>
      </c>
      <c r="HZ16" s="9">
        <f>IF(HZ1&gt;Assum!$B$107,HZ12*Assum!$B$105*HZ$4/HZ$5,0)</f>
        <v>0</v>
      </c>
      <c r="IA16" s="9">
        <f>IF(IA1&gt;Assum!$B$107,IA12*Assum!$B$105*IA$4/IA$5,0)</f>
        <v>0</v>
      </c>
      <c r="IB16" s="9">
        <f>IF(IB1&gt;Assum!$B$107,IB12*Assum!$B$105*IB$4/IB$5,0)</f>
        <v>0</v>
      </c>
      <c r="IC16" s="9">
        <f>IF(IC1&gt;Assum!$B$107,IC12*Assum!$B$105*IC$4/IC$5,0)</f>
        <v>0</v>
      </c>
      <c r="ID16" s="9">
        <f>IF(ID1&gt;Assum!$B$107,ID12*Assum!$B$105*ID$4/ID$5,0)</f>
        <v>0</v>
      </c>
      <c r="IE16" s="9">
        <f>IF(IE1&gt;Assum!$B$107,IE12*Assum!$B$105*IE$4/IE$5,0)</f>
        <v>0</v>
      </c>
      <c r="IF16" s="9">
        <f>IF(IF1&gt;Assum!$B$107,IF12*Assum!$B$105*IF$4/IF$5,0)</f>
        <v>0</v>
      </c>
      <c r="IG16" s="9">
        <f>IF(IG1&gt;Assum!$B$107,IG12*Assum!$B$105*IG$4/IG$5,0)</f>
        <v>0</v>
      </c>
      <c r="IH16" s="9">
        <f>IF(IH1&gt;Assum!$B$107,IH12*Assum!$B$105*IH$4/IH$5,0)</f>
        <v>0</v>
      </c>
      <c r="II16" s="9">
        <f>IF(II1&gt;Assum!$B$107,II12*Assum!$B$105*II$4/II$5,0)</f>
        <v>0</v>
      </c>
      <c r="IJ16" s="9">
        <f>IF(IJ1&gt;Assum!$B$107,IJ12*Assum!$B$105*IJ$4/IJ$5,0)</f>
        <v>0</v>
      </c>
      <c r="IK16" s="9">
        <f>IF(IK1&gt;Assum!$B$107,IK12*Assum!$B$105*IK$4/IK$5,0)</f>
        <v>0</v>
      </c>
      <c r="IL16" s="9">
        <f>IF(IL1&gt;Assum!$B$107,IL12*Assum!$B$105*IL$4/IL$5,0)</f>
        <v>0</v>
      </c>
      <c r="IM16" s="9">
        <f>IF(IM1&gt;Assum!$B$107,IM12*Assum!$B$105*IM$4/IM$5,0)</f>
        <v>0</v>
      </c>
      <c r="IN16" s="9">
        <f>IF(IN1&gt;Assum!$B$107,IN12*Assum!$B$105*IN$4/IN$5,0)</f>
        <v>0</v>
      </c>
      <c r="IO16" s="9">
        <f>IF(IO1&gt;Assum!$B$107,IO12*Assum!$B$105*IO$4/IO$5,0)</f>
        <v>0</v>
      </c>
      <c r="IP16" s="9">
        <f>IF(IP1&gt;Assum!$B$107,IP12*Assum!$B$105*IP$4/IP$5,0)</f>
        <v>0</v>
      </c>
      <c r="IQ16" s="9">
        <f>IF(IQ1&gt;Assum!$B$107,IQ12*Assum!$B$105*IQ$4/IQ$5,0)</f>
        <v>0</v>
      </c>
      <c r="IR16" s="9">
        <f>IF(IR1&gt;Assum!$B$107,IR12*Assum!$B$105*IR$4/IR$5,0)</f>
        <v>0</v>
      </c>
      <c r="IS16" s="9">
        <f>IF(IS1&gt;Assum!$B$107,IS12*Assum!$B$105*IS$4/IS$5,0)</f>
        <v>0</v>
      </c>
      <c r="IT16" s="9">
        <f>IF(IT1&gt;Assum!$B$107,IT12*Assum!$B$105*IT$4/IT$5,0)</f>
        <v>0</v>
      </c>
      <c r="IU16" s="9">
        <f>IF(IU1&gt;Assum!$B$107,IU12*Assum!$B$105*IU$4/IU$5,0)</f>
        <v>0</v>
      </c>
      <c r="IV16" s="9">
        <f>IF(IV1&gt;Assum!$B$107,IV12*Assum!$B$105*IV$4/IV$5,0)</f>
        <v>0</v>
      </c>
      <c r="IW16" s="9">
        <f>IF(IW1&gt;Assum!$B$107,IW12*Assum!$B$105*IW$4/IW$5,0)</f>
        <v>0</v>
      </c>
      <c r="IX16" s="9">
        <f>IF(IX1&gt;Assum!$B$107,IX12*Assum!$B$105*IX$4/IX$5,0)</f>
        <v>0</v>
      </c>
      <c r="IY16" s="9">
        <f>IF(IY1&gt;Assum!$B$107,IY12*Assum!$B$105*IY$4/IY$5,0)</f>
        <v>0</v>
      </c>
      <c r="IZ16" s="9">
        <f>IF(IZ1&gt;Assum!$B$107,IZ12*Assum!$B$105*IZ$4/IZ$5,0)</f>
        <v>0</v>
      </c>
      <c r="JA16" s="9">
        <f>IF(JA1&gt;Assum!$B$107,JA12*Assum!$B$105*JA$4/JA$5,0)</f>
        <v>0</v>
      </c>
      <c r="JB16" s="9">
        <f>IF(JB1&gt;Assum!$B$107,JB12*Assum!$B$105*JB$4/JB$5,0)</f>
        <v>0</v>
      </c>
      <c r="JC16" s="9">
        <f>IF(JC1&gt;Assum!$B$107,JC12*Assum!$B$105*JC$4/JC$5,0)</f>
        <v>0</v>
      </c>
      <c r="JD16" s="9">
        <f>IF(JD1&gt;Assum!$B$107,JD12*Assum!$B$105*JD$4/JD$5,0)</f>
        <v>0</v>
      </c>
      <c r="JE16" s="9">
        <f>IF(JE1&gt;Assum!$B$107,JE12*Assum!$B$105*JE$4/JE$5,0)</f>
        <v>0</v>
      </c>
      <c r="JF16" s="9">
        <f>IF(JF1&gt;Assum!$B$107,JF12*Assum!$B$105*JF$4/JF$5,0)</f>
        <v>0</v>
      </c>
      <c r="JG16" s="9">
        <f>IF(JG1&gt;Assum!$B$107,JG12*Assum!$B$105*JG$4/JG$5,0)</f>
        <v>0</v>
      </c>
      <c r="JH16" s="9">
        <f>IF(JH1&gt;Assum!$B$107,JH12*Assum!$B$105*JH$4/JH$5,0)</f>
        <v>0</v>
      </c>
      <c r="JI16" s="9">
        <f>IF(JI1&gt;Assum!$B$107,JI12*Assum!$B$105*JI$4/JI$5,0)</f>
        <v>0</v>
      </c>
      <c r="JJ16" s="9">
        <f>IF(JJ1&gt;Assum!$B$107,JJ12*Assum!$B$105*JJ$4/JJ$5,0)</f>
        <v>0</v>
      </c>
      <c r="JK16" s="9">
        <f>IF(JK1&gt;Assum!$B$107,JK12*Assum!$B$105*JK$4/JK$5,0)</f>
        <v>0</v>
      </c>
      <c r="JL16" s="9">
        <f>IF(JL1&gt;Assum!$B$107,JL12*Assum!$B$105*JL$4/JL$5,0)</f>
        <v>0</v>
      </c>
      <c r="JM16" s="9">
        <f>IF(JM1&gt;Assum!$B$107,JM12*Assum!$B$105*JM$4/JM$5,0)</f>
        <v>0</v>
      </c>
      <c r="JN16" s="9">
        <f>IF(JN1&gt;Assum!$B$107,JN12*Assum!$B$105*JN$4/JN$5,0)</f>
        <v>0</v>
      </c>
      <c r="JO16" s="9">
        <f>IF(JO1&gt;Assum!$B$107,JO12*Assum!$B$105*JO$4/JO$5,0)</f>
        <v>0</v>
      </c>
      <c r="JP16" s="9">
        <f>IF(JP1&gt;Assum!$B$107,JP12*Assum!$B$105*JP$4/JP$5,0)</f>
        <v>0</v>
      </c>
      <c r="JQ16" s="9">
        <f>IF(JQ1&gt;Assum!$B$107,JQ12*Assum!$B$105*JQ$4/JQ$5,0)</f>
        <v>0</v>
      </c>
      <c r="JR16" s="9">
        <f>IF(JR1&gt;Assum!$B$107,JR12*Assum!$B$105*JR$4/JR$5,0)</f>
        <v>0</v>
      </c>
      <c r="JS16" s="9">
        <f>IF(JS1&gt;Assum!$B$107,JS12*Assum!$B$105*JS$4/JS$5,0)</f>
        <v>0</v>
      </c>
      <c r="JT16" s="9">
        <f>IF(JT1&gt;Assum!$B$107,JT12*Assum!$B$105*JT$4/JT$5,0)</f>
        <v>0</v>
      </c>
      <c r="JU16" s="9">
        <f>IF(JU1&gt;Assum!$B$107,JU12*Assum!$B$105*JU$4/JU$5,0)</f>
        <v>0</v>
      </c>
    </row>
    <row r="17" spans="1:281">
      <c r="B17" s="62">
        <f>SUM(D16:O16)</f>
        <v>15.63526370347277</v>
      </c>
      <c r="C17" s="13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</row>
    <row r="18" spans="1:281">
      <c r="A18" s="1" t="s">
        <v>248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</row>
    <row r="19" spans="1:281">
      <c r="A19" t="s">
        <v>249</v>
      </c>
      <c r="B19" s="9" t="e">
        <f ca="1">MAX(D19:JU19)</f>
        <v>#DIV/0!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>
        <f t="shared" ref="BW19" si="45">BV22</f>
        <v>1130.24</v>
      </c>
      <c r="BX19" s="9" t="e">
        <f t="shared" ref="BX19:EI19" ca="1" si="46">BW22</f>
        <v>#DIV/0!</v>
      </c>
      <c r="BY19" s="9" t="e">
        <f t="shared" ca="1" si="46"/>
        <v>#DIV/0!</v>
      </c>
      <c r="BZ19" s="9" t="e">
        <f t="shared" ca="1" si="46"/>
        <v>#DIV/0!</v>
      </c>
      <c r="CA19" s="9" t="e">
        <f t="shared" ca="1" si="46"/>
        <v>#DIV/0!</v>
      </c>
      <c r="CB19" s="9" t="e">
        <f t="shared" ca="1" si="46"/>
        <v>#DIV/0!</v>
      </c>
      <c r="CC19" s="9" t="e">
        <f t="shared" ca="1" si="46"/>
        <v>#DIV/0!</v>
      </c>
      <c r="CD19" s="9" t="e">
        <f t="shared" ca="1" si="46"/>
        <v>#DIV/0!</v>
      </c>
      <c r="CE19" s="9" t="e">
        <f t="shared" ca="1" si="46"/>
        <v>#DIV/0!</v>
      </c>
      <c r="CF19" s="9" t="e">
        <f t="shared" ca="1" si="46"/>
        <v>#DIV/0!</v>
      </c>
      <c r="CG19" s="9" t="e">
        <f t="shared" ca="1" si="46"/>
        <v>#DIV/0!</v>
      </c>
      <c r="CH19" s="9" t="e">
        <f t="shared" ca="1" si="46"/>
        <v>#DIV/0!</v>
      </c>
      <c r="CI19" s="9" t="e">
        <f t="shared" ca="1" si="46"/>
        <v>#DIV/0!</v>
      </c>
      <c r="CJ19" s="9" t="e">
        <f t="shared" ca="1" si="46"/>
        <v>#DIV/0!</v>
      </c>
      <c r="CK19" s="9" t="e">
        <f t="shared" ca="1" si="46"/>
        <v>#DIV/0!</v>
      </c>
      <c r="CL19" s="9" t="e">
        <f t="shared" ca="1" si="46"/>
        <v>#DIV/0!</v>
      </c>
      <c r="CM19" s="9" t="e">
        <f t="shared" ca="1" si="46"/>
        <v>#DIV/0!</v>
      </c>
      <c r="CN19" s="9" t="e">
        <f t="shared" ca="1" si="46"/>
        <v>#DIV/0!</v>
      </c>
      <c r="CO19" s="9" t="e">
        <f t="shared" ca="1" si="46"/>
        <v>#DIV/0!</v>
      </c>
      <c r="CP19" s="9" t="e">
        <f t="shared" ca="1" si="46"/>
        <v>#DIV/0!</v>
      </c>
      <c r="CQ19" s="9" t="e">
        <f t="shared" ca="1" si="46"/>
        <v>#DIV/0!</v>
      </c>
      <c r="CR19" s="9" t="e">
        <f t="shared" ca="1" si="46"/>
        <v>#DIV/0!</v>
      </c>
      <c r="CS19" s="9" t="e">
        <f t="shared" ca="1" si="46"/>
        <v>#DIV/0!</v>
      </c>
      <c r="CT19" s="9" t="e">
        <f t="shared" ca="1" si="46"/>
        <v>#DIV/0!</v>
      </c>
      <c r="CU19" s="9" t="e">
        <f t="shared" ca="1" si="46"/>
        <v>#DIV/0!</v>
      </c>
      <c r="CV19" s="9" t="e">
        <f t="shared" ca="1" si="46"/>
        <v>#DIV/0!</v>
      </c>
      <c r="CW19" s="9" t="e">
        <f t="shared" ca="1" si="46"/>
        <v>#DIV/0!</v>
      </c>
      <c r="CX19" s="9" t="e">
        <f t="shared" ca="1" si="46"/>
        <v>#DIV/0!</v>
      </c>
      <c r="CY19" s="9" t="e">
        <f t="shared" ca="1" si="46"/>
        <v>#DIV/0!</v>
      </c>
      <c r="CZ19" s="9" t="e">
        <f t="shared" ca="1" si="46"/>
        <v>#DIV/0!</v>
      </c>
      <c r="DA19" s="9" t="e">
        <f t="shared" ca="1" si="46"/>
        <v>#DIV/0!</v>
      </c>
      <c r="DB19" s="9" t="e">
        <f t="shared" ca="1" si="46"/>
        <v>#DIV/0!</v>
      </c>
      <c r="DC19" s="9" t="e">
        <f t="shared" ca="1" si="46"/>
        <v>#DIV/0!</v>
      </c>
      <c r="DD19" s="9" t="e">
        <f t="shared" ca="1" si="46"/>
        <v>#DIV/0!</v>
      </c>
      <c r="DE19" s="9" t="e">
        <f t="shared" ca="1" si="46"/>
        <v>#DIV/0!</v>
      </c>
      <c r="DF19" s="9" t="e">
        <f t="shared" ca="1" si="46"/>
        <v>#DIV/0!</v>
      </c>
      <c r="DG19" s="9" t="e">
        <f t="shared" ca="1" si="46"/>
        <v>#DIV/0!</v>
      </c>
      <c r="DH19" s="9" t="e">
        <f t="shared" ca="1" si="46"/>
        <v>#DIV/0!</v>
      </c>
      <c r="DI19" s="9" t="e">
        <f t="shared" ca="1" si="46"/>
        <v>#DIV/0!</v>
      </c>
      <c r="DJ19" s="9" t="e">
        <f t="shared" ca="1" si="46"/>
        <v>#DIV/0!</v>
      </c>
      <c r="DK19" s="9" t="e">
        <f t="shared" ca="1" si="46"/>
        <v>#DIV/0!</v>
      </c>
      <c r="DL19" s="9" t="e">
        <f t="shared" ca="1" si="46"/>
        <v>#DIV/0!</v>
      </c>
      <c r="DM19" s="9" t="e">
        <f t="shared" ca="1" si="46"/>
        <v>#DIV/0!</v>
      </c>
      <c r="DN19" s="9" t="e">
        <f t="shared" ca="1" si="46"/>
        <v>#DIV/0!</v>
      </c>
      <c r="DO19" s="9" t="e">
        <f t="shared" ca="1" si="46"/>
        <v>#DIV/0!</v>
      </c>
      <c r="DP19" s="9" t="e">
        <f t="shared" ca="1" si="46"/>
        <v>#DIV/0!</v>
      </c>
      <c r="DQ19" s="9" t="e">
        <f t="shared" ca="1" si="46"/>
        <v>#DIV/0!</v>
      </c>
      <c r="DR19" s="9" t="e">
        <f t="shared" ca="1" si="46"/>
        <v>#DIV/0!</v>
      </c>
      <c r="DS19" s="9" t="e">
        <f t="shared" ca="1" si="46"/>
        <v>#DIV/0!</v>
      </c>
      <c r="DT19" s="9" t="e">
        <f t="shared" ca="1" si="46"/>
        <v>#DIV/0!</v>
      </c>
      <c r="DU19" s="9" t="e">
        <f t="shared" ca="1" si="46"/>
        <v>#DIV/0!</v>
      </c>
      <c r="DV19" s="9" t="e">
        <f t="shared" ca="1" si="46"/>
        <v>#DIV/0!</v>
      </c>
      <c r="DW19" s="9" t="e">
        <f t="shared" ca="1" si="46"/>
        <v>#DIV/0!</v>
      </c>
      <c r="DX19" s="9" t="e">
        <f t="shared" ca="1" si="46"/>
        <v>#DIV/0!</v>
      </c>
      <c r="DY19" s="9" t="e">
        <f t="shared" ca="1" si="46"/>
        <v>#DIV/0!</v>
      </c>
      <c r="DZ19" s="9" t="e">
        <f t="shared" ca="1" si="46"/>
        <v>#DIV/0!</v>
      </c>
      <c r="EA19" s="9" t="e">
        <f t="shared" ca="1" si="46"/>
        <v>#DIV/0!</v>
      </c>
      <c r="EB19" s="9" t="e">
        <f t="shared" ca="1" si="46"/>
        <v>#DIV/0!</v>
      </c>
      <c r="EC19" s="9" t="e">
        <f t="shared" ca="1" si="46"/>
        <v>#DIV/0!</v>
      </c>
      <c r="ED19" s="9" t="e">
        <f t="shared" ca="1" si="46"/>
        <v>#DIV/0!</v>
      </c>
      <c r="EE19" s="9" t="e">
        <f t="shared" ca="1" si="46"/>
        <v>#DIV/0!</v>
      </c>
      <c r="EF19" s="9" t="e">
        <f t="shared" ca="1" si="46"/>
        <v>#DIV/0!</v>
      </c>
      <c r="EG19" s="9" t="e">
        <f t="shared" ca="1" si="46"/>
        <v>#DIV/0!</v>
      </c>
      <c r="EH19" s="9" t="e">
        <f t="shared" ca="1" si="46"/>
        <v>#DIV/0!</v>
      </c>
      <c r="EI19" s="9" t="e">
        <f t="shared" ca="1" si="46"/>
        <v>#DIV/0!</v>
      </c>
      <c r="EJ19" s="9" t="e">
        <f t="shared" ref="EJ19:EO19" ca="1" si="47">EI22</f>
        <v>#DIV/0!</v>
      </c>
      <c r="EK19" s="9" t="e">
        <f t="shared" ca="1" si="47"/>
        <v>#DIV/0!</v>
      </c>
      <c r="EL19" s="9" t="e">
        <f t="shared" ca="1" si="47"/>
        <v>#DIV/0!</v>
      </c>
      <c r="EM19" s="9" t="e">
        <f t="shared" ca="1" si="47"/>
        <v>#DIV/0!</v>
      </c>
      <c r="EN19" s="9" t="e">
        <f t="shared" ca="1" si="47"/>
        <v>#DIV/0!</v>
      </c>
      <c r="EO19" s="9" t="e">
        <f t="shared" ca="1" si="47"/>
        <v>#DIV/0!</v>
      </c>
      <c r="EP19" s="9" t="e">
        <f t="shared" ref="EP19:FU19" ca="1" si="48">EO22</f>
        <v>#DIV/0!</v>
      </c>
      <c r="EQ19" s="9" t="e">
        <f t="shared" ca="1" si="48"/>
        <v>#DIV/0!</v>
      </c>
      <c r="ER19" s="9" t="e">
        <f t="shared" ca="1" si="48"/>
        <v>#DIV/0!</v>
      </c>
      <c r="ES19" s="9" t="e">
        <f t="shared" ca="1" si="48"/>
        <v>#DIV/0!</v>
      </c>
      <c r="ET19" s="9" t="e">
        <f t="shared" ca="1" si="48"/>
        <v>#DIV/0!</v>
      </c>
      <c r="EU19" s="9" t="e">
        <f t="shared" ca="1" si="48"/>
        <v>#DIV/0!</v>
      </c>
      <c r="EV19" s="9" t="e">
        <f t="shared" ca="1" si="48"/>
        <v>#DIV/0!</v>
      </c>
      <c r="EW19" s="9" t="e">
        <f t="shared" ca="1" si="48"/>
        <v>#DIV/0!</v>
      </c>
      <c r="EX19" s="9" t="e">
        <f t="shared" ca="1" si="48"/>
        <v>#DIV/0!</v>
      </c>
      <c r="EY19" s="9" t="e">
        <f t="shared" ca="1" si="48"/>
        <v>#DIV/0!</v>
      </c>
      <c r="EZ19" s="9" t="e">
        <f t="shared" ca="1" si="48"/>
        <v>#DIV/0!</v>
      </c>
      <c r="FA19" s="9" t="e">
        <f t="shared" ca="1" si="48"/>
        <v>#DIV/0!</v>
      </c>
      <c r="FB19" s="9" t="e">
        <f t="shared" ca="1" si="48"/>
        <v>#DIV/0!</v>
      </c>
      <c r="FC19" s="9" t="e">
        <f t="shared" ca="1" si="48"/>
        <v>#DIV/0!</v>
      </c>
      <c r="FD19" s="9" t="e">
        <f t="shared" ca="1" si="48"/>
        <v>#DIV/0!</v>
      </c>
      <c r="FE19" s="9" t="e">
        <f t="shared" ca="1" si="48"/>
        <v>#DIV/0!</v>
      </c>
      <c r="FF19" s="9" t="e">
        <f t="shared" ca="1" si="48"/>
        <v>#DIV/0!</v>
      </c>
      <c r="FG19" s="9" t="e">
        <f t="shared" ca="1" si="48"/>
        <v>#DIV/0!</v>
      </c>
      <c r="FH19" s="9" t="e">
        <f t="shared" ca="1" si="48"/>
        <v>#DIV/0!</v>
      </c>
      <c r="FI19" s="9" t="e">
        <f t="shared" ca="1" si="48"/>
        <v>#DIV/0!</v>
      </c>
      <c r="FJ19" s="9" t="e">
        <f t="shared" ca="1" si="48"/>
        <v>#DIV/0!</v>
      </c>
      <c r="FK19" s="9" t="e">
        <f t="shared" ca="1" si="48"/>
        <v>#DIV/0!</v>
      </c>
      <c r="FL19" s="9" t="e">
        <f t="shared" ca="1" si="48"/>
        <v>#DIV/0!</v>
      </c>
      <c r="FM19" s="9" t="e">
        <f t="shared" ca="1" si="48"/>
        <v>#DIV/0!</v>
      </c>
      <c r="FN19" s="9" t="e">
        <f t="shared" ca="1" si="48"/>
        <v>#DIV/0!</v>
      </c>
      <c r="FO19" s="9" t="e">
        <f t="shared" ca="1" si="48"/>
        <v>#DIV/0!</v>
      </c>
      <c r="FP19" s="9" t="e">
        <f t="shared" ca="1" si="48"/>
        <v>#DIV/0!</v>
      </c>
      <c r="FQ19" s="9" t="e">
        <f t="shared" ca="1" si="48"/>
        <v>#DIV/0!</v>
      </c>
      <c r="FR19" s="9" t="e">
        <f t="shared" ca="1" si="48"/>
        <v>#DIV/0!</v>
      </c>
      <c r="FS19" s="9" t="e">
        <f t="shared" ca="1" si="48"/>
        <v>#DIV/0!</v>
      </c>
      <c r="FT19" s="9" t="e">
        <f t="shared" ca="1" si="48"/>
        <v>#DIV/0!</v>
      </c>
      <c r="FU19" s="9" t="e">
        <f t="shared" ca="1" si="48"/>
        <v>#DIV/0!</v>
      </c>
      <c r="FV19" s="9" t="e">
        <f t="shared" ref="FV19:HA19" ca="1" si="49">FU22</f>
        <v>#DIV/0!</v>
      </c>
      <c r="FW19" s="9" t="e">
        <f t="shared" ca="1" si="49"/>
        <v>#DIV/0!</v>
      </c>
      <c r="FX19" s="9" t="e">
        <f t="shared" ca="1" si="49"/>
        <v>#DIV/0!</v>
      </c>
      <c r="FY19" s="9" t="e">
        <f t="shared" ca="1" si="49"/>
        <v>#DIV/0!</v>
      </c>
      <c r="FZ19" s="9" t="e">
        <f t="shared" ca="1" si="49"/>
        <v>#DIV/0!</v>
      </c>
      <c r="GA19" s="9" t="e">
        <f t="shared" ca="1" si="49"/>
        <v>#DIV/0!</v>
      </c>
      <c r="GB19" s="9" t="e">
        <f t="shared" ca="1" si="49"/>
        <v>#DIV/0!</v>
      </c>
      <c r="GC19" s="9" t="e">
        <f t="shared" ca="1" si="49"/>
        <v>#DIV/0!</v>
      </c>
      <c r="GD19" s="9" t="e">
        <f t="shared" ca="1" si="49"/>
        <v>#DIV/0!</v>
      </c>
      <c r="GE19" s="9" t="e">
        <f t="shared" ca="1" si="49"/>
        <v>#DIV/0!</v>
      </c>
      <c r="GF19" s="9" t="e">
        <f t="shared" ca="1" si="49"/>
        <v>#DIV/0!</v>
      </c>
      <c r="GG19" s="9" t="e">
        <f t="shared" ca="1" si="49"/>
        <v>#DIV/0!</v>
      </c>
      <c r="GH19" s="9" t="e">
        <f t="shared" ca="1" si="49"/>
        <v>#DIV/0!</v>
      </c>
      <c r="GI19" s="9" t="e">
        <f t="shared" ca="1" si="49"/>
        <v>#DIV/0!</v>
      </c>
      <c r="GJ19" s="9" t="e">
        <f t="shared" ca="1" si="49"/>
        <v>#DIV/0!</v>
      </c>
      <c r="GK19" s="9" t="e">
        <f t="shared" ca="1" si="49"/>
        <v>#DIV/0!</v>
      </c>
      <c r="GL19" s="9" t="e">
        <f t="shared" ca="1" si="49"/>
        <v>#DIV/0!</v>
      </c>
      <c r="GM19" s="9" t="e">
        <f t="shared" ca="1" si="49"/>
        <v>#DIV/0!</v>
      </c>
      <c r="GN19" s="9" t="e">
        <f t="shared" ca="1" si="49"/>
        <v>#DIV/0!</v>
      </c>
      <c r="GO19" s="9" t="e">
        <f t="shared" ca="1" si="49"/>
        <v>#DIV/0!</v>
      </c>
      <c r="GP19" s="9" t="e">
        <f t="shared" ca="1" si="49"/>
        <v>#DIV/0!</v>
      </c>
      <c r="GQ19" s="9" t="e">
        <f t="shared" ca="1" si="49"/>
        <v>#DIV/0!</v>
      </c>
      <c r="GR19" s="9" t="e">
        <f t="shared" ca="1" si="49"/>
        <v>#DIV/0!</v>
      </c>
      <c r="GS19" s="9" t="e">
        <f t="shared" ca="1" si="49"/>
        <v>#DIV/0!</v>
      </c>
      <c r="GT19" s="9" t="e">
        <f t="shared" ca="1" si="49"/>
        <v>#DIV/0!</v>
      </c>
      <c r="GU19" s="9" t="e">
        <f t="shared" ca="1" si="49"/>
        <v>#DIV/0!</v>
      </c>
      <c r="GV19" s="9" t="e">
        <f t="shared" ca="1" si="49"/>
        <v>#DIV/0!</v>
      </c>
      <c r="GW19" s="9" t="e">
        <f t="shared" ca="1" si="49"/>
        <v>#DIV/0!</v>
      </c>
      <c r="GX19" s="9" t="e">
        <f t="shared" ca="1" si="49"/>
        <v>#DIV/0!</v>
      </c>
      <c r="GY19" s="9" t="e">
        <f t="shared" ca="1" si="49"/>
        <v>#DIV/0!</v>
      </c>
      <c r="GZ19" s="9" t="e">
        <f t="shared" ca="1" si="49"/>
        <v>#DIV/0!</v>
      </c>
      <c r="HA19" s="9" t="e">
        <f t="shared" ca="1" si="49"/>
        <v>#DIV/0!</v>
      </c>
      <c r="HB19" s="9" t="e">
        <f t="shared" ref="HB19:IG19" ca="1" si="50">HA22</f>
        <v>#DIV/0!</v>
      </c>
      <c r="HC19" s="9" t="e">
        <f t="shared" ca="1" si="50"/>
        <v>#DIV/0!</v>
      </c>
      <c r="HD19" s="9" t="e">
        <f t="shared" ca="1" si="50"/>
        <v>#DIV/0!</v>
      </c>
      <c r="HE19" s="9" t="e">
        <f t="shared" ca="1" si="50"/>
        <v>#DIV/0!</v>
      </c>
      <c r="HF19" s="9" t="e">
        <f t="shared" ca="1" si="50"/>
        <v>#DIV/0!</v>
      </c>
      <c r="HG19" s="9" t="e">
        <f t="shared" ca="1" si="50"/>
        <v>#DIV/0!</v>
      </c>
      <c r="HH19" s="9" t="e">
        <f t="shared" ca="1" si="50"/>
        <v>#DIV/0!</v>
      </c>
      <c r="HI19" s="9" t="e">
        <f t="shared" ca="1" si="50"/>
        <v>#DIV/0!</v>
      </c>
      <c r="HJ19" s="9" t="e">
        <f t="shared" ca="1" si="50"/>
        <v>#DIV/0!</v>
      </c>
      <c r="HK19" s="9" t="e">
        <f t="shared" ca="1" si="50"/>
        <v>#DIV/0!</v>
      </c>
      <c r="HL19" s="9" t="e">
        <f t="shared" ca="1" si="50"/>
        <v>#DIV/0!</v>
      </c>
      <c r="HM19" s="9" t="e">
        <f t="shared" ca="1" si="50"/>
        <v>#DIV/0!</v>
      </c>
      <c r="HN19" s="9" t="e">
        <f t="shared" ca="1" si="50"/>
        <v>#DIV/0!</v>
      </c>
      <c r="HO19" s="9" t="e">
        <f t="shared" ca="1" si="50"/>
        <v>#DIV/0!</v>
      </c>
      <c r="HP19" s="9" t="e">
        <f t="shared" ca="1" si="50"/>
        <v>#DIV/0!</v>
      </c>
      <c r="HQ19" s="9" t="e">
        <f t="shared" ca="1" si="50"/>
        <v>#DIV/0!</v>
      </c>
      <c r="HR19" s="9" t="e">
        <f t="shared" ca="1" si="50"/>
        <v>#DIV/0!</v>
      </c>
      <c r="HS19" s="9" t="e">
        <f t="shared" ca="1" si="50"/>
        <v>#DIV/0!</v>
      </c>
      <c r="HT19" s="9" t="e">
        <f t="shared" ca="1" si="50"/>
        <v>#DIV/0!</v>
      </c>
      <c r="HU19" s="9" t="e">
        <f t="shared" ca="1" si="50"/>
        <v>#DIV/0!</v>
      </c>
      <c r="HV19" s="9" t="e">
        <f t="shared" ca="1" si="50"/>
        <v>#DIV/0!</v>
      </c>
      <c r="HW19" s="9" t="e">
        <f t="shared" ca="1" si="50"/>
        <v>#DIV/0!</v>
      </c>
      <c r="HX19" s="9" t="e">
        <f t="shared" ca="1" si="50"/>
        <v>#DIV/0!</v>
      </c>
      <c r="HY19" s="9" t="e">
        <f t="shared" ca="1" si="50"/>
        <v>#DIV/0!</v>
      </c>
      <c r="HZ19" s="9" t="e">
        <f t="shared" ca="1" si="50"/>
        <v>#DIV/0!</v>
      </c>
      <c r="IA19" s="9" t="e">
        <f t="shared" ca="1" si="50"/>
        <v>#DIV/0!</v>
      </c>
      <c r="IB19" s="9" t="e">
        <f t="shared" ca="1" si="50"/>
        <v>#DIV/0!</v>
      </c>
      <c r="IC19" s="9" t="e">
        <f t="shared" ca="1" si="50"/>
        <v>#DIV/0!</v>
      </c>
      <c r="ID19" s="9" t="e">
        <f t="shared" ca="1" si="50"/>
        <v>#DIV/0!</v>
      </c>
      <c r="IE19" s="9" t="e">
        <f t="shared" ca="1" si="50"/>
        <v>#DIV/0!</v>
      </c>
      <c r="IF19" s="9" t="e">
        <f t="shared" ca="1" si="50"/>
        <v>#DIV/0!</v>
      </c>
      <c r="IG19" s="9" t="e">
        <f t="shared" ca="1" si="50"/>
        <v>#DIV/0!</v>
      </c>
      <c r="IH19" s="9" t="e">
        <f t="shared" ref="IH19:JM19" ca="1" si="51">IG22</f>
        <v>#DIV/0!</v>
      </c>
      <c r="II19" s="9" t="e">
        <f t="shared" ca="1" si="51"/>
        <v>#DIV/0!</v>
      </c>
      <c r="IJ19" s="9" t="e">
        <f t="shared" ca="1" si="51"/>
        <v>#DIV/0!</v>
      </c>
      <c r="IK19" s="9" t="e">
        <f t="shared" ca="1" si="51"/>
        <v>#DIV/0!</v>
      </c>
      <c r="IL19" s="9" t="e">
        <f t="shared" ca="1" si="51"/>
        <v>#DIV/0!</v>
      </c>
      <c r="IM19" s="9" t="e">
        <f t="shared" ca="1" si="51"/>
        <v>#DIV/0!</v>
      </c>
      <c r="IN19" s="9" t="e">
        <f t="shared" ca="1" si="51"/>
        <v>#DIV/0!</v>
      </c>
      <c r="IO19" s="9" t="e">
        <f t="shared" ca="1" si="51"/>
        <v>#DIV/0!</v>
      </c>
      <c r="IP19" s="9" t="e">
        <f t="shared" ca="1" si="51"/>
        <v>#DIV/0!</v>
      </c>
      <c r="IQ19" s="9" t="e">
        <f t="shared" ca="1" si="51"/>
        <v>#DIV/0!</v>
      </c>
      <c r="IR19" s="9" t="e">
        <f t="shared" ca="1" si="51"/>
        <v>#DIV/0!</v>
      </c>
      <c r="IS19" s="9" t="e">
        <f t="shared" ca="1" si="51"/>
        <v>#DIV/0!</v>
      </c>
      <c r="IT19" s="9" t="e">
        <f t="shared" ca="1" si="51"/>
        <v>#DIV/0!</v>
      </c>
      <c r="IU19" s="9" t="e">
        <f t="shared" ca="1" si="51"/>
        <v>#DIV/0!</v>
      </c>
      <c r="IV19" s="9" t="e">
        <f t="shared" ca="1" si="51"/>
        <v>#DIV/0!</v>
      </c>
      <c r="IW19" s="9" t="e">
        <f t="shared" ca="1" si="51"/>
        <v>#DIV/0!</v>
      </c>
      <c r="IX19" s="9" t="e">
        <f t="shared" ca="1" si="51"/>
        <v>#DIV/0!</v>
      </c>
      <c r="IY19" s="9" t="e">
        <f t="shared" ca="1" si="51"/>
        <v>#DIV/0!</v>
      </c>
      <c r="IZ19" s="9" t="e">
        <f t="shared" ca="1" si="51"/>
        <v>#DIV/0!</v>
      </c>
      <c r="JA19" s="9" t="e">
        <f t="shared" ca="1" si="51"/>
        <v>#DIV/0!</v>
      </c>
      <c r="JB19" s="9" t="e">
        <f t="shared" ca="1" si="51"/>
        <v>#DIV/0!</v>
      </c>
      <c r="JC19" s="9" t="e">
        <f t="shared" ca="1" si="51"/>
        <v>#DIV/0!</v>
      </c>
      <c r="JD19" s="9" t="e">
        <f t="shared" ca="1" si="51"/>
        <v>#DIV/0!</v>
      </c>
      <c r="JE19" s="9" t="e">
        <f t="shared" ca="1" si="51"/>
        <v>#DIV/0!</v>
      </c>
      <c r="JF19" s="9" t="e">
        <f t="shared" ca="1" si="51"/>
        <v>#DIV/0!</v>
      </c>
      <c r="JG19" s="9" t="e">
        <f t="shared" ca="1" si="51"/>
        <v>#DIV/0!</v>
      </c>
      <c r="JH19" s="9" t="e">
        <f t="shared" ca="1" si="51"/>
        <v>#DIV/0!</v>
      </c>
      <c r="JI19" s="9" t="e">
        <f t="shared" ca="1" si="51"/>
        <v>#DIV/0!</v>
      </c>
      <c r="JJ19" s="9" t="e">
        <f t="shared" ca="1" si="51"/>
        <v>#DIV/0!</v>
      </c>
      <c r="JK19" s="9" t="e">
        <f t="shared" ca="1" si="51"/>
        <v>#DIV/0!</v>
      </c>
      <c r="JL19" s="9" t="e">
        <f t="shared" ca="1" si="51"/>
        <v>#DIV/0!</v>
      </c>
      <c r="JM19" s="9" t="e">
        <f t="shared" ca="1" si="51"/>
        <v>#DIV/0!</v>
      </c>
      <c r="JN19" s="9" t="e">
        <f t="shared" ref="JN19:JU19" ca="1" si="52">JM22</f>
        <v>#DIV/0!</v>
      </c>
      <c r="JO19" s="9" t="e">
        <f t="shared" ca="1" si="52"/>
        <v>#DIV/0!</v>
      </c>
      <c r="JP19" s="9" t="e">
        <f t="shared" ca="1" si="52"/>
        <v>#DIV/0!</v>
      </c>
      <c r="JQ19" s="9" t="e">
        <f t="shared" ca="1" si="52"/>
        <v>#DIV/0!</v>
      </c>
      <c r="JR19" s="9" t="e">
        <f t="shared" ca="1" si="52"/>
        <v>#DIV/0!</v>
      </c>
      <c r="JS19" s="9" t="e">
        <f t="shared" ca="1" si="52"/>
        <v>#DIV/0!</v>
      </c>
      <c r="JT19" s="9" t="e">
        <f t="shared" ca="1" si="52"/>
        <v>#DIV/0!</v>
      </c>
      <c r="JU19" s="9" t="e">
        <f t="shared" ca="1" si="52"/>
        <v>#DIV/0!</v>
      </c>
    </row>
    <row r="20" spans="1:281">
      <c r="A20" t="s">
        <v>188</v>
      </c>
      <c r="D20" s="9">
        <f>IF(D1=Assum!$D$88,Assum!$B$88,0)+B23*Assum!$B$100</f>
        <v>0</v>
      </c>
      <c r="E20" s="9">
        <f>IF(E1=Assum!$D$88,Assum!$B$88,0)+D23*Assum!$B$100</f>
        <v>0</v>
      </c>
      <c r="F20" s="9">
        <f>IF(F1=Assum!$D$88,Assum!$B$88,0)+E23*Assum!$B$100</f>
        <v>0</v>
      </c>
      <c r="G20" s="9">
        <f>IF(G1=Assum!$D$88,Assum!$B$88,0)+F23*(1-Assum!$B$100)</f>
        <v>0</v>
      </c>
      <c r="H20" s="9">
        <f>IF(H1=Assum!$D$88,Assum!$B$88,0)+G23*(1-Assum!$B$100)</f>
        <v>0</v>
      </c>
      <c r="I20" s="9">
        <f>IF(I1=Assum!$D$88,Assum!$B$88,0)+H23*(1-Assum!$B$100)</f>
        <v>0</v>
      </c>
      <c r="J20" s="9">
        <f>IF(J1=Assum!$D$88,Assum!$B$88,0)+I23*(1-Assum!$B$100)</f>
        <v>0</v>
      </c>
      <c r="K20" s="9">
        <f>IF(K1=Assum!$D$88,Assum!$B$88,0)+J23*(1-Assum!$B$100)</f>
        <v>0</v>
      </c>
      <c r="L20" s="9">
        <f>IF(L1=Assum!$D$88,Assum!$B$88,0)+K23*(1-Assum!$B$100)</f>
        <v>0</v>
      </c>
      <c r="M20" s="9">
        <f>IF(M1=Assum!$D$88,Assum!$B$88,0)+L23*(1-Assum!$B$100)</f>
        <v>0</v>
      </c>
      <c r="N20" s="9">
        <f>IF(N1=Assum!$D$88,Assum!$B$88,0)+M23*(1-Assum!$B$100)</f>
        <v>0</v>
      </c>
      <c r="O20" s="9">
        <f>IF(O1=Assum!$D$88,Assum!$B$88,0)+N23*(1-Assum!$B$100)</f>
        <v>0</v>
      </c>
      <c r="P20" s="9">
        <f>IF(P1=Assum!$D$88,Assum!$B$88,0)+O23*(1-Assum!$B$100)</f>
        <v>122.81526370347278</v>
      </c>
      <c r="Q20" s="9">
        <f>IF(Q1=Assum!$D$88,Assum!$B$88,0)+P23*(1-Assum!$B$100)</f>
        <v>1.3824066485107505</v>
      </c>
      <c r="R20" s="9">
        <f>IF(R1=Assum!$D$88,Assum!$B$88,0)+Q23*(1-Assum!$B$100)</f>
        <v>1.6079025416114553E-2</v>
      </c>
      <c r="S20" s="9">
        <f>IF(S1=Assum!$D$88,Assum!$B$88,0)+R23*(1-Assum!$B$100)</f>
        <v>1.8098525351439336E-4</v>
      </c>
      <c r="T20" s="9">
        <f>IF(T1=Assum!$D$88,Assum!$B$88,0)</f>
        <v>0</v>
      </c>
      <c r="U20" s="9">
        <f>IF(U1=Assum!$D$88,Assum!$B$88,0)</f>
        <v>0</v>
      </c>
      <c r="V20" s="9">
        <f>IF(V1=Assum!$D$88,Assum!$B$88,0)</f>
        <v>0</v>
      </c>
      <c r="W20" s="9">
        <f>IF(W1=Assum!$D$88,Assum!$B$88,0)</f>
        <v>0</v>
      </c>
      <c r="X20" s="9">
        <f>IF(X1=Assum!$D$88,Assum!$B$88,0)</f>
        <v>0</v>
      </c>
      <c r="Y20" s="9">
        <f>IF(Y1=Assum!$D$88,Assum!$B$88,0)</f>
        <v>0</v>
      </c>
      <c r="Z20" s="9">
        <f>IF(Z1=Assum!$D$88,Assum!$B$88,0)</f>
        <v>0</v>
      </c>
      <c r="AA20" s="9">
        <f>IF(AA1=Assum!$D$88,Assum!$B$88,0)</f>
        <v>0</v>
      </c>
      <c r="AB20" s="9">
        <f>IF(AB1=Assum!$D$88,Assum!$B$88,0)</f>
        <v>0</v>
      </c>
      <c r="AC20" s="9">
        <f>IF(AC1=Assum!$D$88,Assum!$B$88,0)</f>
        <v>0</v>
      </c>
      <c r="AD20" s="9">
        <f>IF(AD1=Assum!$D$88,Assum!$B$88,0)</f>
        <v>0</v>
      </c>
      <c r="AE20" s="9">
        <f>IF(AE1=Assum!$D$88,Assum!$B$88,0)</f>
        <v>0</v>
      </c>
      <c r="AF20" s="9">
        <f>IF(AF1=Assum!$D$88,Assum!$B$88,0)</f>
        <v>0</v>
      </c>
      <c r="AG20" s="9">
        <f>IF(AG1=Assum!$D$88,Assum!$B$88,0)</f>
        <v>0</v>
      </c>
      <c r="AH20" s="9">
        <f>IF(AH1=Assum!$D$88,Assum!$B$88,0)</f>
        <v>0</v>
      </c>
      <c r="AI20" s="9">
        <f>IF(AI1=Assum!$D$88,Assum!$B$88,0)</f>
        <v>0</v>
      </c>
      <c r="AJ20" s="9">
        <f>IF(AJ1=Assum!$D$88,Assum!$B$88,0)</f>
        <v>0</v>
      </c>
      <c r="AK20" s="9">
        <f>IF(AK1=Assum!$D$88,Assum!$B$88,0)</f>
        <v>0</v>
      </c>
      <c r="AL20" s="9">
        <f>IF(AL1=Assum!$D$88,Assum!$B$88,0)</f>
        <v>0</v>
      </c>
      <c r="AM20" s="9">
        <f>IF(AM1=Assum!$D$88,Assum!$B$88,0)</f>
        <v>0</v>
      </c>
      <c r="AN20" s="9">
        <f>IF(AN1=Assum!$D$88,Assum!$B$88,0)</f>
        <v>0</v>
      </c>
      <c r="AO20" s="9">
        <f>IF(AO1=Assum!$D$88,Assum!$B$88,0)</f>
        <v>0</v>
      </c>
      <c r="AP20" s="9">
        <f>IF(AP1=Assum!$D$88,Assum!$B$88,0)</f>
        <v>0</v>
      </c>
      <c r="AQ20" s="9">
        <f>IF(AQ1=Assum!$D$88,Assum!$B$88,0)</f>
        <v>0</v>
      </c>
      <c r="AR20" s="9">
        <f>IF(AR1=Assum!$D$88,Assum!$B$88,0)</f>
        <v>0</v>
      </c>
      <c r="AS20" s="9">
        <f>IF(AS1=Assum!$D$88,Assum!$B$88,0)</f>
        <v>0</v>
      </c>
      <c r="AT20" s="9">
        <f>IF(AT1=Assum!$D$88,Assum!$B$88,0)</f>
        <v>0</v>
      </c>
      <c r="AU20" s="9">
        <f>IF(AU1=Assum!$D$88,Assum!$B$88,0)</f>
        <v>0</v>
      </c>
      <c r="AV20" s="9">
        <f>IF(AV1=Assum!$D$88,Assum!$B$88,0)</f>
        <v>0</v>
      </c>
      <c r="AW20" s="9">
        <f>IF(AW1=Assum!$D$88,Assum!$B$88,0)</f>
        <v>0</v>
      </c>
      <c r="AX20" s="9">
        <f>IF(AX1=Assum!$D$88,Assum!$B$88,0)</f>
        <v>0</v>
      </c>
      <c r="AY20" s="9">
        <f>IF(AY1=Assum!$D$88,Assum!$B$88,0)</f>
        <v>0</v>
      </c>
      <c r="AZ20" s="9">
        <f>IF(AZ1=Assum!$D$88,Assum!$B$88,0)</f>
        <v>0</v>
      </c>
      <c r="BA20" s="9">
        <f>IF(BA1=Assum!$D$88,Assum!$B$88,0)</f>
        <v>0</v>
      </c>
      <c r="BB20" s="9">
        <f>IF(BB1=Assum!$D$88,Assum!$B$88,0)</f>
        <v>0</v>
      </c>
      <c r="BC20" s="9">
        <f>IF(BC1=Assum!$D$88,Assum!$B$88,0)</f>
        <v>0</v>
      </c>
      <c r="BD20" s="9">
        <f>IF(BD1=Assum!$D$88,Assum!$B$88,0)</f>
        <v>0</v>
      </c>
      <c r="BE20" s="9">
        <f>IF(BE1=Assum!$D$88,Assum!$B$88,0)</f>
        <v>0</v>
      </c>
      <c r="BF20" s="9">
        <f>IF(BF1=Assum!$D$88,Assum!$B$88,0)</f>
        <v>0</v>
      </c>
      <c r="BG20" s="9">
        <f>IF(BG1=Assum!$D$88,Assum!$B$88,0)</f>
        <v>0</v>
      </c>
      <c r="BH20" s="9">
        <f>IF(BH1=Assum!$D$88,Assum!$B$88,0)</f>
        <v>0</v>
      </c>
      <c r="BI20" s="9">
        <f>IF(BI1=Assum!$D$88,Assum!$B$88,0)</f>
        <v>0</v>
      </c>
      <c r="BJ20" s="9">
        <f>IF(BJ1=Assum!$D$88,Assum!$B$88,0)</f>
        <v>0</v>
      </c>
      <c r="BK20" s="9">
        <f>IF(BK1=Assum!$D$88,Assum!$B$88,0)</f>
        <v>0</v>
      </c>
      <c r="BL20" s="9">
        <f>IF(BL1=Assum!$D$88,Assum!$B$88,0)</f>
        <v>0</v>
      </c>
      <c r="BM20" s="9">
        <f>IF(BM1=Assum!$D$88,Assum!$B$88,0)</f>
        <v>0</v>
      </c>
      <c r="BN20" s="9">
        <f>IF(BN1=Assum!$D$88,Assum!$B$88,0)</f>
        <v>0</v>
      </c>
      <c r="BO20" s="9">
        <f>IF(BO1=Assum!$D$88,Assum!$B$88,0)</f>
        <v>0</v>
      </c>
      <c r="BP20" s="9">
        <f>IF(BP1=Assum!$D$88,Assum!$B$88,0)</f>
        <v>0</v>
      </c>
      <c r="BQ20" s="9">
        <f>IF(BQ1=Assum!$D$88,Assum!$B$88,0)</f>
        <v>0</v>
      </c>
      <c r="BR20" s="9">
        <f>IF(BR1=Assum!$D$88,Assum!$B$88,0)</f>
        <v>0</v>
      </c>
      <c r="BS20" s="9">
        <f>IF(BS1=Assum!$D$88,Assum!$B$88,0)</f>
        <v>0</v>
      </c>
      <c r="BT20" s="9">
        <f>IF(BT1=Assum!$D$88,Assum!$B$88,0)</f>
        <v>0</v>
      </c>
      <c r="BU20" s="9">
        <f>IF(BU1=Assum!$D$88,Assum!$B$88,0)</f>
        <v>0</v>
      </c>
      <c r="BV20" s="9">
        <f>IF(BV1=Assum!$D$88,Assum!$B$88,0)</f>
        <v>0</v>
      </c>
      <c r="BW20" s="9">
        <f>IF(BW1=Assum!$D$88,Assum!$B$88,0)</f>
        <v>0</v>
      </c>
      <c r="BX20" s="9">
        <f>IF(BX1=Assum!$D$88,Assum!$B$88,0)</f>
        <v>0</v>
      </c>
      <c r="BY20" s="9">
        <f>IF(BY1=Assum!$D$88,Assum!$B$88,0)</f>
        <v>0</v>
      </c>
      <c r="BZ20" s="9">
        <f>IF(BZ1=Assum!$D$88,Assum!$B$88,0)</f>
        <v>0</v>
      </c>
      <c r="CA20" s="9">
        <f>IF(CA1=Assum!$D$88,Assum!$B$88,0)</f>
        <v>0</v>
      </c>
      <c r="CB20" s="9">
        <f>IF(CB1=Assum!$D$88,Assum!$B$88,0)</f>
        <v>0</v>
      </c>
      <c r="CC20" s="9">
        <f>IF(CC1=Assum!$D$88,Assum!$B$88,0)</f>
        <v>0</v>
      </c>
      <c r="CD20" s="9">
        <f>IF(CD1=Assum!$D$88,Assum!$B$88,0)</f>
        <v>0</v>
      </c>
      <c r="CE20" s="9">
        <f>IF(CE1=Assum!$D$88,Assum!$B$88,0)</f>
        <v>0</v>
      </c>
      <c r="CF20" s="9">
        <f>IF(CF1=Assum!$D$88,Assum!$B$88,0)</f>
        <v>0</v>
      </c>
      <c r="CG20" s="9">
        <f>IF(CG1=Assum!$D$88,Assum!$B$88,0)</f>
        <v>0</v>
      </c>
      <c r="CH20" s="9">
        <f>IF(CH1=Assum!$D$88,Assum!$B$88,0)</f>
        <v>0</v>
      </c>
      <c r="CI20" s="9">
        <f>IF(CI1=Assum!$D$88,Assum!$B$88,0)</f>
        <v>0</v>
      </c>
      <c r="CJ20" s="9">
        <f>IF(CJ1=Assum!$D$88,Assum!$B$88,0)</f>
        <v>0</v>
      </c>
      <c r="CK20" s="9">
        <f>IF(CK1=Assum!$D$88,Assum!$B$88,0)</f>
        <v>0</v>
      </c>
      <c r="CL20" s="9">
        <f>IF(CL1=Assum!$D$88,Assum!$B$88,0)</f>
        <v>0</v>
      </c>
      <c r="CM20" s="9">
        <f>IF(CM1=Assum!$D$88,Assum!$B$88,0)</f>
        <v>0</v>
      </c>
      <c r="CN20" s="9">
        <f>IF(CN1=Assum!$D$88,Assum!$B$88,0)</f>
        <v>0</v>
      </c>
      <c r="CO20" s="9">
        <f>IF(CO1=Assum!$D$88,Assum!$B$88,0)</f>
        <v>0</v>
      </c>
      <c r="CP20" s="9">
        <f>IF(CP1=Assum!$D$88,Assum!$B$88,0)</f>
        <v>0</v>
      </c>
      <c r="CQ20" s="9">
        <f>IF(CQ1=Assum!$D$88,Assum!$B$88,0)</f>
        <v>0</v>
      </c>
      <c r="CR20" s="9">
        <f>IF(CR1=Assum!$D$88,Assum!$B$88,0)</f>
        <v>0</v>
      </c>
      <c r="CS20" s="9">
        <f>IF(CS1=Assum!$D$88,Assum!$B$88,0)</f>
        <v>0</v>
      </c>
      <c r="CT20" s="9">
        <f>IF(CT1=Assum!$D$88,Assum!$B$88,0)</f>
        <v>0</v>
      </c>
      <c r="CU20" s="9">
        <f>IF(CU1=Assum!$D$88,Assum!$B$88,0)</f>
        <v>0</v>
      </c>
      <c r="CV20" s="9">
        <f>IF(CV1=Assum!$D$88,Assum!$B$88,0)</f>
        <v>0</v>
      </c>
      <c r="CW20" s="9">
        <f>IF(CW1=Assum!$D$88,Assum!$B$88,0)</f>
        <v>0</v>
      </c>
      <c r="CX20" s="9">
        <f>IF(CX1=Assum!$D$88,Assum!$B$88,0)</f>
        <v>0</v>
      </c>
      <c r="CY20" s="9">
        <f>IF(CY1=Assum!$D$88,Assum!$B$88,0)</f>
        <v>0</v>
      </c>
      <c r="CZ20" s="9">
        <f>IF(CZ1=Assum!$D$88,Assum!$B$88,0)</f>
        <v>0</v>
      </c>
      <c r="DA20" s="9">
        <f>IF(DA1=Assum!$D$88,Assum!$B$88,0)</f>
        <v>0</v>
      </c>
      <c r="DB20" s="9">
        <f>IF(DB1=Assum!$D$88,Assum!$B$88,0)</f>
        <v>0</v>
      </c>
      <c r="DC20" s="9">
        <f>IF(DC1=Assum!$D$88,Assum!$B$88,0)</f>
        <v>0</v>
      </c>
      <c r="DD20" s="9">
        <f>IF(DD1=Assum!$D$88,Assum!$B$88,0)</f>
        <v>0</v>
      </c>
      <c r="DE20" s="9">
        <f>IF(DE1=Assum!$D$88,Assum!$B$88,0)</f>
        <v>0</v>
      </c>
      <c r="DF20" s="9">
        <f>IF(DF1=Assum!$D$88,Assum!$B$88,0)</f>
        <v>0</v>
      </c>
      <c r="DG20" s="9">
        <f>IF(DG1=Assum!$D$88,Assum!$B$88,0)</f>
        <v>0</v>
      </c>
      <c r="DH20" s="9">
        <f>IF(DH1=Assum!$D$88,Assum!$B$88,0)</f>
        <v>0</v>
      </c>
      <c r="DI20" s="9">
        <f>IF(DI1=Assum!$D$88,Assum!$B$88,0)</f>
        <v>0</v>
      </c>
      <c r="DJ20" s="9">
        <f>IF(DJ1=Assum!$D$88,Assum!$B$88,0)</f>
        <v>0</v>
      </c>
      <c r="DK20" s="9">
        <f>IF(DK1=Assum!$D$88,Assum!$B$88,0)</f>
        <v>0</v>
      </c>
      <c r="DL20" s="9">
        <f>IF(DL1=Assum!$D$88,Assum!$B$88,0)</f>
        <v>0</v>
      </c>
      <c r="DM20" s="9">
        <f>IF(DM1=Assum!$D$88,Assum!$B$88,0)</f>
        <v>0</v>
      </c>
      <c r="DN20" s="9">
        <f>IF(DN1=Assum!$D$88,Assum!$B$88,0)</f>
        <v>0</v>
      </c>
      <c r="DO20" s="9">
        <f>IF(DO1=Assum!$D$88,Assum!$B$88,0)</f>
        <v>0</v>
      </c>
      <c r="DP20" s="9">
        <f>IF(DP1=Assum!$D$88,Assum!$B$88,0)</f>
        <v>0</v>
      </c>
      <c r="DQ20" s="9">
        <f>IF(DQ1=Assum!$D$88,Assum!$B$88,0)</f>
        <v>0</v>
      </c>
      <c r="DR20" s="9">
        <f>IF(DR1=Assum!$D$88,Assum!$B$88,0)</f>
        <v>0</v>
      </c>
      <c r="DS20" s="9">
        <f>IF(DS1=Assum!$D$88,Assum!$B$88,0)</f>
        <v>0</v>
      </c>
      <c r="DT20" s="9">
        <f>IF(DT1=Assum!$D$88,Assum!$B$88,0)</f>
        <v>0</v>
      </c>
      <c r="DU20" s="9">
        <f>IF(DU1=Assum!$D$88,Assum!$B$88,0)</f>
        <v>0</v>
      </c>
      <c r="DV20" s="9">
        <f>IF(DV1=Assum!$D$88,Assum!$B$88,0)</f>
        <v>0</v>
      </c>
      <c r="DW20" s="9">
        <f>IF(DW1=Assum!$D$88,Assum!$B$88,0)</f>
        <v>0</v>
      </c>
      <c r="DX20" s="9">
        <f>IF(DX1=Assum!$D$88,Assum!$B$88,0)</f>
        <v>0</v>
      </c>
      <c r="DY20" s="9">
        <f>IF(DY1=Assum!$D$88,Assum!$B$88,0)</f>
        <v>0</v>
      </c>
      <c r="DZ20" s="9">
        <f>IF(DZ1=Assum!$D$88,Assum!$B$88,0)</f>
        <v>0</v>
      </c>
      <c r="EA20" s="9">
        <f>IF(EA1=Assum!$D$88,Assum!$B$88,0)</f>
        <v>0</v>
      </c>
      <c r="EB20" s="9">
        <f>IF(EB1=Assum!$D$88,Assum!$B$88,0)</f>
        <v>0</v>
      </c>
      <c r="EC20" s="9">
        <f>IF(EC1=Assum!$D$88,Assum!$B$88,0)</f>
        <v>0</v>
      </c>
      <c r="ED20" s="9">
        <f>IF(ED1=Assum!$D$88,Assum!$B$88,0)</f>
        <v>0</v>
      </c>
      <c r="EE20" s="9">
        <f>IF(EE1=Assum!$D$88,Assum!$B$88,0)</f>
        <v>0</v>
      </c>
      <c r="EF20" s="9">
        <f>IF(EF1=Assum!$D$88,Assum!$B$88,0)</f>
        <v>0</v>
      </c>
      <c r="EG20" s="9">
        <f>IF(EG1=Assum!$D$88,Assum!$B$88,0)</f>
        <v>0</v>
      </c>
      <c r="EH20" s="9">
        <f>IF(EH1=Assum!$D$88,Assum!$B$88,0)</f>
        <v>0</v>
      </c>
      <c r="EI20" s="9">
        <f>IF(EI1=Assum!$D$88,Assum!$B$88,0)</f>
        <v>0</v>
      </c>
      <c r="EJ20" s="9">
        <f>IF(EJ1=Assum!$D$88,Assum!$B$88,0)</f>
        <v>0</v>
      </c>
      <c r="EK20" s="9">
        <f>IF(EK1=Assum!$D$88,Assum!$B$88,0)</f>
        <v>0</v>
      </c>
      <c r="EL20" s="9">
        <f>IF(EL1=Assum!$D$88,Assum!$B$88,0)</f>
        <v>0</v>
      </c>
      <c r="EM20" s="9">
        <f>IF(EM1=Assum!$D$88,Assum!$B$88,0)</f>
        <v>0</v>
      </c>
      <c r="EN20" s="9">
        <f>IF(EN1=Assum!$D$88,Assum!$B$88,0)</f>
        <v>0</v>
      </c>
      <c r="EO20" s="9">
        <f>IF(EO1=Assum!$D$88,Assum!$B$88,0)</f>
        <v>0</v>
      </c>
      <c r="EP20" s="9">
        <f>IF(EP1=Assum!$D$88,Assum!$B$88,0)</f>
        <v>0</v>
      </c>
      <c r="EQ20" s="9">
        <f>IF(EQ1=Assum!$D$88,Assum!$B$88,0)</f>
        <v>0</v>
      </c>
      <c r="ER20" s="9">
        <f>IF(ER1=Assum!$D$88,Assum!$B$88,0)</f>
        <v>0</v>
      </c>
      <c r="ES20" s="9">
        <f>IF(ES1=Assum!$D$88,Assum!$B$88,0)</f>
        <v>0</v>
      </c>
      <c r="ET20" s="9">
        <f>IF(ET1=Assum!$D$88,Assum!$B$88,0)</f>
        <v>0</v>
      </c>
      <c r="EU20" s="9">
        <f>IF(EU1=Assum!$D$88,Assum!$B$88,0)</f>
        <v>0</v>
      </c>
      <c r="EV20" s="9">
        <f>IF(EV1=Assum!$D$88,Assum!$B$88,0)</f>
        <v>0</v>
      </c>
      <c r="EW20" s="9">
        <f>IF(EW1=Assum!$D$88,Assum!$B$88,0)</f>
        <v>0</v>
      </c>
      <c r="EX20" s="9">
        <f>IF(EX1=Assum!$D$88,Assum!$B$88,0)</f>
        <v>0</v>
      </c>
      <c r="EY20" s="9">
        <f>IF(EY1=Assum!$D$88,Assum!$B$88,0)</f>
        <v>0</v>
      </c>
      <c r="EZ20" s="9">
        <f>IF(EZ1=Assum!$D$88,Assum!$B$88,0)</f>
        <v>0</v>
      </c>
      <c r="FA20" s="9">
        <f>IF(FA1=Assum!$D$88,Assum!$B$88,0)</f>
        <v>0</v>
      </c>
      <c r="FB20" s="9">
        <f>IF(FB1=Assum!$D$88,Assum!$B$88,0)</f>
        <v>0</v>
      </c>
      <c r="FC20" s="9">
        <f>IF(FC1=Assum!$D$88,Assum!$B$88,0)</f>
        <v>0</v>
      </c>
      <c r="FD20" s="9">
        <f>IF(FD1=Assum!$D$88,Assum!$B$88,0)</f>
        <v>0</v>
      </c>
      <c r="FE20" s="9">
        <f>IF(FE1=Assum!$D$88,Assum!$B$88,0)</f>
        <v>0</v>
      </c>
      <c r="FF20" s="9">
        <f>IF(FF1=Assum!$D$88,Assum!$B$88,0)</f>
        <v>0</v>
      </c>
      <c r="FG20" s="9">
        <f>IF(FG1=Assum!$D$88,Assum!$B$88,0)</f>
        <v>0</v>
      </c>
      <c r="FH20" s="9">
        <f>IF(FH1=Assum!$D$88,Assum!$B$88,0)</f>
        <v>0</v>
      </c>
      <c r="FI20" s="9">
        <f>IF(FI1=Assum!$D$88,Assum!$B$88,0)</f>
        <v>0</v>
      </c>
      <c r="FJ20" s="9">
        <f>IF(FJ1=Assum!$D$88,Assum!$B$88,0)</f>
        <v>0</v>
      </c>
      <c r="FK20" s="9">
        <f>IF(FK1=Assum!$D$88,Assum!$B$88,0)</f>
        <v>0</v>
      </c>
      <c r="FL20" s="9">
        <f>IF(FL1=Assum!$D$88,Assum!$B$88,0)</f>
        <v>0</v>
      </c>
      <c r="FM20" s="9">
        <f>IF(FM1=Assum!$D$88,Assum!$B$88,0)</f>
        <v>0</v>
      </c>
      <c r="FN20" s="9">
        <f>IF(FN1=Assum!$D$88,Assum!$B$88,0)</f>
        <v>0</v>
      </c>
      <c r="FO20" s="9">
        <f>IF(FO1=Assum!$D$88,Assum!$B$88,0)</f>
        <v>0</v>
      </c>
      <c r="FP20" s="9">
        <f>IF(FP1=Assum!$D$88,Assum!$B$88,0)</f>
        <v>0</v>
      </c>
      <c r="FQ20" s="9">
        <f>IF(FQ1=Assum!$D$88,Assum!$B$88,0)</f>
        <v>0</v>
      </c>
      <c r="FR20" s="9">
        <f>IF(FR1=Assum!$D$88,Assum!$B$88,0)</f>
        <v>0</v>
      </c>
      <c r="FS20" s="9">
        <f>IF(FS1=Assum!$D$88,Assum!$B$88,0)</f>
        <v>0</v>
      </c>
      <c r="FT20" s="9">
        <f>IF(FT1=Assum!$D$88,Assum!$B$88,0)</f>
        <v>0</v>
      </c>
      <c r="FU20" s="9">
        <f>IF(FU1=Assum!$D$88,Assum!$B$88,0)</f>
        <v>0</v>
      </c>
      <c r="FV20" s="9">
        <f>IF(FV1=Assum!$D$88,Assum!$B$88,0)</f>
        <v>0</v>
      </c>
      <c r="FW20" s="9">
        <f>IF(FW1=Assum!$D$88,Assum!$B$88,0)</f>
        <v>0</v>
      </c>
      <c r="FX20" s="9">
        <f>IF(FX1=Assum!$D$88,Assum!$B$88,0)</f>
        <v>0</v>
      </c>
      <c r="FY20" s="9">
        <f>IF(FY1=Assum!$D$88,Assum!$B$88,0)</f>
        <v>0</v>
      </c>
      <c r="FZ20" s="9">
        <f>IF(FZ1=Assum!$D$88,Assum!$B$88,0)</f>
        <v>0</v>
      </c>
      <c r="GA20" s="9">
        <f>IF(GA1=Assum!$D$88,Assum!$B$88,0)</f>
        <v>0</v>
      </c>
      <c r="GB20" s="9">
        <f>IF(GB1=Assum!$D$88,Assum!$B$88,0)</f>
        <v>0</v>
      </c>
      <c r="GC20" s="9">
        <f>IF(GC1=Assum!$D$88,Assum!$B$88,0)</f>
        <v>0</v>
      </c>
      <c r="GD20" s="9">
        <f>IF(GD1=Assum!$D$88,Assum!$B$88,0)</f>
        <v>0</v>
      </c>
      <c r="GE20" s="9">
        <f>IF(GE1=Assum!$D$88,Assum!$B$88,0)</f>
        <v>0</v>
      </c>
      <c r="GF20" s="9">
        <f>IF(GF1=Assum!$D$88,Assum!$B$88,0)</f>
        <v>0</v>
      </c>
      <c r="GG20" s="9">
        <f>IF(GG1=Assum!$D$88,Assum!$B$88,0)</f>
        <v>0</v>
      </c>
      <c r="GH20" s="9">
        <f>IF(GH1=Assum!$D$88,Assum!$B$88,0)</f>
        <v>0</v>
      </c>
      <c r="GI20" s="9">
        <f>IF(GI1=Assum!$D$88,Assum!$B$88,0)</f>
        <v>0</v>
      </c>
      <c r="GJ20" s="9">
        <f>IF(GJ1=Assum!$D$88,Assum!$B$88,0)</f>
        <v>0</v>
      </c>
      <c r="GK20" s="9">
        <f>IF(GK1=Assum!$D$88,Assum!$B$88,0)</f>
        <v>0</v>
      </c>
      <c r="GL20" s="9">
        <f>IF(GL1=Assum!$D$88,Assum!$B$88,0)</f>
        <v>0</v>
      </c>
      <c r="GM20" s="9">
        <f>IF(GM1=Assum!$D$88,Assum!$B$88,0)</f>
        <v>0</v>
      </c>
      <c r="GN20" s="9">
        <f>IF(GN1=Assum!$D$88,Assum!$B$88,0)</f>
        <v>0</v>
      </c>
      <c r="GO20" s="9">
        <f>IF(GO1=Assum!$D$88,Assum!$B$88,0)</f>
        <v>0</v>
      </c>
      <c r="GP20" s="9">
        <f>IF(GP1=Assum!$D$88,Assum!$B$88,0)</f>
        <v>0</v>
      </c>
      <c r="GQ20" s="9">
        <f>IF(GQ1=Assum!$D$88,Assum!$B$88,0)</f>
        <v>0</v>
      </c>
      <c r="GR20" s="9">
        <f>IF(GR1=Assum!$D$88,Assum!$B$88,0)</f>
        <v>0</v>
      </c>
      <c r="GS20" s="9">
        <f>IF(GS1=Assum!$D$88,Assum!$B$88,0)</f>
        <v>0</v>
      </c>
      <c r="GT20" s="9">
        <f>IF(GT1=Assum!$D$88,Assum!$B$88,0)</f>
        <v>0</v>
      </c>
      <c r="GU20" s="9">
        <f>IF(GU1=Assum!$D$88,Assum!$B$88,0)</f>
        <v>0</v>
      </c>
      <c r="GV20" s="9">
        <f>IF(GV1=Assum!$D$88,Assum!$B$88,0)</f>
        <v>0</v>
      </c>
      <c r="GW20" s="9">
        <f>IF(GW1=Assum!$D$88,Assum!$B$88,0)</f>
        <v>0</v>
      </c>
      <c r="GX20" s="9">
        <f>IF(GX1=Assum!$D$88,Assum!$B$88,0)</f>
        <v>0</v>
      </c>
      <c r="GY20" s="9">
        <f>IF(GY1=Assum!$D$88,Assum!$B$88,0)</f>
        <v>0</v>
      </c>
      <c r="GZ20" s="9">
        <f>IF(GZ1=Assum!$D$88,Assum!$B$88,0)</f>
        <v>0</v>
      </c>
      <c r="HA20" s="9">
        <f>IF(HA1=Assum!$D$88,Assum!$B$88,0)</f>
        <v>0</v>
      </c>
      <c r="HB20" s="9">
        <f>IF(HB1=Assum!$D$88,Assum!$B$88,0)</f>
        <v>0</v>
      </c>
      <c r="HC20" s="9">
        <f>IF(HC1=Assum!$D$88,Assum!$B$88,0)</f>
        <v>0</v>
      </c>
      <c r="HD20" s="9">
        <f>IF(HD1=Assum!$D$88,Assum!$B$88,0)</f>
        <v>0</v>
      </c>
      <c r="HE20" s="9">
        <f>IF(HE1=Assum!$D$88,Assum!$B$88,0)</f>
        <v>0</v>
      </c>
      <c r="HF20" s="9">
        <f>IF(HF1=Assum!$D$88,Assum!$B$88,0)</f>
        <v>0</v>
      </c>
      <c r="HG20" s="9">
        <f>IF(HG1=Assum!$D$88,Assum!$B$88,0)</f>
        <v>0</v>
      </c>
      <c r="HH20" s="9">
        <f>IF(HH1=Assum!$D$88,Assum!$B$88,0)</f>
        <v>0</v>
      </c>
      <c r="HI20" s="9">
        <f>IF(HI1=Assum!$D$88,Assum!$B$88,0)</f>
        <v>0</v>
      </c>
      <c r="HJ20" s="9">
        <f>IF(HJ1=Assum!$D$88,Assum!$B$88,0)</f>
        <v>0</v>
      </c>
      <c r="HK20" s="9">
        <f>IF(HK1=Assum!$D$88,Assum!$B$88,0)</f>
        <v>0</v>
      </c>
      <c r="HL20" s="9">
        <f>IF(HL1=Assum!$D$88,Assum!$B$88,0)</f>
        <v>0</v>
      </c>
      <c r="HM20" s="9">
        <f>IF(HM1=Assum!$D$88,Assum!$B$88,0)</f>
        <v>0</v>
      </c>
      <c r="HN20" s="9">
        <f>IF(HN1=Assum!$D$88,Assum!$B$88,0)</f>
        <v>0</v>
      </c>
      <c r="HO20" s="9">
        <f>IF(HO1=Assum!$D$88,Assum!$B$88,0)</f>
        <v>0</v>
      </c>
      <c r="HP20" s="9">
        <f>IF(HP1=Assum!$D$88,Assum!$B$88,0)</f>
        <v>0</v>
      </c>
      <c r="HQ20" s="9">
        <f>IF(HQ1=Assum!$D$88,Assum!$B$88,0)</f>
        <v>0</v>
      </c>
      <c r="HR20" s="9">
        <f>IF(HR1=Assum!$D$88,Assum!$B$88,0)</f>
        <v>0</v>
      </c>
      <c r="HS20" s="9">
        <f>IF(HS1=Assum!$D$88,Assum!$B$88,0)</f>
        <v>0</v>
      </c>
      <c r="HT20" s="9">
        <f>IF(HT1=Assum!$D$88,Assum!$B$88,0)</f>
        <v>0</v>
      </c>
      <c r="HU20" s="9">
        <f>IF(HU1=Assum!$D$88,Assum!$B$88,0)</f>
        <v>0</v>
      </c>
      <c r="HV20" s="9">
        <f>IF(HV1=Assum!$D$88,Assum!$B$88,0)</f>
        <v>0</v>
      </c>
      <c r="HW20" s="9">
        <f>IF(HW1=Assum!$D$88,Assum!$B$88,0)</f>
        <v>0</v>
      </c>
      <c r="HX20" s="9">
        <f>IF(HX1=Assum!$D$88,Assum!$B$88,0)</f>
        <v>0</v>
      </c>
      <c r="HY20" s="9">
        <f>IF(HY1=Assum!$D$88,Assum!$B$88,0)</f>
        <v>0</v>
      </c>
      <c r="HZ20" s="9">
        <f>IF(HZ1=Assum!$D$88,Assum!$B$88,0)</f>
        <v>0</v>
      </c>
      <c r="IA20" s="9">
        <f>IF(IA1=Assum!$D$88,Assum!$B$88,0)</f>
        <v>0</v>
      </c>
      <c r="IB20" s="9">
        <f>IF(IB1=Assum!$D$88,Assum!$B$88,0)</f>
        <v>0</v>
      </c>
      <c r="IC20" s="9">
        <f>IF(IC1=Assum!$D$88,Assum!$B$88,0)</f>
        <v>0</v>
      </c>
      <c r="ID20" s="9">
        <f>IF(ID1=Assum!$D$88,Assum!$B$88,0)</f>
        <v>0</v>
      </c>
      <c r="IE20" s="9">
        <f>IF(IE1=Assum!$D$88,Assum!$B$88,0)</f>
        <v>0</v>
      </c>
      <c r="IF20" s="9">
        <f>IF(IF1=Assum!$D$88,Assum!$B$88,0)</f>
        <v>0</v>
      </c>
      <c r="IG20" s="9">
        <f>IF(IG1=Assum!$D$88,Assum!$B$88,0)</f>
        <v>0</v>
      </c>
      <c r="IH20" s="9">
        <f>IF(IH1=Assum!$D$88,Assum!$B$88,0)</f>
        <v>0</v>
      </c>
      <c r="II20" s="9">
        <f>IF(II1=Assum!$D$88,Assum!$B$88,0)</f>
        <v>0</v>
      </c>
      <c r="IJ20" s="9">
        <f>IF(IJ1=Assum!$D$88,Assum!$B$88,0)</f>
        <v>0</v>
      </c>
      <c r="IK20" s="9">
        <f>IF(IK1=Assum!$D$88,Assum!$B$88,0)</f>
        <v>0</v>
      </c>
      <c r="IL20" s="9">
        <f>IF(IL1=Assum!$D$88,Assum!$B$88,0)</f>
        <v>0</v>
      </c>
      <c r="IM20" s="9">
        <f>IF(IM1=Assum!$D$88,Assum!$B$88,0)</f>
        <v>0</v>
      </c>
      <c r="IN20" s="9">
        <f>IF(IN1=Assum!$D$88,Assum!$B$88,0)</f>
        <v>0</v>
      </c>
      <c r="IO20" s="9">
        <f>IF(IO1=Assum!$D$88,Assum!$B$88,0)</f>
        <v>0</v>
      </c>
      <c r="IP20" s="9">
        <f>IF(IP1=Assum!$D$88,Assum!$B$88,0)</f>
        <v>0</v>
      </c>
      <c r="IQ20" s="9">
        <f>IF(IQ1=Assum!$D$88,Assum!$B$88,0)</f>
        <v>0</v>
      </c>
      <c r="IR20" s="9">
        <f>IF(IR1=Assum!$D$88,Assum!$B$88,0)</f>
        <v>0</v>
      </c>
      <c r="IS20" s="9">
        <f>IF(IS1=Assum!$D$88,Assum!$B$88,0)</f>
        <v>0</v>
      </c>
      <c r="IT20" s="9">
        <f>IF(IT1=Assum!$D$88,Assum!$B$88,0)</f>
        <v>0</v>
      </c>
      <c r="IU20" s="9">
        <f>IF(IU1=Assum!$D$88,Assum!$B$88,0)</f>
        <v>0</v>
      </c>
      <c r="IV20" s="9">
        <f>IF(IV1=Assum!$D$88,Assum!$B$88,0)</f>
        <v>0</v>
      </c>
      <c r="IW20" s="9">
        <f>IF(IW1=Assum!$D$88,Assum!$B$88,0)</f>
        <v>0</v>
      </c>
      <c r="IX20" s="9">
        <f>IF(IX1=Assum!$D$88,Assum!$B$88,0)</f>
        <v>0</v>
      </c>
      <c r="IY20" s="9">
        <f>IF(IY1=Assum!$D$88,Assum!$B$88,0)</f>
        <v>0</v>
      </c>
      <c r="IZ20" s="9">
        <f>IF(IZ1=Assum!$D$88,Assum!$B$88,0)</f>
        <v>0</v>
      </c>
      <c r="JA20" s="9">
        <f>IF(JA1=Assum!$D$88,Assum!$B$88,0)</f>
        <v>0</v>
      </c>
      <c r="JB20" s="9">
        <f>IF(JB1=Assum!$D$88,Assum!$B$88,0)</f>
        <v>0</v>
      </c>
      <c r="JC20" s="9">
        <f>IF(JC1=Assum!$D$88,Assum!$B$88,0)</f>
        <v>0</v>
      </c>
      <c r="JD20" s="9">
        <f>IF(JD1=Assum!$D$88,Assum!$B$88,0)</f>
        <v>0</v>
      </c>
      <c r="JE20" s="9">
        <f>IF(JE1=Assum!$D$88,Assum!$B$88,0)</f>
        <v>0</v>
      </c>
      <c r="JF20" s="9">
        <f>IF(JF1=Assum!$D$88,Assum!$B$88,0)</f>
        <v>0</v>
      </c>
      <c r="JG20" s="9">
        <f>IF(JG1=Assum!$D$88,Assum!$B$88,0)</f>
        <v>0</v>
      </c>
      <c r="JH20" s="9">
        <f>IF(JH1=Assum!$D$88,Assum!$B$88,0)</f>
        <v>0</v>
      </c>
      <c r="JI20" s="9">
        <f>IF(JI1=Assum!$D$88,Assum!$B$88,0)</f>
        <v>0</v>
      </c>
      <c r="JJ20" s="9">
        <f>IF(JJ1=Assum!$D$88,Assum!$B$88,0)</f>
        <v>0</v>
      </c>
      <c r="JK20" s="9">
        <f>IF(JK1=Assum!$D$88,Assum!$B$88,0)</f>
        <v>0</v>
      </c>
      <c r="JL20" s="9">
        <f>IF(JL1=Assum!$D$88,Assum!$B$88,0)</f>
        <v>0</v>
      </c>
      <c r="JM20" s="9">
        <f>IF(JM1=Assum!$D$88,Assum!$B$88,0)</f>
        <v>0</v>
      </c>
      <c r="JN20" s="9">
        <f>IF(JN1=Assum!$D$88,Assum!$B$88,0)</f>
        <v>0</v>
      </c>
      <c r="JO20" s="9">
        <f>IF(JO1=Assum!$D$88,Assum!$B$88,0)</f>
        <v>0</v>
      </c>
      <c r="JP20" s="9">
        <f>IF(JP1=Assum!$D$88,Assum!$B$88,0)</f>
        <v>0</v>
      </c>
      <c r="JQ20" s="9">
        <f>IF(JQ1=Assum!$D$88,Assum!$B$88,0)</f>
        <v>0</v>
      </c>
      <c r="JR20" s="9">
        <f>IF(JR1=Assum!$D$88,Assum!$B$88,0)</f>
        <v>0</v>
      </c>
      <c r="JS20" s="9">
        <f>IF(JS1=Assum!$D$88,Assum!$B$88,0)</f>
        <v>0</v>
      </c>
      <c r="JT20" s="9">
        <f>IF(JT1=Assum!$D$88,Assum!$B$88,0)</f>
        <v>0</v>
      </c>
      <c r="JU20" s="9">
        <f>IF(JU1=Assum!$D$88,Assum!$B$88,0)</f>
        <v>0</v>
      </c>
    </row>
    <row r="21" spans="1:281">
      <c r="A21" t="s">
        <v>250</v>
      </c>
      <c r="D21" s="9" t="e">
        <f ca="1">D10*$B$19</f>
        <v>#DIV/0!</v>
      </c>
      <c r="E21" s="9" t="e">
        <f t="shared" ref="E21:BP21" ca="1" si="53">E10*$B$19</f>
        <v>#DIV/0!</v>
      </c>
      <c r="F21" s="9" t="e">
        <f t="shared" ca="1" si="53"/>
        <v>#DIV/0!</v>
      </c>
      <c r="G21" s="9" t="e">
        <f t="shared" ca="1" si="53"/>
        <v>#DIV/0!</v>
      </c>
      <c r="H21" s="9" t="e">
        <f t="shared" ca="1" si="53"/>
        <v>#DIV/0!</v>
      </c>
      <c r="I21" s="9" t="e">
        <f t="shared" ca="1" si="53"/>
        <v>#DIV/0!</v>
      </c>
      <c r="J21" s="9" t="e">
        <f t="shared" ca="1" si="53"/>
        <v>#DIV/0!</v>
      </c>
      <c r="K21" s="9" t="e">
        <f t="shared" ca="1" si="53"/>
        <v>#DIV/0!</v>
      </c>
      <c r="L21" s="9" t="e">
        <f t="shared" ca="1" si="53"/>
        <v>#DIV/0!</v>
      </c>
      <c r="M21" s="9" t="e">
        <f t="shared" ca="1" si="53"/>
        <v>#DIV/0!</v>
      </c>
      <c r="N21" s="9" t="e">
        <f t="shared" ca="1" si="53"/>
        <v>#DIV/0!</v>
      </c>
      <c r="O21" s="9" t="e">
        <f t="shared" ca="1" si="53"/>
        <v>#DIV/0!</v>
      </c>
      <c r="P21" s="9" t="e">
        <f t="shared" ca="1" si="53"/>
        <v>#DIV/0!</v>
      </c>
      <c r="Q21" s="9" t="e">
        <f t="shared" ca="1" si="53"/>
        <v>#DIV/0!</v>
      </c>
      <c r="R21" s="9" t="e">
        <f t="shared" ca="1" si="53"/>
        <v>#DIV/0!</v>
      </c>
      <c r="S21" s="9" t="e">
        <f t="shared" ca="1" si="53"/>
        <v>#DIV/0!</v>
      </c>
      <c r="T21" s="9" t="e">
        <f t="shared" ca="1" si="53"/>
        <v>#DIV/0!</v>
      </c>
      <c r="U21" s="9" t="e">
        <f t="shared" ca="1" si="53"/>
        <v>#DIV/0!</v>
      </c>
      <c r="V21" s="9" t="e">
        <f t="shared" ca="1" si="53"/>
        <v>#DIV/0!</v>
      </c>
      <c r="W21" s="9" t="e">
        <f t="shared" ca="1" si="53"/>
        <v>#DIV/0!</v>
      </c>
      <c r="X21" s="9" t="e">
        <f t="shared" ca="1" si="53"/>
        <v>#DIV/0!</v>
      </c>
      <c r="Y21" s="9" t="e">
        <f t="shared" ca="1" si="53"/>
        <v>#DIV/0!</v>
      </c>
      <c r="Z21" s="9" t="e">
        <f t="shared" ca="1" si="53"/>
        <v>#DIV/0!</v>
      </c>
      <c r="AA21" s="9" t="e">
        <f t="shared" ca="1" si="53"/>
        <v>#DIV/0!</v>
      </c>
      <c r="AB21" s="9" t="e">
        <f t="shared" ca="1" si="53"/>
        <v>#DIV/0!</v>
      </c>
      <c r="AC21" s="9" t="e">
        <f t="shared" ca="1" si="53"/>
        <v>#DIV/0!</v>
      </c>
      <c r="AD21" s="9" t="e">
        <f t="shared" ca="1" si="53"/>
        <v>#DIV/0!</v>
      </c>
      <c r="AE21" s="9" t="e">
        <f t="shared" ca="1" si="53"/>
        <v>#DIV/0!</v>
      </c>
      <c r="AF21" s="9" t="e">
        <f t="shared" ca="1" si="53"/>
        <v>#DIV/0!</v>
      </c>
      <c r="AG21" s="9" t="e">
        <f t="shared" ca="1" si="53"/>
        <v>#DIV/0!</v>
      </c>
      <c r="AH21" s="9" t="e">
        <f t="shared" ca="1" si="53"/>
        <v>#DIV/0!</v>
      </c>
      <c r="AI21" s="9" t="e">
        <f t="shared" ca="1" si="53"/>
        <v>#DIV/0!</v>
      </c>
      <c r="AJ21" s="9" t="e">
        <f t="shared" ca="1" si="53"/>
        <v>#DIV/0!</v>
      </c>
      <c r="AK21" s="9" t="e">
        <f t="shared" ca="1" si="53"/>
        <v>#DIV/0!</v>
      </c>
      <c r="AL21" s="9" t="e">
        <f t="shared" ca="1" si="53"/>
        <v>#DIV/0!</v>
      </c>
      <c r="AM21" s="9" t="e">
        <f t="shared" ca="1" si="53"/>
        <v>#DIV/0!</v>
      </c>
      <c r="AN21" s="9" t="e">
        <f t="shared" ca="1" si="53"/>
        <v>#DIV/0!</v>
      </c>
      <c r="AO21" s="9" t="e">
        <f t="shared" ca="1" si="53"/>
        <v>#DIV/0!</v>
      </c>
      <c r="AP21" s="9" t="e">
        <f t="shared" ca="1" si="53"/>
        <v>#DIV/0!</v>
      </c>
      <c r="AQ21" s="9" t="e">
        <f t="shared" ca="1" si="53"/>
        <v>#DIV/0!</v>
      </c>
      <c r="AR21" s="9" t="e">
        <f t="shared" ca="1" si="53"/>
        <v>#DIV/0!</v>
      </c>
      <c r="AS21" s="9" t="e">
        <f t="shared" ca="1" si="53"/>
        <v>#DIV/0!</v>
      </c>
      <c r="AT21" s="9" t="e">
        <f t="shared" ca="1" si="53"/>
        <v>#DIV/0!</v>
      </c>
      <c r="AU21" s="9" t="e">
        <f t="shared" ca="1" si="53"/>
        <v>#DIV/0!</v>
      </c>
      <c r="AV21" s="9" t="e">
        <f t="shared" ca="1" si="53"/>
        <v>#DIV/0!</v>
      </c>
      <c r="AW21" s="9" t="e">
        <f t="shared" ca="1" si="53"/>
        <v>#DIV/0!</v>
      </c>
      <c r="AX21" s="9" t="e">
        <f t="shared" ca="1" si="53"/>
        <v>#DIV/0!</v>
      </c>
      <c r="AY21" s="9" t="e">
        <f t="shared" ca="1" si="53"/>
        <v>#DIV/0!</v>
      </c>
      <c r="AZ21" s="9" t="e">
        <f t="shared" ca="1" si="53"/>
        <v>#DIV/0!</v>
      </c>
      <c r="BA21" s="9" t="e">
        <f t="shared" ca="1" si="53"/>
        <v>#DIV/0!</v>
      </c>
      <c r="BB21" s="9" t="e">
        <f t="shared" ca="1" si="53"/>
        <v>#DIV/0!</v>
      </c>
      <c r="BC21" s="9" t="e">
        <f t="shared" ca="1" si="53"/>
        <v>#DIV/0!</v>
      </c>
      <c r="BD21" s="9" t="e">
        <f t="shared" ca="1" si="53"/>
        <v>#DIV/0!</v>
      </c>
      <c r="BE21" s="9" t="e">
        <f t="shared" ca="1" si="53"/>
        <v>#DIV/0!</v>
      </c>
      <c r="BF21" s="9" t="e">
        <f t="shared" ca="1" si="53"/>
        <v>#DIV/0!</v>
      </c>
      <c r="BG21" s="9" t="e">
        <f t="shared" ca="1" si="53"/>
        <v>#DIV/0!</v>
      </c>
      <c r="BH21" s="9" t="e">
        <f t="shared" ca="1" si="53"/>
        <v>#DIV/0!</v>
      </c>
      <c r="BI21" s="9" t="e">
        <f t="shared" ca="1" si="53"/>
        <v>#DIV/0!</v>
      </c>
      <c r="BJ21" s="9" t="e">
        <f t="shared" ca="1" si="53"/>
        <v>#DIV/0!</v>
      </c>
      <c r="BK21" s="9" t="e">
        <f t="shared" ca="1" si="53"/>
        <v>#DIV/0!</v>
      </c>
      <c r="BL21" s="9" t="e">
        <f t="shared" ca="1" si="53"/>
        <v>#DIV/0!</v>
      </c>
      <c r="BM21" s="9" t="e">
        <f t="shared" ca="1" si="53"/>
        <v>#DIV/0!</v>
      </c>
      <c r="BN21" s="9" t="e">
        <f t="shared" ca="1" si="53"/>
        <v>#DIV/0!</v>
      </c>
      <c r="BO21" s="9" t="e">
        <f t="shared" ca="1" si="53"/>
        <v>#DIV/0!</v>
      </c>
      <c r="BP21" s="9" t="e">
        <f t="shared" ca="1" si="53"/>
        <v>#DIV/0!</v>
      </c>
      <c r="BQ21" s="9" t="e">
        <f t="shared" ref="BQ21:EB21" ca="1" si="54">BQ10*$B$19</f>
        <v>#DIV/0!</v>
      </c>
      <c r="BR21" s="9" t="e">
        <f t="shared" ca="1" si="54"/>
        <v>#DIV/0!</v>
      </c>
      <c r="BS21" s="9" t="e">
        <f t="shared" ca="1" si="54"/>
        <v>#DIV/0!</v>
      </c>
      <c r="BT21" s="9" t="e">
        <f t="shared" ca="1" si="54"/>
        <v>#DIV/0!</v>
      </c>
      <c r="BU21" s="9" t="e">
        <f t="shared" ca="1" si="54"/>
        <v>#DIV/0!</v>
      </c>
      <c r="BV21" s="9" t="e">
        <f t="shared" ca="1" si="54"/>
        <v>#DIV/0!</v>
      </c>
      <c r="BW21" s="9" t="e">
        <f t="shared" ca="1" si="54"/>
        <v>#DIV/0!</v>
      </c>
      <c r="BX21" s="9" t="e">
        <f t="shared" ca="1" si="54"/>
        <v>#DIV/0!</v>
      </c>
      <c r="BY21" s="9" t="e">
        <f t="shared" ca="1" si="54"/>
        <v>#DIV/0!</v>
      </c>
      <c r="BZ21" s="9" t="e">
        <f t="shared" ca="1" si="54"/>
        <v>#DIV/0!</v>
      </c>
      <c r="CA21" s="9" t="e">
        <f t="shared" ca="1" si="54"/>
        <v>#DIV/0!</v>
      </c>
      <c r="CB21" s="9" t="e">
        <f t="shared" ca="1" si="54"/>
        <v>#DIV/0!</v>
      </c>
      <c r="CC21" s="9" t="e">
        <f t="shared" ca="1" si="54"/>
        <v>#DIV/0!</v>
      </c>
      <c r="CD21" s="9" t="e">
        <f t="shared" ca="1" si="54"/>
        <v>#DIV/0!</v>
      </c>
      <c r="CE21" s="9" t="e">
        <f t="shared" ca="1" si="54"/>
        <v>#DIV/0!</v>
      </c>
      <c r="CF21" s="9" t="e">
        <f t="shared" ca="1" si="54"/>
        <v>#DIV/0!</v>
      </c>
      <c r="CG21" s="9" t="e">
        <f t="shared" ca="1" si="54"/>
        <v>#DIV/0!</v>
      </c>
      <c r="CH21" s="9" t="e">
        <f t="shared" ca="1" si="54"/>
        <v>#DIV/0!</v>
      </c>
      <c r="CI21" s="9" t="e">
        <f t="shared" ca="1" si="54"/>
        <v>#DIV/0!</v>
      </c>
      <c r="CJ21" s="9" t="e">
        <f t="shared" ca="1" si="54"/>
        <v>#DIV/0!</v>
      </c>
      <c r="CK21" s="9" t="e">
        <f t="shared" ca="1" si="54"/>
        <v>#DIV/0!</v>
      </c>
      <c r="CL21" s="9" t="e">
        <f t="shared" ca="1" si="54"/>
        <v>#DIV/0!</v>
      </c>
      <c r="CM21" s="9" t="e">
        <f t="shared" ca="1" si="54"/>
        <v>#DIV/0!</v>
      </c>
      <c r="CN21" s="9" t="e">
        <f t="shared" ca="1" si="54"/>
        <v>#DIV/0!</v>
      </c>
      <c r="CO21" s="9" t="e">
        <f t="shared" ca="1" si="54"/>
        <v>#DIV/0!</v>
      </c>
      <c r="CP21" s="9" t="e">
        <f t="shared" ca="1" si="54"/>
        <v>#DIV/0!</v>
      </c>
      <c r="CQ21" s="9" t="e">
        <f t="shared" ca="1" si="54"/>
        <v>#DIV/0!</v>
      </c>
      <c r="CR21" s="9" t="e">
        <f t="shared" ca="1" si="54"/>
        <v>#DIV/0!</v>
      </c>
      <c r="CS21" s="9" t="e">
        <f t="shared" ca="1" si="54"/>
        <v>#DIV/0!</v>
      </c>
      <c r="CT21" s="9" t="e">
        <f t="shared" ca="1" si="54"/>
        <v>#DIV/0!</v>
      </c>
      <c r="CU21" s="9" t="e">
        <f t="shared" ca="1" si="54"/>
        <v>#DIV/0!</v>
      </c>
      <c r="CV21" s="9" t="e">
        <f t="shared" ca="1" si="54"/>
        <v>#DIV/0!</v>
      </c>
      <c r="CW21" s="9" t="e">
        <f t="shared" ca="1" si="54"/>
        <v>#DIV/0!</v>
      </c>
      <c r="CX21" s="9" t="e">
        <f t="shared" ca="1" si="54"/>
        <v>#DIV/0!</v>
      </c>
      <c r="CY21" s="9" t="e">
        <f t="shared" ca="1" si="54"/>
        <v>#DIV/0!</v>
      </c>
      <c r="CZ21" s="9" t="e">
        <f t="shared" ca="1" si="54"/>
        <v>#DIV/0!</v>
      </c>
      <c r="DA21" s="9" t="e">
        <f t="shared" ca="1" si="54"/>
        <v>#DIV/0!</v>
      </c>
      <c r="DB21" s="9" t="e">
        <f t="shared" ca="1" si="54"/>
        <v>#DIV/0!</v>
      </c>
      <c r="DC21" s="9" t="e">
        <f t="shared" ca="1" si="54"/>
        <v>#DIV/0!</v>
      </c>
      <c r="DD21" s="9" t="e">
        <f t="shared" ca="1" si="54"/>
        <v>#DIV/0!</v>
      </c>
      <c r="DE21" s="9" t="e">
        <f t="shared" ca="1" si="54"/>
        <v>#DIV/0!</v>
      </c>
      <c r="DF21" s="9" t="e">
        <f t="shared" ca="1" si="54"/>
        <v>#DIV/0!</v>
      </c>
      <c r="DG21" s="9" t="e">
        <f t="shared" ca="1" si="54"/>
        <v>#DIV/0!</v>
      </c>
      <c r="DH21" s="9" t="e">
        <f t="shared" ca="1" si="54"/>
        <v>#DIV/0!</v>
      </c>
      <c r="DI21" s="9" t="e">
        <f t="shared" ca="1" si="54"/>
        <v>#DIV/0!</v>
      </c>
      <c r="DJ21" s="9" t="e">
        <f t="shared" ca="1" si="54"/>
        <v>#DIV/0!</v>
      </c>
      <c r="DK21" s="9" t="e">
        <f t="shared" ca="1" si="54"/>
        <v>#DIV/0!</v>
      </c>
      <c r="DL21" s="9" t="e">
        <f t="shared" ca="1" si="54"/>
        <v>#DIV/0!</v>
      </c>
      <c r="DM21" s="9" t="e">
        <f t="shared" ca="1" si="54"/>
        <v>#DIV/0!</v>
      </c>
      <c r="DN21" s="9" t="e">
        <f t="shared" ca="1" si="54"/>
        <v>#DIV/0!</v>
      </c>
      <c r="DO21" s="9" t="e">
        <f t="shared" ca="1" si="54"/>
        <v>#DIV/0!</v>
      </c>
      <c r="DP21" s="9" t="e">
        <f t="shared" ca="1" si="54"/>
        <v>#DIV/0!</v>
      </c>
      <c r="DQ21" s="9" t="e">
        <f t="shared" ca="1" si="54"/>
        <v>#DIV/0!</v>
      </c>
      <c r="DR21" s="9" t="e">
        <f t="shared" ca="1" si="54"/>
        <v>#DIV/0!</v>
      </c>
      <c r="DS21" s="9" t="e">
        <f t="shared" ca="1" si="54"/>
        <v>#DIV/0!</v>
      </c>
      <c r="DT21" s="9" t="e">
        <f t="shared" ca="1" si="54"/>
        <v>#DIV/0!</v>
      </c>
      <c r="DU21" s="9" t="e">
        <f t="shared" ca="1" si="54"/>
        <v>#DIV/0!</v>
      </c>
      <c r="DV21" s="9" t="e">
        <f t="shared" ca="1" si="54"/>
        <v>#DIV/0!</v>
      </c>
      <c r="DW21" s="9" t="e">
        <f t="shared" ca="1" si="54"/>
        <v>#DIV/0!</v>
      </c>
      <c r="DX21" s="9" t="e">
        <f t="shared" ca="1" si="54"/>
        <v>#DIV/0!</v>
      </c>
      <c r="DY21" s="9" t="e">
        <f t="shared" ca="1" si="54"/>
        <v>#DIV/0!</v>
      </c>
      <c r="DZ21" s="9" t="e">
        <f t="shared" ca="1" si="54"/>
        <v>#DIV/0!</v>
      </c>
      <c r="EA21" s="9" t="e">
        <f t="shared" ca="1" si="54"/>
        <v>#DIV/0!</v>
      </c>
      <c r="EB21" s="9" t="e">
        <f t="shared" ca="1" si="54"/>
        <v>#DIV/0!</v>
      </c>
      <c r="EC21" s="9" t="e">
        <f t="shared" ref="EC21:GN21" ca="1" si="55">EC10*$B$19</f>
        <v>#DIV/0!</v>
      </c>
      <c r="ED21" s="9" t="e">
        <f t="shared" ca="1" si="55"/>
        <v>#DIV/0!</v>
      </c>
      <c r="EE21" s="9" t="e">
        <f t="shared" ca="1" si="55"/>
        <v>#DIV/0!</v>
      </c>
      <c r="EF21" s="9" t="e">
        <f t="shared" ca="1" si="55"/>
        <v>#DIV/0!</v>
      </c>
      <c r="EG21" s="9" t="e">
        <f t="shared" ca="1" si="55"/>
        <v>#DIV/0!</v>
      </c>
      <c r="EH21" s="9" t="e">
        <f t="shared" ca="1" si="55"/>
        <v>#DIV/0!</v>
      </c>
      <c r="EI21" s="9" t="e">
        <f t="shared" ca="1" si="55"/>
        <v>#DIV/0!</v>
      </c>
      <c r="EJ21" s="9" t="e">
        <f t="shared" ca="1" si="55"/>
        <v>#DIV/0!</v>
      </c>
      <c r="EK21" s="9" t="e">
        <f t="shared" ca="1" si="55"/>
        <v>#DIV/0!</v>
      </c>
      <c r="EL21" s="9" t="e">
        <f t="shared" ca="1" si="55"/>
        <v>#DIV/0!</v>
      </c>
      <c r="EM21" s="9" t="e">
        <f t="shared" ca="1" si="55"/>
        <v>#DIV/0!</v>
      </c>
      <c r="EN21" s="9" t="e">
        <f t="shared" ca="1" si="55"/>
        <v>#DIV/0!</v>
      </c>
      <c r="EO21" s="9" t="e">
        <f t="shared" ca="1" si="55"/>
        <v>#DIV/0!</v>
      </c>
      <c r="EP21" s="9" t="e">
        <f t="shared" ca="1" si="55"/>
        <v>#DIV/0!</v>
      </c>
      <c r="EQ21" s="9" t="e">
        <f t="shared" ca="1" si="55"/>
        <v>#DIV/0!</v>
      </c>
      <c r="ER21" s="9" t="e">
        <f t="shared" ca="1" si="55"/>
        <v>#DIV/0!</v>
      </c>
      <c r="ES21" s="9" t="e">
        <f t="shared" ca="1" si="55"/>
        <v>#DIV/0!</v>
      </c>
      <c r="ET21" s="9" t="e">
        <f t="shared" ca="1" si="55"/>
        <v>#DIV/0!</v>
      </c>
      <c r="EU21" s="9" t="e">
        <f t="shared" ca="1" si="55"/>
        <v>#DIV/0!</v>
      </c>
      <c r="EV21" s="9" t="e">
        <f t="shared" ca="1" si="55"/>
        <v>#DIV/0!</v>
      </c>
      <c r="EW21" s="9" t="e">
        <f t="shared" ca="1" si="55"/>
        <v>#DIV/0!</v>
      </c>
      <c r="EX21" s="9" t="e">
        <f t="shared" ca="1" si="55"/>
        <v>#DIV/0!</v>
      </c>
      <c r="EY21" s="9" t="e">
        <f t="shared" ca="1" si="55"/>
        <v>#DIV/0!</v>
      </c>
      <c r="EZ21" s="9" t="e">
        <f t="shared" ca="1" si="55"/>
        <v>#DIV/0!</v>
      </c>
      <c r="FA21" s="9" t="e">
        <f t="shared" ca="1" si="55"/>
        <v>#DIV/0!</v>
      </c>
      <c r="FB21" s="9" t="e">
        <f t="shared" ca="1" si="55"/>
        <v>#DIV/0!</v>
      </c>
      <c r="FC21" s="9" t="e">
        <f t="shared" ca="1" si="55"/>
        <v>#DIV/0!</v>
      </c>
      <c r="FD21" s="9" t="e">
        <f t="shared" ca="1" si="55"/>
        <v>#DIV/0!</v>
      </c>
      <c r="FE21" s="9" t="e">
        <f t="shared" ca="1" si="55"/>
        <v>#DIV/0!</v>
      </c>
      <c r="FF21" s="9" t="e">
        <f t="shared" ca="1" si="55"/>
        <v>#DIV/0!</v>
      </c>
      <c r="FG21" s="9" t="e">
        <f t="shared" ca="1" si="55"/>
        <v>#DIV/0!</v>
      </c>
      <c r="FH21" s="9" t="e">
        <f t="shared" ca="1" si="55"/>
        <v>#DIV/0!</v>
      </c>
      <c r="FI21" s="9" t="e">
        <f t="shared" ca="1" si="55"/>
        <v>#DIV/0!</v>
      </c>
      <c r="FJ21" s="9" t="e">
        <f t="shared" ca="1" si="55"/>
        <v>#DIV/0!</v>
      </c>
      <c r="FK21" s="9" t="e">
        <f t="shared" ca="1" si="55"/>
        <v>#DIV/0!</v>
      </c>
      <c r="FL21" s="9" t="e">
        <f t="shared" ca="1" si="55"/>
        <v>#DIV/0!</v>
      </c>
      <c r="FM21" s="9" t="e">
        <f t="shared" ca="1" si="55"/>
        <v>#DIV/0!</v>
      </c>
      <c r="FN21" s="9" t="e">
        <f t="shared" ca="1" si="55"/>
        <v>#DIV/0!</v>
      </c>
      <c r="FO21" s="9" t="e">
        <f t="shared" ca="1" si="55"/>
        <v>#DIV/0!</v>
      </c>
      <c r="FP21" s="9" t="e">
        <f t="shared" ca="1" si="55"/>
        <v>#DIV/0!</v>
      </c>
      <c r="FQ21" s="9" t="e">
        <f t="shared" ca="1" si="55"/>
        <v>#DIV/0!</v>
      </c>
      <c r="FR21" s="9" t="e">
        <f t="shared" ca="1" si="55"/>
        <v>#DIV/0!</v>
      </c>
      <c r="FS21" s="9" t="e">
        <f t="shared" ca="1" si="55"/>
        <v>#DIV/0!</v>
      </c>
      <c r="FT21" s="9" t="e">
        <f t="shared" ca="1" si="55"/>
        <v>#DIV/0!</v>
      </c>
      <c r="FU21" s="9" t="e">
        <f t="shared" ca="1" si="55"/>
        <v>#DIV/0!</v>
      </c>
      <c r="FV21" s="9" t="e">
        <f t="shared" ca="1" si="55"/>
        <v>#DIV/0!</v>
      </c>
      <c r="FW21" s="9" t="e">
        <f t="shared" ca="1" si="55"/>
        <v>#DIV/0!</v>
      </c>
      <c r="FX21" s="9" t="e">
        <f t="shared" ca="1" si="55"/>
        <v>#DIV/0!</v>
      </c>
      <c r="FY21" s="9" t="e">
        <f t="shared" ca="1" si="55"/>
        <v>#DIV/0!</v>
      </c>
      <c r="FZ21" s="9" t="e">
        <f t="shared" ca="1" si="55"/>
        <v>#DIV/0!</v>
      </c>
      <c r="GA21" s="9" t="e">
        <f t="shared" ca="1" si="55"/>
        <v>#DIV/0!</v>
      </c>
      <c r="GB21" s="9" t="e">
        <f t="shared" ca="1" si="55"/>
        <v>#DIV/0!</v>
      </c>
      <c r="GC21" s="9" t="e">
        <f t="shared" ca="1" si="55"/>
        <v>#DIV/0!</v>
      </c>
      <c r="GD21" s="9" t="e">
        <f t="shared" ca="1" si="55"/>
        <v>#DIV/0!</v>
      </c>
      <c r="GE21" s="9" t="e">
        <f t="shared" ca="1" si="55"/>
        <v>#DIV/0!</v>
      </c>
      <c r="GF21" s="9" t="e">
        <f t="shared" ca="1" si="55"/>
        <v>#DIV/0!</v>
      </c>
      <c r="GG21" s="9" t="e">
        <f t="shared" ca="1" si="55"/>
        <v>#DIV/0!</v>
      </c>
      <c r="GH21" s="9" t="e">
        <f t="shared" ca="1" si="55"/>
        <v>#DIV/0!</v>
      </c>
      <c r="GI21" s="9" t="e">
        <f t="shared" ca="1" si="55"/>
        <v>#DIV/0!</v>
      </c>
      <c r="GJ21" s="9" t="e">
        <f t="shared" ca="1" si="55"/>
        <v>#DIV/0!</v>
      </c>
      <c r="GK21" s="9" t="e">
        <f t="shared" ca="1" si="55"/>
        <v>#DIV/0!</v>
      </c>
      <c r="GL21" s="9" t="e">
        <f t="shared" ca="1" si="55"/>
        <v>#DIV/0!</v>
      </c>
      <c r="GM21" s="9" t="e">
        <f t="shared" ca="1" si="55"/>
        <v>#DIV/0!</v>
      </c>
      <c r="GN21" s="9" t="e">
        <f t="shared" ca="1" si="55"/>
        <v>#DIV/0!</v>
      </c>
      <c r="GO21" s="9" t="e">
        <f t="shared" ref="GO21:IZ21" ca="1" si="56">GO10*$B$19</f>
        <v>#DIV/0!</v>
      </c>
      <c r="GP21" s="9" t="e">
        <f t="shared" ca="1" si="56"/>
        <v>#DIV/0!</v>
      </c>
      <c r="GQ21" s="9" t="e">
        <f t="shared" ca="1" si="56"/>
        <v>#DIV/0!</v>
      </c>
      <c r="GR21" s="9" t="e">
        <f t="shared" ca="1" si="56"/>
        <v>#DIV/0!</v>
      </c>
      <c r="GS21" s="9" t="e">
        <f t="shared" ca="1" si="56"/>
        <v>#DIV/0!</v>
      </c>
      <c r="GT21" s="9" t="e">
        <f t="shared" ca="1" si="56"/>
        <v>#DIV/0!</v>
      </c>
      <c r="GU21" s="9" t="e">
        <f t="shared" ca="1" si="56"/>
        <v>#DIV/0!</v>
      </c>
      <c r="GV21" s="9" t="e">
        <f t="shared" ca="1" si="56"/>
        <v>#DIV/0!</v>
      </c>
      <c r="GW21" s="9" t="e">
        <f t="shared" ca="1" si="56"/>
        <v>#DIV/0!</v>
      </c>
      <c r="GX21" s="9" t="e">
        <f t="shared" ca="1" si="56"/>
        <v>#DIV/0!</v>
      </c>
      <c r="GY21" s="9" t="e">
        <f t="shared" ca="1" si="56"/>
        <v>#DIV/0!</v>
      </c>
      <c r="GZ21" s="9" t="e">
        <f t="shared" ca="1" si="56"/>
        <v>#DIV/0!</v>
      </c>
      <c r="HA21" s="9" t="e">
        <f t="shared" ca="1" si="56"/>
        <v>#DIV/0!</v>
      </c>
      <c r="HB21" s="9" t="e">
        <f t="shared" ca="1" si="56"/>
        <v>#DIV/0!</v>
      </c>
      <c r="HC21" s="9" t="e">
        <f t="shared" ca="1" si="56"/>
        <v>#DIV/0!</v>
      </c>
      <c r="HD21" s="9" t="e">
        <f t="shared" ca="1" si="56"/>
        <v>#DIV/0!</v>
      </c>
      <c r="HE21" s="9" t="e">
        <f t="shared" ca="1" si="56"/>
        <v>#DIV/0!</v>
      </c>
      <c r="HF21" s="9" t="e">
        <f t="shared" ca="1" si="56"/>
        <v>#DIV/0!</v>
      </c>
      <c r="HG21" s="9" t="e">
        <f t="shared" ca="1" si="56"/>
        <v>#DIV/0!</v>
      </c>
      <c r="HH21" s="9" t="e">
        <f t="shared" ca="1" si="56"/>
        <v>#DIV/0!</v>
      </c>
      <c r="HI21" s="9" t="e">
        <f t="shared" ca="1" si="56"/>
        <v>#DIV/0!</v>
      </c>
      <c r="HJ21" s="9" t="e">
        <f t="shared" ca="1" si="56"/>
        <v>#DIV/0!</v>
      </c>
      <c r="HK21" s="9" t="e">
        <f t="shared" ca="1" si="56"/>
        <v>#DIV/0!</v>
      </c>
      <c r="HL21" s="9" t="e">
        <f t="shared" ca="1" si="56"/>
        <v>#DIV/0!</v>
      </c>
      <c r="HM21" s="9" t="e">
        <f t="shared" ca="1" si="56"/>
        <v>#DIV/0!</v>
      </c>
      <c r="HN21" s="9" t="e">
        <f t="shared" ca="1" si="56"/>
        <v>#DIV/0!</v>
      </c>
      <c r="HO21" s="9" t="e">
        <f t="shared" ca="1" si="56"/>
        <v>#DIV/0!</v>
      </c>
      <c r="HP21" s="9" t="e">
        <f t="shared" ca="1" si="56"/>
        <v>#DIV/0!</v>
      </c>
      <c r="HQ21" s="9" t="e">
        <f t="shared" ca="1" si="56"/>
        <v>#DIV/0!</v>
      </c>
      <c r="HR21" s="9" t="e">
        <f t="shared" ca="1" si="56"/>
        <v>#DIV/0!</v>
      </c>
      <c r="HS21" s="9" t="e">
        <f t="shared" ca="1" si="56"/>
        <v>#DIV/0!</v>
      </c>
      <c r="HT21" s="9" t="e">
        <f t="shared" ca="1" si="56"/>
        <v>#DIV/0!</v>
      </c>
      <c r="HU21" s="9" t="e">
        <f t="shared" ca="1" si="56"/>
        <v>#DIV/0!</v>
      </c>
      <c r="HV21" s="9" t="e">
        <f t="shared" ca="1" si="56"/>
        <v>#DIV/0!</v>
      </c>
      <c r="HW21" s="9" t="e">
        <f t="shared" ca="1" si="56"/>
        <v>#DIV/0!</v>
      </c>
      <c r="HX21" s="9" t="e">
        <f t="shared" ca="1" si="56"/>
        <v>#DIV/0!</v>
      </c>
      <c r="HY21" s="9" t="e">
        <f t="shared" ca="1" si="56"/>
        <v>#DIV/0!</v>
      </c>
      <c r="HZ21" s="9" t="e">
        <f t="shared" ca="1" si="56"/>
        <v>#DIV/0!</v>
      </c>
      <c r="IA21" s="9" t="e">
        <f t="shared" ca="1" si="56"/>
        <v>#DIV/0!</v>
      </c>
      <c r="IB21" s="9" t="e">
        <f t="shared" ca="1" si="56"/>
        <v>#DIV/0!</v>
      </c>
      <c r="IC21" s="9" t="e">
        <f t="shared" ca="1" si="56"/>
        <v>#DIV/0!</v>
      </c>
      <c r="ID21" s="9" t="e">
        <f t="shared" ca="1" si="56"/>
        <v>#DIV/0!</v>
      </c>
      <c r="IE21" s="9" t="e">
        <f t="shared" ca="1" si="56"/>
        <v>#DIV/0!</v>
      </c>
      <c r="IF21" s="9" t="e">
        <f t="shared" ca="1" si="56"/>
        <v>#DIV/0!</v>
      </c>
      <c r="IG21" s="9" t="e">
        <f t="shared" ca="1" si="56"/>
        <v>#DIV/0!</v>
      </c>
      <c r="IH21" s="9" t="e">
        <f t="shared" ca="1" si="56"/>
        <v>#DIV/0!</v>
      </c>
      <c r="II21" s="9" t="e">
        <f t="shared" ca="1" si="56"/>
        <v>#DIV/0!</v>
      </c>
      <c r="IJ21" s="9" t="e">
        <f t="shared" ca="1" si="56"/>
        <v>#DIV/0!</v>
      </c>
      <c r="IK21" s="9" t="e">
        <f t="shared" ca="1" si="56"/>
        <v>#DIV/0!</v>
      </c>
      <c r="IL21" s="9" t="e">
        <f t="shared" ca="1" si="56"/>
        <v>#DIV/0!</v>
      </c>
      <c r="IM21" s="9" t="e">
        <f t="shared" ca="1" si="56"/>
        <v>#DIV/0!</v>
      </c>
      <c r="IN21" s="9" t="e">
        <f t="shared" ca="1" si="56"/>
        <v>#DIV/0!</v>
      </c>
      <c r="IO21" s="9" t="e">
        <f t="shared" ca="1" si="56"/>
        <v>#DIV/0!</v>
      </c>
      <c r="IP21" s="9" t="e">
        <f t="shared" ca="1" si="56"/>
        <v>#DIV/0!</v>
      </c>
      <c r="IQ21" s="9" t="e">
        <f t="shared" ca="1" si="56"/>
        <v>#DIV/0!</v>
      </c>
      <c r="IR21" s="9" t="e">
        <f t="shared" ca="1" si="56"/>
        <v>#DIV/0!</v>
      </c>
      <c r="IS21" s="9" t="e">
        <f t="shared" ca="1" si="56"/>
        <v>#DIV/0!</v>
      </c>
      <c r="IT21" s="9" t="e">
        <f t="shared" ca="1" si="56"/>
        <v>#DIV/0!</v>
      </c>
      <c r="IU21" s="9" t="e">
        <f t="shared" ca="1" si="56"/>
        <v>#DIV/0!</v>
      </c>
      <c r="IV21" s="9" t="e">
        <f t="shared" ca="1" si="56"/>
        <v>#DIV/0!</v>
      </c>
      <c r="IW21" s="9" t="e">
        <f t="shared" ca="1" si="56"/>
        <v>#DIV/0!</v>
      </c>
      <c r="IX21" s="9" t="e">
        <f t="shared" ca="1" si="56"/>
        <v>#DIV/0!</v>
      </c>
      <c r="IY21" s="9" t="e">
        <f t="shared" ca="1" si="56"/>
        <v>#DIV/0!</v>
      </c>
      <c r="IZ21" s="9" t="e">
        <f t="shared" ca="1" si="56"/>
        <v>#DIV/0!</v>
      </c>
      <c r="JA21" s="9" t="e">
        <f t="shared" ref="JA21:JU21" ca="1" si="57">JA10*$B$19</f>
        <v>#DIV/0!</v>
      </c>
      <c r="JB21" s="9" t="e">
        <f t="shared" ca="1" si="57"/>
        <v>#DIV/0!</v>
      </c>
      <c r="JC21" s="9" t="e">
        <f t="shared" ca="1" si="57"/>
        <v>#DIV/0!</v>
      </c>
      <c r="JD21" s="9" t="e">
        <f t="shared" ca="1" si="57"/>
        <v>#DIV/0!</v>
      </c>
      <c r="JE21" s="9" t="e">
        <f t="shared" ca="1" si="57"/>
        <v>#DIV/0!</v>
      </c>
      <c r="JF21" s="9" t="e">
        <f t="shared" ca="1" si="57"/>
        <v>#DIV/0!</v>
      </c>
      <c r="JG21" s="9" t="e">
        <f t="shared" ca="1" si="57"/>
        <v>#DIV/0!</v>
      </c>
      <c r="JH21" s="9" t="e">
        <f t="shared" ca="1" si="57"/>
        <v>#DIV/0!</v>
      </c>
      <c r="JI21" s="9" t="e">
        <f t="shared" ca="1" si="57"/>
        <v>#DIV/0!</v>
      </c>
      <c r="JJ21" s="9" t="e">
        <f t="shared" ca="1" si="57"/>
        <v>#DIV/0!</v>
      </c>
      <c r="JK21" s="9" t="e">
        <f t="shared" ca="1" si="57"/>
        <v>#DIV/0!</v>
      </c>
      <c r="JL21" s="9" t="e">
        <f t="shared" ca="1" si="57"/>
        <v>#DIV/0!</v>
      </c>
      <c r="JM21" s="9" t="e">
        <f t="shared" ca="1" si="57"/>
        <v>#DIV/0!</v>
      </c>
      <c r="JN21" s="9" t="e">
        <f t="shared" ca="1" si="57"/>
        <v>#DIV/0!</v>
      </c>
      <c r="JO21" s="9" t="e">
        <f t="shared" ca="1" si="57"/>
        <v>#DIV/0!</v>
      </c>
      <c r="JP21" s="9" t="e">
        <f t="shared" ca="1" si="57"/>
        <v>#DIV/0!</v>
      </c>
      <c r="JQ21" s="9" t="e">
        <f t="shared" ca="1" si="57"/>
        <v>#DIV/0!</v>
      </c>
      <c r="JR21" s="9" t="e">
        <f t="shared" ca="1" si="57"/>
        <v>#DIV/0!</v>
      </c>
      <c r="JS21" s="9" t="e">
        <f t="shared" ca="1" si="57"/>
        <v>#DIV/0!</v>
      </c>
      <c r="JT21" s="9" t="e">
        <f t="shared" ca="1" si="57"/>
        <v>#DIV/0!</v>
      </c>
      <c r="JU21" s="9" t="e">
        <f t="shared" ca="1" si="57"/>
        <v>#DIV/0!</v>
      </c>
    </row>
    <row r="22" spans="1:281">
      <c r="A22" t="s">
        <v>251</v>
      </c>
      <c r="D22" s="9" t="e">
        <f ca="1">D19+D20-D21</f>
        <v>#DIV/0!</v>
      </c>
      <c r="E22" s="9" t="e">
        <f t="shared" ref="E22:K22" ca="1" si="58">E19+E20-E21</f>
        <v>#DIV/0!</v>
      </c>
      <c r="F22" s="9" t="e">
        <f t="shared" ca="1" si="58"/>
        <v>#DIV/0!</v>
      </c>
      <c r="G22" s="9" t="e">
        <f t="shared" ca="1" si="58"/>
        <v>#DIV/0!</v>
      </c>
      <c r="H22" s="9" t="e">
        <f t="shared" ca="1" si="58"/>
        <v>#DIV/0!</v>
      </c>
      <c r="I22" s="9" t="e">
        <f t="shared" ca="1" si="58"/>
        <v>#DIV/0!</v>
      </c>
      <c r="J22" s="9" t="e">
        <f t="shared" ca="1" si="58"/>
        <v>#DIV/0!</v>
      </c>
      <c r="K22" s="9" t="e">
        <f t="shared" ca="1" si="58"/>
        <v>#DIV/0!</v>
      </c>
      <c r="L22" s="9" t="e">
        <f t="shared" ref="L22:AQ22" ca="1" si="59">L19+L20-L21</f>
        <v>#DIV/0!</v>
      </c>
      <c r="M22" s="9" t="e">
        <f t="shared" ca="1" si="59"/>
        <v>#DIV/0!</v>
      </c>
      <c r="N22" s="9" t="e">
        <f t="shared" ca="1" si="59"/>
        <v>#DIV/0!</v>
      </c>
      <c r="O22" s="9" t="e">
        <f t="shared" ca="1" si="59"/>
        <v>#DIV/0!</v>
      </c>
      <c r="P22" s="9" t="e">
        <f t="shared" ca="1" si="59"/>
        <v>#DIV/0!</v>
      </c>
      <c r="Q22" s="9" t="e">
        <f t="shared" ca="1" si="59"/>
        <v>#DIV/0!</v>
      </c>
      <c r="R22" s="9" t="e">
        <f t="shared" ca="1" si="59"/>
        <v>#DIV/0!</v>
      </c>
      <c r="S22" s="9" t="e">
        <f t="shared" ca="1" si="59"/>
        <v>#DIV/0!</v>
      </c>
      <c r="T22" s="9" t="e">
        <f t="shared" ca="1" si="59"/>
        <v>#DIV/0!</v>
      </c>
      <c r="U22" s="9" t="e">
        <f t="shared" ca="1" si="59"/>
        <v>#DIV/0!</v>
      </c>
      <c r="V22" s="9" t="e">
        <f t="shared" ca="1" si="59"/>
        <v>#DIV/0!</v>
      </c>
      <c r="W22" s="9" t="e">
        <f t="shared" ca="1" si="59"/>
        <v>#DIV/0!</v>
      </c>
      <c r="X22" s="9" t="e">
        <f t="shared" ca="1" si="59"/>
        <v>#DIV/0!</v>
      </c>
      <c r="Y22" s="9" t="e">
        <f t="shared" ca="1" si="59"/>
        <v>#DIV/0!</v>
      </c>
      <c r="Z22" s="9" t="e">
        <f t="shared" ca="1" si="59"/>
        <v>#DIV/0!</v>
      </c>
      <c r="AA22" s="9" t="e">
        <f t="shared" ca="1" si="59"/>
        <v>#DIV/0!</v>
      </c>
      <c r="AB22" s="9" t="e">
        <f t="shared" ca="1" si="59"/>
        <v>#DIV/0!</v>
      </c>
      <c r="AC22" s="9" t="e">
        <f t="shared" ca="1" si="59"/>
        <v>#DIV/0!</v>
      </c>
      <c r="AD22" s="9" t="e">
        <f t="shared" ca="1" si="59"/>
        <v>#DIV/0!</v>
      </c>
      <c r="AE22" s="9" t="e">
        <f t="shared" ca="1" si="59"/>
        <v>#DIV/0!</v>
      </c>
      <c r="AF22" s="9" t="e">
        <f t="shared" ca="1" si="59"/>
        <v>#DIV/0!</v>
      </c>
      <c r="AG22" s="9" t="e">
        <f t="shared" ca="1" si="59"/>
        <v>#DIV/0!</v>
      </c>
      <c r="AH22" s="9" t="e">
        <f t="shared" ca="1" si="59"/>
        <v>#DIV/0!</v>
      </c>
      <c r="AI22" s="9" t="e">
        <f t="shared" ca="1" si="59"/>
        <v>#DIV/0!</v>
      </c>
      <c r="AJ22" s="9" t="e">
        <f t="shared" ca="1" si="59"/>
        <v>#DIV/0!</v>
      </c>
      <c r="AK22" s="9" t="e">
        <f t="shared" ca="1" si="59"/>
        <v>#DIV/0!</v>
      </c>
      <c r="AL22" s="9" t="e">
        <f t="shared" ca="1" si="59"/>
        <v>#DIV/0!</v>
      </c>
      <c r="AM22" s="9" t="e">
        <f t="shared" ca="1" si="59"/>
        <v>#DIV/0!</v>
      </c>
      <c r="AN22" s="9" t="e">
        <f t="shared" ca="1" si="59"/>
        <v>#DIV/0!</v>
      </c>
      <c r="AO22" s="9" t="e">
        <f t="shared" ca="1" si="59"/>
        <v>#DIV/0!</v>
      </c>
      <c r="AP22" s="9" t="e">
        <f t="shared" ca="1" si="59"/>
        <v>#DIV/0!</v>
      </c>
      <c r="AQ22" s="9" t="e">
        <f t="shared" ca="1" si="59"/>
        <v>#DIV/0!</v>
      </c>
      <c r="AR22" s="9" t="e">
        <f t="shared" ref="AR22:BW22" ca="1" si="60">AR19+AR20-AR21</f>
        <v>#DIV/0!</v>
      </c>
      <c r="AS22" s="9" t="e">
        <f t="shared" ca="1" si="60"/>
        <v>#DIV/0!</v>
      </c>
      <c r="AT22" s="9" t="e">
        <f t="shared" ca="1" si="60"/>
        <v>#DIV/0!</v>
      </c>
      <c r="AU22" s="9" t="e">
        <f t="shared" ca="1" si="60"/>
        <v>#DIV/0!</v>
      </c>
      <c r="AV22" s="9" t="e">
        <f t="shared" ca="1" si="60"/>
        <v>#DIV/0!</v>
      </c>
      <c r="AW22" s="9" t="e">
        <f t="shared" ca="1" si="60"/>
        <v>#DIV/0!</v>
      </c>
      <c r="AX22" s="9" t="e">
        <f t="shared" ca="1" si="60"/>
        <v>#DIV/0!</v>
      </c>
      <c r="AY22" s="9" t="e">
        <f t="shared" ca="1" si="60"/>
        <v>#DIV/0!</v>
      </c>
      <c r="AZ22" s="9" t="e">
        <f t="shared" ca="1" si="60"/>
        <v>#DIV/0!</v>
      </c>
      <c r="BA22" s="9" t="e">
        <f t="shared" ca="1" si="60"/>
        <v>#DIV/0!</v>
      </c>
      <c r="BB22" s="9" t="e">
        <f t="shared" ca="1" si="60"/>
        <v>#DIV/0!</v>
      </c>
      <c r="BC22" s="9" t="e">
        <f t="shared" ca="1" si="60"/>
        <v>#DIV/0!</v>
      </c>
      <c r="BD22" s="9" t="e">
        <f t="shared" ca="1" si="60"/>
        <v>#DIV/0!</v>
      </c>
      <c r="BE22" s="9" t="e">
        <f t="shared" ca="1" si="60"/>
        <v>#DIV/0!</v>
      </c>
      <c r="BF22" s="9" t="e">
        <f t="shared" ca="1" si="60"/>
        <v>#DIV/0!</v>
      </c>
      <c r="BG22" s="9" t="e">
        <f t="shared" ca="1" si="60"/>
        <v>#DIV/0!</v>
      </c>
      <c r="BH22" s="9" t="e">
        <f t="shared" ca="1" si="60"/>
        <v>#DIV/0!</v>
      </c>
      <c r="BI22" s="9" t="e">
        <f t="shared" ca="1" si="60"/>
        <v>#DIV/0!</v>
      </c>
      <c r="BJ22" s="9" t="e">
        <f t="shared" ca="1" si="60"/>
        <v>#DIV/0!</v>
      </c>
      <c r="BK22" s="9" t="e">
        <f t="shared" ca="1" si="60"/>
        <v>#DIV/0!</v>
      </c>
      <c r="BL22" s="9" t="e">
        <f t="shared" ca="1" si="60"/>
        <v>#DIV/0!</v>
      </c>
      <c r="BM22" s="9" t="e">
        <f t="shared" ca="1" si="60"/>
        <v>#DIV/0!</v>
      </c>
      <c r="BN22" s="9" t="e">
        <f t="shared" ca="1" si="60"/>
        <v>#DIV/0!</v>
      </c>
      <c r="BO22" s="9" t="e">
        <f t="shared" ca="1" si="60"/>
        <v>#DIV/0!</v>
      </c>
      <c r="BP22" s="9" t="e">
        <f t="shared" ca="1" si="60"/>
        <v>#DIV/0!</v>
      </c>
      <c r="BQ22" s="9" t="e">
        <f t="shared" ca="1" si="60"/>
        <v>#DIV/0!</v>
      </c>
      <c r="BR22" s="9" t="e">
        <f t="shared" ca="1" si="60"/>
        <v>#DIV/0!</v>
      </c>
      <c r="BS22" s="9" t="e">
        <f t="shared" ca="1" si="60"/>
        <v>#DIV/0!</v>
      </c>
      <c r="BT22" s="9" t="e">
        <f t="shared" ca="1" si="60"/>
        <v>#DIV/0!</v>
      </c>
      <c r="BU22" s="9" t="e">
        <f t="shared" ca="1" si="60"/>
        <v>#DIV/0!</v>
      </c>
      <c r="BV22" s="9">
        <v>1130.24</v>
      </c>
      <c r="BW22" s="9" t="e">
        <f t="shared" ca="1" si="60"/>
        <v>#DIV/0!</v>
      </c>
      <c r="BX22" s="9" t="e">
        <f t="shared" ref="BX22:DC22" ca="1" si="61">BX19+BX20-BX21</f>
        <v>#DIV/0!</v>
      </c>
      <c r="BY22" s="9" t="e">
        <f t="shared" ca="1" si="61"/>
        <v>#DIV/0!</v>
      </c>
      <c r="BZ22" s="9" t="e">
        <f t="shared" ca="1" si="61"/>
        <v>#DIV/0!</v>
      </c>
      <c r="CA22" s="9" t="e">
        <f t="shared" ca="1" si="61"/>
        <v>#DIV/0!</v>
      </c>
      <c r="CB22" s="9" t="e">
        <f t="shared" ca="1" si="61"/>
        <v>#DIV/0!</v>
      </c>
      <c r="CC22" s="9" t="e">
        <f t="shared" ca="1" si="61"/>
        <v>#DIV/0!</v>
      </c>
      <c r="CD22" s="9" t="e">
        <f t="shared" ca="1" si="61"/>
        <v>#DIV/0!</v>
      </c>
      <c r="CE22" s="9" t="e">
        <f t="shared" ca="1" si="61"/>
        <v>#DIV/0!</v>
      </c>
      <c r="CF22" s="9" t="e">
        <f t="shared" ca="1" si="61"/>
        <v>#DIV/0!</v>
      </c>
      <c r="CG22" s="9" t="e">
        <f t="shared" ca="1" si="61"/>
        <v>#DIV/0!</v>
      </c>
      <c r="CH22" s="9" t="e">
        <f t="shared" ca="1" si="61"/>
        <v>#DIV/0!</v>
      </c>
      <c r="CI22" s="9" t="e">
        <f t="shared" ca="1" si="61"/>
        <v>#DIV/0!</v>
      </c>
      <c r="CJ22" s="9" t="e">
        <f t="shared" ca="1" si="61"/>
        <v>#DIV/0!</v>
      </c>
      <c r="CK22" s="9" t="e">
        <f t="shared" ca="1" si="61"/>
        <v>#DIV/0!</v>
      </c>
      <c r="CL22" s="9" t="e">
        <f t="shared" ca="1" si="61"/>
        <v>#DIV/0!</v>
      </c>
      <c r="CM22" s="9" t="e">
        <f t="shared" ca="1" si="61"/>
        <v>#DIV/0!</v>
      </c>
      <c r="CN22" s="9" t="e">
        <f t="shared" ca="1" si="61"/>
        <v>#DIV/0!</v>
      </c>
      <c r="CO22" s="9" t="e">
        <f t="shared" ca="1" si="61"/>
        <v>#DIV/0!</v>
      </c>
      <c r="CP22" s="9" t="e">
        <f t="shared" ca="1" si="61"/>
        <v>#DIV/0!</v>
      </c>
      <c r="CQ22" s="9" t="e">
        <f t="shared" ca="1" si="61"/>
        <v>#DIV/0!</v>
      </c>
      <c r="CR22" s="9" t="e">
        <f t="shared" ca="1" si="61"/>
        <v>#DIV/0!</v>
      </c>
      <c r="CS22" s="9" t="e">
        <f t="shared" ca="1" si="61"/>
        <v>#DIV/0!</v>
      </c>
      <c r="CT22" s="9" t="e">
        <f t="shared" ca="1" si="61"/>
        <v>#DIV/0!</v>
      </c>
      <c r="CU22" s="9" t="e">
        <f t="shared" ca="1" si="61"/>
        <v>#DIV/0!</v>
      </c>
      <c r="CV22" s="9" t="e">
        <f t="shared" ca="1" si="61"/>
        <v>#DIV/0!</v>
      </c>
      <c r="CW22" s="9" t="e">
        <f t="shared" ca="1" si="61"/>
        <v>#DIV/0!</v>
      </c>
      <c r="CX22" s="9" t="e">
        <f t="shared" ca="1" si="61"/>
        <v>#DIV/0!</v>
      </c>
      <c r="CY22" s="9" t="e">
        <f t="shared" ca="1" si="61"/>
        <v>#DIV/0!</v>
      </c>
      <c r="CZ22" s="9" t="e">
        <f t="shared" ca="1" si="61"/>
        <v>#DIV/0!</v>
      </c>
      <c r="DA22" s="9" t="e">
        <f t="shared" ca="1" si="61"/>
        <v>#DIV/0!</v>
      </c>
      <c r="DB22" s="9" t="e">
        <f t="shared" ca="1" si="61"/>
        <v>#DIV/0!</v>
      </c>
      <c r="DC22" s="9" t="e">
        <f t="shared" ca="1" si="61"/>
        <v>#DIV/0!</v>
      </c>
      <c r="DD22" s="9" t="e">
        <f t="shared" ref="DD22:EI22" ca="1" si="62">DD19+DD20-DD21</f>
        <v>#DIV/0!</v>
      </c>
      <c r="DE22" s="9" t="e">
        <f t="shared" ca="1" si="62"/>
        <v>#DIV/0!</v>
      </c>
      <c r="DF22" s="9" t="e">
        <f t="shared" ca="1" si="62"/>
        <v>#DIV/0!</v>
      </c>
      <c r="DG22" s="9" t="e">
        <f t="shared" ca="1" si="62"/>
        <v>#DIV/0!</v>
      </c>
      <c r="DH22" s="9" t="e">
        <f t="shared" ca="1" si="62"/>
        <v>#DIV/0!</v>
      </c>
      <c r="DI22" s="9" t="e">
        <f t="shared" ca="1" si="62"/>
        <v>#DIV/0!</v>
      </c>
      <c r="DJ22" s="9" t="e">
        <f t="shared" ca="1" si="62"/>
        <v>#DIV/0!</v>
      </c>
      <c r="DK22" s="9" t="e">
        <f t="shared" ca="1" si="62"/>
        <v>#DIV/0!</v>
      </c>
      <c r="DL22" s="9" t="e">
        <f t="shared" ca="1" si="62"/>
        <v>#DIV/0!</v>
      </c>
      <c r="DM22" s="9" t="e">
        <f t="shared" ca="1" si="62"/>
        <v>#DIV/0!</v>
      </c>
      <c r="DN22" s="9" t="e">
        <f t="shared" ca="1" si="62"/>
        <v>#DIV/0!</v>
      </c>
      <c r="DO22" s="9" t="e">
        <f t="shared" ca="1" si="62"/>
        <v>#DIV/0!</v>
      </c>
      <c r="DP22" s="9" t="e">
        <f t="shared" ca="1" si="62"/>
        <v>#DIV/0!</v>
      </c>
      <c r="DQ22" s="9" t="e">
        <f t="shared" ca="1" si="62"/>
        <v>#DIV/0!</v>
      </c>
      <c r="DR22" s="9" t="e">
        <f t="shared" ca="1" si="62"/>
        <v>#DIV/0!</v>
      </c>
      <c r="DS22" s="9" t="e">
        <f t="shared" ca="1" si="62"/>
        <v>#DIV/0!</v>
      </c>
      <c r="DT22" s="9" t="e">
        <f t="shared" ca="1" si="62"/>
        <v>#DIV/0!</v>
      </c>
      <c r="DU22" s="9" t="e">
        <f t="shared" ca="1" si="62"/>
        <v>#DIV/0!</v>
      </c>
      <c r="DV22" s="9" t="e">
        <f t="shared" ca="1" si="62"/>
        <v>#DIV/0!</v>
      </c>
      <c r="DW22" s="9" t="e">
        <f t="shared" ca="1" si="62"/>
        <v>#DIV/0!</v>
      </c>
      <c r="DX22" s="9" t="e">
        <f t="shared" ca="1" si="62"/>
        <v>#DIV/0!</v>
      </c>
      <c r="DY22" s="9" t="e">
        <f t="shared" ca="1" si="62"/>
        <v>#DIV/0!</v>
      </c>
      <c r="DZ22" s="9" t="e">
        <f t="shared" ca="1" si="62"/>
        <v>#DIV/0!</v>
      </c>
      <c r="EA22" s="9" t="e">
        <f t="shared" ca="1" si="62"/>
        <v>#DIV/0!</v>
      </c>
      <c r="EB22" s="9" t="e">
        <f t="shared" ca="1" si="62"/>
        <v>#DIV/0!</v>
      </c>
      <c r="EC22" s="9" t="e">
        <f t="shared" ca="1" si="62"/>
        <v>#DIV/0!</v>
      </c>
      <c r="ED22" s="9" t="e">
        <f t="shared" ca="1" si="62"/>
        <v>#DIV/0!</v>
      </c>
      <c r="EE22" s="9" t="e">
        <f t="shared" ca="1" si="62"/>
        <v>#DIV/0!</v>
      </c>
      <c r="EF22" s="9" t="e">
        <f t="shared" ca="1" si="62"/>
        <v>#DIV/0!</v>
      </c>
      <c r="EG22" s="9" t="e">
        <f t="shared" ca="1" si="62"/>
        <v>#DIV/0!</v>
      </c>
      <c r="EH22" s="9" t="e">
        <f t="shared" ca="1" si="62"/>
        <v>#DIV/0!</v>
      </c>
      <c r="EI22" s="9" t="e">
        <f t="shared" ca="1" si="62"/>
        <v>#DIV/0!</v>
      </c>
      <c r="EJ22" s="9" t="e">
        <f t="shared" ref="EJ22:EN22" ca="1" si="63">EJ19+EJ20-EJ21</f>
        <v>#DIV/0!</v>
      </c>
      <c r="EK22" s="9" t="e">
        <f t="shared" ca="1" si="63"/>
        <v>#DIV/0!</v>
      </c>
      <c r="EL22" s="9" t="e">
        <f t="shared" ca="1" si="63"/>
        <v>#DIV/0!</v>
      </c>
      <c r="EM22" s="9" t="e">
        <f t="shared" ca="1" si="63"/>
        <v>#DIV/0!</v>
      </c>
      <c r="EN22" s="9" t="e">
        <f t="shared" ca="1" si="63"/>
        <v>#DIV/0!</v>
      </c>
      <c r="EO22" s="9" t="e">
        <f t="shared" ref="EO22:GZ22" ca="1" si="64">EO19+EO20-EO21</f>
        <v>#DIV/0!</v>
      </c>
      <c r="EP22" s="9" t="e">
        <f t="shared" ca="1" si="64"/>
        <v>#DIV/0!</v>
      </c>
      <c r="EQ22" s="9" t="e">
        <f t="shared" ca="1" si="64"/>
        <v>#DIV/0!</v>
      </c>
      <c r="ER22" s="9" t="e">
        <f t="shared" ca="1" si="64"/>
        <v>#DIV/0!</v>
      </c>
      <c r="ES22" s="9" t="e">
        <f t="shared" ca="1" si="64"/>
        <v>#DIV/0!</v>
      </c>
      <c r="ET22" s="9" t="e">
        <f t="shared" ca="1" si="64"/>
        <v>#DIV/0!</v>
      </c>
      <c r="EU22" s="9" t="e">
        <f t="shared" ca="1" si="64"/>
        <v>#DIV/0!</v>
      </c>
      <c r="EV22" s="9" t="e">
        <f t="shared" ca="1" si="64"/>
        <v>#DIV/0!</v>
      </c>
      <c r="EW22" s="9" t="e">
        <f t="shared" ca="1" si="64"/>
        <v>#DIV/0!</v>
      </c>
      <c r="EX22" s="9" t="e">
        <f t="shared" ca="1" si="64"/>
        <v>#DIV/0!</v>
      </c>
      <c r="EY22" s="9" t="e">
        <f t="shared" ca="1" si="64"/>
        <v>#DIV/0!</v>
      </c>
      <c r="EZ22" s="9" t="e">
        <f t="shared" ca="1" si="64"/>
        <v>#DIV/0!</v>
      </c>
      <c r="FA22" s="9" t="e">
        <f t="shared" ca="1" si="64"/>
        <v>#DIV/0!</v>
      </c>
      <c r="FB22" s="9" t="e">
        <f t="shared" ca="1" si="64"/>
        <v>#DIV/0!</v>
      </c>
      <c r="FC22" s="9" t="e">
        <f t="shared" ca="1" si="64"/>
        <v>#DIV/0!</v>
      </c>
      <c r="FD22" s="9" t="e">
        <f t="shared" ca="1" si="64"/>
        <v>#DIV/0!</v>
      </c>
      <c r="FE22" s="9" t="e">
        <f t="shared" ca="1" si="64"/>
        <v>#DIV/0!</v>
      </c>
      <c r="FF22" s="9" t="e">
        <f t="shared" ca="1" si="64"/>
        <v>#DIV/0!</v>
      </c>
      <c r="FG22" s="9" t="e">
        <f t="shared" ca="1" si="64"/>
        <v>#DIV/0!</v>
      </c>
      <c r="FH22" s="9" t="e">
        <f t="shared" ca="1" si="64"/>
        <v>#DIV/0!</v>
      </c>
      <c r="FI22" s="9" t="e">
        <f t="shared" ca="1" si="64"/>
        <v>#DIV/0!</v>
      </c>
      <c r="FJ22" s="9" t="e">
        <f t="shared" ca="1" si="64"/>
        <v>#DIV/0!</v>
      </c>
      <c r="FK22" s="9" t="e">
        <f t="shared" ca="1" si="64"/>
        <v>#DIV/0!</v>
      </c>
      <c r="FL22" s="9" t="e">
        <f t="shared" ca="1" si="64"/>
        <v>#DIV/0!</v>
      </c>
      <c r="FM22" s="9" t="e">
        <f t="shared" ca="1" si="64"/>
        <v>#DIV/0!</v>
      </c>
      <c r="FN22" s="9" t="e">
        <f t="shared" ca="1" si="64"/>
        <v>#DIV/0!</v>
      </c>
      <c r="FO22" s="9" t="e">
        <f t="shared" ca="1" si="64"/>
        <v>#DIV/0!</v>
      </c>
      <c r="FP22" s="9" t="e">
        <f t="shared" ca="1" si="64"/>
        <v>#DIV/0!</v>
      </c>
      <c r="FQ22" s="9" t="e">
        <f t="shared" ca="1" si="64"/>
        <v>#DIV/0!</v>
      </c>
      <c r="FR22" s="9" t="e">
        <f t="shared" ca="1" si="64"/>
        <v>#DIV/0!</v>
      </c>
      <c r="FS22" s="9" t="e">
        <f t="shared" ca="1" si="64"/>
        <v>#DIV/0!</v>
      </c>
      <c r="FT22" s="9" t="e">
        <f t="shared" ca="1" si="64"/>
        <v>#DIV/0!</v>
      </c>
      <c r="FU22" s="9" t="e">
        <f t="shared" ca="1" si="64"/>
        <v>#DIV/0!</v>
      </c>
      <c r="FV22" s="9" t="e">
        <f t="shared" ca="1" si="64"/>
        <v>#DIV/0!</v>
      </c>
      <c r="FW22" s="9" t="e">
        <f t="shared" ca="1" si="64"/>
        <v>#DIV/0!</v>
      </c>
      <c r="FX22" s="9" t="e">
        <f t="shared" ca="1" si="64"/>
        <v>#DIV/0!</v>
      </c>
      <c r="FY22" s="9" t="e">
        <f t="shared" ca="1" si="64"/>
        <v>#DIV/0!</v>
      </c>
      <c r="FZ22" s="9" t="e">
        <f t="shared" ca="1" si="64"/>
        <v>#DIV/0!</v>
      </c>
      <c r="GA22" s="9" t="e">
        <f t="shared" ca="1" si="64"/>
        <v>#DIV/0!</v>
      </c>
      <c r="GB22" s="9" t="e">
        <f t="shared" ca="1" si="64"/>
        <v>#DIV/0!</v>
      </c>
      <c r="GC22" s="9" t="e">
        <f t="shared" ca="1" si="64"/>
        <v>#DIV/0!</v>
      </c>
      <c r="GD22" s="9" t="e">
        <f t="shared" ca="1" si="64"/>
        <v>#DIV/0!</v>
      </c>
      <c r="GE22" s="9" t="e">
        <f t="shared" ca="1" si="64"/>
        <v>#DIV/0!</v>
      </c>
      <c r="GF22" s="9" t="e">
        <f t="shared" ca="1" si="64"/>
        <v>#DIV/0!</v>
      </c>
      <c r="GG22" s="9" t="e">
        <f t="shared" ca="1" si="64"/>
        <v>#DIV/0!</v>
      </c>
      <c r="GH22" s="9" t="e">
        <f t="shared" ca="1" si="64"/>
        <v>#DIV/0!</v>
      </c>
      <c r="GI22" s="9" t="e">
        <f t="shared" ca="1" si="64"/>
        <v>#DIV/0!</v>
      </c>
      <c r="GJ22" s="9" t="e">
        <f t="shared" ca="1" si="64"/>
        <v>#DIV/0!</v>
      </c>
      <c r="GK22" s="9" t="e">
        <f t="shared" ca="1" si="64"/>
        <v>#DIV/0!</v>
      </c>
      <c r="GL22" s="9" t="e">
        <f t="shared" ca="1" si="64"/>
        <v>#DIV/0!</v>
      </c>
      <c r="GM22" s="9" t="e">
        <f t="shared" ca="1" si="64"/>
        <v>#DIV/0!</v>
      </c>
      <c r="GN22" s="9" t="e">
        <f t="shared" ca="1" si="64"/>
        <v>#DIV/0!</v>
      </c>
      <c r="GO22" s="9" t="e">
        <f t="shared" ca="1" si="64"/>
        <v>#DIV/0!</v>
      </c>
      <c r="GP22" s="9" t="e">
        <f t="shared" ca="1" si="64"/>
        <v>#DIV/0!</v>
      </c>
      <c r="GQ22" s="9" t="e">
        <f t="shared" ca="1" si="64"/>
        <v>#DIV/0!</v>
      </c>
      <c r="GR22" s="9" t="e">
        <f t="shared" ca="1" si="64"/>
        <v>#DIV/0!</v>
      </c>
      <c r="GS22" s="9" t="e">
        <f t="shared" ca="1" si="64"/>
        <v>#DIV/0!</v>
      </c>
      <c r="GT22" s="9" t="e">
        <f t="shared" ca="1" si="64"/>
        <v>#DIV/0!</v>
      </c>
      <c r="GU22" s="9" t="e">
        <f t="shared" ca="1" si="64"/>
        <v>#DIV/0!</v>
      </c>
      <c r="GV22" s="9" t="e">
        <f t="shared" ca="1" si="64"/>
        <v>#DIV/0!</v>
      </c>
      <c r="GW22" s="9" t="e">
        <f t="shared" ca="1" si="64"/>
        <v>#DIV/0!</v>
      </c>
      <c r="GX22" s="9" t="e">
        <f t="shared" ca="1" si="64"/>
        <v>#DIV/0!</v>
      </c>
      <c r="GY22" s="9" t="e">
        <f t="shared" ca="1" si="64"/>
        <v>#DIV/0!</v>
      </c>
      <c r="GZ22" s="9" t="e">
        <f t="shared" ca="1" si="64"/>
        <v>#DIV/0!</v>
      </c>
      <c r="HA22" s="9" t="e">
        <f t="shared" ref="HA22:JL22" ca="1" si="65">HA19+HA20-HA21</f>
        <v>#DIV/0!</v>
      </c>
      <c r="HB22" s="9" t="e">
        <f t="shared" ca="1" si="65"/>
        <v>#DIV/0!</v>
      </c>
      <c r="HC22" s="9" t="e">
        <f t="shared" ca="1" si="65"/>
        <v>#DIV/0!</v>
      </c>
      <c r="HD22" s="9" t="e">
        <f t="shared" ca="1" si="65"/>
        <v>#DIV/0!</v>
      </c>
      <c r="HE22" s="9" t="e">
        <f t="shared" ca="1" si="65"/>
        <v>#DIV/0!</v>
      </c>
      <c r="HF22" s="9" t="e">
        <f t="shared" ca="1" si="65"/>
        <v>#DIV/0!</v>
      </c>
      <c r="HG22" s="9" t="e">
        <f t="shared" ca="1" si="65"/>
        <v>#DIV/0!</v>
      </c>
      <c r="HH22" s="9" t="e">
        <f t="shared" ca="1" si="65"/>
        <v>#DIV/0!</v>
      </c>
      <c r="HI22" s="9" t="e">
        <f t="shared" ca="1" si="65"/>
        <v>#DIV/0!</v>
      </c>
      <c r="HJ22" s="9" t="e">
        <f t="shared" ca="1" si="65"/>
        <v>#DIV/0!</v>
      </c>
      <c r="HK22" s="9" t="e">
        <f t="shared" ca="1" si="65"/>
        <v>#DIV/0!</v>
      </c>
      <c r="HL22" s="9" t="e">
        <f t="shared" ca="1" si="65"/>
        <v>#DIV/0!</v>
      </c>
      <c r="HM22" s="9" t="e">
        <f t="shared" ca="1" si="65"/>
        <v>#DIV/0!</v>
      </c>
      <c r="HN22" s="9" t="e">
        <f t="shared" ca="1" si="65"/>
        <v>#DIV/0!</v>
      </c>
      <c r="HO22" s="9" t="e">
        <f t="shared" ca="1" si="65"/>
        <v>#DIV/0!</v>
      </c>
      <c r="HP22" s="9" t="e">
        <f t="shared" ca="1" si="65"/>
        <v>#DIV/0!</v>
      </c>
      <c r="HQ22" s="9" t="e">
        <f t="shared" ca="1" si="65"/>
        <v>#DIV/0!</v>
      </c>
      <c r="HR22" s="9" t="e">
        <f t="shared" ca="1" si="65"/>
        <v>#DIV/0!</v>
      </c>
      <c r="HS22" s="9" t="e">
        <f t="shared" ca="1" si="65"/>
        <v>#DIV/0!</v>
      </c>
      <c r="HT22" s="9" t="e">
        <f t="shared" ca="1" si="65"/>
        <v>#DIV/0!</v>
      </c>
      <c r="HU22" s="9" t="e">
        <f t="shared" ca="1" si="65"/>
        <v>#DIV/0!</v>
      </c>
      <c r="HV22" s="9" t="e">
        <f t="shared" ca="1" si="65"/>
        <v>#DIV/0!</v>
      </c>
      <c r="HW22" s="9" t="e">
        <f t="shared" ca="1" si="65"/>
        <v>#DIV/0!</v>
      </c>
      <c r="HX22" s="9" t="e">
        <f t="shared" ca="1" si="65"/>
        <v>#DIV/0!</v>
      </c>
      <c r="HY22" s="9" t="e">
        <f t="shared" ca="1" si="65"/>
        <v>#DIV/0!</v>
      </c>
      <c r="HZ22" s="9" t="e">
        <f t="shared" ca="1" si="65"/>
        <v>#DIV/0!</v>
      </c>
      <c r="IA22" s="9" t="e">
        <f t="shared" ca="1" si="65"/>
        <v>#DIV/0!</v>
      </c>
      <c r="IB22" s="9" t="e">
        <f t="shared" ca="1" si="65"/>
        <v>#DIV/0!</v>
      </c>
      <c r="IC22" s="9" t="e">
        <f t="shared" ca="1" si="65"/>
        <v>#DIV/0!</v>
      </c>
      <c r="ID22" s="9" t="e">
        <f t="shared" ca="1" si="65"/>
        <v>#DIV/0!</v>
      </c>
      <c r="IE22" s="9" t="e">
        <f t="shared" ca="1" si="65"/>
        <v>#DIV/0!</v>
      </c>
      <c r="IF22" s="9" t="e">
        <f t="shared" ca="1" si="65"/>
        <v>#DIV/0!</v>
      </c>
      <c r="IG22" s="9" t="e">
        <f t="shared" ca="1" si="65"/>
        <v>#DIV/0!</v>
      </c>
      <c r="IH22" s="9" t="e">
        <f t="shared" ca="1" si="65"/>
        <v>#DIV/0!</v>
      </c>
      <c r="II22" s="9" t="e">
        <f t="shared" ca="1" si="65"/>
        <v>#DIV/0!</v>
      </c>
      <c r="IJ22" s="9" t="e">
        <f t="shared" ca="1" si="65"/>
        <v>#DIV/0!</v>
      </c>
      <c r="IK22" s="9" t="e">
        <f t="shared" ca="1" si="65"/>
        <v>#DIV/0!</v>
      </c>
      <c r="IL22" s="9" t="e">
        <f t="shared" ca="1" si="65"/>
        <v>#DIV/0!</v>
      </c>
      <c r="IM22" s="9" t="e">
        <f t="shared" ca="1" si="65"/>
        <v>#DIV/0!</v>
      </c>
      <c r="IN22" s="9" t="e">
        <f t="shared" ca="1" si="65"/>
        <v>#DIV/0!</v>
      </c>
      <c r="IO22" s="9" t="e">
        <f t="shared" ca="1" si="65"/>
        <v>#DIV/0!</v>
      </c>
      <c r="IP22" s="9" t="e">
        <f t="shared" ca="1" si="65"/>
        <v>#DIV/0!</v>
      </c>
      <c r="IQ22" s="9" t="e">
        <f t="shared" ca="1" si="65"/>
        <v>#DIV/0!</v>
      </c>
      <c r="IR22" s="9" t="e">
        <f t="shared" ca="1" si="65"/>
        <v>#DIV/0!</v>
      </c>
      <c r="IS22" s="9" t="e">
        <f t="shared" ca="1" si="65"/>
        <v>#DIV/0!</v>
      </c>
      <c r="IT22" s="9" t="e">
        <f t="shared" ca="1" si="65"/>
        <v>#DIV/0!</v>
      </c>
      <c r="IU22" s="9" t="e">
        <f t="shared" ca="1" si="65"/>
        <v>#DIV/0!</v>
      </c>
      <c r="IV22" s="9" t="e">
        <f t="shared" ca="1" si="65"/>
        <v>#DIV/0!</v>
      </c>
      <c r="IW22" s="9" t="e">
        <f t="shared" ca="1" si="65"/>
        <v>#DIV/0!</v>
      </c>
      <c r="IX22" s="9" t="e">
        <f t="shared" ca="1" si="65"/>
        <v>#DIV/0!</v>
      </c>
      <c r="IY22" s="9" t="e">
        <f t="shared" ca="1" si="65"/>
        <v>#DIV/0!</v>
      </c>
      <c r="IZ22" s="9" t="e">
        <f t="shared" ca="1" si="65"/>
        <v>#DIV/0!</v>
      </c>
      <c r="JA22" s="9" t="e">
        <f t="shared" ca="1" si="65"/>
        <v>#DIV/0!</v>
      </c>
      <c r="JB22" s="9" t="e">
        <f t="shared" ca="1" si="65"/>
        <v>#DIV/0!</v>
      </c>
      <c r="JC22" s="9" t="e">
        <f t="shared" ca="1" si="65"/>
        <v>#DIV/0!</v>
      </c>
      <c r="JD22" s="9" t="e">
        <f t="shared" ca="1" si="65"/>
        <v>#DIV/0!</v>
      </c>
      <c r="JE22" s="9" t="e">
        <f t="shared" ca="1" si="65"/>
        <v>#DIV/0!</v>
      </c>
      <c r="JF22" s="9" t="e">
        <f t="shared" ca="1" si="65"/>
        <v>#DIV/0!</v>
      </c>
      <c r="JG22" s="9" t="e">
        <f t="shared" ca="1" si="65"/>
        <v>#DIV/0!</v>
      </c>
      <c r="JH22" s="9" t="e">
        <f t="shared" ca="1" si="65"/>
        <v>#DIV/0!</v>
      </c>
      <c r="JI22" s="9" t="e">
        <f t="shared" ca="1" si="65"/>
        <v>#DIV/0!</v>
      </c>
      <c r="JJ22" s="9" t="e">
        <f t="shared" ca="1" si="65"/>
        <v>#DIV/0!</v>
      </c>
      <c r="JK22" s="9" t="e">
        <f t="shared" ca="1" si="65"/>
        <v>#DIV/0!</v>
      </c>
      <c r="JL22" s="9" t="e">
        <f t="shared" ca="1" si="65"/>
        <v>#DIV/0!</v>
      </c>
      <c r="JM22" s="9" t="e">
        <f t="shared" ref="JM22:JU22" ca="1" si="66">JM19+JM20-JM21</f>
        <v>#DIV/0!</v>
      </c>
      <c r="JN22" s="9" t="e">
        <f t="shared" ca="1" si="66"/>
        <v>#DIV/0!</v>
      </c>
      <c r="JO22" s="9" t="e">
        <f t="shared" ca="1" si="66"/>
        <v>#DIV/0!</v>
      </c>
      <c r="JP22" s="9" t="e">
        <f t="shared" ca="1" si="66"/>
        <v>#DIV/0!</v>
      </c>
      <c r="JQ22" s="9" t="e">
        <f t="shared" ca="1" si="66"/>
        <v>#DIV/0!</v>
      </c>
      <c r="JR22" s="9" t="e">
        <f t="shared" ca="1" si="66"/>
        <v>#DIV/0!</v>
      </c>
      <c r="JS22" s="9" t="e">
        <f t="shared" ca="1" si="66"/>
        <v>#DIV/0!</v>
      </c>
      <c r="JT22" s="9" t="e">
        <f t="shared" ca="1" si="66"/>
        <v>#DIV/0!</v>
      </c>
      <c r="JU22" s="9" t="e">
        <f t="shared" ca="1" si="66"/>
        <v>#DIV/0!</v>
      </c>
    </row>
    <row r="23" spans="1:281">
      <c r="A23" t="s">
        <v>252</v>
      </c>
      <c r="D23" s="9">
        <f>IF(D1&gt;Assum!$B$107,(D19+D20)*Assum!$B$105*D$4/D$5,0)</f>
        <v>0</v>
      </c>
      <c r="E23" s="9">
        <f>IF(E1&gt;Assum!$B$107,(E19+E20)*Assum!$B$105*E$4/E$5,0)</f>
        <v>0</v>
      </c>
      <c r="F23" s="9">
        <f>IF(F1&gt;Assum!$B$107,(F19+F20)*Assum!$B$105*F$4/F$5,0)</f>
        <v>0</v>
      </c>
      <c r="G23" s="9">
        <f>IF(G1&gt;Assum!$B$107,(G19+G20)*Assum!$B$105*G$4/G$5,0)</f>
        <v>0</v>
      </c>
      <c r="H23" s="9">
        <f>IF(H1&gt;Assum!$B$107,(H19+H20)*Assum!$B$105*H$4/H$5,0)</f>
        <v>0</v>
      </c>
      <c r="I23" s="9">
        <f>IF(I1&gt;Assum!$B$107,(I19+I20)*Assum!$B$105*I$4/I$5,0)</f>
        <v>0</v>
      </c>
      <c r="J23" s="9">
        <f>IF(J1&gt;Assum!$B$107,(J19+J20)*Assum!$B$105*J$4/J$5,0)</f>
        <v>0</v>
      </c>
      <c r="K23" s="9">
        <f>IF(K1&gt;Assum!$B$107,(K19+K20)*Assum!$B$105*K$4/K$5,0)</f>
        <v>0</v>
      </c>
      <c r="L23" s="9">
        <f>IF(L1&gt;Assum!$B$107,(L19+L20)*Assum!$B$105*L$4/L$5,0)</f>
        <v>0</v>
      </c>
      <c r="M23" s="9">
        <f>IF(M1&gt;Assum!$B$107,(M19+M20)*Assum!$B$105*M$4/M$5,0)</f>
        <v>0</v>
      </c>
      <c r="N23" s="9">
        <f>IF(N1&gt;Assum!$B$107,(N19+N20)*Assum!$B$105*N$4/N$5,0)</f>
        <v>0</v>
      </c>
      <c r="O23" s="9">
        <f>IF(O1&gt;Assum!$B$107,(O19+O20)*Assum!$B$105*O$4/O$5,0)</f>
        <v>0</v>
      </c>
      <c r="P23" s="9">
        <f>IF(P1&gt;Assum!$B$107,(P19+P20)*Assum!$B$105*P$4/P$5,0)</f>
        <v>1.3824066485107505</v>
      </c>
      <c r="Q23" s="9">
        <f>IF(Q1&gt;Assum!$B$107,(Q19+Q20)*Assum!$B$105*Q$4/Q$5,0)</f>
        <v>1.6079025416114553E-2</v>
      </c>
      <c r="R23" s="9">
        <f>IF(R1&gt;Assum!$B$107,(R19+R20)*Assum!$B$105*R$4/R$5,0)</f>
        <v>1.8098525351439336E-4</v>
      </c>
      <c r="S23" s="9">
        <f>IF(S1&gt;Assum!$B$107,(S19+S20)*Assum!$B$106*S$4/S$5,0)</f>
        <v>1.6908485328330995E-6</v>
      </c>
      <c r="T23" s="9">
        <f>IF(T1&gt;Assum!$B$107,(T19+T20)*Assum!$B$106*T$4/T$5,0)</f>
        <v>0</v>
      </c>
      <c r="U23" s="9">
        <f>IF(U1&gt;Assum!$B$107,(U19+U20)*Assum!$B$106*U$4/U$5,0)</f>
        <v>0</v>
      </c>
      <c r="V23" s="9">
        <f>IF(V1&gt;Assum!$B$107,(V19+V20)*Assum!$B$106*V$4/V$5,0)</f>
        <v>0</v>
      </c>
      <c r="W23" s="9">
        <f>IF(W1&gt;Assum!$B$107,(W19+W20)*Assum!$B$106*W$4/W$5,0)</f>
        <v>0</v>
      </c>
      <c r="X23" s="9">
        <f>IF(X1&gt;Assum!$B$107,(X19+X20)*Assum!$B$106*X$4/X$5,0)</f>
        <v>0</v>
      </c>
      <c r="Y23" s="9">
        <f>IF(Y1&gt;Assum!$B$107,(Y19+Y20)*Assum!$B$106*Y$4/Y$5,0)</f>
        <v>0</v>
      </c>
      <c r="Z23" s="9">
        <f>IF(Z1&gt;Assum!$B$107,(Z19+Z20)*Assum!$B$106*Z$4/Z$5,0)</f>
        <v>0</v>
      </c>
      <c r="AA23" s="9">
        <f>IF(AA1&gt;Assum!$B$107,(AA19+AA20)*Assum!$B$106*AA$4/AA$5,0)</f>
        <v>0</v>
      </c>
      <c r="AB23" s="9">
        <f>IF(AB1&gt;Assum!$B$107,(AB19+AB20)*Assum!$B$106*AB$4/AB$5,0)</f>
        <v>0</v>
      </c>
      <c r="AC23" s="9">
        <f>IF(AC1&gt;Assum!$B$107,(AC19+AC20)*Assum!$B$106*AC$4/AC$5,0)</f>
        <v>0</v>
      </c>
      <c r="AD23" s="9">
        <f>IF(AD1&gt;Assum!$B$107,(AD19+AD20)*Assum!$B$106*AD$4/AD$5,0)</f>
        <v>0</v>
      </c>
      <c r="AE23" s="9">
        <f>IF(AE1&gt;Assum!$B$107,(AE19+AE20)*Assum!$B$106*AE$4/AE$5,0)</f>
        <v>0</v>
      </c>
      <c r="AF23" s="9">
        <f>IF(AF1&gt;Assum!$B$107,(AF19+AF20)*Assum!$B$106*AF$4/AF$5,0)</f>
        <v>0</v>
      </c>
      <c r="AG23" s="9">
        <f>IF(AG1&gt;Assum!$B$107,(AG19+AG20)*Assum!$B$106*AG$4/AG$5,0)</f>
        <v>0</v>
      </c>
      <c r="AH23" s="9">
        <f>IF(AH1&gt;Assum!$B$107,(AH19+AH20)*Assum!$B$106*AH$4/AH$5,0)</f>
        <v>0</v>
      </c>
      <c r="AI23" s="9">
        <f>IF(AI1&gt;Assum!$B$107,(AI19+AI20)*Assum!$B$106*AI$4/AI$5,0)</f>
        <v>0</v>
      </c>
      <c r="AJ23" s="9">
        <f>IF(AJ1&gt;Assum!$B$107,(AJ19+AJ20)*Assum!$B$106*AJ$4/AJ$5,0)</f>
        <v>0</v>
      </c>
      <c r="AK23" s="9">
        <f>IF(AK1&gt;Assum!$B$107,(AK19+AK20)*Assum!$B$106*AK$4/AK$5,0)</f>
        <v>0</v>
      </c>
      <c r="AL23" s="9">
        <f>IF(AL1&gt;Assum!$B$107,(AL19+AL20)*Assum!$B$106*AL$4/AL$5,0)</f>
        <v>0</v>
      </c>
      <c r="AM23" s="9">
        <f>IF(AM1&gt;Assum!$B$107,(AM19+AM20)*Assum!$B$106*AM$4/AM$5,0)</f>
        <v>0</v>
      </c>
      <c r="AN23" s="9">
        <f>IF(AN1&gt;Assum!$B$107,(AN19+AN20)*Assum!$B$106*AN$4/AN$5,0)</f>
        <v>0</v>
      </c>
      <c r="AO23" s="9">
        <f>IF(AO1&gt;Assum!$B$107,(AO19+AO20)*Assum!$B$106*AO$4/AO$5,0)</f>
        <v>0</v>
      </c>
      <c r="AP23" s="9">
        <f>IF(AP1&gt;Assum!$B$107,(AP19+AP20)*Assum!$B$106*AP$4/AP$5,0)</f>
        <v>0</v>
      </c>
      <c r="AQ23" s="9">
        <f>IF(AQ1&gt;Assum!$B$107,(AQ19+AQ20)*Assum!$B$106*AQ$4/AQ$5,0)</f>
        <v>0</v>
      </c>
      <c r="AR23" s="9">
        <f>IF(AR1&gt;Assum!$B$107,(AR19+AR20)*Assum!$B$106*AR$4/AR$5,0)</f>
        <v>0</v>
      </c>
      <c r="AS23" s="9">
        <f>IF(AS1&gt;Assum!$B$107,(AS19+AS20)*Assum!$B$106*AS$4/AS$5,0)</f>
        <v>0</v>
      </c>
      <c r="AT23" s="9">
        <f>IF(AT1&gt;Assum!$B$107,(AT19+AT20)*Assum!$B$106*AT$4/AT$5,0)</f>
        <v>0</v>
      </c>
      <c r="AU23" s="9">
        <f>IF(AU1&gt;Assum!$B$107,(AU19+AU20)*Assum!$B$106*AU$4/AU$5,0)</f>
        <v>0</v>
      </c>
      <c r="AV23" s="9">
        <f>IF(AV1&gt;Assum!$B$107,(AV19+AV20)*Assum!$B$106*AV$4/AV$5,0)</f>
        <v>0</v>
      </c>
      <c r="AW23" s="9">
        <f>IF(AW1&gt;Assum!$B$107,(AW19+AW20)*Assum!$B$106*AW$4/AW$5,0)</f>
        <v>0</v>
      </c>
      <c r="AX23" s="9">
        <f>IF(AX1&gt;Assum!$B$107,(AX19+AX20)*Assum!$B$106*AX$4/AX$5,0)</f>
        <v>0</v>
      </c>
      <c r="AY23" s="9">
        <f>IF(AY1&gt;Assum!$B$107,(AY19+AY20)*Assum!$B$106*AY$4/AY$5,0)</f>
        <v>0</v>
      </c>
      <c r="AZ23" s="9">
        <f>IF(AZ1&gt;Assum!$B$107,(AZ19+AZ20)*Assum!$B$106*AZ$4/AZ$5,0)</f>
        <v>0</v>
      </c>
      <c r="BA23" s="9">
        <f>IF(BA1&gt;Assum!$B$107,(BA19+BA20)*Assum!$B$106*BA$4/BA$5,0)</f>
        <v>0</v>
      </c>
      <c r="BB23" s="9">
        <f>IF(BB1&gt;Assum!$B$107,(BB19+BB20)*Assum!$B$106*BB$4/BB$5,0)</f>
        <v>0</v>
      </c>
      <c r="BC23" s="9">
        <f>IF(BC1&gt;Assum!$B$107,(BC19+BC20)*Assum!$B$106*BC$4/BC$5,0)</f>
        <v>0</v>
      </c>
      <c r="BD23" s="9">
        <f>IF(BD1&gt;Assum!$B$107,(BD19+BD20)*Assum!$B$106*BD$4/BD$5,0)</f>
        <v>0</v>
      </c>
      <c r="BE23" s="9">
        <f>IF(BE1&gt;Assum!$B$107,(BE19+BE20)*Assum!$B$106*BE$4/BE$5,0)</f>
        <v>0</v>
      </c>
      <c r="BF23" s="9">
        <f>IF(BF1&gt;Assum!$B$107,(BF19+BF20)*Assum!$B$106*BF$4/BF$5,0)</f>
        <v>0</v>
      </c>
      <c r="BG23" s="9">
        <f>IF(BG1&gt;Assum!$B$107,(BG19+BG20)*Assum!$B$106*BG$4/BG$5,0)</f>
        <v>0</v>
      </c>
      <c r="BH23" s="9">
        <f>IF(BH1&gt;Assum!$B$107,(BH19+BH20)*Assum!$B$106*BH$4/BH$5,0)</f>
        <v>0</v>
      </c>
      <c r="BI23" s="9">
        <f>IF(BI1&gt;Assum!$B$107,(BI19+BI20)*Assum!$B$106*BI$4/BI$5,0)</f>
        <v>0</v>
      </c>
      <c r="BJ23" s="9">
        <f>IF(BJ1&gt;Assum!$B$107,(BJ19+BJ20)*Assum!$B$106*BJ$4/BJ$5,0)</f>
        <v>0</v>
      </c>
      <c r="BK23" s="9">
        <f>IF(BK1&gt;Assum!$B$107,(BK19+BK20)*Assum!$B$106*BK$4/BK$5,0)</f>
        <v>0</v>
      </c>
      <c r="BL23" s="9">
        <f>IF(BL1&gt;Assum!$B$107,(BL19+BL20)*Assum!$B$106*BL$4/BL$5,0)</f>
        <v>0</v>
      </c>
      <c r="BM23" s="9">
        <f>IF(BM1&gt;Assum!$B$107,(BM19+BM20)*Assum!$B$106*BM$4/BM$5,0)</f>
        <v>0</v>
      </c>
      <c r="BN23" s="9">
        <f>IF(BN1&gt;Assum!$B$107,(BN19+BN20)*Assum!$B$106*BN$4/BN$5,0)</f>
        <v>0</v>
      </c>
      <c r="BO23" s="9">
        <f>IF(BO1&gt;Assum!$B$107,(BO19+BO20)*Assum!$B$106*BO$4/BO$5,0)</f>
        <v>0</v>
      </c>
      <c r="BP23" s="9">
        <f>IF(BP1&gt;Assum!$B$107,(BP19+BP20)*Assum!$B$106*BP$4/BP$5,0)</f>
        <v>0</v>
      </c>
      <c r="BQ23" s="9">
        <f>IF(BQ1&gt;Assum!$B$107,(BQ19+BQ20)*Assum!$B$106*BQ$4/BQ$5,0)</f>
        <v>0</v>
      </c>
      <c r="BR23" s="9">
        <f>IF(BR1&gt;Assum!$B$107,(BR19+BR20)*Assum!$B$106*BR$4/BR$5,0)</f>
        <v>0</v>
      </c>
      <c r="BS23" s="9">
        <f>IF(BS1&gt;Assum!$B$107,(BS19+BS20)*Assum!$B$106*BS$4/BS$5,0)</f>
        <v>0</v>
      </c>
      <c r="BT23" s="9">
        <f>IF(BT1&gt;Assum!$B$107,(BT19+BT20)*Assum!$B$106*BT$4/BT$5,0)</f>
        <v>0</v>
      </c>
      <c r="BU23" s="9">
        <f>IF(BU1&gt;Assum!$B$107,(BU19+BU20)*Assum!$B$106*BU$4/BU$5,0)</f>
        <v>0</v>
      </c>
      <c r="BV23" s="9">
        <f>IF(BV1&gt;Assum!$B$107,(BV19+BV20)*Assum!$B$106*BV$4/BV$5,0)</f>
        <v>0</v>
      </c>
      <c r="BW23" s="9">
        <f>IF(BW1&gt;Assum!$B$107,(BW19+BW20)*Assum!$B$106*BW$4/BW$5,0)</f>
        <v>10.559228493150686</v>
      </c>
      <c r="BX23" s="9" t="e">
        <f ca="1">IF(BX1&gt;Assum!$B$107,(BX19+BX20)*Assum!$B$106*BX$4/BX$5,0)</f>
        <v>#DIV/0!</v>
      </c>
      <c r="BY23" s="9" t="e">
        <f ca="1">IF(BY1&gt;Assum!$B$107,(BY19+BY20)*Assum!$B$106*BY$4/BY$5,0)</f>
        <v>#DIV/0!</v>
      </c>
      <c r="BZ23" s="9" t="e">
        <f ca="1">IF(BZ1&gt;Assum!$B$107,(BZ19+BZ20)*Assum!$B$106*BZ$4/BZ$5,0)</f>
        <v>#DIV/0!</v>
      </c>
      <c r="CA23" s="9" t="e">
        <f ca="1">IF(CA1&gt;Assum!$B$107,(CA19+CA20)*Assum!$B$106*CA$4/CA$5,0)</f>
        <v>#DIV/0!</v>
      </c>
      <c r="CB23" s="9" t="e">
        <f ca="1">IF(CB1&gt;Assum!$B$107,(CB19+CB20)*Assum!$B$106*CB$4/CB$5,0)</f>
        <v>#DIV/0!</v>
      </c>
      <c r="CC23" s="9" t="e">
        <f ca="1">IF(CC1&gt;Assum!$B$107,(CC19+CC20)*Assum!$B$106*CC$4/CC$5,0)</f>
        <v>#DIV/0!</v>
      </c>
      <c r="CD23" s="9" t="e">
        <f ca="1">IF(CD1&gt;Assum!$B$107,(CD19+CD20)*Assum!$B$106*CD$4/CD$5,0)</f>
        <v>#DIV/0!</v>
      </c>
      <c r="CE23" s="9" t="e">
        <f ca="1">IF(CE1&gt;Assum!$B$107,(CE19+CE20)*Assum!$B$106*CE$4/CE$5,0)</f>
        <v>#DIV/0!</v>
      </c>
      <c r="CF23" s="9" t="e">
        <f ca="1">IF(CF1&gt;Assum!$B$107,(CF19+CF20)*Assum!$B$106*CF$4/CF$5,0)</f>
        <v>#DIV/0!</v>
      </c>
      <c r="CG23" s="9" t="e">
        <f ca="1">IF(CG1&gt;Assum!$B$107,(CG19+CG20)*Assum!$B$106*CG$4/CG$5,0)</f>
        <v>#DIV/0!</v>
      </c>
      <c r="CH23" s="9" t="e">
        <f ca="1">IF(CH1&gt;Assum!$B$107,(CH19+CH20)*Assum!$B$106*CH$4/CH$5,0)</f>
        <v>#DIV/0!</v>
      </c>
      <c r="CI23" s="9" t="e">
        <f ca="1">IF(CI1&gt;Assum!$B$107,(CI19+CI20)*Assum!$B$106*CI$4/CI$5,0)</f>
        <v>#DIV/0!</v>
      </c>
      <c r="CJ23" s="9" t="e">
        <f ca="1">IF(CJ1&gt;Assum!$B$107,(CJ19+CJ20)*Assum!$B$106*CJ$4/CJ$5,0)</f>
        <v>#DIV/0!</v>
      </c>
      <c r="CK23" s="9" t="e">
        <f ca="1">IF(CK1&gt;Assum!$B$107,(CK19+CK20)*Assum!$B$106*CK$4/CK$5,0)</f>
        <v>#DIV/0!</v>
      </c>
      <c r="CL23" s="9" t="e">
        <f ca="1">IF(CL1&gt;Assum!$B$107,(CL19+CL20)*Assum!$B$106*CL$4/CL$5,0)</f>
        <v>#DIV/0!</v>
      </c>
      <c r="CM23" s="9" t="e">
        <f ca="1">IF(CM1&gt;Assum!$B$107,(CM19+CM20)*Assum!$B$106*CM$4/CM$5,0)</f>
        <v>#DIV/0!</v>
      </c>
      <c r="CN23" s="9" t="e">
        <f ca="1">IF(CN1&gt;Assum!$B$107,(CN19+CN20)*Assum!$B$106*CN$4/CN$5,0)</f>
        <v>#DIV/0!</v>
      </c>
      <c r="CO23" s="9" t="e">
        <f ca="1">IF(CO1&gt;Assum!$B$107,(CO19+CO20)*Assum!$B$106*CO$4/CO$5,0)</f>
        <v>#DIV/0!</v>
      </c>
      <c r="CP23" s="9" t="e">
        <f ca="1">IF(CP1&gt;Assum!$B$107,(CP19+CP20)*Assum!$B$106*CP$4/CP$5,0)</f>
        <v>#DIV/0!</v>
      </c>
      <c r="CQ23" s="9" t="e">
        <f ca="1">IF(CQ1&gt;Assum!$B$107,(CQ19+CQ20)*Assum!$B$106*CQ$4/CQ$5,0)</f>
        <v>#DIV/0!</v>
      </c>
      <c r="CR23" s="9" t="e">
        <f ca="1">IF(CR1&gt;Assum!$B$107,(CR19+CR20)*Assum!$B$106*CR$4/CR$5,0)</f>
        <v>#DIV/0!</v>
      </c>
      <c r="CS23" s="9" t="e">
        <f ca="1">IF(CS1&gt;Assum!$B$107,(CS19+CS20)*Assum!$B$106*CS$4/CS$5,0)</f>
        <v>#DIV/0!</v>
      </c>
      <c r="CT23" s="9" t="e">
        <f ca="1">IF(CT1&gt;Assum!$B$107,(CT19+CT20)*Assum!$B$106*CT$4/CT$5,0)</f>
        <v>#DIV/0!</v>
      </c>
      <c r="CU23" s="9" t="e">
        <f ca="1">IF(CU1&gt;Assum!$B$107,(CU19+CU20)*Assum!$B$106*CU$4/CU$5,0)</f>
        <v>#DIV/0!</v>
      </c>
      <c r="CV23" s="9" t="e">
        <f ca="1">IF(CV1&gt;Assum!$B$107,(CV19+CV20)*Assum!$B$106*CV$4/CV$5,0)</f>
        <v>#DIV/0!</v>
      </c>
      <c r="CW23" s="9" t="e">
        <f ca="1">IF(CW1&gt;Assum!$B$107,(CW19+CW20)*Assum!$B$106*CW$4/CW$5,0)</f>
        <v>#DIV/0!</v>
      </c>
      <c r="CX23" s="9" t="e">
        <f ca="1">IF(CX1&gt;Assum!$B$107,(CX19+CX20)*Assum!$B$106*CX$4/CX$5,0)</f>
        <v>#DIV/0!</v>
      </c>
      <c r="CY23" s="9" t="e">
        <f ca="1">IF(CY1&gt;Assum!$B$107,(CY19+CY20)*Assum!$B$106*CY$4/CY$5,0)</f>
        <v>#DIV/0!</v>
      </c>
      <c r="CZ23" s="9" t="e">
        <f ca="1">IF(CZ1&gt;Assum!$B$107,(CZ19+CZ20)*Assum!$B$106*CZ$4/CZ$5,0)</f>
        <v>#DIV/0!</v>
      </c>
      <c r="DA23" s="9" t="e">
        <f ca="1">IF(DA1&gt;Assum!$B$107,(DA19+DA20)*Assum!$B$106*DA$4/DA$5,0)</f>
        <v>#DIV/0!</v>
      </c>
      <c r="DB23" s="9" t="e">
        <f ca="1">IF(DB1&gt;Assum!$B$107,(DB19+DB20)*Assum!$B$106*DB$4/DB$5,0)</f>
        <v>#DIV/0!</v>
      </c>
      <c r="DC23" s="9" t="e">
        <f ca="1">IF(DC1&gt;Assum!$B$107,(DC19+DC20)*Assum!$B$106*DC$4/DC$5,0)</f>
        <v>#DIV/0!</v>
      </c>
      <c r="DD23" s="9" t="e">
        <f ca="1">IF(DD1&gt;Assum!$B$107,(DD19+DD20)*Assum!$B$106*DD$4/DD$5,0)</f>
        <v>#DIV/0!</v>
      </c>
      <c r="DE23" s="9" t="e">
        <f ca="1">IF(DE1&gt;Assum!$B$107,(DE19+DE20)*Assum!$B$106*DE$4/DE$5,0)</f>
        <v>#DIV/0!</v>
      </c>
      <c r="DF23" s="9" t="e">
        <f ca="1">IF(DF1&gt;Assum!$B$107,(DF19+DF20)*Assum!$B$106*DF$4/DF$5,0)</f>
        <v>#DIV/0!</v>
      </c>
      <c r="DG23" s="9" t="e">
        <f ca="1">IF(DG1&gt;Assum!$B$107,(DG19+DG20)*Assum!$B$106*DG$4/DG$5,0)</f>
        <v>#DIV/0!</v>
      </c>
      <c r="DH23" s="9" t="e">
        <f ca="1">IF(DH1&gt;Assum!$B$107,(DH19+DH20)*Assum!$B$106*DH$4/DH$5,0)</f>
        <v>#DIV/0!</v>
      </c>
      <c r="DI23" s="9" t="e">
        <f ca="1">IF(DI1&gt;Assum!$B$107,(DI19+DI20)*Assum!$B$106*DI$4/DI$5,0)</f>
        <v>#DIV/0!</v>
      </c>
      <c r="DJ23" s="9" t="e">
        <f ca="1">IF(DJ1&gt;Assum!$B$107,(DJ19+DJ20)*Assum!$B$106*DJ$4/DJ$5,0)</f>
        <v>#DIV/0!</v>
      </c>
      <c r="DK23" s="9" t="e">
        <f ca="1">IF(DK1&gt;Assum!$B$107,(DK19+DK20)*Assum!$B$106*DK$4/DK$5,0)</f>
        <v>#DIV/0!</v>
      </c>
      <c r="DL23" s="9" t="e">
        <f ca="1">IF(DL1&gt;Assum!$B$107,(DL19+DL20)*Assum!$B$106*DL$4/DL$5,0)</f>
        <v>#DIV/0!</v>
      </c>
      <c r="DM23" s="9" t="e">
        <f ca="1">IF(DM1&gt;Assum!$B$107,(DM19+DM20)*Assum!$B$106*DM$4/DM$5,0)</f>
        <v>#DIV/0!</v>
      </c>
      <c r="DN23" s="9" t="e">
        <f ca="1">IF(DN1&gt;Assum!$B$107,(DN19+DN20)*Assum!$B$106*DN$4/DN$5,0)</f>
        <v>#DIV/0!</v>
      </c>
      <c r="DO23" s="9" t="e">
        <f ca="1">IF(DO1&gt;Assum!$B$107,(DO19+DO20)*Assum!$B$106*DO$4/DO$5,0)</f>
        <v>#DIV/0!</v>
      </c>
      <c r="DP23" s="9" t="e">
        <f ca="1">IF(DP1&gt;Assum!$B$107,(DP19+DP20)*Assum!$B$106*DP$4/DP$5,0)</f>
        <v>#DIV/0!</v>
      </c>
      <c r="DQ23" s="9" t="e">
        <f ca="1">IF(DQ1&gt;Assum!$B$107,(DQ19+DQ20)*Assum!$B$106*DQ$4/DQ$5,0)</f>
        <v>#DIV/0!</v>
      </c>
      <c r="DR23" s="9" t="e">
        <f ca="1">IF(DR1&gt;Assum!$B$107,(DR19+DR20)*Assum!$B$106*DR$4/DR$5,0)</f>
        <v>#DIV/0!</v>
      </c>
      <c r="DS23" s="9" t="e">
        <f ca="1">IF(DS1&gt;Assum!$B$107,(DS19+DS20)*Assum!$B$106*DS$4/DS$5,0)</f>
        <v>#DIV/0!</v>
      </c>
      <c r="DT23" s="9" t="e">
        <f ca="1">IF(DT1&gt;Assum!$B$107,(DT19+DT20)*Assum!$B$106*DT$4/DT$5,0)</f>
        <v>#DIV/0!</v>
      </c>
      <c r="DU23" s="9" t="e">
        <f ca="1">IF(DU1&gt;Assum!$B$107,(DU19+DU20)*Assum!$B$106*DU$4/DU$5,0)</f>
        <v>#DIV/0!</v>
      </c>
      <c r="DV23" s="9" t="e">
        <f ca="1">IF(DV1&gt;Assum!$B$107,(DV19+DV20)*Assum!$B$106*DV$4/DV$5,0)</f>
        <v>#DIV/0!</v>
      </c>
      <c r="DW23" s="9" t="e">
        <f ca="1">IF(DW1&gt;Assum!$B$107,(DW19+DW20)*Assum!$B$106*DW$4/DW$5,0)</f>
        <v>#DIV/0!</v>
      </c>
      <c r="DX23" s="9" t="e">
        <f ca="1">IF(DX1&gt;Assum!$B$107,(DX19+DX20)*Assum!$B$106*DX$4/DX$5,0)</f>
        <v>#DIV/0!</v>
      </c>
      <c r="DY23" s="9" t="e">
        <f ca="1">IF(DY1&gt;Assum!$B$107,(DY19+DY20)*Assum!$B$106*DY$4/DY$5,0)</f>
        <v>#DIV/0!</v>
      </c>
      <c r="DZ23" s="9" t="e">
        <f ca="1">IF(DZ1&gt;Assum!$B$107,(DZ19+DZ20)*Assum!$B$106*DZ$4/DZ$5,0)</f>
        <v>#DIV/0!</v>
      </c>
      <c r="EA23" s="9" t="e">
        <f ca="1">IF(EA1&gt;Assum!$B$107,(EA19+EA20)*Assum!$B$106*EA$4/EA$5,0)</f>
        <v>#DIV/0!</v>
      </c>
      <c r="EB23" s="9" t="e">
        <f ca="1">IF(EB1&gt;Assum!$B$107,(EB19+EB20)*Assum!$B$106*EB$4/EB$5,0)</f>
        <v>#DIV/0!</v>
      </c>
      <c r="EC23" s="9" t="e">
        <f ca="1">IF(EC1&gt;Assum!$B$107,(EC19+EC20)*Assum!$B$106*EC$4/EC$5,0)</f>
        <v>#DIV/0!</v>
      </c>
      <c r="ED23" s="9" t="e">
        <f ca="1">IF(ED1&gt;Assum!$B$107,(ED19+ED20)*Assum!$B$106*ED$4/ED$5,0)</f>
        <v>#DIV/0!</v>
      </c>
      <c r="EE23" s="9" t="e">
        <f ca="1">IF(EE1&gt;Assum!$B$107,(EE19+EE20)*Assum!$B$106*EE$4/EE$5,0)</f>
        <v>#DIV/0!</v>
      </c>
      <c r="EF23" s="9" t="e">
        <f ca="1">IF(EF1&gt;Assum!$B$107,(EF19+EF20)*Assum!$B$106*EF$4/EF$5,0)</f>
        <v>#DIV/0!</v>
      </c>
      <c r="EG23" s="9" t="e">
        <f ca="1">IF(EG1&gt;Assum!$B$107,(EG19+EG20)*Assum!$B$106*EG$4/EG$5,0)</f>
        <v>#DIV/0!</v>
      </c>
      <c r="EH23" s="9" t="e">
        <f ca="1">IF(EH1&gt;Assum!$B$107,(EH19+EH20)*Assum!$B$106*EH$4/EH$5,0)</f>
        <v>#DIV/0!</v>
      </c>
      <c r="EI23" s="9" t="e">
        <f ca="1">IF(EI1&gt;Assum!$B$107,(EI19+EI20)*Assum!$B$106*EI$4/EI$5,0)</f>
        <v>#DIV/0!</v>
      </c>
      <c r="EJ23" s="9" t="e">
        <f ca="1">IF(EJ1&gt;Assum!$B$107,(EJ19+EJ20)*Assum!$B$106*EJ$4/EJ$5,0)</f>
        <v>#DIV/0!</v>
      </c>
      <c r="EK23" s="9" t="e">
        <f ca="1">IF(EK1&gt;Assum!$B$107,(EK19+EK20)*Assum!$B$106*EK$4/EK$5,0)</f>
        <v>#DIV/0!</v>
      </c>
      <c r="EL23" s="9" t="e">
        <f ca="1">IF(EL1&gt;Assum!$B$107,(EL19+EL20)*Assum!$B$106*EL$4/EL$5,0)</f>
        <v>#DIV/0!</v>
      </c>
      <c r="EM23" s="9" t="e">
        <f ca="1">IF(EM1&gt;Assum!$B$107,(EM19+EM20)*Assum!$B$106*EM$4/EM$5,0)</f>
        <v>#DIV/0!</v>
      </c>
      <c r="EN23" s="9" t="e">
        <f ca="1">IF(EN1&gt;Assum!$B$107,(EN19+EN20)*Assum!$B$106*EN$4/EN$5,0)</f>
        <v>#DIV/0!</v>
      </c>
      <c r="EO23" s="9" t="e">
        <f ca="1">IF(EO1&gt;Assum!$B$107,(EO19+EO20)*Assum!$B$106*EO$4/EO$5,0)</f>
        <v>#DIV/0!</v>
      </c>
      <c r="EP23" s="9" t="e">
        <f ca="1">IF(EP1&gt;Assum!$B$107,(EP19+EP20)*Assum!$B$106*EP$4/EP$5,0)</f>
        <v>#DIV/0!</v>
      </c>
      <c r="EQ23" s="9" t="e">
        <f ca="1">IF(EQ1&gt;Assum!$B$107,(EQ19+EQ20)*Assum!$B$106*EQ$4/EQ$5,0)</f>
        <v>#DIV/0!</v>
      </c>
      <c r="ER23" s="9" t="e">
        <f ca="1">IF(ER1&gt;Assum!$B$107,(ER19+ER20)*Assum!$B$106*ER$4/ER$5,0)</f>
        <v>#DIV/0!</v>
      </c>
      <c r="ES23" s="9" t="e">
        <f ca="1">IF(ES1&gt;Assum!$B$107,(ES19+ES20)*Assum!$B$106*ES$4/ES$5,0)</f>
        <v>#DIV/0!</v>
      </c>
      <c r="ET23" s="9" t="e">
        <f ca="1">IF(ET1&gt;Assum!$B$107,(ET19+ET20)*Assum!$B$106*ET$4/ET$5,0)</f>
        <v>#DIV/0!</v>
      </c>
      <c r="EU23" s="9" t="e">
        <f ca="1">IF(EU1&gt;Assum!$B$107,(EU19+EU20)*Assum!$B$106*EU$4/EU$5,0)</f>
        <v>#DIV/0!</v>
      </c>
      <c r="EV23" s="9" t="e">
        <f ca="1">IF(EV1&gt;Assum!$B$107,(EV19+EV20)*Assum!$B$106*EV$4/EV$5,0)</f>
        <v>#DIV/0!</v>
      </c>
      <c r="EW23" s="9" t="e">
        <f ca="1">IF(EW1&gt;Assum!$B$107,(EW19+EW20)*Assum!$B$106*EW$4/EW$5,0)</f>
        <v>#DIV/0!</v>
      </c>
      <c r="EX23" s="9" t="e">
        <f ca="1">IF(EX1&gt;Assum!$B$107,(EX19+EX20)*Assum!$B$106*EX$4/EX$5,0)</f>
        <v>#DIV/0!</v>
      </c>
      <c r="EY23" s="9" t="e">
        <f ca="1">IF(EY1&gt;Assum!$B$107,(EY19+EY20)*Assum!$B$106*EY$4/EY$5,0)</f>
        <v>#DIV/0!</v>
      </c>
      <c r="EZ23" s="9" t="e">
        <f ca="1">IF(EZ1&gt;Assum!$B$107,(EZ19+EZ20)*Assum!$B$106*EZ$4/EZ$5,0)</f>
        <v>#DIV/0!</v>
      </c>
      <c r="FA23" s="9" t="e">
        <f ca="1">IF(FA1&gt;Assum!$B$107,(FA19+FA20)*Assum!$B$106*FA$4/FA$5,0)</f>
        <v>#DIV/0!</v>
      </c>
      <c r="FB23" s="9" t="e">
        <f ca="1">IF(FB1&gt;Assum!$B$107,(FB19+FB20)*Assum!$B$106*FB$4/FB$5,0)</f>
        <v>#DIV/0!</v>
      </c>
      <c r="FC23" s="9" t="e">
        <f ca="1">IF(FC1&gt;Assum!$B$107,(FC19+FC20)*Assum!$B$106*FC$4/FC$5,0)</f>
        <v>#DIV/0!</v>
      </c>
      <c r="FD23" s="9" t="e">
        <f ca="1">IF(FD1&gt;Assum!$B$107,(FD19+FD20)*Assum!$B$106*FD$4/FD$5,0)</f>
        <v>#DIV/0!</v>
      </c>
      <c r="FE23" s="9" t="e">
        <f ca="1">IF(FE1&gt;Assum!$B$107,(FE19+FE20)*Assum!$B$106*FE$4/FE$5,0)</f>
        <v>#DIV/0!</v>
      </c>
      <c r="FF23" s="9" t="e">
        <f ca="1">IF(FF1&gt;Assum!$B$107,(FF19+FF20)*Assum!$B$106*FF$4/FF$5,0)</f>
        <v>#DIV/0!</v>
      </c>
      <c r="FG23" s="9" t="e">
        <f ca="1">IF(FG1&gt;Assum!$B$107,(FG19+FG20)*Assum!$B$106*FG$4/FG$5,0)</f>
        <v>#DIV/0!</v>
      </c>
      <c r="FH23" s="9" t="e">
        <f ca="1">IF(FH1&gt;Assum!$B$107,(FH19+FH20)*Assum!$B$106*FH$4/FH$5,0)</f>
        <v>#DIV/0!</v>
      </c>
      <c r="FI23" s="9" t="e">
        <f ca="1">IF(FI1&gt;Assum!$B$107,(FI19+FI20)*Assum!$B$106*FI$4/FI$5,0)</f>
        <v>#DIV/0!</v>
      </c>
      <c r="FJ23" s="9" t="e">
        <f ca="1">IF(FJ1&gt;Assum!$B$107,(FJ19+FJ20)*Assum!$B$106*FJ$4/FJ$5,0)</f>
        <v>#DIV/0!</v>
      </c>
      <c r="FK23" s="9" t="e">
        <f ca="1">IF(FK1&gt;Assum!$B$107,(FK19+FK20)*Assum!$B$106*FK$4/FK$5,0)</f>
        <v>#DIV/0!</v>
      </c>
      <c r="FL23" s="9" t="e">
        <f ca="1">IF(FL1&gt;Assum!$B$107,(FL19+FL20)*Assum!$B$106*FL$4/FL$5,0)</f>
        <v>#DIV/0!</v>
      </c>
      <c r="FM23" s="9" t="e">
        <f ca="1">IF(FM1&gt;Assum!$B$107,(FM19+FM20)*Assum!$B$106*FM$4/FM$5,0)</f>
        <v>#DIV/0!</v>
      </c>
      <c r="FN23" s="9" t="e">
        <f ca="1">IF(FN1&gt;Assum!$B$107,(FN19+FN20)*Assum!$B$106*FN$4/FN$5,0)</f>
        <v>#DIV/0!</v>
      </c>
      <c r="FO23" s="9" t="e">
        <f ca="1">IF(FO1&gt;Assum!$B$107,(FO19+FO20)*Assum!$B$106*FO$4/FO$5,0)</f>
        <v>#DIV/0!</v>
      </c>
      <c r="FP23" s="9" t="e">
        <f ca="1">IF(FP1&gt;Assum!$B$107,(FP19+FP20)*Assum!$B$106*FP$4/FP$5,0)</f>
        <v>#DIV/0!</v>
      </c>
      <c r="FQ23" s="9" t="e">
        <f ca="1">IF(FQ1&gt;Assum!$B$107,(FQ19+FQ20)*Assum!$B$106*FQ$4/FQ$5,0)</f>
        <v>#DIV/0!</v>
      </c>
      <c r="FR23" s="9" t="e">
        <f ca="1">IF(FR1&gt;Assum!$B$107,(FR19+FR20)*Assum!$B$106*FR$4/FR$5,0)</f>
        <v>#DIV/0!</v>
      </c>
      <c r="FS23" s="9" t="e">
        <f ca="1">IF(FS1&gt;Assum!$B$107,(FS19+FS20)*Assum!$B$106*FS$4/FS$5,0)</f>
        <v>#DIV/0!</v>
      </c>
      <c r="FT23" s="9" t="e">
        <f ca="1">IF(FT1&gt;Assum!$B$107,(FT19+FT20)*Assum!$B$106*FT$4/FT$5,0)</f>
        <v>#DIV/0!</v>
      </c>
      <c r="FU23" s="9" t="e">
        <f ca="1">IF(FU1&gt;Assum!$B$107,(FU19+FU20)*Assum!$B$106*FU$4/FU$5,0)</f>
        <v>#DIV/0!</v>
      </c>
      <c r="FV23" s="9" t="e">
        <f ca="1">IF(FV1&gt;Assum!$B$107,(FV19+FV20)*Assum!$B$106*FV$4/FV$5,0)</f>
        <v>#DIV/0!</v>
      </c>
      <c r="FW23" s="9" t="e">
        <f ca="1">IF(FW1&gt;Assum!$B$107,(FW19+FW20)*Assum!$B$106*FW$4/FW$5,0)</f>
        <v>#DIV/0!</v>
      </c>
      <c r="FX23" s="9" t="e">
        <f ca="1">IF(FX1&gt;Assum!$B$107,(FX19+FX20)*Assum!$B$106*FX$4/FX$5,0)</f>
        <v>#DIV/0!</v>
      </c>
      <c r="FY23" s="9" t="e">
        <f ca="1">IF(FY1&gt;Assum!$B$107,(FY19+FY20)*Assum!$B$106*FY$4/FY$5,0)</f>
        <v>#DIV/0!</v>
      </c>
      <c r="FZ23" s="9" t="e">
        <f ca="1">IF(FZ1&gt;Assum!$B$107,(FZ19+FZ20)*Assum!$B$106*FZ$4/FZ$5,0)</f>
        <v>#DIV/0!</v>
      </c>
      <c r="GA23" s="9" t="e">
        <f ca="1">IF(GA1&gt;Assum!$B$107,(GA19+GA20)*Assum!$B$106*GA$4/GA$5,0)</f>
        <v>#DIV/0!</v>
      </c>
      <c r="GB23" s="9" t="e">
        <f ca="1">IF(GB1&gt;Assum!$B$107,(GB19+GB20)*Assum!$B$106*GB$4/GB$5,0)</f>
        <v>#DIV/0!</v>
      </c>
      <c r="GC23" s="9" t="e">
        <f ca="1">IF(GC1&gt;Assum!$B$107,(GC19+GC20)*Assum!$B$106*GC$4/GC$5,0)</f>
        <v>#DIV/0!</v>
      </c>
      <c r="GD23" s="9" t="e">
        <f ca="1">IF(GD1&gt;Assum!$B$107,(GD19+GD20)*Assum!$B$106*GD$4/GD$5,0)</f>
        <v>#DIV/0!</v>
      </c>
      <c r="GE23" s="9" t="e">
        <f ca="1">IF(GE1&gt;Assum!$B$107,(GE19+GE20)*Assum!$B$106*GE$4/GE$5,0)</f>
        <v>#DIV/0!</v>
      </c>
      <c r="GF23" s="9" t="e">
        <f ca="1">IF(GF1&gt;Assum!$B$107,(GF19+GF20)*Assum!$B$106*GF$4/GF$5,0)</f>
        <v>#DIV/0!</v>
      </c>
      <c r="GG23" s="9" t="e">
        <f ca="1">IF(GG1&gt;Assum!$B$107,(GG19+GG20)*Assum!$B$106*GG$4/GG$5,0)</f>
        <v>#DIV/0!</v>
      </c>
      <c r="GH23" s="9" t="e">
        <f ca="1">IF(GH1&gt;Assum!$B$107,(GH19+GH20)*Assum!$B$106*GH$4/GH$5,0)</f>
        <v>#DIV/0!</v>
      </c>
      <c r="GI23" s="9" t="e">
        <f ca="1">IF(GI1&gt;Assum!$B$107,(GI19+GI20)*Assum!$B$106*GI$4/GI$5,0)</f>
        <v>#DIV/0!</v>
      </c>
      <c r="GJ23" s="9" t="e">
        <f ca="1">IF(GJ1&gt;Assum!$B$107,(GJ19+GJ20)*Assum!$B$106*GJ$4/GJ$5,0)</f>
        <v>#DIV/0!</v>
      </c>
      <c r="GK23" s="9" t="e">
        <f ca="1">IF(GK1&gt;Assum!$B$107,(GK19+GK20)*Assum!$B$106*GK$4/GK$5,0)</f>
        <v>#DIV/0!</v>
      </c>
      <c r="GL23" s="9" t="e">
        <f ca="1">IF(GL1&gt;Assum!$B$107,(GL19+GL20)*Assum!$B$106*GL$4/GL$5,0)</f>
        <v>#DIV/0!</v>
      </c>
      <c r="GM23" s="9" t="e">
        <f ca="1">IF(GM1&gt;Assum!$B$107,(GM19+GM20)*Assum!$B$106*GM$4/GM$5,0)</f>
        <v>#DIV/0!</v>
      </c>
      <c r="GN23" s="9" t="e">
        <f ca="1">IF(GN1&gt;Assum!$B$107,(GN19+GN20)*Assum!$B$106*GN$4/GN$5,0)</f>
        <v>#DIV/0!</v>
      </c>
      <c r="GO23" s="9" t="e">
        <f ca="1">IF(GO1&gt;Assum!$B$107,(GO19+GO20)*Assum!$B$106*GO$4/GO$5,0)</f>
        <v>#DIV/0!</v>
      </c>
      <c r="GP23" s="9" t="e">
        <f ca="1">IF(GP1&gt;Assum!$B$107,(GP19+GP20)*Assum!$B$106*GP$4/GP$5,0)</f>
        <v>#DIV/0!</v>
      </c>
      <c r="GQ23" s="9" t="e">
        <f ca="1">IF(GQ1&gt;Assum!$B$107,(GQ19+GQ20)*Assum!$B$106*GQ$4/GQ$5,0)</f>
        <v>#DIV/0!</v>
      </c>
      <c r="GR23" s="9" t="e">
        <f ca="1">IF(GR1&gt;Assum!$B$107,(GR19+GR20)*Assum!$B$106*GR$4/GR$5,0)</f>
        <v>#DIV/0!</v>
      </c>
      <c r="GS23" s="9" t="e">
        <f ca="1">IF(GS1&gt;Assum!$B$107,(GS19+GS20)*Assum!$B$106*GS$4/GS$5,0)</f>
        <v>#DIV/0!</v>
      </c>
      <c r="GT23" s="9" t="e">
        <f ca="1">IF(GT1&gt;Assum!$B$107,(GT19+GT20)*Assum!$B$106*GT$4/GT$5,0)</f>
        <v>#DIV/0!</v>
      </c>
      <c r="GU23" s="9" t="e">
        <f ca="1">IF(GU1&gt;Assum!$B$107,(GU19+GU20)*Assum!$B$106*GU$4/GU$5,0)</f>
        <v>#DIV/0!</v>
      </c>
      <c r="GV23" s="9" t="e">
        <f ca="1">IF(GV1&gt;Assum!$B$107,(GV19+GV20)*Assum!$B$106*GV$4/GV$5,0)</f>
        <v>#DIV/0!</v>
      </c>
      <c r="GW23" s="9" t="e">
        <f ca="1">IF(GW1&gt;Assum!$B$107,(GW19+GW20)*Assum!$B$106*GW$4/GW$5,0)</f>
        <v>#DIV/0!</v>
      </c>
      <c r="GX23" s="9" t="e">
        <f ca="1">IF(GX1&gt;Assum!$B$107,(GX19+GX20)*Assum!$B$106*GX$4/GX$5,0)</f>
        <v>#DIV/0!</v>
      </c>
      <c r="GY23" s="9" t="e">
        <f ca="1">IF(GY1&gt;Assum!$B$107,(GY19+GY20)*Assum!$B$106*GY$4/GY$5,0)</f>
        <v>#DIV/0!</v>
      </c>
      <c r="GZ23" s="9" t="e">
        <f ca="1">IF(GZ1&gt;Assum!$B$107,(GZ19+GZ20)*Assum!$B$106*GZ$4/GZ$5,0)</f>
        <v>#DIV/0!</v>
      </c>
      <c r="HA23" s="9" t="e">
        <f ca="1">IF(HA1&gt;Assum!$B$107,(HA19+HA20)*Assum!$B$106*HA$4/HA$5,0)</f>
        <v>#DIV/0!</v>
      </c>
      <c r="HB23" s="9" t="e">
        <f ca="1">IF(HB1&gt;Assum!$B$107,(HB19+HB20)*Assum!$B$106*HB$4/HB$5,0)</f>
        <v>#DIV/0!</v>
      </c>
      <c r="HC23" s="9" t="e">
        <f ca="1">IF(HC1&gt;Assum!$B$107,(HC19+HC20)*Assum!$B$106*HC$4/HC$5,0)</f>
        <v>#DIV/0!</v>
      </c>
      <c r="HD23" s="9" t="e">
        <f ca="1">IF(HD1&gt;Assum!$B$107,(HD19+HD20)*Assum!$B$106*HD$4/HD$5,0)</f>
        <v>#DIV/0!</v>
      </c>
      <c r="HE23" s="9" t="e">
        <f ca="1">IF(HE1&gt;Assum!$B$107,(HE19+HE20)*Assum!$B$106*HE$4/HE$5,0)</f>
        <v>#DIV/0!</v>
      </c>
      <c r="HF23" s="9" t="e">
        <f ca="1">IF(HF1&gt;Assum!$B$107,(HF19+HF20)*Assum!$B$106*HF$4/HF$5,0)</f>
        <v>#DIV/0!</v>
      </c>
      <c r="HG23" s="9" t="e">
        <f ca="1">IF(HG1&gt;Assum!$B$107,(HG19+HG20)*Assum!$B$106*HG$4/HG$5,0)</f>
        <v>#DIV/0!</v>
      </c>
      <c r="HH23" s="9" t="e">
        <f ca="1">IF(HH1&gt;Assum!$B$107,(HH19+HH20)*Assum!$B$106*HH$4/HH$5,0)</f>
        <v>#DIV/0!</v>
      </c>
      <c r="HI23" s="9" t="e">
        <f ca="1">IF(HI1&gt;Assum!$B$107,(HI19+HI20)*Assum!$B$106*HI$4/HI$5,0)</f>
        <v>#DIV/0!</v>
      </c>
      <c r="HJ23" s="9" t="e">
        <f ca="1">IF(HJ1&gt;Assum!$B$107,(HJ19+HJ20)*Assum!$B$106*HJ$4/HJ$5,0)</f>
        <v>#DIV/0!</v>
      </c>
      <c r="HK23" s="9" t="e">
        <f ca="1">IF(HK1&gt;Assum!$B$107,(HK19+HK20)*Assum!$B$106*HK$4/HK$5,0)</f>
        <v>#DIV/0!</v>
      </c>
      <c r="HL23" s="9" t="e">
        <f ca="1">IF(HL1&gt;Assum!$B$107,(HL19+HL20)*Assum!$B$106*HL$4/HL$5,0)</f>
        <v>#DIV/0!</v>
      </c>
      <c r="HM23" s="9" t="e">
        <f ca="1">IF(HM1&gt;Assum!$B$107,(HM19+HM20)*Assum!$B$106*HM$4/HM$5,0)</f>
        <v>#DIV/0!</v>
      </c>
      <c r="HN23" s="9" t="e">
        <f ca="1">IF(HN1&gt;Assum!$B$107,(HN19+HN20)*Assum!$B$106*HN$4/HN$5,0)</f>
        <v>#DIV/0!</v>
      </c>
      <c r="HO23" s="9" t="e">
        <f ca="1">IF(HO1&gt;Assum!$B$107,(HO19+HO20)*Assum!$B$106*HO$4/HO$5,0)</f>
        <v>#DIV/0!</v>
      </c>
      <c r="HP23" s="9" t="e">
        <f ca="1">IF(HP1&gt;Assum!$B$107,(HP19+HP20)*Assum!$B$106*HP$4/HP$5,0)</f>
        <v>#DIV/0!</v>
      </c>
      <c r="HQ23" s="9" t="e">
        <f ca="1">IF(HQ1&gt;Assum!$B$107,(HQ19+HQ20)*Assum!$B$106*HQ$4/HQ$5,0)</f>
        <v>#DIV/0!</v>
      </c>
      <c r="HR23" s="9" t="e">
        <f ca="1">IF(HR1&gt;Assum!$B$107,(HR19+HR20)*Assum!$B$106*HR$4/HR$5,0)</f>
        <v>#DIV/0!</v>
      </c>
      <c r="HS23" s="9" t="e">
        <f ca="1">IF(HS1&gt;Assum!$B$107,(HS19+HS20)*Assum!$B$106*HS$4/HS$5,0)</f>
        <v>#DIV/0!</v>
      </c>
      <c r="HT23" s="9" t="e">
        <f ca="1">IF(HT1&gt;Assum!$B$107,(HT19+HT20)*Assum!$B$106*HT$4/HT$5,0)</f>
        <v>#DIV/0!</v>
      </c>
      <c r="HU23" s="9" t="e">
        <f ca="1">IF(HU1&gt;Assum!$B$107,(HU19+HU20)*Assum!$B$106*HU$4/HU$5,0)</f>
        <v>#DIV/0!</v>
      </c>
      <c r="HV23" s="9" t="e">
        <f ca="1">IF(HV1&gt;Assum!$B$107,(HV19+HV20)*Assum!$B$106*HV$4/HV$5,0)</f>
        <v>#DIV/0!</v>
      </c>
      <c r="HW23" s="9" t="e">
        <f ca="1">IF(HW1&gt;Assum!$B$107,(HW19+HW20)*Assum!$B$106*HW$4/HW$5,0)</f>
        <v>#DIV/0!</v>
      </c>
      <c r="HX23" s="9" t="e">
        <f ca="1">IF(HX1&gt;Assum!$B$107,(HX19+HX20)*Assum!$B$106*HX$4/HX$5,0)</f>
        <v>#DIV/0!</v>
      </c>
      <c r="HY23" s="9" t="e">
        <f ca="1">IF(HY1&gt;Assum!$B$107,(HY19+HY20)*Assum!$B$106*HY$4/HY$5,0)</f>
        <v>#DIV/0!</v>
      </c>
      <c r="HZ23" s="9" t="e">
        <f ca="1">IF(HZ1&gt;Assum!$B$107,(HZ19+HZ20)*Assum!$B$106*HZ$4/HZ$5,0)</f>
        <v>#DIV/0!</v>
      </c>
      <c r="IA23" s="9" t="e">
        <f ca="1">IF(IA1&gt;Assum!$B$107,(IA19+IA20)*Assum!$B$106*IA$4/IA$5,0)</f>
        <v>#DIV/0!</v>
      </c>
      <c r="IB23" s="9" t="e">
        <f ca="1">IF(IB1&gt;Assum!$B$107,(IB19+IB20)*Assum!$B$106*IB$4/IB$5,0)</f>
        <v>#DIV/0!</v>
      </c>
      <c r="IC23" s="9" t="e">
        <f ca="1">IF(IC1&gt;Assum!$B$107,(IC19+IC20)*Assum!$B$106*IC$4/IC$5,0)</f>
        <v>#DIV/0!</v>
      </c>
      <c r="ID23" s="9" t="e">
        <f ca="1">IF(ID1&gt;Assum!$B$107,(ID19+ID20)*Assum!$B$106*ID$4/ID$5,0)</f>
        <v>#DIV/0!</v>
      </c>
      <c r="IE23" s="9" t="e">
        <f ca="1">IF(IE1&gt;Assum!$B$107,(IE19+IE20)*Assum!$B$106*IE$4/IE$5,0)</f>
        <v>#DIV/0!</v>
      </c>
      <c r="IF23" s="9" t="e">
        <f ca="1">IF(IF1&gt;Assum!$B$107,(IF19+IF20)*Assum!$B$106*IF$4/IF$5,0)</f>
        <v>#DIV/0!</v>
      </c>
      <c r="IG23" s="9" t="e">
        <f ca="1">IF(IG1&gt;Assum!$B$107,(IG19+IG20)*Assum!$B$106*IG$4/IG$5,0)</f>
        <v>#DIV/0!</v>
      </c>
      <c r="IH23" s="9" t="e">
        <f ca="1">IF(IH1&gt;Assum!$B$107,(IH19+IH20)*Assum!$B$106*IH$4/IH$5,0)</f>
        <v>#DIV/0!</v>
      </c>
      <c r="II23" s="9" t="e">
        <f ca="1">IF(II1&gt;Assum!$B$107,(II19+II20)*Assum!$B$106*II$4/II$5,0)</f>
        <v>#DIV/0!</v>
      </c>
      <c r="IJ23" s="9" t="e">
        <f ca="1">IF(IJ1&gt;Assum!$B$107,(IJ19+IJ20)*Assum!$B$106*IJ$4/IJ$5,0)</f>
        <v>#DIV/0!</v>
      </c>
      <c r="IK23" s="9" t="e">
        <f ca="1">IF(IK1&gt;Assum!$B$107,(IK19+IK20)*Assum!$B$106*IK$4/IK$5,0)</f>
        <v>#DIV/0!</v>
      </c>
      <c r="IL23" s="9" t="e">
        <f ca="1">IF(IL1&gt;Assum!$B$107,(IL19+IL20)*Assum!$B$106*IL$4/IL$5,0)</f>
        <v>#DIV/0!</v>
      </c>
      <c r="IM23" s="9" t="e">
        <f ca="1">IF(IM1&gt;Assum!$B$107,(IM19+IM20)*Assum!$B$106*IM$4/IM$5,0)</f>
        <v>#DIV/0!</v>
      </c>
      <c r="IN23" s="9" t="e">
        <f ca="1">IF(IN1&gt;Assum!$B$107,(IN19+IN20)*Assum!$B$106*IN$4/IN$5,0)</f>
        <v>#DIV/0!</v>
      </c>
      <c r="IO23" s="9" t="e">
        <f ca="1">IF(IO1&gt;Assum!$B$107,(IO19+IO20)*Assum!$B$106*IO$4/IO$5,0)</f>
        <v>#DIV/0!</v>
      </c>
      <c r="IP23" s="9" t="e">
        <f ca="1">IF(IP1&gt;Assum!$B$107,(IP19+IP20)*Assum!$B$106*IP$4/IP$5,0)</f>
        <v>#DIV/0!</v>
      </c>
      <c r="IQ23" s="9" t="e">
        <f ca="1">IF(IQ1&gt;Assum!$B$107,(IQ19+IQ20)*Assum!$B$106*IQ$4/IQ$5,0)</f>
        <v>#DIV/0!</v>
      </c>
      <c r="IR23" s="9" t="e">
        <f ca="1">IF(IR1&gt;Assum!$B$107,(IR19+IR20)*Assum!$B$106*IR$4/IR$5,0)</f>
        <v>#DIV/0!</v>
      </c>
      <c r="IS23" s="9" t="e">
        <f ca="1">IF(IS1&gt;Assum!$B$107,(IS19+IS20)*Assum!$B$106*IS$4/IS$5,0)</f>
        <v>#DIV/0!</v>
      </c>
      <c r="IT23" s="9" t="e">
        <f ca="1">IF(IT1&gt;Assum!$B$107,(IT19+IT20)*Assum!$B$106*IT$4/IT$5,0)</f>
        <v>#DIV/0!</v>
      </c>
      <c r="IU23" s="9" t="e">
        <f ca="1">IF(IU1&gt;Assum!$B$107,(IU19+IU20)*Assum!$B$106*IU$4/IU$5,0)</f>
        <v>#DIV/0!</v>
      </c>
      <c r="IV23" s="9" t="e">
        <f ca="1">IF(IV1&gt;Assum!$B$107,(IV19+IV20)*Assum!$B$106*IV$4/IV$5,0)</f>
        <v>#DIV/0!</v>
      </c>
      <c r="IW23" s="9" t="e">
        <f ca="1">IF(IW1&gt;Assum!$B$107,(IW19+IW20)*Assum!$B$106*IW$4/IW$5,0)</f>
        <v>#DIV/0!</v>
      </c>
      <c r="IX23" s="9" t="e">
        <f ca="1">IF(IX1&gt;Assum!$B$107,(IX19+IX20)*Assum!$B$106*IX$4/IX$5,0)</f>
        <v>#DIV/0!</v>
      </c>
      <c r="IY23" s="9" t="e">
        <f ca="1">IF(IY1&gt;Assum!$B$107,(IY19+IY20)*Assum!$B$106*IY$4/IY$5,0)</f>
        <v>#DIV/0!</v>
      </c>
      <c r="IZ23" s="9" t="e">
        <f ca="1">IF(IZ1&gt;Assum!$B$107,(IZ19+IZ20)*Assum!$B$106*IZ$4/IZ$5,0)</f>
        <v>#DIV/0!</v>
      </c>
      <c r="JA23" s="9" t="e">
        <f ca="1">IF(JA1&gt;Assum!$B$107,(JA19+JA20)*Assum!$B$106*JA$4/JA$5,0)</f>
        <v>#DIV/0!</v>
      </c>
      <c r="JB23" s="9" t="e">
        <f ca="1">IF(JB1&gt;Assum!$B$107,(JB19+JB20)*Assum!$B$106*JB$4/JB$5,0)</f>
        <v>#DIV/0!</v>
      </c>
      <c r="JC23" s="9" t="e">
        <f ca="1">IF(JC1&gt;Assum!$B$107,(JC19+JC20)*Assum!$B$106*JC$4/JC$5,0)</f>
        <v>#DIV/0!</v>
      </c>
      <c r="JD23" s="9" t="e">
        <f ca="1">IF(JD1&gt;Assum!$B$107,(JD19+JD20)*Assum!$B$106*JD$4/JD$5,0)</f>
        <v>#DIV/0!</v>
      </c>
      <c r="JE23" s="9" t="e">
        <f ca="1">IF(JE1&gt;Assum!$B$107,(JE19+JE20)*Assum!$B$106*JE$4/JE$5,0)</f>
        <v>#DIV/0!</v>
      </c>
      <c r="JF23" s="9" t="e">
        <f ca="1">IF(JF1&gt;Assum!$B$107,(JF19+JF20)*Assum!$B$106*JF$4/JF$5,0)</f>
        <v>#DIV/0!</v>
      </c>
      <c r="JG23" s="9" t="e">
        <f ca="1">IF(JG1&gt;Assum!$B$107,(JG19+JG20)*Assum!$B$106*JG$4/JG$5,0)</f>
        <v>#DIV/0!</v>
      </c>
      <c r="JH23" s="9" t="e">
        <f ca="1">IF(JH1&gt;Assum!$B$107,(JH19+JH20)*Assum!$B$106*JH$4/JH$5,0)</f>
        <v>#DIV/0!</v>
      </c>
      <c r="JI23" s="9" t="e">
        <f ca="1">IF(JI1&gt;Assum!$B$107,(JI19+JI20)*Assum!$B$106*JI$4/JI$5,0)</f>
        <v>#DIV/0!</v>
      </c>
      <c r="JJ23" s="9" t="e">
        <f ca="1">IF(JJ1&gt;Assum!$B$107,(JJ19+JJ20)*Assum!$B$106*JJ$4/JJ$5,0)</f>
        <v>#DIV/0!</v>
      </c>
      <c r="JK23" s="9" t="e">
        <f ca="1">IF(JK1&gt;Assum!$B$107,(JK19+JK20)*Assum!$B$106*JK$4/JK$5,0)</f>
        <v>#DIV/0!</v>
      </c>
      <c r="JL23" s="9" t="e">
        <f ca="1">IF(JL1&gt;Assum!$B$107,(JL19+JL20)*Assum!$B$106*JL$4/JL$5,0)</f>
        <v>#DIV/0!</v>
      </c>
      <c r="JM23" s="9" t="e">
        <f ca="1">IF(JM1&gt;Assum!$B$107,(JM19+JM20)*Assum!$B$106*JM$4/JM$5,0)</f>
        <v>#DIV/0!</v>
      </c>
      <c r="JN23" s="9" t="e">
        <f ca="1">IF(JN1&gt;Assum!$B$107,(JN19+JN20)*Assum!$B$106*JN$4/JN$5,0)</f>
        <v>#DIV/0!</v>
      </c>
      <c r="JO23" s="9" t="e">
        <f ca="1">IF(JO1&gt;Assum!$B$107,(JO19+JO20)*Assum!$B$106*JO$4/JO$5,0)</f>
        <v>#DIV/0!</v>
      </c>
      <c r="JP23" s="9" t="e">
        <f ca="1">IF(JP1&gt;Assum!$B$107,(JP19+JP20)*Assum!$B$106*JP$4/JP$5,0)</f>
        <v>#DIV/0!</v>
      </c>
      <c r="JQ23" s="9" t="e">
        <f ca="1">IF(JQ1&gt;Assum!$B$107,(JQ19+JQ20)*Assum!$B$106*JQ$4/JQ$5,0)</f>
        <v>#DIV/0!</v>
      </c>
      <c r="JR23" s="9" t="e">
        <f ca="1">IF(JR1&gt;Assum!$B$107,(JR19+JR20)*Assum!$B$106*JR$4/JR$5,0)</f>
        <v>#DIV/0!</v>
      </c>
      <c r="JS23" s="9" t="e">
        <f ca="1">IF(JS1&gt;Assum!$B$107,(JS19+JS20)*Assum!$B$106*JS$4/JS$5,0)</f>
        <v>#DIV/0!</v>
      </c>
      <c r="JT23" s="9" t="e">
        <f ca="1">IF(JT1&gt;Assum!$B$107,(JT19+JT20)*Assum!$B$106*JT$4/JT$5,0)</f>
        <v>#DIV/0!</v>
      </c>
      <c r="JU23" s="9" t="e">
        <f ca="1">IF(JU1&gt;Assum!$B$107,(JU19+JU20)*Assum!$B$106*JU$4/JU$5,0)</f>
        <v>#DIV/0!</v>
      </c>
    </row>
    <row r="24" spans="1:281">
      <c r="A24" s="62">
        <f>(B24*Assum!B100+B17*Assum!B99)</f>
        <v>0</v>
      </c>
      <c r="B24" s="9">
        <f>SUM(D23:R23)</f>
        <v>1.3986666591803794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</row>
    <row r="25" spans="1:281">
      <c r="A25" s="1" t="s">
        <v>253</v>
      </c>
      <c r="D25" s="400">
        <f>+EOMONTH(DATE(YEAR(D1),ROUNDUP(MONTH(D1)/3,0)*3,1),0)</f>
        <v>42916</v>
      </c>
      <c r="E25" s="400">
        <f>EOMONTH(D25,3)</f>
        <v>43008</v>
      </c>
      <c r="F25" s="400">
        <f t="shared" ref="F25:BQ25" si="67">EOMONTH(E25,3)</f>
        <v>43100</v>
      </c>
      <c r="G25" s="400">
        <f t="shared" si="67"/>
        <v>43190</v>
      </c>
      <c r="H25" s="400">
        <f t="shared" si="67"/>
        <v>43281</v>
      </c>
      <c r="I25" s="400">
        <f t="shared" si="67"/>
        <v>43373</v>
      </c>
      <c r="J25" s="400">
        <f t="shared" si="67"/>
        <v>43465</v>
      </c>
      <c r="K25" s="400">
        <f t="shared" si="67"/>
        <v>43555</v>
      </c>
      <c r="L25" s="400">
        <f t="shared" si="67"/>
        <v>43646</v>
      </c>
      <c r="M25" s="400">
        <f t="shared" si="67"/>
        <v>43738</v>
      </c>
      <c r="N25" s="400">
        <f t="shared" si="67"/>
        <v>43830</v>
      </c>
      <c r="O25" s="400">
        <f t="shared" si="67"/>
        <v>43921</v>
      </c>
      <c r="P25" s="400">
        <f t="shared" si="67"/>
        <v>44012</v>
      </c>
      <c r="Q25" s="400">
        <f t="shared" si="67"/>
        <v>44104</v>
      </c>
      <c r="R25" s="400">
        <f t="shared" si="67"/>
        <v>44196</v>
      </c>
      <c r="S25" s="400">
        <f t="shared" si="67"/>
        <v>44286</v>
      </c>
      <c r="T25" s="400">
        <f t="shared" si="67"/>
        <v>44377</v>
      </c>
      <c r="U25" s="400">
        <f t="shared" si="67"/>
        <v>44469</v>
      </c>
      <c r="V25" s="400">
        <f t="shared" si="67"/>
        <v>44561</v>
      </c>
      <c r="W25" s="400">
        <f t="shared" si="67"/>
        <v>44651</v>
      </c>
      <c r="X25" s="400">
        <f t="shared" si="67"/>
        <v>44742</v>
      </c>
      <c r="Y25" s="400">
        <f t="shared" si="67"/>
        <v>44834</v>
      </c>
      <c r="Z25" s="400">
        <f t="shared" si="67"/>
        <v>44926</v>
      </c>
      <c r="AA25" s="400">
        <f t="shared" si="67"/>
        <v>45016</v>
      </c>
      <c r="AB25" s="400">
        <f t="shared" si="67"/>
        <v>45107</v>
      </c>
      <c r="AC25" s="400">
        <f t="shared" si="67"/>
        <v>45199</v>
      </c>
      <c r="AD25" s="400">
        <f t="shared" si="67"/>
        <v>45291</v>
      </c>
      <c r="AE25" s="400">
        <f t="shared" si="67"/>
        <v>45382</v>
      </c>
      <c r="AF25" s="400">
        <f t="shared" si="67"/>
        <v>45473</v>
      </c>
      <c r="AG25" s="400">
        <f t="shared" si="67"/>
        <v>45565</v>
      </c>
      <c r="AH25" s="400">
        <f t="shared" si="67"/>
        <v>45657</v>
      </c>
      <c r="AI25" s="400">
        <f t="shared" si="67"/>
        <v>45747</v>
      </c>
      <c r="AJ25" s="400">
        <f t="shared" si="67"/>
        <v>45838</v>
      </c>
      <c r="AK25" s="400">
        <f t="shared" si="67"/>
        <v>45930</v>
      </c>
      <c r="AL25" s="400">
        <f t="shared" si="67"/>
        <v>46022</v>
      </c>
      <c r="AM25" s="400">
        <f t="shared" si="67"/>
        <v>46112</v>
      </c>
      <c r="AN25" s="400">
        <f t="shared" si="67"/>
        <v>46203</v>
      </c>
      <c r="AO25" s="400">
        <f t="shared" si="67"/>
        <v>46295</v>
      </c>
      <c r="AP25" s="400">
        <f t="shared" si="67"/>
        <v>46387</v>
      </c>
      <c r="AQ25" s="400">
        <f t="shared" si="67"/>
        <v>46477</v>
      </c>
      <c r="AR25" s="400">
        <f t="shared" si="67"/>
        <v>46568</v>
      </c>
      <c r="AS25" s="400">
        <f t="shared" si="67"/>
        <v>46660</v>
      </c>
      <c r="AT25" s="400">
        <f t="shared" si="67"/>
        <v>46752</v>
      </c>
      <c r="AU25" s="400">
        <f t="shared" si="67"/>
        <v>46843</v>
      </c>
      <c r="AV25" s="400">
        <f t="shared" si="67"/>
        <v>46934</v>
      </c>
      <c r="AW25" s="400">
        <f t="shared" si="67"/>
        <v>47026</v>
      </c>
      <c r="AX25" s="400">
        <f t="shared" si="67"/>
        <v>47118</v>
      </c>
      <c r="AY25" s="400">
        <f t="shared" si="67"/>
        <v>47208</v>
      </c>
      <c r="AZ25" s="400">
        <f t="shared" si="67"/>
        <v>47299</v>
      </c>
      <c r="BA25" s="400">
        <f t="shared" si="67"/>
        <v>47391</v>
      </c>
      <c r="BB25" s="400">
        <f t="shared" si="67"/>
        <v>47483</v>
      </c>
      <c r="BC25" s="400">
        <f t="shared" si="67"/>
        <v>47573</v>
      </c>
      <c r="BD25" s="400">
        <f t="shared" si="67"/>
        <v>47664</v>
      </c>
      <c r="BE25" s="400">
        <f t="shared" si="67"/>
        <v>47756</v>
      </c>
      <c r="BF25" s="400">
        <f t="shared" si="67"/>
        <v>47848</v>
      </c>
      <c r="BG25" s="400">
        <f t="shared" si="67"/>
        <v>47938</v>
      </c>
      <c r="BH25" s="400">
        <f t="shared" si="67"/>
        <v>48029</v>
      </c>
      <c r="BI25" s="400">
        <f t="shared" si="67"/>
        <v>48121</v>
      </c>
      <c r="BJ25" s="400">
        <f t="shared" si="67"/>
        <v>48213</v>
      </c>
      <c r="BK25" s="400">
        <f t="shared" si="67"/>
        <v>48304</v>
      </c>
      <c r="BL25" s="400">
        <f t="shared" si="67"/>
        <v>48395</v>
      </c>
      <c r="BM25" s="400">
        <f t="shared" si="67"/>
        <v>48487</v>
      </c>
      <c r="BN25" s="400">
        <f t="shared" si="67"/>
        <v>48579</v>
      </c>
      <c r="BO25" s="400">
        <f t="shared" si="67"/>
        <v>48669</v>
      </c>
      <c r="BP25" s="400">
        <f t="shared" si="67"/>
        <v>48760</v>
      </c>
      <c r="BQ25" s="400">
        <f t="shared" si="67"/>
        <v>48852</v>
      </c>
      <c r="BR25" s="400">
        <f t="shared" ref="BR25:CU25" si="68">EOMONTH(BQ25,3)</f>
        <v>48944</v>
      </c>
      <c r="BS25" s="400">
        <f t="shared" si="68"/>
        <v>49034</v>
      </c>
      <c r="BT25" s="400">
        <f t="shared" si="68"/>
        <v>49125</v>
      </c>
      <c r="BU25" s="400">
        <f t="shared" si="68"/>
        <v>49217</v>
      </c>
      <c r="BV25" s="400">
        <f t="shared" si="68"/>
        <v>49309</v>
      </c>
      <c r="BW25" s="400">
        <f t="shared" si="68"/>
        <v>49399</v>
      </c>
      <c r="BX25" s="400">
        <f t="shared" si="68"/>
        <v>49490</v>
      </c>
      <c r="BY25" s="400">
        <f t="shared" si="68"/>
        <v>49582</v>
      </c>
      <c r="BZ25" s="400">
        <f t="shared" si="68"/>
        <v>49674</v>
      </c>
      <c r="CA25" s="400">
        <f t="shared" si="68"/>
        <v>49765</v>
      </c>
      <c r="CB25" s="400">
        <f t="shared" si="68"/>
        <v>49856</v>
      </c>
      <c r="CC25" s="400">
        <f t="shared" si="68"/>
        <v>49948</v>
      </c>
      <c r="CD25" s="400">
        <f t="shared" si="68"/>
        <v>50040</v>
      </c>
      <c r="CE25" s="400">
        <f t="shared" si="68"/>
        <v>50130</v>
      </c>
      <c r="CF25" s="400">
        <f t="shared" si="68"/>
        <v>50221</v>
      </c>
      <c r="CG25" s="400">
        <f t="shared" si="68"/>
        <v>50313</v>
      </c>
      <c r="CH25" s="400">
        <f t="shared" si="68"/>
        <v>50405</v>
      </c>
      <c r="CI25" s="400">
        <f t="shared" si="68"/>
        <v>50495</v>
      </c>
      <c r="CJ25" s="400">
        <f t="shared" si="68"/>
        <v>50586</v>
      </c>
      <c r="CK25" s="400">
        <f t="shared" si="68"/>
        <v>50678</v>
      </c>
      <c r="CL25" s="400">
        <f t="shared" si="68"/>
        <v>50770</v>
      </c>
      <c r="CM25" s="400">
        <f t="shared" si="68"/>
        <v>50860</v>
      </c>
      <c r="CN25" s="400">
        <f t="shared" si="68"/>
        <v>50951</v>
      </c>
      <c r="CO25" s="400">
        <f t="shared" si="68"/>
        <v>51043</v>
      </c>
      <c r="CP25" s="400">
        <f t="shared" si="68"/>
        <v>51135</v>
      </c>
      <c r="CQ25" s="400">
        <f t="shared" si="68"/>
        <v>51226</v>
      </c>
      <c r="CR25" s="400">
        <f t="shared" si="68"/>
        <v>51317</v>
      </c>
      <c r="CS25" s="400">
        <f t="shared" si="68"/>
        <v>51409</v>
      </c>
      <c r="CT25" s="400">
        <f t="shared" si="68"/>
        <v>51501</v>
      </c>
      <c r="CU25" s="400">
        <f t="shared" si="68"/>
        <v>51591</v>
      </c>
      <c r="CV25" s="400"/>
      <c r="CW25" s="400"/>
      <c r="CX25" s="400"/>
      <c r="CY25" s="400"/>
      <c r="CZ25" s="400"/>
      <c r="DA25" s="400"/>
      <c r="DB25" s="400"/>
      <c r="DC25" s="400"/>
      <c r="DD25" s="400"/>
      <c r="DE25" s="400"/>
      <c r="DF25" s="400"/>
      <c r="DG25" s="400"/>
      <c r="DH25" s="400"/>
      <c r="DI25" s="400"/>
      <c r="DJ25" s="400"/>
      <c r="DK25" s="400"/>
      <c r="DL25" s="400"/>
      <c r="DM25" s="400"/>
      <c r="DN25" s="400"/>
      <c r="DO25" s="400"/>
      <c r="DP25" s="400"/>
      <c r="DQ25" s="400"/>
      <c r="DR25" s="400"/>
      <c r="DS25" s="400"/>
      <c r="DT25" s="400"/>
      <c r="DU25" s="400"/>
      <c r="DV25" s="400"/>
      <c r="DW25" s="400"/>
      <c r="DX25" s="400"/>
      <c r="DY25" s="400"/>
      <c r="DZ25" s="400"/>
      <c r="EA25" s="400"/>
      <c r="EB25" s="400"/>
      <c r="EC25" s="400"/>
      <c r="ED25" s="400"/>
      <c r="EE25" s="400"/>
      <c r="EF25" s="400"/>
      <c r="EG25" s="400"/>
      <c r="EH25" s="400"/>
      <c r="EI25" s="400"/>
      <c r="EJ25" s="400"/>
      <c r="EK25" s="400"/>
      <c r="EL25" s="400"/>
      <c r="EM25" s="400"/>
      <c r="EN25" s="400"/>
      <c r="EO25" s="400"/>
      <c r="EP25" s="400"/>
      <c r="EQ25" s="400"/>
      <c r="ER25" s="400"/>
      <c r="ES25" s="400"/>
      <c r="ET25" s="400"/>
      <c r="EU25" s="400"/>
      <c r="EV25" s="400"/>
      <c r="EW25" s="400"/>
      <c r="EX25" s="400"/>
      <c r="EY25" s="400"/>
      <c r="EZ25" s="400"/>
      <c r="FA25" s="400"/>
      <c r="FB25" s="400"/>
      <c r="FC25" s="400"/>
      <c r="FD25" s="400"/>
      <c r="FE25" s="400"/>
      <c r="FF25" s="400"/>
      <c r="FG25" s="400"/>
      <c r="FH25" s="400"/>
      <c r="FI25" s="400"/>
      <c r="FJ25" s="400"/>
      <c r="FK25" s="400"/>
      <c r="FL25" s="400"/>
      <c r="FM25" s="400"/>
      <c r="FN25" s="400"/>
      <c r="FO25" s="400"/>
      <c r="FP25" s="400"/>
      <c r="FQ25" s="400"/>
      <c r="FR25" s="400"/>
      <c r="FS25" s="400"/>
      <c r="FT25" s="400"/>
      <c r="FU25" s="400"/>
      <c r="FV25" s="400"/>
      <c r="FW25" s="400"/>
      <c r="FX25" s="400"/>
      <c r="FY25" s="400"/>
      <c r="FZ25" s="400"/>
      <c r="GA25" s="400"/>
      <c r="GB25" s="400"/>
      <c r="GC25" s="400"/>
      <c r="GD25" s="400"/>
      <c r="GE25" s="400"/>
      <c r="GF25" s="400"/>
      <c r="GG25" s="400"/>
      <c r="GH25" s="400"/>
      <c r="GI25" s="400"/>
      <c r="GJ25" s="400"/>
      <c r="GK25" s="400"/>
      <c r="GL25" s="400"/>
      <c r="GM25" s="400"/>
      <c r="GN25" s="400"/>
      <c r="GO25" s="400"/>
      <c r="GP25" s="400"/>
      <c r="GQ25" s="400"/>
      <c r="GR25" s="400"/>
      <c r="GS25" s="400"/>
      <c r="GT25" s="400"/>
      <c r="GU25" s="400"/>
      <c r="GV25" s="400"/>
      <c r="GW25" s="400"/>
      <c r="GX25" s="400"/>
      <c r="GY25" s="400"/>
      <c r="GZ25" s="400"/>
      <c r="HA25" s="400"/>
      <c r="HB25" s="400"/>
      <c r="HC25" s="400"/>
      <c r="HD25" s="400"/>
      <c r="HE25" s="400"/>
      <c r="HF25" s="400"/>
      <c r="HG25" s="400"/>
      <c r="HH25" s="400"/>
      <c r="HI25" s="400"/>
      <c r="HJ25" s="400"/>
      <c r="HK25" s="400"/>
      <c r="HL25" s="400"/>
      <c r="HM25" s="400"/>
      <c r="HN25" s="400"/>
      <c r="HO25" s="400"/>
      <c r="HP25" s="400"/>
      <c r="HQ25" s="400"/>
      <c r="HR25" s="400"/>
      <c r="HS25" s="400"/>
      <c r="HT25" s="400"/>
      <c r="HU25" s="400"/>
      <c r="HV25" s="400"/>
      <c r="HW25" s="400"/>
      <c r="HX25" s="400"/>
      <c r="HY25" s="400"/>
      <c r="HZ25" s="400"/>
      <c r="IA25" s="400"/>
      <c r="IB25" s="400"/>
      <c r="IC25" s="400"/>
      <c r="ID25" s="400"/>
      <c r="IE25" s="400"/>
      <c r="IF25" s="400"/>
      <c r="IG25" s="400"/>
      <c r="IH25" s="400"/>
      <c r="II25" s="400"/>
      <c r="IJ25" s="400"/>
      <c r="IK25" s="400"/>
      <c r="IL25" s="400"/>
      <c r="IM25" s="400"/>
      <c r="IN25" s="400"/>
      <c r="IO25" s="400"/>
      <c r="IP25" s="400"/>
      <c r="IQ25" s="400"/>
      <c r="IR25" s="400"/>
      <c r="IS25" s="400"/>
      <c r="IT25" s="400"/>
      <c r="IU25" s="400"/>
      <c r="IV25" s="400"/>
      <c r="IW25" s="400"/>
      <c r="IX25" s="400"/>
      <c r="IY25" s="400"/>
      <c r="IZ25" s="400"/>
      <c r="JA25" s="400"/>
      <c r="JB25" s="400"/>
      <c r="JC25" s="400"/>
      <c r="JD25" s="400"/>
      <c r="JE25" s="400"/>
      <c r="JF25" s="400"/>
      <c r="JG25" s="400"/>
      <c r="JH25" s="400"/>
      <c r="JI25" s="400"/>
      <c r="JJ25" s="400"/>
      <c r="JK25" s="400"/>
      <c r="JL25" s="400"/>
      <c r="JM25" s="400"/>
      <c r="JN25" s="400"/>
      <c r="JO25" s="400"/>
      <c r="JP25" s="400"/>
      <c r="JQ25" s="400"/>
      <c r="JR25" s="400"/>
      <c r="JS25" s="400"/>
      <c r="JT25" s="400"/>
      <c r="JU25" s="400"/>
    </row>
    <row r="26" spans="1:281">
      <c r="A26" t="s">
        <v>249</v>
      </c>
      <c r="D26" s="9">
        <f>D19</f>
        <v>0</v>
      </c>
      <c r="E26" s="9" t="e">
        <f ca="1">D29</f>
        <v>#DIV/0!</v>
      </c>
      <c r="F26" s="9" t="e">
        <f ca="1">E29</f>
        <v>#DIV/0!</v>
      </c>
      <c r="G26" s="9" t="e">
        <f ca="1">F29</f>
        <v>#DIV/0!</v>
      </c>
      <c r="H26" s="9" t="e">
        <f ca="1">G29</f>
        <v>#DIV/0!</v>
      </c>
      <c r="I26" s="9" t="e">
        <f t="shared" ref="I26:AR26" ca="1" si="69">H29</f>
        <v>#DIV/0!</v>
      </c>
      <c r="J26" s="9" t="e">
        <f t="shared" ca="1" si="69"/>
        <v>#DIV/0!</v>
      </c>
      <c r="K26" s="9" t="e">
        <f t="shared" ca="1" si="69"/>
        <v>#DIV/0!</v>
      </c>
      <c r="L26" s="9" t="e">
        <f t="shared" ca="1" si="69"/>
        <v>#DIV/0!</v>
      </c>
      <c r="M26" s="9" t="e">
        <f t="shared" ca="1" si="69"/>
        <v>#DIV/0!</v>
      </c>
      <c r="N26" s="9" t="e">
        <f t="shared" ca="1" si="69"/>
        <v>#DIV/0!</v>
      </c>
      <c r="O26" s="9" t="e">
        <f t="shared" ca="1" si="69"/>
        <v>#DIV/0!</v>
      </c>
      <c r="P26" s="9" t="e">
        <f t="shared" ca="1" si="69"/>
        <v>#DIV/0!</v>
      </c>
      <c r="Q26" s="9" t="e">
        <f t="shared" ca="1" si="69"/>
        <v>#DIV/0!</v>
      </c>
      <c r="R26" s="9" t="e">
        <f t="shared" ca="1" si="69"/>
        <v>#DIV/0!</v>
      </c>
      <c r="S26" s="9" t="e">
        <f t="shared" ca="1" si="69"/>
        <v>#DIV/0!</v>
      </c>
      <c r="T26" s="9" t="e">
        <f t="shared" ca="1" si="69"/>
        <v>#DIV/0!</v>
      </c>
      <c r="U26" s="9" t="e">
        <f t="shared" ca="1" si="69"/>
        <v>#DIV/0!</v>
      </c>
      <c r="V26" s="9" t="e">
        <f t="shared" ca="1" si="69"/>
        <v>#DIV/0!</v>
      </c>
      <c r="W26" s="9" t="e">
        <f t="shared" ca="1" si="69"/>
        <v>#DIV/0!</v>
      </c>
      <c r="X26" s="9" t="e">
        <f t="shared" ca="1" si="69"/>
        <v>#DIV/0!</v>
      </c>
      <c r="Y26" s="9" t="e">
        <f t="shared" ca="1" si="69"/>
        <v>#DIV/0!</v>
      </c>
      <c r="Z26" s="9" t="e">
        <f t="shared" ca="1" si="69"/>
        <v>#DIV/0!</v>
      </c>
      <c r="AA26" s="9" t="e">
        <f t="shared" ca="1" si="69"/>
        <v>#DIV/0!</v>
      </c>
      <c r="AB26" s="9" t="e">
        <f t="shared" ca="1" si="69"/>
        <v>#DIV/0!</v>
      </c>
      <c r="AC26" s="9" t="e">
        <f t="shared" ca="1" si="69"/>
        <v>#DIV/0!</v>
      </c>
      <c r="AD26" s="9" t="e">
        <f t="shared" ca="1" si="69"/>
        <v>#DIV/0!</v>
      </c>
      <c r="AE26" s="9" t="e">
        <f t="shared" ca="1" si="69"/>
        <v>#DIV/0!</v>
      </c>
      <c r="AF26" s="9" t="e">
        <f t="shared" ca="1" si="69"/>
        <v>#DIV/0!</v>
      </c>
      <c r="AG26" s="9" t="e">
        <f t="shared" ca="1" si="69"/>
        <v>#DIV/0!</v>
      </c>
      <c r="AH26" s="9" t="e">
        <f t="shared" ca="1" si="69"/>
        <v>#DIV/0!</v>
      </c>
      <c r="AI26" s="9" t="e">
        <f t="shared" ca="1" si="69"/>
        <v>#DIV/0!</v>
      </c>
      <c r="AJ26" s="9" t="e">
        <f t="shared" ca="1" si="69"/>
        <v>#DIV/0!</v>
      </c>
      <c r="AK26" s="9" t="e">
        <f t="shared" ca="1" si="69"/>
        <v>#DIV/0!</v>
      </c>
      <c r="AL26" s="9" t="e">
        <f t="shared" ca="1" si="69"/>
        <v>#DIV/0!</v>
      </c>
      <c r="AM26" s="9" t="e">
        <f t="shared" ca="1" si="69"/>
        <v>#DIV/0!</v>
      </c>
      <c r="AN26" s="9" t="e">
        <f t="shared" ca="1" si="69"/>
        <v>#DIV/0!</v>
      </c>
      <c r="AO26" s="9" t="e">
        <f t="shared" ca="1" si="69"/>
        <v>#DIV/0!</v>
      </c>
      <c r="AP26" s="9" t="e">
        <f t="shared" ca="1" si="69"/>
        <v>#DIV/0!</v>
      </c>
      <c r="AQ26" s="9" t="e">
        <f t="shared" ca="1" si="69"/>
        <v>#DIV/0!</v>
      </c>
      <c r="AR26" s="9" t="e">
        <f t="shared" ca="1" si="69"/>
        <v>#DIV/0!</v>
      </c>
      <c r="AS26" s="9" t="e">
        <f t="shared" ref="AS26:CU26" ca="1" si="70">AR29</f>
        <v>#DIV/0!</v>
      </c>
      <c r="AT26" s="9" t="e">
        <f t="shared" ca="1" si="70"/>
        <v>#DIV/0!</v>
      </c>
      <c r="AU26" s="9" t="e">
        <f t="shared" ca="1" si="70"/>
        <v>#DIV/0!</v>
      </c>
      <c r="AV26" s="9" t="e">
        <f t="shared" ca="1" si="70"/>
        <v>#DIV/0!</v>
      </c>
      <c r="AW26" s="9" t="e">
        <f t="shared" ca="1" si="70"/>
        <v>#DIV/0!</v>
      </c>
      <c r="AX26" s="9" t="e">
        <f t="shared" ca="1" si="70"/>
        <v>#DIV/0!</v>
      </c>
      <c r="AY26" s="9" t="e">
        <f t="shared" ca="1" si="70"/>
        <v>#DIV/0!</v>
      </c>
      <c r="AZ26" s="9" t="e">
        <f t="shared" ca="1" si="70"/>
        <v>#DIV/0!</v>
      </c>
      <c r="BA26" s="9" t="e">
        <f t="shared" ca="1" si="70"/>
        <v>#DIV/0!</v>
      </c>
      <c r="BB26" s="9" t="e">
        <f t="shared" ca="1" si="70"/>
        <v>#DIV/0!</v>
      </c>
      <c r="BC26" s="9" t="e">
        <f t="shared" ca="1" si="70"/>
        <v>#DIV/0!</v>
      </c>
      <c r="BD26" s="9" t="e">
        <f t="shared" ca="1" si="70"/>
        <v>#DIV/0!</v>
      </c>
      <c r="BE26" s="9" t="e">
        <f t="shared" ca="1" si="70"/>
        <v>#DIV/0!</v>
      </c>
      <c r="BF26" s="9" t="e">
        <f t="shared" ca="1" si="70"/>
        <v>#DIV/0!</v>
      </c>
      <c r="BG26" s="9" t="e">
        <f t="shared" ca="1" si="70"/>
        <v>#DIV/0!</v>
      </c>
      <c r="BH26" s="9" t="e">
        <f t="shared" ca="1" si="70"/>
        <v>#DIV/0!</v>
      </c>
      <c r="BI26" s="9" t="e">
        <f t="shared" ca="1" si="70"/>
        <v>#DIV/0!</v>
      </c>
      <c r="BJ26" s="9" t="e">
        <f t="shared" ca="1" si="70"/>
        <v>#DIV/0!</v>
      </c>
      <c r="BK26" s="9" t="e">
        <f t="shared" ca="1" si="70"/>
        <v>#DIV/0!</v>
      </c>
      <c r="BL26" s="9" t="e">
        <f t="shared" ca="1" si="70"/>
        <v>#DIV/0!</v>
      </c>
      <c r="BM26" s="9" t="e">
        <f t="shared" ca="1" si="70"/>
        <v>#DIV/0!</v>
      </c>
      <c r="BN26" s="9" t="e">
        <f t="shared" ca="1" si="70"/>
        <v>#DIV/0!</v>
      </c>
      <c r="BO26" s="9" t="e">
        <f t="shared" ca="1" si="70"/>
        <v>#DIV/0!</v>
      </c>
      <c r="BP26" s="9" t="e">
        <f t="shared" ca="1" si="70"/>
        <v>#DIV/0!</v>
      </c>
      <c r="BQ26" s="9" t="e">
        <f t="shared" ca="1" si="70"/>
        <v>#DIV/0!</v>
      </c>
      <c r="BR26" s="9" t="e">
        <f t="shared" ca="1" si="70"/>
        <v>#DIV/0!</v>
      </c>
      <c r="BS26" s="9" t="e">
        <f t="shared" ca="1" si="70"/>
        <v>#DIV/0!</v>
      </c>
      <c r="BT26" s="9" t="e">
        <f t="shared" ca="1" si="70"/>
        <v>#DIV/0!</v>
      </c>
      <c r="BU26" s="9" t="e">
        <f t="shared" ca="1" si="70"/>
        <v>#DIV/0!</v>
      </c>
      <c r="BV26" s="9" t="e">
        <f t="shared" ca="1" si="70"/>
        <v>#DIV/0!</v>
      </c>
      <c r="BW26" s="9" t="e">
        <f t="shared" ca="1" si="70"/>
        <v>#DIV/0!</v>
      </c>
      <c r="BX26" s="9" t="e">
        <f t="shared" ca="1" si="70"/>
        <v>#DIV/0!</v>
      </c>
      <c r="BY26" s="9" t="e">
        <f t="shared" ca="1" si="70"/>
        <v>#DIV/0!</v>
      </c>
      <c r="BZ26" s="9" t="e">
        <f t="shared" ca="1" si="70"/>
        <v>#DIV/0!</v>
      </c>
      <c r="CA26" s="9" t="e">
        <f t="shared" ca="1" si="70"/>
        <v>#DIV/0!</v>
      </c>
      <c r="CB26" s="9" t="e">
        <f t="shared" ca="1" si="70"/>
        <v>#DIV/0!</v>
      </c>
      <c r="CC26" s="9" t="e">
        <f t="shared" ca="1" si="70"/>
        <v>#DIV/0!</v>
      </c>
      <c r="CD26" s="9" t="e">
        <f t="shared" ca="1" si="70"/>
        <v>#DIV/0!</v>
      </c>
      <c r="CE26" s="9" t="e">
        <f t="shared" ca="1" si="70"/>
        <v>#DIV/0!</v>
      </c>
      <c r="CF26" s="9" t="e">
        <f t="shared" ca="1" si="70"/>
        <v>#DIV/0!</v>
      </c>
      <c r="CG26" s="9" t="e">
        <f t="shared" ca="1" si="70"/>
        <v>#DIV/0!</v>
      </c>
      <c r="CH26" s="9" t="e">
        <f t="shared" ca="1" si="70"/>
        <v>#DIV/0!</v>
      </c>
      <c r="CI26" s="9" t="e">
        <f t="shared" ca="1" si="70"/>
        <v>#DIV/0!</v>
      </c>
      <c r="CJ26" s="9" t="e">
        <f t="shared" ca="1" si="70"/>
        <v>#DIV/0!</v>
      </c>
      <c r="CK26" s="9" t="e">
        <f t="shared" ca="1" si="70"/>
        <v>#DIV/0!</v>
      </c>
      <c r="CL26" s="9" t="e">
        <f t="shared" ca="1" si="70"/>
        <v>#DIV/0!</v>
      </c>
      <c r="CM26" s="9" t="e">
        <f t="shared" ca="1" si="70"/>
        <v>#DIV/0!</v>
      </c>
      <c r="CN26" s="9" t="e">
        <f t="shared" ca="1" si="70"/>
        <v>#DIV/0!</v>
      </c>
      <c r="CO26" s="9" t="e">
        <f t="shared" ca="1" si="70"/>
        <v>#DIV/0!</v>
      </c>
      <c r="CP26" s="9" t="e">
        <f t="shared" ca="1" si="70"/>
        <v>#DIV/0!</v>
      </c>
      <c r="CQ26" s="9" t="e">
        <f t="shared" ca="1" si="70"/>
        <v>#DIV/0!</v>
      </c>
      <c r="CR26" s="9" t="e">
        <f t="shared" ca="1" si="70"/>
        <v>#DIV/0!</v>
      </c>
      <c r="CS26" s="9" t="e">
        <f t="shared" ca="1" si="70"/>
        <v>#DIV/0!</v>
      </c>
      <c r="CT26" s="9" t="e">
        <f t="shared" ca="1" si="70"/>
        <v>#DIV/0!</v>
      </c>
      <c r="CU26" s="9" t="e">
        <f t="shared" ca="1" si="70"/>
        <v>#DIV/0!</v>
      </c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</row>
    <row r="27" spans="1:281">
      <c r="A27" t="s">
        <v>188</v>
      </c>
      <c r="D27" s="402">
        <f>SUMIF($D$2:$JU$2,D$25,$D20:$JU20)</f>
        <v>0</v>
      </c>
      <c r="E27" s="402">
        <f t="shared" ref="E27:BP27" si="71">SUMIF($D$2:$JU$2,E$25,$D20:$JU20)</f>
        <v>0</v>
      </c>
      <c r="F27" s="402">
        <f t="shared" si="71"/>
        <v>0</v>
      </c>
      <c r="G27" s="402">
        <f t="shared" si="71"/>
        <v>0</v>
      </c>
      <c r="H27" s="402">
        <f t="shared" si="71"/>
        <v>124.21374937739965</v>
      </c>
      <c r="I27" s="402">
        <f t="shared" si="71"/>
        <v>1.8098525351439336E-4</v>
      </c>
      <c r="J27" s="402">
        <f t="shared" si="71"/>
        <v>0</v>
      </c>
      <c r="K27" s="402">
        <f t="shared" si="71"/>
        <v>0</v>
      </c>
      <c r="L27" s="402">
        <f t="shared" si="71"/>
        <v>0</v>
      </c>
      <c r="M27" s="402">
        <f t="shared" si="71"/>
        <v>0</v>
      </c>
      <c r="N27" s="402">
        <f t="shared" si="71"/>
        <v>0</v>
      </c>
      <c r="O27" s="402">
        <f t="shared" si="71"/>
        <v>0</v>
      </c>
      <c r="P27" s="402">
        <f t="shared" si="71"/>
        <v>0</v>
      </c>
      <c r="Q27" s="402">
        <f t="shared" si="71"/>
        <v>0</v>
      </c>
      <c r="R27" s="402">
        <f t="shared" si="71"/>
        <v>0</v>
      </c>
      <c r="S27" s="402">
        <f t="shared" si="71"/>
        <v>0</v>
      </c>
      <c r="T27" s="402">
        <f t="shared" si="71"/>
        <v>0</v>
      </c>
      <c r="U27" s="402">
        <f t="shared" si="71"/>
        <v>0</v>
      </c>
      <c r="V27" s="402">
        <f t="shared" si="71"/>
        <v>0</v>
      </c>
      <c r="W27" s="402">
        <f t="shared" si="71"/>
        <v>0</v>
      </c>
      <c r="X27" s="402">
        <f t="shared" si="71"/>
        <v>0</v>
      </c>
      <c r="Y27" s="402">
        <f t="shared" si="71"/>
        <v>0</v>
      </c>
      <c r="Z27" s="402">
        <f t="shared" si="71"/>
        <v>0</v>
      </c>
      <c r="AA27" s="402">
        <f t="shared" si="71"/>
        <v>0</v>
      </c>
      <c r="AB27" s="402">
        <f t="shared" si="71"/>
        <v>0</v>
      </c>
      <c r="AC27" s="402">
        <f t="shared" si="71"/>
        <v>0</v>
      </c>
      <c r="AD27" s="402">
        <f t="shared" si="71"/>
        <v>0</v>
      </c>
      <c r="AE27" s="402">
        <f t="shared" si="71"/>
        <v>0</v>
      </c>
      <c r="AF27" s="402">
        <f t="shared" si="71"/>
        <v>0</v>
      </c>
      <c r="AG27" s="402">
        <f t="shared" si="71"/>
        <v>0</v>
      </c>
      <c r="AH27" s="402">
        <f t="shared" si="71"/>
        <v>0</v>
      </c>
      <c r="AI27" s="402">
        <f t="shared" si="71"/>
        <v>0</v>
      </c>
      <c r="AJ27" s="402">
        <f t="shared" si="71"/>
        <v>0</v>
      </c>
      <c r="AK27" s="402">
        <f t="shared" si="71"/>
        <v>0</v>
      </c>
      <c r="AL27" s="402">
        <f t="shared" si="71"/>
        <v>0</v>
      </c>
      <c r="AM27" s="402">
        <f t="shared" si="71"/>
        <v>0</v>
      </c>
      <c r="AN27" s="402">
        <f t="shared" si="71"/>
        <v>0</v>
      </c>
      <c r="AO27" s="402">
        <f t="shared" si="71"/>
        <v>0</v>
      </c>
      <c r="AP27" s="402">
        <f t="shared" si="71"/>
        <v>0</v>
      </c>
      <c r="AQ27" s="402">
        <f t="shared" si="71"/>
        <v>0</v>
      </c>
      <c r="AR27" s="402">
        <f t="shared" si="71"/>
        <v>0</v>
      </c>
      <c r="AS27" s="402">
        <f t="shared" si="71"/>
        <v>0</v>
      </c>
      <c r="AT27" s="402">
        <f t="shared" si="71"/>
        <v>0</v>
      </c>
      <c r="AU27" s="402">
        <f t="shared" si="71"/>
        <v>0</v>
      </c>
      <c r="AV27" s="402">
        <f t="shared" si="71"/>
        <v>0</v>
      </c>
      <c r="AW27" s="402">
        <f t="shared" si="71"/>
        <v>0</v>
      </c>
      <c r="AX27" s="402">
        <f t="shared" si="71"/>
        <v>0</v>
      </c>
      <c r="AY27" s="402">
        <f t="shared" si="71"/>
        <v>0</v>
      </c>
      <c r="AZ27" s="402">
        <f t="shared" si="71"/>
        <v>0</v>
      </c>
      <c r="BA27" s="402">
        <f t="shared" si="71"/>
        <v>0</v>
      </c>
      <c r="BB27" s="402">
        <f t="shared" si="71"/>
        <v>0</v>
      </c>
      <c r="BC27" s="402">
        <f t="shared" si="71"/>
        <v>0</v>
      </c>
      <c r="BD27" s="402">
        <f t="shared" si="71"/>
        <v>0</v>
      </c>
      <c r="BE27" s="402">
        <f t="shared" si="71"/>
        <v>0</v>
      </c>
      <c r="BF27" s="402">
        <f t="shared" si="71"/>
        <v>0</v>
      </c>
      <c r="BG27" s="402">
        <f t="shared" si="71"/>
        <v>0</v>
      </c>
      <c r="BH27" s="402">
        <f t="shared" si="71"/>
        <v>0</v>
      </c>
      <c r="BI27" s="402">
        <f t="shared" si="71"/>
        <v>0</v>
      </c>
      <c r="BJ27" s="402">
        <f t="shared" si="71"/>
        <v>0</v>
      </c>
      <c r="BK27" s="402">
        <f t="shared" si="71"/>
        <v>0</v>
      </c>
      <c r="BL27" s="402">
        <f t="shared" si="71"/>
        <v>0</v>
      </c>
      <c r="BM27" s="402">
        <f t="shared" si="71"/>
        <v>0</v>
      </c>
      <c r="BN27" s="402">
        <f t="shared" si="71"/>
        <v>0</v>
      </c>
      <c r="BO27" s="402">
        <f t="shared" si="71"/>
        <v>0</v>
      </c>
      <c r="BP27" s="402">
        <f t="shared" si="71"/>
        <v>0</v>
      </c>
      <c r="BQ27" s="402">
        <f t="shared" ref="BQ27:CU27" si="72">SUMIF($D$2:$JU$2,BQ$25,$D20:$JU20)</f>
        <v>0</v>
      </c>
      <c r="BR27" s="402">
        <f t="shared" si="72"/>
        <v>0</v>
      </c>
      <c r="BS27" s="402">
        <f t="shared" si="72"/>
        <v>0</v>
      </c>
      <c r="BT27" s="402">
        <f t="shared" si="72"/>
        <v>0</v>
      </c>
      <c r="BU27" s="402">
        <f t="shared" si="72"/>
        <v>0</v>
      </c>
      <c r="BV27" s="402">
        <f t="shared" si="72"/>
        <v>0</v>
      </c>
      <c r="BW27" s="402">
        <f t="shared" si="72"/>
        <v>0</v>
      </c>
      <c r="BX27" s="402">
        <f t="shared" si="72"/>
        <v>0</v>
      </c>
      <c r="BY27" s="402">
        <f t="shared" si="72"/>
        <v>0</v>
      </c>
      <c r="BZ27" s="402">
        <f t="shared" si="72"/>
        <v>0</v>
      </c>
      <c r="CA27" s="402">
        <f t="shared" si="72"/>
        <v>0</v>
      </c>
      <c r="CB27" s="402">
        <f t="shared" si="72"/>
        <v>0</v>
      </c>
      <c r="CC27" s="402">
        <f t="shared" si="72"/>
        <v>0</v>
      </c>
      <c r="CD27" s="402">
        <f t="shared" si="72"/>
        <v>0</v>
      </c>
      <c r="CE27" s="402">
        <f t="shared" si="72"/>
        <v>0</v>
      </c>
      <c r="CF27" s="402">
        <f t="shared" si="72"/>
        <v>0</v>
      </c>
      <c r="CG27" s="402">
        <f t="shared" si="72"/>
        <v>0</v>
      </c>
      <c r="CH27" s="402">
        <f t="shared" si="72"/>
        <v>0</v>
      </c>
      <c r="CI27" s="402">
        <f t="shared" si="72"/>
        <v>0</v>
      </c>
      <c r="CJ27" s="402">
        <f t="shared" si="72"/>
        <v>0</v>
      </c>
      <c r="CK27" s="402">
        <f t="shared" si="72"/>
        <v>0</v>
      </c>
      <c r="CL27" s="402">
        <f t="shared" si="72"/>
        <v>0</v>
      </c>
      <c r="CM27" s="402">
        <f t="shared" si="72"/>
        <v>0</v>
      </c>
      <c r="CN27" s="402">
        <f t="shared" si="72"/>
        <v>0</v>
      </c>
      <c r="CO27" s="402">
        <f t="shared" si="72"/>
        <v>0</v>
      </c>
      <c r="CP27" s="402">
        <f t="shared" si="72"/>
        <v>0</v>
      </c>
      <c r="CQ27" s="402">
        <f t="shared" si="72"/>
        <v>0</v>
      </c>
      <c r="CR27" s="402">
        <f t="shared" si="72"/>
        <v>0</v>
      </c>
      <c r="CS27" s="402">
        <f t="shared" si="72"/>
        <v>0</v>
      </c>
      <c r="CT27" s="402">
        <f t="shared" si="72"/>
        <v>0</v>
      </c>
      <c r="CU27" s="402">
        <f t="shared" si="72"/>
        <v>0</v>
      </c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</row>
    <row r="28" spans="1:281">
      <c r="A28" t="s">
        <v>250</v>
      </c>
      <c r="D28" s="402" t="e">
        <f ca="1">SUMIF($D$2:$JU$2,D$25,$D21:$JU21)</f>
        <v>#DIV/0!</v>
      </c>
      <c r="E28" s="402" t="e">
        <f t="shared" ref="E28:BP28" ca="1" si="73">SUMIF($D$2:$JU$2,E$25,$D21:$JU21)</f>
        <v>#DIV/0!</v>
      </c>
      <c r="F28" s="402" t="e">
        <f t="shared" ca="1" si="73"/>
        <v>#DIV/0!</v>
      </c>
      <c r="G28" s="402" t="e">
        <f t="shared" ca="1" si="73"/>
        <v>#DIV/0!</v>
      </c>
      <c r="H28" s="402" t="e">
        <f t="shared" ca="1" si="73"/>
        <v>#DIV/0!</v>
      </c>
      <c r="I28" s="402" t="e">
        <f t="shared" ca="1" si="73"/>
        <v>#DIV/0!</v>
      </c>
      <c r="J28" s="402" t="e">
        <f t="shared" ca="1" si="73"/>
        <v>#DIV/0!</v>
      </c>
      <c r="K28" s="402" t="e">
        <f t="shared" ca="1" si="73"/>
        <v>#DIV/0!</v>
      </c>
      <c r="L28" s="402" t="e">
        <f t="shared" ca="1" si="73"/>
        <v>#DIV/0!</v>
      </c>
      <c r="M28" s="402" t="e">
        <f t="shared" ca="1" si="73"/>
        <v>#DIV/0!</v>
      </c>
      <c r="N28" s="402" t="e">
        <f t="shared" ca="1" si="73"/>
        <v>#DIV/0!</v>
      </c>
      <c r="O28" s="402" t="e">
        <f t="shared" ca="1" si="73"/>
        <v>#DIV/0!</v>
      </c>
      <c r="P28" s="402" t="e">
        <f t="shared" ca="1" si="73"/>
        <v>#DIV/0!</v>
      </c>
      <c r="Q28" s="402" t="e">
        <f t="shared" ca="1" si="73"/>
        <v>#DIV/0!</v>
      </c>
      <c r="R28" s="402" t="e">
        <f t="shared" ca="1" si="73"/>
        <v>#DIV/0!</v>
      </c>
      <c r="S28" s="402" t="e">
        <f t="shared" ca="1" si="73"/>
        <v>#DIV/0!</v>
      </c>
      <c r="T28" s="402" t="e">
        <f t="shared" ca="1" si="73"/>
        <v>#DIV/0!</v>
      </c>
      <c r="U28" s="402" t="e">
        <f t="shared" ca="1" si="73"/>
        <v>#DIV/0!</v>
      </c>
      <c r="V28" s="402" t="e">
        <f t="shared" ca="1" si="73"/>
        <v>#DIV/0!</v>
      </c>
      <c r="W28" s="402" t="e">
        <f t="shared" ca="1" si="73"/>
        <v>#DIV/0!</v>
      </c>
      <c r="X28" s="402" t="e">
        <f t="shared" ca="1" si="73"/>
        <v>#DIV/0!</v>
      </c>
      <c r="Y28" s="402" t="e">
        <f t="shared" ca="1" si="73"/>
        <v>#DIV/0!</v>
      </c>
      <c r="Z28" s="402" t="e">
        <f t="shared" ca="1" si="73"/>
        <v>#DIV/0!</v>
      </c>
      <c r="AA28" s="402" t="e">
        <f t="shared" ca="1" si="73"/>
        <v>#DIV/0!</v>
      </c>
      <c r="AB28" s="402" t="e">
        <f t="shared" ca="1" si="73"/>
        <v>#DIV/0!</v>
      </c>
      <c r="AC28" s="402" t="e">
        <f t="shared" ca="1" si="73"/>
        <v>#DIV/0!</v>
      </c>
      <c r="AD28" s="402" t="e">
        <f t="shared" ca="1" si="73"/>
        <v>#DIV/0!</v>
      </c>
      <c r="AE28" s="402" t="e">
        <f t="shared" ca="1" si="73"/>
        <v>#DIV/0!</v>
      </c>
      <c r="AF28" s="402" t="e">
        <f t="shared" ca="1" si="73"/>
        <v>#DIV/0!</v>
      </c>
      <c r="AG28" s="402" t="e">
        <f t="shared" ca="1" si="73"/>
        <v>#DIV/0!</v>
      </c>
      <c r="AH28" s="402" t="e">
        <f t="shared" ca="1" si="73"/>
        <v>#DIV/0!</v>
      </c>
      <c r="AI28" s="402" t="e">
        <f t="shared" ca="1" si="73"/>
        <v>#DIV/0!</v>
      </c>
      <c r="AJ28" s="402" t="e">
        <f t="shared" ca="1" si="73"/>
        <v>#DIV/0!</v>
      </c>
      <c r="AK28" s="402" t="e">
        <f t="shared" ca="1" si="73"/>
        <v>#DIV/0!</v>
      </c>
      <c r="AL28" s="402" t="e">
        <f t="shared" ca="1" si="73"/>
        <v>#DIV/0!</v>
      </c>
      <c r="AM28" s="402" t="e">
        <f t="shared" ca="1" si="73"/>
        <v>#DIV/0!</v>
      </c>
      <c r="AN28" s="402" t="e">
        <f t="shared" ca="1" si="73"/>
        <v>#DIV/0!</v>
      </c>
      <c r="AO28" s="402" t="e">
        <f t="shared" ca="1" si="73"/>
        <v>#DIV/0!</v>
      </c>
      <c r="AP28" s="402" t="e">
        <f t="shared" ca="1" si="73"/>
        <v>#DIV/0!</v>
      </c>
      <c r="AQ28" s="402" t="e">
        <f t="shared" ca="1" si="73"/>
        <v>#DIV/0!</v>
      </c>
      <c r="AR28" s="402" t="e">
        <f t="shared" ca="1" si="73"/>
        <v>#DIV/0!</v>
      </c>
      <c r="AS28" s="402" t="e">
        <f t="shared" ca="1" si="73"/>
        <v>#DIV/0!</v>
      </c>
      <c r="AT28" s="402" t="e">
        <f t="shared" ca="1" si="73"/>
        <v>#DIV/0!</v>
      </c>
      <c r="AU28" s="402" t="e">
        <f t="shared" ca="1" si="73"/>
        <v>#DIV/0!</v>
      </c>
      <c r="AV28" s="402" t="e">
        <f t="shared" ca="1" si="73"/>
        <v>#DIV/0!</v>
      </c>
      <c r="AW28" s="402" t="e">
        <f t="shared" ca="1" si="73"/>
        <v>#DIV/0!</v>
      </c>
      <c r="AX28" s="402" t="e">
        <f t="shared" ca="1" si="73"/>
        <v>#DIV/0!</v>
      </c>
      <c r="AY28" s="402" t="e">
        <f t="shared" ca="1" si="73"/>
        <v>#DIV/0!</v>
      </c>
      <c r="AZ28" s="402" t="e">
        <f t="shared" ca="1" si="73"/>
        <v>#DIV/0!</v>
      </c>
      <c r="BA28" s="402" t="e">
        <f t="shared" ca="1" si="73"/>
        <v>#DIV/0!</v>
      </c>
      <c r="BB28" s="402" t="e">
        <f t="shared" ca="1" si="73"/>
        <v>#DIV/0!</v>
      </c>
      <c r="BC28" s="402" t="e">
        <f t="shared" ca="1" si="73"/>
        <v>#DIV/0!</v>
      </c>
      <c r="BD28" s="402" t="e">
        <f t="shared" ca="1" si="73"/>
        <v>#DIV/0!</v>
      </c>
      <c r="BE28" s="402" t="e">
        <f t="shared" ca="1" si="73"/>
        <v>#DIV/0!</v>
      </c>
      <c r="BF28" s="402" t="e">
        <f t="shared" ca="1" si="73"/>
        <v>#DIV/0!</v>
      </c>
      <c r="BG28" s="402" t="e">
        <f t="shared" ca="1" si="73"/>
        <v>#DIV/0!</v>
      </c>
      <c r="BH28" s="402" t="e">
        <f t="shared" ca="1" si="73"/>
        <v>#DIV/0!</v>
      </c>
      <c r="BI28" s="402" t="e">
        <f t="shared" ca="1" si="73"/>
        <v>#DIV/0!</v>
      </c>
      <c r="BJ28" s="402" t="e">
        <f t="shared" ca="1" si="73"/>
        <v>#DIV/0!</v>
      </c>
      <c r="BK28" s="402" t="e">
        <f t="shared" ca="1" si="73"/>
        <v>#DIV/0!</v>
      </c>
      <c r="BL28" s="402" t="e">
        <f t="shared" ca="1" si="73"/>
        <v>#DIV/0!</v>
      </c>
      <c r="BM28" s="402" t="e">
        <f t="shared" ca="1" si="73"/>
        <v>#DIV/0!</v>
      </c>
      <c r="BN28" s="402" t="e">
        <f t="shared" ca="1" si="73"/>
        <v>#DIV/0!</v>
      </c>
      <c r="BO28" s="402" t="e">
        <f t="shared" ca="1" si="73"/>
        <v>#DIV/0!</v>
      </c>
      <c r="BP28" s="402" t="e">
        <f t="shared" ca="1" si="73"/>
        <v>#DIV/0!</v>
      </c>
      <c r="BQ28" s="402" t="e">
        <f t="shared" ref="BQ28:CU28" ca="1" si="74">SUMIF($D$2:$JU$2,BQ$25,$D21:$JU21)</f>
        <v>#DIV/0!</v>
      </c>
      <c r="BR28" s="402" t="e">
        <f t="shared" ca="1" si="74"/>
        <v>#DIV/0!</v>
      </c>
      <c r="BS28" s="402" t="e">
        <f t="shared" ca="1" si="74"/>
        <v>#DIV/0!</v>
      </c>
      <c r="BT28" s="402" t="e">
        <f t="shared" ca="1" si="74"/>
        <v>#DIV/0!</v>
      </c>
      <c r="BU28" s="402" t="e">
        <f t="shared" ca="1" si="74"/>
        <v>#DIV/0!</v>
      </c>
      <c r="BV28" s="402" t="e">
        <f t="shared" ca="1" si="74"/>
        <v>#DIV/0!</v>
      </c>
      <c r="BW28" s="402" t="e">
        <f t="shared" ca="1" si="74"/>
        <v>#DIV/0!</v>
      </c>
      <c r="BX28" s="402" t="e">
        <f t="shared" ca="1" si="74"/>
        <v>#DIV/0!</v>
      </c>
      <c r="BY28" s="402" t="e">
        <f t="shared" ca="1" si="74"/>
        <v>#DIV/0!</v>
      </c>
      <c r="BZ28" s="402" t="e">
        <f t="shared" ca="1" si="74"/>
        <v>#DIV/0!</v>
      </c>
      <c r="CA28" s="402" t="e">
        <f t="shared" ca="1" si="74"/>
        <v>#DIV/0!</v>
      </c>
      <c r="CB28" s="402" t="e">
        <f t="shared" ca="1" si="74"/>
        <v>#DIV/0!</v>
      </c>
      <c r="CC28" s="402" t="e">
        <f t="shared" ca="1" si="74"/>
        <v>#DIV/0!</v>
      </c>
      <c r="CD28" s="402" t="e">
        <f t="shared" ca="1" si="74"/>
        <v>#DIV/0!</v>
      </c>
      <c r="CE28" s="402" t="e">
        <f t="shared" ca="1" si="74"/>
        <v>#DIV/0!</v>
      </c>
      <c r="CF28" s="402" t="e">
        <f t="shared" ca="1" si="74"/>
        <v>#DIV/0!</v>
      </c>
      <c r="CG28" s="402" t="e">
        <f t="shared" ca="1" si="74"/>
        <v>#DIV/0!</v>
      </c>
      <c r="CH28" s="402" t="e">
        <f t="shared" ca="1" si="74"/>
        <v>#DIV/0!</v>
      </c>
      <c r="CI28" s="402" t="e">
        <f t="shared" ca="1" si="74"/>
        <v>#DIV/0!</v>
      </c>
      <c r="CJ28" s="402" t="e">
        <f t="shared" ca="1" si="74"/>
        <v>#DIV/0!</v>
      </c>
      <c r="CK28" s="402" t="e">
        <f t="shared" ca="1" si="74"/>
        <v>#DIV/0!</v>
      </c>
      <c r="CL28" s="402" t="e">
        <f t="shared" ca="1" si="74"/>
        <v>#DIV/0!</v>
      </c>
      <c r="CM28" s="402" t="e">
        <f t="shared" ca="1" si="74"/>
        <v>#DIV/0!</v>
      </c>
      <c r="CN28" s="402" t="e">
        <f t="shared" ca="1" si="74"/>
        <v>#DIV/0!</v>
      </c>
      <c r="CO28" s="402" t="e">
        <f t="shared" ca="1" si="74"/>
        <v>#DIV/0!</v>
      </c>
      <c r="CP28" s="402" t="e">
        <f t="shared" ca="1" si="74"/>
        <v>#DIV/0!</v>
      </c>
      <c r="CQ28" s="402" t="e">
        <f t="shared" ca="1" si="74"/>
        <v>#DIV/0!</v>
      </c>
      <c r="CR28" s="402" t="e">
        <f t="shared" ca="1" si="74"/>
        <v>#DIV/0!</v>
      </c>
      <c r="CS28" s="402">
        <f t="shared" si="74"/>
        <v>0</v>
      </c>
      <c r="CT28" s="402">
        <f t="shared" si="74"/>
        <v>0</v>
      </c>
      <c r="CU28" s="402">
        <f t="shared" si="74"/>
        <v>0</v>
      </c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</row>
    <row r="29" spans="1:281">
      <c r="A29" t="s">
        <v>251</v>
      </c>
      <c r="D29" s="9" t="e">
        <f ca="1">D26+D27-D28</f>
        <v>#DIV/0!</v>
      </c>
      <c r="E29" s="9" t="e">
        <f t="shared" ref="E29:BP29" ca="1" si="75">E26+E27-E28</f>
        <v>#DIV/0!</v>
      </c>
      <c r="F29" s="9" t="e">
        <f t="shared" ca="1" si="75"/>
        <v>#DIV/0!</v>
      </c>
      <c r="G29" s="9" t="e">
        <f t="shared" ca="1" si="75"/>
        <v>#DIV/0!</v>
      </c>
      <c r="H29" s="9" t="e">
        <f t="shared" ca="1" si="75"/>
        <v>#DIV/0!</v>
      </c>
      <c r="I29" s="9" t="e">
        <f t="shared" ca="1" si="75"/>
        <v>#DIV/0!</v>
      </c>
      <c r="J29" s="9" t="e">
        <f t="shared" ca="1" si="75"/>
        <v>#DIV/0!</v>
      </c>
      <c r="K29" s="9" t="e">
        <f t="shared" ca="1" si="75"/>
        <v>#DIV/0!</v>
      </c>
      <c r="L29" s="9" t="e">
        <f t="shared" ca="1" si="75"/>
        <v>#DIV/0!</v>
      </c>
      <c r="M29" s="9" t="e">
        <f t="shared" ca="1" si="75"/>
        <v>#DIV/0!</v>
      </c>
      <c r="N29" s="9" t="e">
        <f t="shared" ca="1" si="75"/>
        <v>#DIV/0!</v>
      </c>
      <c r="O29" s="9" t="e">
        <f t="shared" ca="1" si="75"/>
        <v>#DIV/0!</v>
      </c>
      <c r="P29" s="9" t="e">
        <f t="shared" ca="1" si="75"/>
        <v>#DIV/0!</v>
      </c>
      <c r="Q29" s="9" t="e">
        <f t="shared" ca="1" si="75"/>
        <v>#DIV/0!</v>
      </c>
      <c r="R29" s="9" t="e">
        <f t="shared" ca="1" si="75"/>
        <v>#DIV/0!</v>
      </c>
      <c r="S29" s="9" t="e">
        <f t="shared" ca="1" si="75"/>
        <v>#DIV/0!</v>
      </c>
      <c r="T29" s="9" t="e">
        <f t="shared" ca="1" si="75"/>
        <v>#DIV/0!</v>
      </c>
      <c r="U29" s="9" t="e">
        <f t="shared" ca="1" si="75"/>
        <v>#DIV/0!</v>
      </c>
      <c r="V29" s="9" t="e">
        <f t="shared" ca="1" si="75"/>
        <v>#DIV/0!</v>
      </c>
      <c r="W29" s="9" t="e">
        <f t="shared" ca="1" si="75"/>
        <v>#DIV/0!</v>
      </c>
      <c r="X29" s="9" t="e">
        <f t="shared" ca="1" si="75"/>
        <v>#DIV/0!</v>
      </c>
      <c r="Y29" s="9" t="e">
        <f t="shared" ca="1" si="75"/>
        <v>#DIV/0!</v>
      </c>
      <c r="Z29" s="9" t="e">
        <f t="shared" ca="1" si="75"/>
        <v>#DIV/0!</v>
      </c>
      <c r="AA29" s="9" t="e">
        <f t="shared" ca="1" si="75"/>
        <v>#DIV/0!</v>
      </c>
      <c r="AB29" s="9" t="e">
        <f t="shared" ca="1" si="75"/>
        <v>#DIV/0!</v>
      </c>
      <c r="AC29" s="9" t="e">
        <f t="shared" ca="1" si="75"/>
        <v>#DIV/0!</v>
      </c>
      <c r="AD29" s="9" t="e">
        <f t="shared" ca="1" si="75"/>
        <v>#DIV/0!</v>
      </c>
      <c r="AE29" s="9" t="e">
        <f t="shared" ca="1" si="75"/>
        <v>#DIV/0!</v>
      </c>
      <c r="AF29" s="9" t="e">
        <f t="shared" ca="1" si="75"/>
        <v>#DIV/0!</v>
      </c>
      <c r="AG29" s="9" t="e">
        <f t="shared" ca="1" si="75"/>
        <v>#DIV/0!</v>
      </c>
      <c r="AH29" s="9" t="e">
        <f t="shared" ca="1" si="75"/>
        <v>#DIV/0!</v>
      </c>
      <c r="AI29" s="9" t="e">
        <f t="shared" ca="1" si="75"/>
        <v>#DIV/0!</v>
      </c>
      <c r="AJ29" s="9" t="e">
        <f t="shared" ca="1" si="75"/>
        <v>#DIV/0!</v>
      </c>
      <c r="AK29" s="9" t="e">
        <f t="shared" ca="1" si="75"/>
        <v>#DIV/0!</v>
      </c>
      <c r="AL29" s="9" t="e">
        <f t="shared" ca="1" si="75"/>
        <v>#DIV/0!</v>
      </c>
      <c r="AM29" s="9" t="e">
        <f t="shared" ca="1" si="75"/>
        <v>#DIV/0!</v>
      </c>
      <c r="AN29" s="9" t="e">
        <f t="shared" ca="1" si="75"/>
        <v>#DIV/0!</v>
      </c>
      <c r="AO29" s="9" t="e">
        <f t="shared" ca="1" si="75"/>
        <v>#DIV/0!</v>
      </c>
      <c r="AP29" s="9" t="e">
        <f t="shared" ca="1" si="75"/>
        <v>#DIV/0!</v>
      </c>
      <c r="AQ29" s="9" t="e">
        <f t="shared" ca="1" si="75"/>
        <v>#DIV/0!</v>
      </c>
      <c r="AR29" s="9" t="e">
        <f t="shared" ca="1" si="75"/>
        <v>#DIV/0!</v>
      </c>
      <c r="AS29" s="9" t="e">
        <f t="shared" ca="1" si="75"/>
        <v>#DIV/0!</v>
      </c>
      <c r="AT29" s="9" t="e">
        <f t="shared" ca="1" si="75"/>
        <v>#DIV/0!</v>
      </c>
      <c r="AU29" s="9" t="e">
        <f t="shared" ca="1" si="75"/>
        <v>#DIV/0!</v>
      </c>
      <c r="AV29" s="9" t="e">
        <f t="shared" ca="1" si="75"/>
        <v>#DIV/0!</v>
      </c>
      <c r="AW29" s="9" t="e">
        <f t="shared" ca="1" si="75"/>
        <v>#DIV/0!</v>
      </c>
      <c r="AX29" s="9" t="e">
        <f t="shared" ca="1" si="75"/>
        <v>#DIV/0!</v>
      </c>
      <c r="AY29" s="9" t="e">
        <f t="shared" ca="1" si="75"/>
        <v>#DIV/0!</v>
      </c>
      <c r="AZ29" s="9" t="e">
        <f t="shared" ca="1" si="75"/>
        <v>#DIV/0!</v>
      </c>
      <c r="BA29" s="9" t="e">
        <f t="shared" ca="1" si="75"/>
        <v>#DIV/0!</v>
      </c>
      <c r="BB29" s="9" t="e">
        <f t="shared" ca="1" si="75"/>
        <v>#DIV/0!</v>
      </c>
      <c r="BC29" s="9" t="e">
        <f t="shared" ca="1" si="75"/>
        <v>#DIV/0!</v>
      </c>
      <c r="BD29" s="9" t="e">
        <f t="shared" ca="1" si="75"/>
        <v>#DIV/0!</v>
      </c>
      <c r="BE29" s="9" t="e">
        <f t="shared" ca="1" si="75"/>
        <v>#DIV/0!</v>
      </c>
      <c r="BF29" s="9" t="e">
        <f t="shared" ca="1" si="75"/>
        <v>#DIV/0!</v>
      </c>
      <c r="BG29" s="9" t="e">
        <f t="shared" ca="1" si="75"/>
        <v>#DIV/0!</v>
      </c>
      <c r="BH29" s="9" t="e">
        <f t="shared" ca="1" si="75"/>
        <v>#DIV/0!</v>
      </c>
      <c r="BI29" s="9" t="e">
        <f t="shared" ca="1" si="75"/>
        <v>#DIV/0!</v>
      </c>
      <c r="BJ29" s="9" t="e">
        <f t="shared" ca="1" si="75"/>
        <v>#DIV/0!</v>
      </c>
      <c r="BK29" s="9" t="e">
        <f t="shared" ca="1" si="75"/>
        <v>#DIV/0!</v>
      </c>
      <c r="BL29" s="9" t="e">
        <f t="shared" ca="1" si="75"/>
        <v>#DIV/0!</v>
      </c>
      <c r="BM29" s="9" t="e">
        <f t="shared" ca="1" si="75"/>
        <v>#DIV/0!</v>
      </c>
      <c r="BN29" s="9" t="e">
        <f t="shared" ca="1" si="75"/>
        <v>#DIV/0!</v>
      </c>
      <c r="BO29" s="9" t="e">
        <f t="shared" ca="1" si="75"/>
        <v>#DIV/0!</v>
      </c>
      <c r="BP29" s="9" t="e">
        <f t="shared" ca="1" si="75"/>
        <v>#DIV/0!</v>
      </c>
      <c r="BQ29" s="9" t="e">
        <f t="shared" ref="BQ29:CU29" ca="1" si="76">BQ26+BQ27-BQ28</f>
        <v>#DIV/0!</v>
      </c>
      <c r="BR29" s="9" t="e">
        <f t="shared" ca="1" si="76"/>
        <v>#DIV/0!</v>
      </c>
      <c r="BS29" s="9" t="e">
        <f t="shared" ca="1" si="76"/>
        <v>#DIV/0!</v>
      </c>
      <c r="BT29" s="9" t="e">
        <f t="shared" ca="1" si="76"/>
        <v>#DIV/0!</v>
      </c>
      <c r="BU29" s="9" t="e">
        <f t="shared" ca="1" si="76"/>
        <v>#DIV/0!</v>
      </c>
      <c r="BV29" s="9" t="e">
        <f t="shared" ca="1" si="76"/>
        <v>#DIV/0!</v>
      </c>
      <c r="BW29" s="9" t="e">
        <f t="shared" ca="1" si="76"/>
        <v>#DIV/0!</v>
      </c>
      <c r="BX29" s="9" t="e">
        <f t="shared" ca="1" si="76"/>
        <v>#DIV/0!</v>
      </c>
      <c r="BY29" s="9" t="e">
        <f t="shared" ca="1" si="76"/>
        <v>#DIV/0!</v>
      </c>
      <c r="BZ29" s="9" t="e">
        <f t="shared" ca="1" si="76"/>
        <v>#DIV/0!</v>
      </c>
      <c r="CA29" s="9" t="e">
        <f t="shared" ca="1" si="76"/>
        <v>#DIV/0!</v>
      </c>
      <c r="CB29" s="9" t="e">
        <f t="shared" ca="1" si="76"/>
        <v>#DIV/0!</v>
      </c>
      <c r="CC29" s="9" t="e">
        <f t="shared" ca="1" si="76"/>
        <v>#DIV/0!</v>
      </c>
      <c r="CD29" s="9" t="e">
        <f t="shared" ca="1" si="76"/>
        <v>#DIV/0!</v>
      </c>
      <c r="CE29" s="9" t="e">
        <f t="shared" ca="1" si="76"/>
        <v>#DIV/0!</v>
      </c>
      <c r="CF29" s="9" t="e">
        <f t="shared" ca="1" si="76"/>
        <v>#DIV/0!</v>
      </c>
      <c r="CG29" s="9" t="e">
        <f t="shared" ca="1" si="76"/>
        <v>#DIV/0!</v>
      </c>
      <c r="CH29" s="9" t="e">
        <f t="shared" ca="1" si="76"/>
        <v>#DIV/0!</v>
      </c>
      <c r="CI29" s="9" t="e">
        <f t="shared" ca="1" si="76"/>
        <v>#DIV/0!</v>
      </c>
      <c r="CJ29" s="9" t="e">
        <f t="shared" ca="1" si="76"/>
        <v>#DIV/0!</v>
      </c>
      <c r="CK29" s="9" t="e">
        <f t="shared" ca="1" si="76"/>
        <v>#DIV/0!</v>
      </c>
      <c r="CL29" s="9" t="e">
        <f t="shared" ca="1" si="76"/>
        <v>#DIV/0!</v>
      </c>
      <c r="CM29" s="9" t="e">
        <f t="shared" ca="1" si="76"/>
        <v>#DIV/0!</v>
      </c>
      <c r="CN29" s="9" t="e">
        <f t="shared" ca="1" si="76"/>
        <v>#DIV/0!</v>
      </c>
      <c r="CO29" s="9" t="e">
        <f t="shared" ca="1" si="76"/>
        <v>#DIV/0!</v>
      </c>
      <c r="CP29" s="9" t="e">
        <f t="shared" ca="1" si="76"/>
        <v>#DIV/0!</v>
      </c>
      <c r="CQ29" s="9" t="e">
        <f t="shared" ca="1" si="76"/>
        <v>#DIV/0!</v>
      </c>
      <c r="CR29" s="9" t="e">
        <f t="shared" ca="1" si="76"/>
        <v>#DIV/0!</v>
      </c>
      <c r="CS29" s="9" t="e">
        <f t="shared" ca="1" si="76"/>
        <v>#DIV/0!</v>
      </c>
      <c r="CT29" s="9" t="e">
        <f t="shared" ca="1" si="76"/>
        <v>#DIV/0!</v>
      </c>
      <c r="CU29" s="9" t="e">
        <f t="shared" ca="1" si="76"/>
        <v>#DIV/0!</v>
      </c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</row>
    <row r="30" spans="1:281">
      <c r="A30" t="s">
        <v>252</v>
      </c>
      <c r="D30" s="402">
        <f>SUMIF($D$2:$JU$2,D$25,$D23:$JU23)</f>
        <v>0</v>
      </c>
      <c r="E30" s="402">
        <f t="shared" ref="E30:AA30" si="77">SUMIF($D$2:$JU$2,E$25,$D23:$JU23)</f>
        <v>0</v>
      </c>
      <c r="F30" s="402">
        <f t="shared" si="77"/>
        <v>0</v>
      </c>
      <c r="G30" s="402">
        <f t="shared" si="77"/>
        <v>0</v>
      </c>
      <c r="H30" s="402">
        <f t="shared" si="77"/>
        <v>1.3986666591803794</v>
      </c>
      <c r="I30" s="402">
        <f t="shared" si="77"/>
        <v>1.6908485328330995E-6</v>
      </c>
      <c r="J30" s="402">
        <f t="shared" si="77"/>
        <v>0</v>
      </c>
      <c r="K30" s="402">
        <f t="shared" si="77"/>
        <v>0</v>
      </c>
      <c r="L30" s="402">
        <f t="shared" si="77"/>
        <v>0</v>
      </c>
      <c r="M30" s="402">
        <f t="shared" si="77"/>
        <v>0</v>
      </c>
      <c r="N30" s="402">
        <f t="shared" si="77"/>
        <v>0</v>
      </c>
      <c r="O30" s="402">
        <f t="shared" si="77"/>
        <v>0</v>
      </c>
      <c r="P30" s="402">
        <f t="shared" si="77"/>
        <v>0</v>
      </c>
      <c r="Q30" s="402">
        <f t="shared" si="77"/>
        <v>0</v>
      </c>
      <c r="R30" s="402">
        <f t="shared" si="77"/>
        <v>0</v>
      </c>
      <c r="S30" s="402">
        <f t="shared" si="77"/>
        <v>0</v>
      </c>
      <c r="T30" s="402">
        <f t="shared" si="77"/>
        <v>0</v>
      </c>
      <c r="U30" s="402">
        <f t="shared" si="77"/>
        <v>0</v>
      </c>
      <c r="V30" s="402">
        <f t="shared" si="77"/>
        <v>0</v>
      </c>
      <c r="W30" s="402">
        <f t="shared" si="77"/>
        <v>0</v>
      </c>
      <c r="X30" s="402">
        <f t="shared" si="77"/>
        <v>0</v>
      </c>
      <c r="Y30" s="402">
        <f t="shared" si="77"/>
        <v>0</v>
      </c>
      <c r="Z30" s="402">
        <f t="shared" si="77"/>
        <v>0</v>
      </c>
      <c r="AA30" s="402">
        <f t="shared" si="77"/>
        <v>10.559228493150686</v>
      </c>
      <c r="AB30" s="402" t="e">
        <f t="shared" ref="AB30:CM30" ca="1" si="78">SUMIF($D$2:$JU$2,AB$25,$D23:$JU23)</f>
        <v>#DIV/0!</v>
      </c>
      <c r="AC30" s="402" t="e">
        <f t="shared" ca="1" si="78"/>
        <v>#DIV/0!</v>
      </c>
      <c r="AD30" s="402" t="e">
        <f t="shared" ca="1" si="78"/>
        <v>#DIV/0!</v>
      </c>
      <c r="AE30" s="402" t="e">
        <f t="shared" ca="1" si="78"/>
        <v>#DIV/0!</v>
      </c>
      <c r="AF30" s="402" t="e">
        <f t="shared" ca="1" si="78"/>
        <v>#DIV/0!</v>
      </c>
      <c r="AG30" s="402" t="e">
        <f t="shared" ca="1" si="78"/>
        <v>#DIV/0!</v>
      </c>
      <c r="AH30" s="402" t="e">
        <f t="shared" ca="1" si="78"/>
        <v>#DIV/0!</v>
      </c>
      <c r="AI30" s="402" t="e">
        <f t="shared" ca="1" si="78"/>
        <v>#DIV/0!</v>
      </c>
      <c r="AJ30" s="402" t="e">
        <f t="shared" ca="1" si="78"/>
        <v>#DIV/0!</v>
      </c>
      <c r="AK30" s="402" t="e">
        <f t="shared" ca="1" si="78"/>
        <v>#DIV/0!</v>
      </c>
      <c r="AL30" s="402" t="e">
        <f t="shared" ca="1" si="78"/>
        <v>#DIV/0!</v>
      </c>
      <c r="AM30" s="402" t="e">
        <f t="shared" ca="1" si="78"/>
        <v>#DIV/0!</v>
      </c>
      <c r="AN30" s="402" t="e">
        <f t="shared" ca="1" si="78"/>
        <v>#DIV/0!</v>
      </c>
      <c r="AO30" s="402" t="e">
        <f t="shared" ca="1" si="78"/>
        <v>#DIV/0!</v>
      </c>
      <c r="AP30" s="402" t="e">
        <f t="shared" ca="1" si="78"/>
        <v>#DIV/0!</v>
      </c>
      <c r="AQ30" s="402" t="e">
        <f t="shared" ca="1" si="78"/>
        <v>#DIV/0!</v>
      </c>
      <c r="AR30" s="402" t="e">
        <f t="shared" ca="1" si="78"/>
        <v>#DIV/0!</v>
      </c>
      <c r="AS30" s="402" t="e">
        <f t="shared" ca="1" si="78"/>
        <v>#DIV/0!</v>
      </c>
      <c r="AT30" s="402" t="e">
        <f t="shared" ca="1" si="78"/>
        <v>#DIV/0!</v>
      </c>
      <c r="AU30" s="402" t="e">
        <f t="shared" ca="1" si="78"/>
        <v>#DIV/0!</v>
      </c>
      <c r="AV30" s="402" t="e">
        <f t="shared" ca="1" si="78"/>
        <v>#DIV/0!</v>
      </c>
      <c r="AW30" s="402" t="e">
        <f t="shared" ca="1" si="78"/>
        <v>#DIV/0!</v>
      </c>
      <c r="AX30" s="402" t="e">
        <f t="shared" ca="1" si="78"/>
        <v>#DIV/0!</v>
      </c>
      <c r="AY30" s="402" t="e">
        <f t="shared" ca="1" si="78"/>
        <v>#DIV/0!</v>
      </c>
      <c r="AZ30" s="402" t="e">
        <f t="shared" ca="1" si="78"/>
        <v>#DIV/0!</v>
      </c>
      <c r="BA30" s="402" t="e">
        <f t="shared" ca="1" si="78"/>
        <v>#DIV/0!</v>
      </c>
      <c r="BB30" s="402" t="e">
        <f t="shared" ca="1" si="78"/>
        <v>#DIV/0!</v>
      </c>
      <c r="BC30" s="402" t="e">
        <f t="shared" ca="1" si="78"/>
        <v>#DIV/0!</v>
      </c>
      <c r="BD30" s="402" t="e">
        <f t="shared" ca="1" si="78"/>
        <v>#DIV/0!</v>
      </c>
      <c r="BE30" s="402" t="e">
        <f t="shared" ca="1" si="78"/>
        <v>#DIV/0!</v>
      </c>
      <c r="BF30" s="402" t="e">
        <f t="shared" ca="1" si="78"/>
        <v>#DIV/0!</v>
      </c>
      <c r="BG30" s="402" t="e">
        <f t="shared" ca="1" si="78"/>
        <v>#DIV/0!</v>
      </c>
      <c r="BH30" s="402" t="e">
        <f t="shared" ca="1" si="78"/>
        <v>#DIV/0!</v>
      </c>
      <c r="BI30" s="402" t="e">
        <f t="shared" ca="1" si="78"/>
        <v>#DIV/0!</v>
      </c>
      <c r="BJ30" s="402" t="e">
        <f t="shared" ca="1" si="78"/>
        <v>#DIV/0!</v>
      </c>
      <c r="BK30" s="402" t="e">
        <f t="shared" ca="1" si="78"/>
        <v>#DIV/0!</v>
      </c>
      <c r="BL30" s="402" t="e">
        <f t="shared" ca="1" si="78"/>
        <v>#DIV/0!</v>
      </c>
      <c r="BM30" s="402" t="e">
        <f t="shared" ca="1" si="78"/>
        <v>#DIV/0!</v>
      </c>
      <c r="BN30" s="402" t="e">
        <f t="shared" ca="1" si="78"/>
        <v>#DIV/0!</v>
      </c>
      <c r="BO30" s="402" t="e">
        <f t="shared" ca="1" si="78"/>
        <v>#DIV/0!</v>
      </c>
      <c r="BP30" s="402" t="e">
        <f t="shared" ca="1" si="78"/>
        <v>#DIV/0!</v>
      </c>
      <c r="BQ30" s="402" t="e">
        <f t="shared" ca="1" si="78"/>
        <v>#DIV/0!</v>
      </c>
      <c r="BR30" s="402" t="e">
        <f t="shared" ca="1" si="78"/>
        <v>#DIV/0!</v>
      </c>
      <c r="BS30" s="402" t="e">
        <f t="shared" ca="1" si="78"/>
        <v>#DIV/0!</v>
      </c>
      <c r="BT30" s="402" t="e">
        <f t="shared" ca="1" si="78"/>
        <v>#DIV/0!</v>
      </c>
      <c r="BU30" s="402" t="e">
        <f t="shared" ca="1" si="78"/>
        <v>#DIV/0!</v>
      </c>
      <c r="BV30" s="402" t="e">
        <f t="shared" ca="1" si="78"/>
        <v>#DIV/0!</v>
      </c>
      <c r="BW30" s="402" t="e">
        <f t="shared" ca="1" si="78"/>
        <v>#DIV/0!</v>
      </c>
      <c r="BX30" s="402" t="e">
        <f t="shared" ca="1" si="78"/>
        <v>#DIV/0!</v>
      </c>
      <c r="BY30" s="402" t="e">
        <f t="shared" ca="1" si="78"/>
        <v>#DIV/0!</v>
      </c>
      <c r="BZ30" s="402" t="e">
        <f t="shared" ca="1" si="78"/>
        <v>#DIV/0!</v>
      </c>
      <c r="CA30" s="402" t="e">
        <f t="shared" ca="1" si="78"/>
        <v>#DIV/0!</v>
      </c>
      <c r="CB30" s="402" t="e">
        <f t="shared" ca="1" si="78"/>
        <v>#DIV/0!</v>
      </c>
      <c r="CC30" s="402" t="e">
        <f t="shared" ca="1" si="78"/>
        <v>#DIV/0!</v>
      </c>
      <c r="CD30" s="402" t="e">
        <f t="shared" ca="1" si="78"/>
        <v>#DIV/0!</v>
      </c>
      <c r="CE30" s="402" t="e">
        <f t="shared" ca="1" si="78"/>
        <v>#DIV/0!</v>
      </c>
      <c r="CF30" s="402" t="e">
        <f t="shared" ca="1" si="78"/>
        <v>#DIV/0!</v>
      </c>
      <c r="CG30" s="402" t="e">
        <f t="shared" ca="1" si="78"/>
        <v>#DIV/0!</v>
      </c>
      <c r="CH30" s="402" t="e">
        <f t="shared" ca="1" si="78"/>
        <v>#DIV/0!</v>
      </c>
      <c r="CI30" s="402" t="e">
        <f t="shared" ca="1" si="78"/>
        <v>#DIV/0!</v>
      </c>
      <c r="CJ30" s="402" t="e">
        <f t="shared" ca="1" si="78"/>
        <v>#DIV/0!</v>
      </c>
      <c r="CK30" s="402" t="e">
        <f t="shared" ca="1" si="78"/>
        <v>#DIV/0!</v>
      </c>
      <c r="CL30" s="402" t="e">
        <f t="shared" ca="1" si="78"/>
        <v>#DIV/0!</v>
      </c>
      <c r="CM30" s="402" t="e">
        <f t="shared" ca="1" si="78"/>
        <v>#DIV/0!</v>
      </c>
      <c r="CN30" s="402" t="e">
        <f t="shared" ref="CN30:CU30" ca="1" si="79">SUMIF($D$2:$JU$2,CN$25,$D23:$JU23)</f>
        <v>#DIV/0!</v>
      </c>
      <c r="CO30" s="402" t="e">
        <f t="shared" ca="1" si="79"/>
        <v>#DIV/0!</v>
      </c>
      <c r="CP30" s="402" t="e">
        <f t="shared" ca="1" si="79"/>
        <v>#DIV/0!</v>
      </c>
      <c r="CQ30" s="402" t="e">
        <f t="shared" ca="1" si="79"/>
        <v>#DIV/0!</v>
      </c>
      <c r="CR30" s="402" t="e">
        <f t="shared" ca="1" si="79"/>
        <v>#DIV/0!</v>
      </c>
      <c r="CS30" s="402">
        <f t="shared" si="79"/>
        <v>0</v>
      </c>
      <c r="CT30" s="402">
        <f t="shared" si="79"/>
        <v>0</v>
      </c>
      <c r="CU30" s="402">
        <f t="shared" si="79"/>
        <v>0</v>
      </c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</row>
    <row r="31" spans="1:281">
      <c r="A31" s="380" t="s">
        <v>254</v>
      </c>
      <c r="B31" s="380"/>
      <c r="C31" s="380"/>
      <c r="D31" s="382" t="e">
        <f t="shared" ref="D31:AI31" ca="1" si="80">D30+D28</f>
        <v>#DIV/0!</v>
      </c>
      <c r="E31" s="382" t="e">
        <f t="shared" ca="1" si="80"/>
        <v>#DIV/0!</v>
      </c>
      <c r="F31" s="382" t="e">
        <f t="shared" ca="1" si="80"/>
        <v>#DIV/0!</v>
      </c>
      <c r="G31" s="382" t="e">
        <f t="shared" ca="1" si="80"/>
        <v>#DIV/0!</v>
      </c>
      <c r="H31" s="382" t="e">
        <f t="shared" ca="1" si="80"/>
        <v>#DIV/0!</v>
      </c>
      <c r="I31" s="382" t="e">
        <f t="shared" ca="1" si="80"/>
        <v>#DIV/0!</v>
      </c>
      <c r="J31" s="382" t="e">
        <f t="shared" ca="1" si="80"/>
        <v>#DIV/0!</v>
      </c>
      <c r="K31" s="382" t="e">
        <f t="shared" ca="1" si="80"/>
        <v>#DIV/0!</v>
      </c>
      <c r="L31" s="382" t="e">
        <f t="shared" ca="1" si="80"/>
        <v>#DIV/0!</v>
      </c>
      <c r="M31" s="382" t="e">
        <f t="shared" ca="1" si="80"/>
        <v>#DIV/0!</v>
      </c>
      <c r="N31" s="382" t="e">
        <f t="shared" ca="1" si="80"/>
        <v>#DIV/0!</v>
      </c>
      <c r="O31" s="382" t="e">
        <f t="shared" ca="1" si="80"/>
        <v>#DIV/0!</v>
      </c>
      <c r="P31" s="382" t="e">
        <f t="shared" ca="1" si="80"/>
        <v>#DIV/0!</v>
      </c>
      <c r="Q31" s="382" t="e">
        <f t="shared" ca="1" si="80"/>
        <v>#DIV/0!</v>
      </c>
      <c r="R31" s="382" t="e">
        <f t="shared" ca="1" si="80"/>
        <v>#DIV/0!</v>
      </c>
      <c r="S31" s="382" t="e">
        <f t="shared" ca="1" si="80"/>
        <v>#DIV/0!</v>
      </c>
      <c r="T31" s="382" t="e">
        <f t="shared" ca="1" si="80"/>
        <v>#DIV/0!</v>
      </c>
      <c r="U31" s="382" t="e">
        <f t="shared" ca="1" si="80"/>
        <v>#DIV/0!</v>
      </c>
      <c r="V31" s="382" t="e">
        <f t="shared" ca="1" si="80"/>
        <v>#DIV/0!</v>
      </c>
      <c r="W31" s="382" t="e">
        <f t="shared" ca="1" si="80"/>
        <v>#DIV/0!</v>
      </c>
      <c r="X31" s="382" t="e">
        <f t="shared" ca="1" si="80"/>
        <v>#DIV/0!</v>
      </c>
      <c r="Y31" s="382" t="e">
        <f t="shared" ca="1" si="80"/>
        <v>#DIV/0!</v>
      </c>
      <c r="Z31" s="382" t="e">
        <f t="shared" ca="1" si="80"/>
        <v>#DIV/0!</v>
      </c>
      <c r="AA31" s="382" t="e">
        <f t="shared" ca="1" si="80"/>
        <v>#DIV/0!</v>
      </c>
      <c r="AB31" s="382" t="e">
        <f t="shared" ca="1" si="80"/>
        <v>#DIV/0!</v>
      </c>
      <c r="AC31" s="382" t="e">
        <f t="shared" ca="1" si="80"/>
        <v>#DIV/0!</v>
      </c>
      <c r="AD31" s="382" t="e">
        <f t="shared" ca="1" si="80"/>
        <v>#DIV/0!</v>
      </c>
      <c r="AE31" s="382" t="e">
        <f t="shared" ca="1" si="80"/>
        <v>#DIV/0!</v>
      </c>
      <c r="AF31" s="382" t="e">
        <f t="shared" ca="1" si="80"/>
        <v>#DIV/0!</v>
      </c>
      <c r="AG31" s="382" t="e">
        <f t="shared" ca="1" si="80"/>
        <v>#DIV/0!</v>
      </c>
      <c r="AH31" s="382" t="e">
        <f t="shared" ca="1" si="80"/>
        <v>#DIV/0!</v>
      </c>
      <c r="AI31" s="382" t="e">
        <f t="shared" ca="1" si="80"/>
        <v>#DIV/0!</v>
      </c>
      <c r="AJ31" s="382" t="e">
        <f t="shared" ref="AJ31:BO31" ca="1" si="81">AJ30+AJ28</f>
        <v>#DIV/0!</v>
      </c>
      <c r="AK31" s="382" t="e">
        <f t="shared" ca="1" si="81"/>
        <v>#DIV/0!</v>
      </c>
      <c r="AL31" s="382" t="e">
        <f t="shared" ca="1" si="81"/>
        <v>#DIV/0!</v>
      </c>
      <c r="AM31" s="382" t="e">
        <f t="shared" ca="1" si="81"/>
        <v>#DIV/0!</v>
      </c>
      <c r="AN31" s="382" t="e">
        <f t="shared" ca="1" si="81"/>
        <v>#DIV/0!</v>
      </c>
      <c r="AO31" s="382" t="e">
        <f t="shared" ca="1" si="81"/>
        <v>#DIV/0!</v>
      </c>
      <c r="AP31" s="382" t="e">
        <f t="shared" ca="1" si="81"/>
        <v>#DIV/0!</v>
      </c>
      <c r="AQ31" s="382" t="e">
        <f t="shared" ca="1" si="81"/>
        <v>#DIV/0!</v>
      </c>
      <c r="AR31" s="382" t="e">
        <f t="shared" ca="1" si="81"/>
        <v>#DIV/0!</v>
      </c>
      <c r="AS31" s="382" t="e">
        <f t="shared" ca="1" si="81"/>
        <v>#DIV/0!</v>
      </c>
      <c r="AT31" s="382" t="e">
        <f t="shared" ca="1" si="81"/>
        <v>#DIV/0!</v>
      </c>
      <c r="AU31" s="382" t="e">
        <f t="shared" ca="1" si="81"/>
        <v>#DIV/0!</v>
      </c>
      <c r="AV31" s="382" t="e">
        <f t="shared" ca="1" si="81"/>
        <v>#DIV/0!</v>
      </c>
      <c r="AW31" s="382" t="e">
        <f t="shared" ca="1" si="81"/>
        <v>#DIV/0!</v>
      </c>
      <c r="AX31" s="382" t="e">
        <f t="shared" ca="1" si="81"/>
        <v>#DIV/0!</v>
      </c>
      <c r="AY31" s="382" t="e">
        <f t="shared" ca="1" si="81"/>
        <v>#DIV/0!</v>
      </c>
      <c r="AZ31" s="382" t="e">
        <f t="shared" ca="1" si="81"/>
        <v>#DIV/0!</v>
      </c>
      <c r="BA31" s="382" t="e">
        <f t="shared" ca="1" si="81"/>
        <v>#DIV/0!</v>
      </c>
      <c r="BB31" s="382" t="e">
        <f t="shared" ca="1" si="81"/>
        <v>#DIV/0!</v>
      </c>
      <c r="BC31" s="382" t="e">
        <f t="shared" ca="1" si="81"/>
        <v>#DIV/0!</v>
      </c>
      <c r="BD31" s="382" t="e">
        <f t="shared" ca="1" si="81"/>
        <v>#DIV/0!</v>
      </c>
      <c r="BE31" s="382" t="e">
        <f t="shared" ca="1" si="81"/>
        <v>#DIV/0!</v>
      </c>
      <c r="BF31" s="382" t="e">
        <f t="shared" ca="1" si="81"/>
        <v>#DIV/0!</v>
      </c>
      <c r="BG31" s="382" t="e">
        <f t="shared" ca="1" si="81"/>
        <v>#DIV/0!</v>
      </c>
      <c r="BH31" s="382" t="e">
        <f t="shared" ca="1" si="81"/>
        <v>#DIV/0!</v>
      </c>
      <c r="BI31" s="382" t="e">
        <f t="shared" ca="1" si="81"/>
        <v>#DIV/0!</v>
      </c>
      <c r="BJ31" s="382" t="e">
        <f t="shared" ca="1" si="81"/>
        <v>#DIV/0!</v>
      </c>
      <c r="BK31" s="382" t="e">
        <f t="shared" ca="1" si="81"/>
        <v>#DIV/0!</v>
      </c>
      <c r="BL31" s="382" t="e">
        <f t="shared" ca="1" si="81"/>
        <v>#DIV/0!</v>
      </c>
      <c r="BM31" s="382" t="e">
        <f t="shared" ca="1" si="81"/>
        <v>#DIV/0!</v>
      </c>
      <c r="BN31" s="382" t="e">
        <f t="shared" ca="1" si="81"/>
        <v>#DIV/0!</v>
      </c>
      <c r="BO31" s="382" t="e">
        <f t="shared" ca="1" si="81"/>
        <v>#DIV/0!</v>
      </c>
      <c r="BP31" s="382" t="e">
        <f t="shared" ref="BP31:CU31" ca="1" si="82">BP30+BP28</f>
        <v>#DIV/0!</v>
      </c>
      <c r="BQ31" s="382" t="e">
        <f t="shared" ca="1" si="82"/>
        <v>#DIV/0!</v>
      </c>
      <c r="BR31" s="382" t="e">
        <f t="shared" ca="1" si="82"/>
        <v>#DIV/0!</v>
      </c>
      <c r="BS31" s="382" t="e">
        <f t="shared" ca="1" si="82"/>
        <v>#DIV/0!</v>
      </c>
      <c r="BT31" s="382" t="e">
        <f t="shared" ca="1" si="82"/>
        <v>#DIV/0!</v>
      </c>
      <c r="BU31" s="382" t="e">
        <f t="shared" ca="1" si="82"/>
        <v>#DIV/0!</v>
      </c>
      <c r="BV31" s="382" t="e">
        <f t="shared" ca="1" si="82"/>
        <v>#DIV/0!</v>
      </c>
      <c r="BW31" s="382" t="e">
        <f t="shared" ca="1" si="82"/>
        <v>#DIV/0!</v>
      </c>
      <c r="BX31" s="382" t="e">
        <f t="shared" ca="1" si="82"/>
        <v>#DIV/0!</v>
      </c>
      <c r="BY31" s="382" t="e">
        <f t="shared" ca="1" si="82"/>
        <v>#DIV/0!</v>
      </c>
      <c r="BZ31" s="382" t="e">
        <f t="shared" ca="1" si="82"/>
        <v>#DIV/0!</v>
      </c>
      <c r="CA31" s="382" t="e">
        <f t="shared" ca="1" si="82"/>
        <v>#DIV/0!</v>
      </c>
      <c r="CB31" s="382" t="e">
        <f t="shared" ca="1" si="82"/>
        <v>#DIV/0!</v>
      </c>
      <c r="CC31" s="382" t="e">
        <f t="shared" ca="1" si="82"/>
        <v>#DIV/0!</v>
      </c>
      <c r="CD31" s="382" t="e">
        <f t="shared" ca="1" si="82"/>
        <v>#DIV/0!</v>
      </c>
      <c r="CE31" s="382" t="e">
        <f t="shared" ca="1" si="82"/>
        <v>#DIV/0!</v>
      </c>
      <c r="CF31" s="382" t="e">
        <f t="shared" ca="1" si="82"/>
        <v>#DIV/0!</v>
      </c>
      <c r="CG31" s="382" t="e">
        <f t="shared" ca="1" si="82"/>
        <v>#DIV/0!</v>
      </c>
      <c r="CH31" s="382" t="e">
        <f t="shared" ca="1" si="82"/>
        <v>#DIV/0!</v>
      </c>
      <c r="CI31" s="382" t="e">
        <f t="shared" ca="1" si="82"/>
        <v>#DIV/0!</v>
      </c>
      <c r="CJ31" s="382" t="e">
        <f t="shared" ca="1" si="82"/>
        <v>#DIV/0!</v>
      </c>
      <c r="CK31" s="382" t="e">
        <f t="shared" ca="1" si="82"/>
        <v>#DIV/0!</v>
      </c>
      <c r="CL31" s="382" t="e">
        <f t="shared" ca="1" si="82"/>
        <v>#DIV/0!</v>
      </c>
      <c r="CM31" s="382" t="e">
        <f t="shared" ca="1" si="82"/>
        <v>#DIV/0!</v>
      </c>
      <c r="CN31" s="382" t="e">
        <f t="shared" ca="1" si="82"/>
        <v>#DIV/0!</v>
      </c>
      <c r="CO31" s="382" t="e">
        <f t="shared" ca="1" si="82"/>
        <v>#DIV/0!</v>
      </c>
      <c r="CP31" s="382" t="e">
        <f t="shared" ca="1" si="82"/>
        <v>#DIV/0!</v>
      </c>
      <c r="CQ31" s="382" t="e">
        <f t="shared" ca="1" si="82"/>
        <v>#DIV/0!</v>
      </c>
      <c r="CR31" s="382" t="e">
        <f t="shared" ca="1" si="82"/>
        <v>#DIV/0!</v>
      </c>
      <c r="CS31" s="382">
        <f t="shared" si="82"/>
        <v>0</v>
      </c>
      <c r="CT31" s="382">
        <f t="shared" si="82"/>
        <v>0</v>
      </c>
      <c r="CU31" s="382">
        <f t="shared" si="82"/>
        <v>0</v>
      </c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</row>
    <row r="32" spans="1:281">
      <c r="A32" s="1" t="s">
        <v>255</v>
      </c>
      <c r="D32" s="400">
        <f>$D$3</f>
        <v>43190</v>
      </c>
      <c r="E32" s="400">
        <f>EOMONTH(D32,12)</f>
        <v>43555</v>
      </c>
      <c r="F32" s="400">
        <f t="shared" ref="F32:AA32" si="83">EOMONTH(E32,12)</f>
        <v>43921</v>
      </c>
      <c r="G32" s="400">
        <f t="shared" si="83"/>
        <v>44286</v>
      </c>
      <c r="H32" s="400">
        <f t="shared" si="83"/>
        <v>44651</v>
      </c>
      <c r="I32" s="400">
        <f t="shared" si="83"/>
        <v>45016</v>
      </c>
      <c r="J32" s="400">
        <f t="shared" si="83"/>
        <v>45382</v>
      </c>
      <c r="K32" s="400">
        <f t="shared" si="83"/>
        <v>45747</v>
      </c>
      <c r="L32" s="400">
        <f t="shared" si="83"/>
        <v>46112</v>
      </c>
      <c r="M32" s="400">
        <f t="shared" si="83"/>
        <v>46477</v>
      </c>
      <c r="N32" s="400">
        <f t="shared" si="83"/>
        <v>46843</v>
      </c>
      <c r="O32" s="400">
        <f t="shared" si="83"/>
        <v>47208</v>
      </c>
      <c r="P32" s="400">
        <f t="shared" si="83"/>
        <v>47573</v>
      </c>
      <c r="Q32" s="400">
        <f t="shared" si="83"/>
        <v>47938</v>
      </c>
      <c r="R32" s="400">
        <f t="shared" si="83"/>
        <v>48304</v>
      </c>
      <c r="S32" s="400">
        <f t="shared" si="83"/>
        <v>48669</v>
      </c>
      <c r="T32" s="400">
        <f t="shared" si="83"/>
        <v>49034</v>
      </c>
      <c r="U32" s="400">
        <f t="shared" si="83"/>
        <v>49399</v>
      </c>
      <c r="V32" s="400">
        <f t="shared" si="83"/>
        <v>49765</v>
      </c>
      <c r="W32" s="400">
        <f t="shared" si="83"/>
        <v>50130</v>
      </c>
      <c r="X32" s="400">
        <f t="shared" si="83"/>
        <v>50495</v>
      </c>
      <c r="Y32" s="400">
        <f t="shared" si="83"/>
        <v>50860</v>
      </c>
      <c r="Z32" s="400">
        <f t="shared" si="83"/>
        <v>51226</v>
      </c>
      <c r="AA32" s="400">
        <f t="shared" si="83"/>
        <v>51591</v>
      </c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</row>
    <row r="33" spans="1:281">
      <c r="A33" t="s">
        <v>249</v>
      </c>
      <c r="D33" s="9">
        <f>D26</f>
        <v>0</v>
      </c>
      <c r="E33" s="9" t="e">
        <f t="shared" ref="E33:AA33" ca="1" si="84">D36</f>
        <v>#DIV/0!</v>
      </c>
      <c r="F33" s="9" t="e">
        <f t="shared" ca="1" si="84"/>
        <v>#DIV/0!</v>
      </c>
      <c r="G33" s="9" t="e">
        <f t="shared" ca="1" si="84"/>
        <v>#DIV/0!</v>
      </c>
      <c r="H33" s="9" t="e">
        <f t="shared" ca="1" si="84"/>
        <v>#DIV/0!</v>
      </c>
      <c r="I33" s="9" t="e">
        <f t="shared" ca="1" si="84"/>
        <v>#DIV/0!</v>
      </c>
      <c r="J33" s="9" t="e">
        <f t="shared" ca="1" si="84"/>
        <v>#DIV/0!</v>
      </c>
      <c r="K33" s="9" t="e">
        <f t="shared" ca="1" si="84"/>
        <v>#DIV/0!</v>
      </c>
      <c r="L33" s="9" t="e">
        <f t="shared" ca="1" si="84"/>
        <v>#DIV/0!</v>
      </c>
      <c r="M33" s="9" t="e">
        <f t="shared" ca="1" si="84"/>
        <v>#DIV/0!</v>
      </c>
      <c r="N33" s="9" t="e">
        <f t="shared" ca="1" si="84"/>
        <v>#DIV/0!</v>
      </c>
      <c r="O33" s="9" t="e">
        <f t="shared" ca="1" si="84"/>
        <v>#DIV/0!</v>
      </c>
      <c r="P33" s="9" t="e">
        <f t="shared" ca="1" si="84"/>
        <v>#DIV/0!</v>
      </c>
      <c r="Q33" s="9" t="e">
        <f t="shared" ca="1" si="84"/>
        <v>#DIV/0!</v>
      </c>
      <c r="R33" s="9" t="e">
        <f t="shared" ca="1" si="84"/>
        <v>#DIV/0!</v>
      </c>
      <c r="S33" s="9" t="e">
        <f t="shared" ca="1" si="84"/>
        <v>#DIV/0!</v>
      </c>
      <c r="T33" s="9" t="e">
        <f t="shared" ca="1" si="84"/>
        <v>#DIV/0!</v>
      </c>
      <c r="U33" s="9" t="e">
        <f t="shared" ca="1" si="84"/>
        <v>#DIV/0!</v>
      </c>
      <c r="V33" s="9" t="e">
        <f t="shared" ca="1" si="84"/>
        <v>#DIV/0!</v>
      </c>
      <c r="W33" s="9" t="e">
        <f t="shared" ca="1" si="84"/>
        <v>#DIV/0!</v>
      </c>
      <c r="X33" s="9" t="e">
        <f t="shared" ca="1" si="84"/>
        <v>#DIV/0!</v>
      </c>
      <c r="Y33" s="9" t="e">
        <f t="shared" ca="1" si="84"/>
        <v>#DIV/0!</v>
      </c>
      <c r="Z33" s="9" t="e">
        <f t="shared" ca="1" si="84"/>
        <v>#DIV/0!</v>
      </c>
      <c r="AA33" s="9" t="e">
        <f t="shared" ca="1" si="84"/>
        <v>#DIV/0!</v>
      </c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</row>
    <row r="34" spans="1:281">
      <c r="A34" t="s">
        <v>188</v>
      </c>
      <c r="D34" s="402">
        <f t="shared" ref="D34:AA34" si="85">SUMIF($D$3:$JU$3,D$42,$D20:$JU20)</f>
        <v>0</v>
      </c>
      <c r="E34" s="402">
        <f t="shared" si="85"/>
        <v>124.21393036265316</v>
      </c>
      <c r="F34" s="402">
        <f t="shared" si="85"/>
        <v>0</v>
      </c>
      <c r="G34" s="402">
        <f t="shared" si="85"/>
        <v>0</v>
      </c>
      <c r="H34" s="402">
        <f t="shared" si="85"/>
        <v>0</v>
      </c>
      <c r="I34" s="402">
        <f t="shared" si="85"/>
        <v>0</v>
      </c>
      <c r="J34" s="402">
        <f t="shared" si="85"/>
        <v>0</v>
      </c>
      <c r="K34" s="402">
        <f t="shared" si="85"/>
        <v>0</v>
      </c>
      <c r="L34" s="402">
        <f t="shared" si="85"/>
        <v>0</v>
      </c>
      <c r="M34" s="402">
        <f t="shared" si="85"/>
        <v>0</v>
      </c>
      <c r="N34" s="402">
        <f t="shared" si="85"/>
        <v>0</v>
      </c>
      <c r="O34" s="402">
        <f t="shared" si="85"/>
        <v>0</v>
      </c>
      <c r="P34" s="402">
        <f t="shared" si="85"/>
        <v>0</v>
      </c>
      <c r="Q34" s="402">
        <f t="shared" si="85"/>
        <v>0</v>
      </c>
      <c r="R34" s="402">
        <f t="shared" si="85"/>
        <v>0</v>
      </c>
      <c r="S34" s="402">
        <f t="shared" si="85"/>
        <v>0</v>
      </c>
      <c r="T34" s="402">
        <f t="shared" si="85"/>
        <v>0</v>
      </c>
      <c r="U34" s="402">
        <f t="shared" si="85"/>
        <v>0</v>
      </c>
      <c r="V34" s="402">
        <f t="shared" si="85"/>
        <v>0</v>
      </c>
      <c r="W34" s="402">
        <f t="shared" si="85"/>
        <v>0</v>
      </c>
      <c r="X34" s="402">
        <f t="shared" si="85"/>
        <v>0</v>
      </c>
      <c r="Y34" s="402">
        <f t="shared" si="85"/>
        <v>0</v>
      </c>
      <c r="Z34" s="402">
        <f t="shared" si="85"/>
        <v>0</v>
      </c>
      <c r="AA34" s="402">
        <f t="shared" si="85"/>
        <v>0</v>
      </c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</row>
    <row r="35" spans="1:281">
      <c r="A35" t="s">
        <v>250</v>
      </c>
      <c r="B35" s="403" t="e">
        <f ca="1">SUM(D35:AA35)</f>
        <v>#DIV/0!</v>
      </c>
      <c r="C35" s="403"/>
      <c r="D35" s="402" t="e">
        <f t="shared" ref="D35:AA35" ca="1" si="86">SUMIF($D$3:$JU$3,D$42,$D21:$JU21)</f>
        <v>#DIV/0!</v>
      </c>
      <c r="E35" s="402" t="e">
        <f t="shared" ca="1" si="86"/>
        <v>#DIV/0!</v>
      </c>
      <c r="F35" s="402" t="e">
        <f t="shared" ca="1" si="86"/>
        <v>#DIV/0!</v>
      </c>
      <c r="G35" s="402" t="e">
        <f t="shared" ca="1" si="86"/>
        <v>#DIV/0!</v>
      </c>
      <c r="H35" s="402" t="e">
        <f t="shared" ca="1" si="86"/>
        <v>#DIV/0!</v>
      </c>
      <c r="I35" s="402" t="e">
        <f t="shared" ca="1" si="86"/>
        <v>#DIV/0!</v>
      </c>
      <c r="J35" s="402" t="e">
        <f t="shared" ca="1" si="86"/>
        <v>#DIV/0!</v>
      </c>
      <c r="K35" s="402" t="e">
        <f t="shared" ca="1" si="86"/>
        <v>#DIV/0!</v>
      </c>
      <c r="L35" s="402" t="e">
        <f t="shared" ca="1" si="86"/>
        <v>#DIV/0!</v>
      </c>
      <c r="M35" s="402" t="e">
        <f t="shared" ca="1" si="86"/>
        <v>#DIV/0!</v>
      </c>
      <c r="N35" s="402" t="e">
        <f t="shared" ca="1" si="86"/>
        <v>#DIV/0!</v>
      </c>
      <c r="O35" s="402" t="e">
        <f t="shared" ca="1" si="86"/>
        <v>#DIV/0!</v>
      </c>
      <c r="P35" s="402" t="e">
        <f t="shared" ca="1" si="86"/>
        <v>#DIV/0!</v>
      </c>
      <c r="Q35" s="402" t="e">
        <f t="shared" ca="1" si="86"/>
        <v>#DIV/0!</v>
      </c>
      <c r="R35" s="402" t="e">
        <f t="shared" ca="1" si="86"/>
        <v>#DIV/0!</v>
      </c>
      <c r="S35" s="402" t="e">
        <f t="shared" ca="1" si="86"/>
        <v>#DIV/0!</v>
      </c>
      <c r="T35" s="402" t="e">
        <f t="shared" ca="1" si="86"/>
        <v>#DIV/0!</v>
      </c>
      <c r="U35" s="402" t="e">
        <f t="shared" ca="1" si="86"/>
        <v>#DIV/0!</v>
      </c>
      <c r="V35" s="402" t="e">
        <f t="shared" ca="1" si="86"/>
        <v>#DIV/0!</v>
      </c>
      <c r="W35" s="402" t="e">
        <f t="shared" ca="1" si="86"/>
        <v>#DIV/0!</v>
      </c>
      <c r="X35" s="402" t="e">
        <f t="shared" ca="1" si="86"/>
        <v>#DIV/0!</v>
      </c>
      <c r="Y35" s="402" t="e">
        <f t="shared" ca="1" si="86"/>
        <v>#DIV/0!</v>
      </c>
      <c r="Z35" s="402" t="e">
        <f t="shared" ca="1" si="86"/>
        <v>#DIV/0!</v>
      </c>
      <c r="AA35" s="402" t="e">
        <f t="shared" ca="1" si="86"/>
        <v>#DIV/0!</v>
      </c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</row>
    <row r="36" spans="1:281">
      <c r="A36" t="s">
        <v>251</v>
      </c>
      <c r="D36" s="9" t="e">
        <f ca="1">D33+D34-D35</f>
        <v>#DIV/0!</v>
      </c>
      <c r="E36" s="9" t="e">
        <f t="shared" ref="E36:AA36" ca="1" si="87">E33+E34-E35</f>
        <v>#DIV/0!</v>
      </c>
      <c r="F36" s="9" t="e">
        <f t="shared" ca="1" si="87"/>
        <v>#DIV/0!</v>
      </c>
      <c r="G36" s="9" t="e">
        <f t="shared" ca="1" si="87"/>
        <v>#DIV/0!</v>
      </c>
      <c r="H36" s="9" t="e">
        <f t="shared" ca="1" si="87"/>
        <v>#DIV/0!</v>
      </c>
      <c r="I36" s="9" t="e">
        <f t="shared" ca="1" si="87"/>
        <v>#DIV/0!</v>
      </c>
      <c r="J36" s="9" t="e">
        <f t="shared" ca="1" si="87"/>
        <v>#DIV/0!</v>
      </c>
      <c r="K36" s="9" t="e">
        <f t="shared" ca="1" si="87"/>
        <v>#DIV/0!</v>
      </c>
      <c r="L36" s="9" t="e">
        <f t="shared" ca="1" si="87"/>
        <v>#DIV/0!</v>
      </c>
      <c r="M36" s="9" t="e">
        <f t="shared" ca="1" si="87"/>
        <v>#DIV/0!</v>
      </c>
      <c r="N36" s="9" t="e">
        <f t="shared" ca="1" si="87"/>
        <v>#DIV/0!</v>
      </c>
      <c r="O36" s="9" t="e">
        <f t="shared" ca="1" si="87"/>
        <v>#DIV/0!</v>
      </c>
      <c r="P36" s="9" t="e">
        <f t="shared" ca="1" si="87"/>
        <v>#DIV/0!</v>
      </c>
      <c r="Q36" s="9" t="e">
        <f t="shared" ca="1" si="87"/>
        <v>#DIV/0!</v>
      </c>
      <c r="R36" s="9" t="e">
        <f t="shared" ca="1" si="87"/>
        <v>#DIV/0!</v>
      </c>
      <c r="S36" s="9" t="e">
        <f t="shared" ca="1" si="87"/>
        <v>#DIV/0!</v>
      </c>
      <c r="T36" s="9" t="e">
        <f t="shared" ca="1" si="87"/>
        <v>#DIV/0!</v>
      </c>
      <c r="U36" s="9" t="e">
        <f t="shared" ca="1" si="87"/>
        <v>#DIV/0!</v>
      </c>
      <c r="V36" s="9" t="e">
        <f t="shared" ca="1" si="87"/>
        <v>#DIV/0!</v>
      </c>
      <c r="W36" s="9" t="e">
        <f t="shared" ca="1" si="87"/>
        <v>#DIV/0!</v>
      </c>
      <c r="X36" s="9" t="e">
        <f t="shared" ca="1" si="87"/>
        <v>#DIV/0!</v>
      </c>
      <c r="Y36" s="9" t="e">
        <f t="shared" ca="1" si="87"/>
        <v>#DIV/0!</v>
      </c>
      <c r="Z36" s="9" t="e">
        <f t="shared" ca="1" si="87"/>
        <v>#DIV/0!</v>
      </c>
      <c r="AA36" s="9" t="e">
        <f t="shared" ca="1" si="87"/>
        <v>#DIV/0!</v>
      </c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</row>
    <row r="37" spans="1:281">
      <c r="A37" t="s">
        <v>256</v>
      </c>
      <c r="B37" s="403" t="e">
        <f ca="1">SUM(D37:AA37)</f>
        <v>#DIV/0!</v>
      </c>
      <c r="C37" s="403"/>
      <c r="D37" s="402">
        <f t="shared" ref="D37:AA37" si="88">SUMIF($D$3:$JU$3,D$42,$D23:$JU23)</f>
        <v>0</v>
      </c>
      <c r="E37" s="402">
        <f t="shared" si="88"/>
        <v>1.3986683500289121</v>
      </c>
      <c r="F37" s="402">
        <f t="shared" si="88"/>
        <v>0</v>
      </c>
      <c r="G37" s="402">
        <f t="shared" si="88"/>
        <v>0</v>
      </c>
      <c r="H37" s="402">
        <f t="shared" si="88"/>
        <v>0</v>
      </c>
      <c r="I37" s="402">
        <f t="shared" si="88"/>
        <v>10.559228493150686</v>
      </c>
      <c r="J37" s="402" t="e">
        <f t="shared" ca="1" si="88"/>
        <v>#DIV/0!</v>
      </c>
      <c r="K37" s="402" t="e">
        <f t="shared" ca="1" si="88"/>
        <v>#DIV/0!</v>
      </c>
      <c r="L37" s="402" t="e">
        <f t="shared" ca="1" si="88"/>
        <v>#DIV/0!</v>
      </c>
      <c r="M37" s="402" t="e">
        <f t="shared" ca="1" si="88"/>
        <v>#DIV/0!</v>
      </c>
      <c r="N37" s="402" t="e">
        <f t="shared" ca="1" si="88"/>
        <v>#DIV/0!</v>
      </c>
      <c r="O37" s="402" t="e">
        <f t="shared" ca="1" si="88"/>
        <v>#DIV/0!</v>
      </c>
      <c r="P37" s="402" t="e">
        <f t="shared" ca="1" si="88"/>
        <v>#DIV/0!</v>
      </c>
      <c r="Q37" s="402" t="e">
        <f t="shared" ca="1" si="88"/>
        <v>#DIV/0!</v>
      </c>
      <c r="R37" s="402" t="e">
        <f t="shared" ca="1" si="88"/>
        <v>#DIV/0!</v>
      </c>
      <c r="S37" s="402" t="e">
        <f t="shared" ca="1" si="88"/>
        <v>#DIV/0!</v>
      </c>
      <c r="T37" s="402" t="e">
        <f t="shared" ca="1" si="88"/>
        <v>#DIV/0!</v>
      </c>
      <c r="U37" s="402" t="e">
        <f t="shared" ca="1" si="88"/>
        <v>#DIV/0!</v>
      </c>
      <c r="V37" s="402" t="e">
        <f t="shared" ca="1" si="88"/>
        <v>#DIV/0!</v>
      </c>
      <c r="W37" s="402" t="e">
        <f t="shared" ca="1" si="88"/>
        <v>#DIV/0!</v>
      </c>
      <c r="X37" s="402" t="e">
        <f t="shared" ca="1" si="88"/>
        <v>#DIV/0!</v>
      </c>
      <c r="Y37" s="402" t="e">
        <f t="shared" ca="1" si="88"/>
        <v>#DIV/0!</v>
      </c>
      <c r="Z37" s="402" t="e">
        <f t="shared" ca="1" si="88"/>
        <v>#DIV/0!</v>
      </c>
      <c r="AA37" s="402" t="e">
        <f t="shared" ca="1" si="88"/>
        <v>#DIV/0!</v>
      </c>
    </row>
    <row r="38" spans="1:281" s="380" customFormat="1">
      <c r="A38" s="380" t="s">
        <v>254</v>
      </c>
      <c r="D38" s="382" t="e">
        <f ca="1">D37+D35</f>
        <v>#DIV/0!</v>
      </c>
      <c r="E38" s="382" t="e">
        <f t="shared" ref="E38:AA38" ca="1" si="89">E37+E35</f>
        <v>#DIV/0!</v>
      </c>
      <c r="F38" s="382" t="e">
        <f t="shared" ca="1" si="89"/>
        <v>#DIV/0!</v>
      </c>
      <c r="G38" s="382" t="e">
        <f t="shared" ca="1" si="89"/>
        <v>#DIV/0!</v>
      </c>
      <c r="H38" s="382" t="e">
        <f t="shared" ca="1" si="89"/>
        <v>#DIV/0!</v>
      </c>
      <c r="I38" s="382" t="e">
        <f t="shared" ca="1" si="89"/>
        <v>#DIV/0!</v>
      </c>
      <c r="J38" s="382" t="e">
        <f t="shared" ca="1" si="89"/>
        <v>#DIV/0!</v>
      </c>
      <c r="K38" s="382" t="e">
        <f t="shared" ca="1" si="89"/>
        <v>#DIV/0!</v>
      </c>
      <c r="L38" s="382" t="e">
        <f t="shared" ca="1" si="89"/>
        <v>#DIV/0!</v>
      </c>
      <c r="M38" s="382" t="e">
        <f t="shared" ca="1" si="89"/>
        <v>#DIV/0!</v>
      </c>
      <c r="N38" s="382" t="e">
        <f t="shared" ca="1" si="89"/>
        <v>#DIV/0!</v>
      </c>
      <c r="O38" s="382" t="e">
        <f t="shared" ca="1" si="89"/>
        <v>#DIV/0!</v>
      </c>
      <c r="P38" s="382" t="e">
        <f t="shared" ca="1" si="89"/>
        <v>#DIV/0!</v>
      </c>
      <c r="Q38" s="382" t="e">
        <f t="shared" ca="1" si="89"/>
        <v>#DIV/0!</v>
      </c>
      <c r="R38" s="382" t="e">
        <f t="shared" ca="1" si="89"/>
        <v>#DIV/0!</v>
      </c>
      <c r="S38" s="382" t="e">
        <f t="shared" ca="1" si="89"/>
        <v>#DIV/0!</v>
      </c>
      <c r="T38" s="382" t="e">
        <f t="shared" ca="1" si="89"/>
        <v>#DIV/0!</v>
      </c>
      <c r="U38" s="382" t="e">
        <f t="shared" ca="1" si="89"/>
        <v>#DIV/0!</v>
      </c>
      <c r="V38" s="382" t="e">
        <f t="shared" ca="1" si="89"/>
        <v>#DIV/0!</v>
      </c>
      <c r="W38" s="382" t="e">
        <f t="shared" ca="1" si="89"/>
        <v>#DIV/0!</v>
      </c>
      <c r="X38" s="382" t="e">
        <f t="shared" ca="1" si="89"/>
        <v>#DIV/0!</v>
      </c>
      <c r="Y38" s="382" t="e">
        <f t="shared" ca="1" si="89"/>
        <v>#DIV/0!</v>
      </c>
      <c r="Z38" s="382" t="e">
        <f t="shared" ca="1" si="89"/>
        <v>#DIV/0!</v>
      </c>
      <c r="AA38" s="382" t="e">
        <f t="shared" ca="1" si="89"/>
        <v>#DIV/0!</v>
      </c>
    </row>
    <row r="39" spans="1:281"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</row>
    <row r="40" spans="1:281"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</row>
    <row r="41" spans="1:281"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</row>
    <row r="42" spans="1:281" s="66" customFormat="1">
      <c r="A42" s="404" t="s">
        <v>257</v>
      </c>
      <c r="B42" s="8"/>
      <c r="C42" s="8"/>
      <c r="D42" s="7">
        <f>$D$3</f>
        <v>43190</v>
      </c>
      <c r="E42" s="7">
        <f t="shared" ref="E42:AA42" si="90">EOMONTH(D42,12)</f>
        <v>43555</v>
      </c>
      <c r="F42" s="7">
        <f t="shared" si="90"/>
        <v>43921</v>
      </c>
      <c r="G42" s="7">
        <f t="shared" si="90"/>
        <v>44286</v>
      </c>
      <c r="H42" s="7">
        <f t="shared" si="90"/>
        <v>44651</v>
      </c>
      <c r="I42" s="7">
        <f t="shared" si="90"/>
        <v>45016</v>
      </c>
      <c r="J42" s="7">
        <f t="shared" si="90"/>
        <v>45382</v>
      </c>
      <c r="K42" s="7">
        <f t="shared" si="90"/>
        <v>45747</v>
      </c>
      <c r="L42" s="7">
        <f t="shared" si="90"/>
        <v>46112</v>
      </c>
      <c r="M42" s="7">
        <f t="shared" si="90"/>
        <v>46477</v>
      </c>
      <c r="N42" s="7">
        <f t="shared" si="90"/>
        <v>46843</v>
      </c>
      <c r="O42" s="7">
        <f t="shared" si="90"/>
        <v>47208</v>
      </c>
      <c r="P42" s="7">
        <f t="shared" si="90"/>
        <v>47573</v>
      </c>
      <c r="Q42" s="7">
        <f t="shared" si="90"/>
        <v>47938</v>
      </c>
      <c r="R42" s="7">
        <f t="shared" si="90"/>
        <v>48304</v>
      </c>
      <c r="S42" s="7">
        <f t="shared" si="90"/>
        <v>48669</v>
      </c>
      <c r="T42" s="7">
        <f t="shared" si="90"/>
        <v>49034</v>
      </c>
      <c r="U42" s="7">
        <f t="shared" si="90"/>
        <v>49399</v>
      </c>
      <c r="V42" s="7">
        <f t="shared" si="90"/>
        <v>49765</v>
      </c>
      <c r="W42" s="7">
        <f t="shared" si="90"/>
        <v>50130</v>
      </c>
      <c r="X42" s="7">
        <f t="shared" si="90"/>
        <v>50495</v>
      </c>
      <c r="Y42" s="7">
        <f t="shared" si="90"/>
        <v>50860</v>
      </c>
      <c r="Z42" s="7">
        <f t="shared" si="90"/>
        <v>51226</v>
      </c>
      <c r="AA42" s="7">
        <f t="shared" si="90"/>
        <v>51591</v>
      </c>
      <c r="AB42" s="418"/>
    </row>
    <row r="43" spans="1:281">
      <c r="A43" s="46" t="s">
        <v>258</v>
      </c>
      <c r="B43" s="405">
        <f>SUM(D43:AA43)</f>
        <v>1</v>
      </c>
      <c r="C43" s="406"/>
      <c r="D43" s="407"/>
      <c r="E43" s="407"/>
      <c r="F43" s="407">
        <v>0.04</v>
      </c>
      <c r="G43" s="407">
        <v>3.2500000000000001E-2</v>
      </c>
      <c r="H43" s="407">
        <v>5.5E-2</v>
      </c>
      <c r="I43" s="407">
        <v>5.5E-2</v>
      </c>
      <c r="J43" s="407">
        <v>5.5E-2</v>
      </c>
      <c r="K43" s="407">
        <v>5.5E-2</v>
      </c>
      <c r="L43" s="407">
        <v>5.5E-2</v>
      </c>
      <c r="M43" s="407">
        <v>5.5E-2</v>
      </c>
      <c r="N43" s="407">
        <v>5.5E-2</v>
      </c>
      <c r="O43" s="407">
        <v>5.5E-2</v>
      </c>
      <c r="P43" s="407">
        <v>5.5E-2</v>
      </c>
      <c r="Q43" s="407">
        <v>0.06</v>
      </c>
      <c r="R43" s="407">
        <v>0.06</v>
      </c>
      <c r="S43" s="407">
        <v>0.06</v>
      </c>
      <c r="T43" s="407">
        <v>6.25E-2</v>
      </c>
      <c r="U43" s="407">
        <v>6.5000000000000002E-2</v>
      </c>
      <c r="V43" s="407">
        <v>6.5000000000000002E-2</v>
      </c>
      <c r="W43" s="417">
        <f>IF(SUM($D$43:V43)&lt;100%,100%-SUM($D$43:V43),0)</f>
        <v>6.0000000000000053E-2</v>
      </c>
      <c r="X43" s="417">
        <f>IF(SUM($D$43:W43)&lt;100%,100%-SUM($D$43:W43),0)</f>
        <v>0</v>
      </c>
      <c r="Y43" s="417">
        <f>IF(SUM($D$43:X43)&lt;100%,100%-SUM($D$43:X43),0)</f>
        <v>0</v>
      </c>
      <c r="Z43" s="417">
        <f>IF(SUM($D$43:Y43)&lt;100%,100%-SUM($D$43:Y43),0)</f>
        <v>0</v>
      </c>
      <c r="AA43" s="417">
        <f>IF(SUM($D$43:Z43)&lt;100%,100%-SUM($D$43:Z43),0)</f>
        <v>0</v>
      </c>
    </row>
    <row r="44" spans="1:281">
      <c r="A44" s="46" t="s">
        <v>259</v>
      </c>
      <c r="B44" s="408">
        <f>SUM(D44:AA44)</f>
        <v>216</v>
      </c>
      <c r="C44" s="408"/>
      <c r="D44" s="62">
        <f t="shared" ref="D44:AA44" si="91">SUMIF($3:$3,D42,$9:$9)</f>
        <v>0</v>
      </c>
      <c r="E44" s="62">
        <f t="shared" si="91"/>
        <v>0</v>
      </c>
      <c r="F44" s="62">
        <f t="shared" si="91"/>
        <v>12</v>
      </c>
      <c r="G44" s="62">
        <f t="shared" si="91"/>
        <v>12</v>
      </c>
      <c r="H44" s="62">
        <f t="shared" si="91"/>
        <v>12</v>
      </c>
      <c r="I44" s="62">
        <f t="shared" si="91"/>
        <v>12</v>
      </c>
      <c r="J44" s="62">
        <f t="shared" si="91"/>
        <v>12</v>
      </c>
      <c r="K44" s="62">
        <f t="shared" si="91"/>
        <v>12</v>
      </c>
      <c r="L44" s="62">
        <f t="shared" si="91"/>
        <v>12</v>
      </c>
      <c r="M44" s="62">
        <f t="shared" si="91"/>
        <v>12</v>
      </c>
      <c r="N44" s="62">
        <f t="shared" si="91"/>
        <v>12</v>
      </c>
      <c r="O44" s="62">
        <f t="shared" si="91"/>
        <v>12</v>
      </c>
      <c r="P44" s="62">
        <f t="shared" si="91"/>
        <v>12</v>
      </c>
      <c r="Q44" s="62">
        <f t="shared" si="91"/>
        <v>12</v>
      </c>
      <c r="R44" s="62">
        <f t="shared" si="91"/>
        <v>12</v>
      </c>
      <c r="S44" s="62">
        <f t="shared" si="91"/>
        <v>12</v>
      </c>
      <c r="T44" s="62">
        <f t="shared" si="91"/>
        <v>12</v>
      </c>
      <c r="U44" s="62">
        <f t="shared" si="91"/>
        <v>12</v>
      </c>
      <c r="V44" s="62">
        <f t="shared" si="91"/>
        <v>12</v>
      </c>
      <c r="W44" s="62">
        <f t="shared" si="91"/>
        <v>12</v>
      </c>
      <c r="X44" s="62">
        <f t="shared" si="91"/>
        <v>0</v>
      </c>
      <c r="Y44" s="62">
        <f t="shared" si="91"/>
        <v>0</v>
      </c>
      <c r="Z44" s="62">
        <f t="shared" si="91"/>
        <v>0</v>
      </c>
      <c r="AA44" s="62">
        <f t="shared" si="91"/>
        <v>0</v>
      </c>
    </row>
    <row r="46" spans="1:281">
      <c r="A46" s="380" t="s">
        <v>260</v>
      </c>
      <c r="D46" s="9">
        <f>Financials!H31</f>
        <v>-655.19999999999982</v>
      </c>
      <c r="E46" s="9">
        <f>Financials!I31+Financials!I62</f>
        <v>-987.18133334081972</v>
      </c>
      <c r="F46" s="9">
        <f>Financials!J31</f>
        <v>-286.89999999999998</v>
      </c>
      <c r="G46" s="9">
        <f>Financials!K31*G44/Assum!$B$95</f>
        <v>522.16000000000031</v>
      </c>
      <c r="H46" s="9">
        <f>Financials!L31*H44/Assum!$B$95</f>
        <v>-59.669999999999781</v>
      </c>
      <c r="I46" s="9">
        <f>Financials!M31*I44/Assum!$B$95</f>
        <v>-74.559999999999548</v>
      </c>
      <c r="J46" s="9">
        <f>Financials!N31*J44/Assum!$B$95</f>
        <v>-1296.0240900626118</v>
      </c>
      <c r="K46" s="9">
        <f>Financials!O31*K44/Assum!$B$95</f>
        <v>-1376.9437087410604</v>
      </c>
      <c r="L46" s="9">
        <f>Financials!P31*L44/Assum!$B$95</f>
        <v>-1462.4111052451051</v>
      </c>
      <c r="M46" s="9">
        <f>Financials!Q31*M44/Assum!$B$95</f>
        <v>-1502.1291827183124</v>
      </c>
      <c r="N46" s="9">
        <f>Financials!R31*N44/Assum!$B$95</f>
        <v>-1598.753527403386</v>
      </c>
      <c r="O46" s="9">
        <f>Financials!S31*O44/Assum!$B$95</f>
        <v>-1662.5566739640374</v>
      </c>
      <c r="P46" s="9">
        <f>Financials!T31*P44/Assum!$B$95</f>
        <v>-1664.7255665067871</v>
      </c>
      <c r="Q46" s="9">
        <f>Financials!U31*Q44/Assum!$B$95</f>
        <v>-1818.059888617461</v>
      </c>
      <c r="R46" s="9">
        <f>Financials!V31*R44/Assum!$B$95</f>
        <v>-1932.7156136920578</v>
      </c>
      <c r="S46" s="9">
        <f>Financials!W31*S44/Assum!$B$95</f>
        <v>-1988.4260154656506</v>
      </c>
      <c r="T46" s="9">
        <f>Financials!X31*T44/Assum!$B$95</f>
        <v>-2019.0297567775099</v>
      </c>
      <c r="U46" s="9">
        <f>Financials!Y31*U44/Assum!$B$95</f>
        <v>-2200.7163530390608</v>
      </c>
      <c r="V46" s="9">
        <f>Financials!Z31*V44/Assum!$B$95</f>
        <v>-2215.9256182327122</v>
      </c>
      <c r="W46" s="9">
        <f>Financials!AA31*W44/Assum!$B$95</f>
        <v>-2392.2008461002415</v>
      </c>
      <c r="X46" s="9">
        <f>Financials!AB31*X44/Assum!$B$95</f>
        <v>0</v>
      </c>
      <c r="Y46" s="9">
        <f>Financials!AC31*Y44/Assum!$B$95</f>
        <v>0</v>
      </c>
      <c r="Z46" s="9">
        <f>Financials!AD31*Z44/Assum!$B$95</f>
        <v>0</v>
      </c>
      <c r="AA46" s="9">
        <f>Financials!AE31*AA44/Assum!$B$95</f>
        <v>0</v>
      </c>
    </row>
    <row r="47" spans="1:281">
      <c r="A47" s="380" t="s">
        <v>93</v>
      </c>
      <c r="D47" s="9">
        <f>Financials!H19</f>
        <v>200.35</v>
      </c>
      <c r="E47" s="9">
        <f>Financials!I19</f>
        <v>201.57</v>
      </c>
      <c r="F47" s="9">
        <f>Financials!J19</f>
        <v>200.79</v>
      </c>
      <c r="G47" s="9">
        <f>Financials!K19*G44/Assum!$B$95</f>
        <v>200.30000000000004</v>
      </c>
      <c r="H47" s="9">
        <f>Financials!L19*H44/Assum!$B$95</f>
        <v>199.75</v>
      </c>
      <c r="I47" s="9">
        <f>Financials!M19*I44/Assum!$B$95</f>
        <v>201.49</v>
      </c>
      <c r="J47" s="9">
        <f>Financials!N19*J44/Assum!$B$95</f>
        <v>293.76993008219182</v>
      </c>
      <c r="K47" s="9">
        <f>Financials!O19*K44/Assum!$B$95</f>
        <v>292.96728000000002</v>
      </c>
      <c r="L47" s="9">
        <f>Financials!P19*L44/Assum!$B$95</f>
        <v>292.96728000000002</v>
      </c>
      <c r="M47" s="9">
        <f>Financials!Q19*M44/Assum!$B$95</f>
        <v>292.96728000000002</v>
      </c>
      <c r="N47" s="9">
        <f>Financials!R19*N44/Assum!$B$95</f>
        <v>293.76993008219182</v>
      </c>
      <c r="O47" s="9">
        <f>Financials!S19*O44/Assum!$B$95</f>
        <v>292.96728000000002</v>
      </c>
      <c r="P47" s="9">
        <f>Financials!T19*P44/Assum!$B$95</f>
        <v>292.96728000000002</v>
      </c>
      <c r="Q47" s="9">
        <f>Financials!U19*Q44/Assum!$B$95</f>
        <v>292.96728000000002</v>
      </c>
      <c r="R47" s="9">
        <f>Financials!V19*R44/Assum!$B$95</f>
        <v>293.76993008219182</v>
      </c>
      <c r="S47" s="9">
        <f>Financials!W19*S44/Assum!$B$95</f>
        <v>292.96728000000002</v>
      </c>
      <c r="T47" s="9">
        <f>Financials!X19*T44/Assum!$B$95</f>
        <v>292.96728000000002</v>
      </c>
      <c r="U47" s="9">
        <f>Financials!Y19*U44/Assum!$B$95</f>
        <v>292.96728000000002</v>
      </c>
      <c r="V47" s="9">
        <f>Financials!Z19*V44/Assum!$B$95</f>
        <v>293.76993008219182</v>
      </c>
      <c r="W47" s="9">
        <f>Financials!AA19*W44/Assum!$B$95</f>
        <v>292.96728000000002</v>
      </c>
      <c r="X47" s="9">
        <f>Financials!AB19*X44/Assum!$B$95</f>
        <v>0</v>
      </c>
      <c r="Y47" s="9">
        <f>Financials!AC19*Y44/Assum!$B$95</f>
        <v>0</v>
      </c>
      <c r="Z47" s="9">
        <f>Financials!AD19*Z44/Assum!$B$95</f>
        <v>0</v>
      </c>
      <c r="AA47" s="9">
        <f>Financials!AE19*AA44/Assum!$B$95</f>
        <v>0</v>
      </c>
    </row>
    <row r="48" spans="1:281">
      <c r="A48" s="380" t="s">
        <v>261</v>
      </c>
      <c r="D48" s="9">
        <f>ROUND(D37,0)</f>
        <v>0</v>
      </c>
      <c r="E48" s="9">
        <f>ROUND(E37,0)-Financials!I62</f>
        <v>-0.39866665918037936</v>
      </c>
      <c r="F48" s="9">
        <f t="shared" ref="F48:AA48" si="92">ROUND(F37,0)</f>
        <v>0</v>
      </c>
      <c r="G48" s="9">
        <f t="shared" si="92"/>
        <v>0</v>
      </c>
      <c r="H48" s="9">
        <f t="shared" si="92"/>
        <v>0</v>
      </c>
      <c r="I48" s="9">
        <f t="shared" si="92"/>
        <v>11</v>
      </c>
      <c r="J48" s="9" t="e">
        <f t="shared" ca="1" si="92"/>
        <v>#DIV/0!</v>
      </c>
      <c r="K48" s="9" t="e">
        <f t="shared" ca="1" si="92"/>
        <v>#DIV/0!</v>
      </c>
      <c r="L48" s="9" t="e">
        <f t="shared" ca="1" si="92"/>
        <v>#DIV/0!</v>
      </c>
      <c r="M48" s="9" t="e">
        <f t="shared" ca="1" si="92"/>
        <v>#DIV/0!</v>
      </c>
      <c r="N48" s="9" t="e">
        <f t="shared" ca="1" si="92"/>
        <v>#DIV/0!</v>
      </c>
      <c r="O48" s="9" t="e">
        <f t="shared" ca="1" si="92"/>
        <v>#DIV/0!</v>
      </c>
      <c r="P48" s="9" t="e">
        <f t="shared" ca="1" si="92"/>
        <v>#DIV/0!</v>
      </c>
      <c r="Q48" s="9" t="e">
        <f t="shared" ca="1" si="92"/>
        <v>#DIV/0!</v>
      </c>
      <c r="R48" s="9" t="e">
        <f t="shared" ca="1" si="92"/>
        <v>#DIV/0!</v>
      </c>
      <c r="S48" s="9" t="e">
        <f t="shared" ca="1" si="92"/>
        <v>#DIV/0!</v>
      </c>
      <c r="T48" s="9" t="e">
        <f t="shared" ca="1" si="92"/>
        <v>#DIV/0!</v>
      </c>
      <c r="U48" s="9" t="e">
        <f t="shared" ca="1" si="92"/>
        <v>#DIV/0!</v>
      </c>
      <c r="V48" s="9" t="e">
        <f t="shared" ca="1" si="92"/>
        <v>#DIV/0!</v>
      </c>
      <c r="W48" s="9" t="e">
        <f t="shared" ca="1" si="92"/>
        <v>#DIV/0!</v>
      </c>
      <c r="X48" s="9" t="e">
        <f t="shared" ca="1" si="92"/>
        <v>#DIV/0!</v>
      </c>
      <c r="Y48" s="9" t="e">
        <f t="shared" ca="1" si="92"/>
        <v>#DIV/0!</v>
      </c>
      <c r="Z48" s="9" t="e">
        <f t="shared" ca="1" si="92"/>
        <v>#DIV/0!</v>
      </c>
      <c r="AA48" s="9" t="e">
        <f t="shared" ca="1" si="92"/>
        <v>#DIV/0!</v>
      </c>
    </row>
    <row r="49" spans="1:281">
      <c r="A49" s="383" t="s">
        <v>262</v>
      </c>
      <c r="D49" s="9">
        <f>SUM(D46:D48)</f>
        <v>-454.8499999999998</v>
      </c>
      <c r="E49" s="9">
        <f t="shared" ref="E49:K49" si="93">SUM(E46:E48)</f>
        <v>-786.01000000000022</v>
      </c>
      <c r="F49" s="9">
        <f t="shared" si="93"/>
        <v>-86.109999999999985</v>
      </c>
      <c r="G49" s="9">
        <f t="shared" si="93"/>
        <v>722.46000000000038</v>
      </c>
      <c r="H49" s="9">
        <f t="shared" si="93"/>
        <v>140.08000000000021</v>
      </c>
      <c r="I49" s="9">
        <f t="shared" si="93"/>
        <v>137.93000000000046</v>
      </c>
      <c r="J49" s="9" t="e">
        <f t="shared" ca="1" si="93"/>
        <v>#DIV/0!</v>
      </c>
      <c r="K49" s="9" t="e">
        <f t="shared" ca="1" si="93"/>
        <v>#DIV/0!</v>
      </c>
      <c r="L49" s="9" t="e">
        <f t="shared" ref="L49:AA49" ca="1" si="94">SUM(L46:L48)</f>
        <v>#DIV/0!</v>
      </c>
      <c r="M49" s="9" t="e">
        <f t="shared" ca="1" si="94"/>
        <v>#DIV/0!</v>
      </c>
      <c r="N49" s="9" t="e">
        <f t="shared" ca="1" si="94"/>
        <v>#DIV/0!</v>
      </c>
      <c r="O49" s="9" t="e">
        <f t="shared" ca="1" si="94"/>
        <v>#DIV/0!</v>
      </c>
      <c r="P49" s="9" t="e">
        <f t="shared" ca="1" si="94"/>
        <v>#VALUE!</v>
      </c>
      <c r="Q49" s="9" t="e">
        <f t="shared" ca="1" si="94"/>
        <v>#VALUE!</v>
      </c>
      <c r="R49" s="9" t="e">
        <f t="shared" ca="1" si="94"/>
        <v>#VALUE!</v>
      </c>
      <c r="S49" s="9" t="e">
        <f t="shared" ca="1" si="94"/>
        <v>#VALUE!</v>
      </c>
      <c r="T49" s="9" t="e">
        <f t="shared" ca="1" si="94"/>
        <v>#VALUE!</v>
      </c>
      <c r="U49" s="9" t="e">
        <f t="shared" ca="1" si="94"/>
        <v>#VALUE!</v>
      </c>
      <c r="V49" s="9" t="e">
        <f t="shared" ca="1" si="94"/>
        <v>#VALUE!</v>
      </c>
      <c r="W49" s="9" t="e">
        <f t="shared" ca="1" si="94"/>
        <v>#VALUE!</v>
      </c>
      <c r="X49" s="9" t="e">
        <f t="shared" ca="1" si="94"/>
        <v>#VALUE!</v>
      </c>
      <c r="Y49" s="9" t="e">
        <f t="shared" ca="1" si="94"/>
        <v>#VALUE!</v>
      </c>
      <c r="Z49" s="9" t="e">
        <f t="shared" ca="1" si="94"/>
        <v>#VALUE!</v>
      </c>
      <c r="AA49" s="9" t="e">
        <f t="shared" ca="1" si="94"/>
        <v>#VALUE!</v>
      </c>
    </row>
    <row r="51" spans="1:281">
      <c r="A51" t="s">
        <v>261</v>
      </c>
      <c r="D51" s="9">
        <f>D48</f>
        <v>0</v>
      </c>
      <c r="E51" s="9">
        <f>E48</f>
        <v>-0.39866665918037936</v>
      </c>
      <c r="F51" s="9">
        <f t="shared" ref="F51:AA51" si="95">F48</f>
        <v>0</v>
      </c>
      <c r="G51" s="9">
        <f t="shared" si="95"/>
        <v>0</v>
      </c>
      <c r="H51" s="9">
        <f t="shared" si="95"/>
        <v>0</v>
      </c>
      <c r="I51" s="9">
        <f t="shared" si="95"/>
        <v>11</v>
      </c>
      <c r="J51" s="9" t="e">
        <f t="shared" ca="1" si="95"/>
        <v>#DIV/0!</v>
      </c>
      <c r="K51" s="9" t="e">
        <f t="shared" ca="1" si="95"/>
        <v>#DIV/0!</v>
      </c>
      <c r="L51" s="9" t="e">
        <f t="shared" ca="1" si="95"/>
        <v>#DIV/0!</v>
      </c>
      <c r="M51" s="9" t="e">
        <f t="shared" ca="1" si="95"/>
        <v>#DIV/0!</v>
      </c>
      <c r="N51" s="9" t="e">
        <f t="shared" ca="1" si="95"/>
        <v>#DIV/0!</v>
      </c>
      <c r="O51" s="9" t="e">
        <f t="shared" ca="1" si="95"/>
        <v>#DIV/0!</v>
      </c>
      <c r="P51" s="9" t="e">
        <f t="shared" ca="1" si="95"/>
        <v>#DIV/0!</v>
      </c>
      <c r="Q51" s="9" t="e">
        <f t="shared" ca="1" si="95"/>
        <v>#DIV/0!</v>
      </c>
      <c r="R51" s="9" t="e">
        <f t="shared" ca="1" si="95"/>
        <v>#DIV/0!</v>
      </c>
      <c r="S51" s="9" t="e">
        <f t="shared" ca="1" si="95"/>
        <v>#DIV/0!</v>
      </c>
      <c r="T51" s="9" t="e">
        <f t="shared" ca="1" si="95"/>
        <v>#DIV/0!</v>
      </c>
      <c r="U51" s="9" t="e">
        <f t="shared" ca="1" si="95"/>
        <v>#DIV/0!</v>
      </c>
      <c r="V51" s="9" t="e">
        <f t="shared" ca="1" si="95"/>
        <v>#DIV/0!</v>
      </c>
      <c r="W51" s="9" t="e">
        <f t="shared" ca="1" si="95"/>
        <v>#DIV/0!</v>
      </c>
      <c r="X51" s="9" t="e">
        <f t="shared" ca="1" si="95"/>
        <v>#DIV/0!</v>
      </c>
      <c r="Y51" s="9" t="e">
        <f t="shared" ca="1" si="95"/>
        <v>#DIV/0!</v>
      </c>
      <c r="Z51" s="9" t="e">
        <f t="shared" ca="1" si="95"/>
        <v>#DIV/0!</v>
      </c>
      <c r="AA51" s="9" t="e">
        <f t="shared" ca="1" si="95"/>
        <v>#DIV/0!</v>
      </c>
    </row>
    <row r="52" spans="1:281" s="380" customFormat="1">
      <c r="A52" s="380" t="s">
        <v>263</v>
      </c>
      <c r="D52" s="382" t="e">
        <f ca="1">D35</f>
        <v>#DIV/0!</v>
      </c>
      <c r="E52" s="382" t="e">
        <f t="shared" ref="E52:AA52" ca="1" si="96">E35</f>
        <v>#DIV/0!</v>
      </c>
      <c r="F52" s="382" t="e">
        <f t="shared" ca="1" si="96"/>
        <v>#DIV/0!</v>
      </c>
      <c r="G52" s="382" t="e">
        <f t="shared" ca="1" si="96"/>
        <v>#DIV/0!</v>
      </c>
      <c r="H52" s="382" t="e">
        <f t="shared" ca="1" si="96"/>
        <v>#DIV/0!</v>
      </c>
      <c r="I52" s="382" t="e">
        <f t="shared" ca="1" si="96"/>
        <v>#DIV/0!</v>
      </c>
      <c r="J52" s="382" t="e">
        <f t="shared" ca="1" si="96"/>
        <v>#DIV/0!</v>
      </c>
      <c r="K52" s="382" t="e">
        <f t="shared" ca="1" si="96"/>
        <v>#DIV/0!</v>
      </c>
      <c r="L52" s="382" t="e">
        <f t="shared" ca="1" si="96"/>
        <v>#DIV/0!</v>
      </c>
      <c r="M52" s="382" t="e">
        <f t="shared" ca="1" si="96"/>
        <v>#DIV/0!</v>
      </c>
      <c r="N52" s="382" t="e">
        <f t="shared" ca="1" si="96"/>
        <v>#DIV/0!</v>
      </c>
      <c r="O52" s="382" t="e">
        <f t="shared" ca="1" si="96"/>
        <v>#DIV/0!</v>
      </c>
      <c r="P52" s="382" t="e">
        <f t="shared" ca="1" si="96"/>
        <v>#DIV/0!</v>
      </c>
      <c r="Q52" s="382" t="e">
        <f t="shared" ca="1" si="96"/>
        <v>#DIV/0!</v>
      </c>
      <c r="R52" s="382" t="e">
        <f t="shared" ca="1" si="96"/>
        <v>#DIV/0!</v>
      </c>
      <c r="S52" s="382" t="e">
        <f t="shared" ca="1" si="96"/>
        <v>#DIV/0!</v>
      </c>
      <c r="T52" s="382" t="e">
        <f t="shared" ca="1" si="96"/>
        <v>#DIV/0!</v>
      </c>
      <c r="U52" s="382" t="e">
        <f t="shared" ca="1" si="96"/>
        <v>#DIV/0!</v>
      </c>
      <c r="V52" s="382" t="e">
        <f t="shared" ca="1" si="96"/>
        <v>#DIV/0!</v>
      </c>
      <c r="W52" s="382" t="e">
        <f t="shared" ca="1" si="96"/>
        <v>#DIV/0!</v>
      </c>
      <c r="X52" s="382" t="e">
        <f t="shared" ca="1" si="96"/>
        <v>#DIV/0!</v>
      </c>
      <c r="Y52" s="382" t="e">
        <f t="shared" ca="1" si="96"/>
        <v>#DIV/0!</v>
      </c>
      <c r="Z52" s="382" t="e">
        <f t="shared" ca="1" si="96"/>
        <v>#DIV/0!</v>
      </c>
      <c r="AA52" s="382" t="e">
        <f t="shared" ca="1" si="96"/>
        <v>#DIV/0!</v>
      </c>
    </row>
    <row r="53" spans="1:281" s="383" customFormat="1">
      <c r="A53" s="383" t="s">
        <v>254</v>
      </c>
      <c r="D53" s="409" t="e">
        <f ca="1">D51+D52</f>
        <v>#DIV/0!</v>
      </c>
      <c r="E53" s="409" t="e">
        <f t="shared" ref="E53:AA53" ca="1" si="97">E51+E52</f>
        <v>#DIV/0!</v>
      </c>
      <c r="F53" s="409" t="e">
        <f t="shared" ca="1" si="97"/>
        <v>#DIV/0!</v>
      </c>
      <c r="G53" s="409" t="e">
        <f t="shared" ca="1" si="97"/>
        <v>#DIV/0!</v>
      </c>
      <c r="H53" s="409" t="e">
        <f t="shared" ca="1" si="97"/>
        <v>#DIV/0!</v>
      </c>
      <c r="I53" s="409" t="e">
        <f t="shared" ca="1" si="97"/>
        <v>#DIV/0!</v>
      </c>
      <c r="J53" s="409" t="e">
        <f t="shared" ca="1" si="97"/>
        <v>#DIV/0!</v>
      </c>
      <c r="K53" s="409" t="e">
        <f t="shared" ca="1" si="97"/>
        <v>#DIV/0!</v>
      </c>
      <c r="L53" s="409" t="e">
        <f t="shared" ca="1" si="97"/>
        <v>#DIV/0!</v>
      </c>
      <c r="M53" s="409" t="e">
        <f t="shared" ca="1" si="97"/>
        <v>#DIV/0!</v>
      </c>
      <c r="N53" s="409" t="e">
        <f t="shared" ca="1" si="97"/>
        <v>#DIV/0!</v>
      </c>
      <c r="O53" s="409" t="e">
        <f t="shared" ca="1" si="97"/>
        <v>#DIV/0!</v>
      </c>
      <c r="P53" s="409" t="e">
        <f t="shared" ca="1" si="97"/>
        <v>#DIV/0!</v>
      </c>
      <c r="Q53" s="409" t="e">
        <f t="shared" ca="1" si="97"/>
        <v>#DIV/0!</v>
      </c>
      <c r="R53" s="409" t="e">
        <f t="shared" ca="1" si="97"/>
        <v>#DIV/0!</v>
      </c>
      <c r="S53" s="409" t="e">
        <f t="shared" ca="1" si="97"/>
        <v>#DIV/0!</v>
      </c>
      <c r="T53" s="409" t="e">
        <f t="shared" ca="1" si="97"/>
        <v>#DIV/0!</v>
      </c>
      <c r="U53" s="409" t="e">
        <f t="shared" ca="1" si="97"/>
        <v>#DIV/0!</v>
      </c>
      <c r="V53" s="409" t="e">
        <f t="shared" ca="1" si="97"/>
        <v>#DIV/0!</v>
      </c>
      <c r="W53" s="409" t="e">
        <f t="shared" ca="1" si="97"/>
        <v>#DIV/0!</v>
      </c>
      <c r="X53" s="409" t="e">
        <f t="shared" ca="1" si="97"/>
        <v>#DIV/0!</v>
      </c>
      <c r="Y53" s="409" t="e">
        <f t="shared" ca="1" si="97"/>
        <v>#DIV/0!</v>
      </c>
      <c r="Z53" s="409" t="e">
        <f t="shared" ca="1" si="97"/>
        <v>#DIV/0!</v>
      </c>
      <c r="AA53" s="409" t="e">
        <f t="shared" ca="1" si="97"/>
        <v>#DIV/0!</v>
      </c>
    </row>
    <row r="54" spans="1:281" s="3" customFormat="1">
      <c r="A54" s="3" t="s">
        <v>257</v>
      </c>
      <c r="D54" s="403" t="str">
        <f ca="1">IFERROR(D49/D53,"NA")</f>
        <v>NA</v>
      </c>
      <c r="E54" s="410" t="str">
        <f t="shared" ref="E54:AA54" ca="1" si="98">IFERROR(E49/E53,"NA")</f>
        <v>NA</v>
      </c>
      <c r="F54" s="403" t="str">
        <f t="shared" ca="1" si="98"/>
        <v>NA</v>
      </c>
      <c r="G54" s="403" t="str">
        <f t="shared" ca="1" si="98"/>
        <v>NA</v>
      </c>
      <c r="H54" s="403" t="str">
        <f t="shared" ca="1" si="98"/>
        <v>NA</v>
      </c>
      <c r="I54" s="403" t="str">
        <f t="shared" ca="1" si="98"/>
        <v>NA</v>
      </c>
      <c r="J54" s="403" t="str">
        <f t="shared" ca="1" si="98"/>
        <v>NA</v>
      </c>
      <c r="K54" s="403" t="str">
        <f t="shared" ca="1" si="98"/>
        <v>NA</v>
      </c>
      <c r="L54" s="403" t="str">
        <f t="shared" ca="1" si="98"/>
        <v>NA</v>
      </c>
      <c r="M54" s="403" t="str">
        <f t="shared" ca="1" si="98"/>
        <v>NA</v>
      </c>
      <c r="N54" s="403" t="str">
        <f t="shared" ca="1" si="98"/>
        <v>NA</v>
      </c>
      <c r="O54" s="403" t="str">
        <f t="shared" ca="1" si="98"/>
        <v>NA</v>
      </c>
      <c r="P54" s="403" t="str">
        <f t="shared" ca="1" si="98"/>
        <v>NA</v>
      </c>
      <c r="Q54" s="403" t="str">
        <f t="shared" ca="1" si="98"/>
        <v>NA</v>
      </c>
      <c r="R54" s="403" t="str">
        <f t="shared" ca="1" si="98"/>
        <v>NA</v>
      </c>
      <c r="S54" s="403" t="str">
        <f t="shared" ca="1" si="98"/>
        <v>NA</v>
      </c>
      <c r="T54" s="403" t="str">
        <f t="shared" ca="1" si="98"/>
        <v>NA</v>
      </c>
      <c r="U54" s="403" t="str">
        <f t="shared" ca="1" si="98"/>
        <v>NA</v>
      </c>
      <c r="V54" s="403" t="str">
        <f t="shared" ca="1" si="98"/>
        <v>NA</v>
      </c>
      <c r="W54" s="403" t="str">
        <f t="shared" ca="1" si="98"/>
        <v>NA</v>
      </c>
      <c r="X54" s="403" t="str">
        <f t="shared" ca="1" si="98"/>
        <v>NA</v>
      </c>
      <c r="Y54" s="403" t="str">
        <f t="shared" ca="1" si="98"/>
        <v>NA</v>
      </c>
      <c r="Z54" s="403" t="str">
        <f t="shared" ca="1" si="98"/>
        <v>NA</v>
      </c>
      <c r="AA54" s="403" t="str">
        <f t="shared" ca="1" si="98"/>
        <v>NA</v>
      </c>
    </row>
    <row r="55" spans="1:281">
      <c r="A55" s="383" t="s">
        <v>264</v>
      </c>
      <c r="B55" s="389" t="e">
        <f t="array" aca="1" ref="B55" ca="1">+SUMIF($D$51:$AA$51,"&gt;0",$D$49:$AA$49)/SUMIF($D$51:$AA$51,"&gt;0",$D$53:$AA$53)</f>
        <v>#DIV/0!</v>
      </c>
      <c r="C55" s="389"/>
      <c r="E55" s="411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</row>
    <row r="56" spans="1:281">
      <c r="A56" s="383" t="s">
        <v>265</v>
      </c>
      <c r="B56" s="389" t="e">
        <f t="array" aca="1" ref="B56" ca="1">+MIN(IF(D51:AA51&gt;0,D54:AA54))</f>
        <v>#DIV/0!</v>
      </c>
      <c r="C56" s="389"/>
    </row>
    <row r="58" spans="1:281" s="380" customFormat="1">
      <c r="A58" s="412" t="s">
        <v>266</v>
      </c>
      <c r="B58" s="412">
        <f>EOMONTH(Assum!D88,-1)</f>
        <v>43190</v>
      </c>
      <c r="C58" s="412"/>
      <c r="D58" s="412">
        <f>$D$3</f>
        <v>43190</v>
      </c>
      <c r="E58" s="412">
        <f t="shared" ref="E58:AA58" si="99">EOMONTH(D58,12)</f>
        <v>43555</v>
      </c>
      <c r="F58" s="412">
        <f t="shared" si="99"/>
        <v>43921</v>
      </c>
      <c r="G58" s="412">
        <f t="shared" si="99"/>
        <v>44286</v>
      </c>
      <c r="H58" s="412">
        <f t="shared" si="99"/>
        <v>44651</v>
      </c>
      <c r="I58" s="412">
        <f t="shared" si="99"/>
        <v>45016</v>
      </c>
      <c r="J58" s="412">
        <f t="shared" si="99"/>
        <v>45382</v>
      </c>
      <c r="K58" s="412">
        <f t="shared" si="99"/>
        <v>45747</v>
      </c>
      <c r="L58" s="412">
        <f t="shared" si="99"/>
        <v>46112</v>
      </c>
      <c r="M58" s="412">
        <f t="shared" si="99"/>
        <v>46477</v>
      </c>
      <c r="N58" s="412">
        <f t="shared" si="99"/>
        <v>46843</v>
      </c>
      <c r="O58" s="412">
        <f t="shared" si="99"/>
        <v>47208</v>
      </c>
      <c r="P58" s="412">
        <f t="shared" si="99"/>
        <v>47573</v>
      </c>
      <c r="Q58" s="412">
        <f t="shared" si="99"/>
        <v>47938</v>
      </c>
      <c r="R58" s="412">
        <f t="shared" si="99"/>
        <v>48304</v>
      </c>
      <c r="S58" s="412">
        <f t="shared" si="99"/>
        <v>48669</v>
      </c>
      <c r="T58" s="412">
        <f t="shared" si="99"/>
        <v>49034</v>
      </c>
      <c r="U58" s="412">
        <f t="shared" si="99"/>
        <v>49399</v>
      </c>
      <c r="V58" s="412">
        <f t="shared" si="99"/>
        <v>49765</v>
      </c>
      <c r="W58" s="412">
        <f t="shared" si="99"/>
        <v>50130</v>
      </c>
      <c r="X58" s="412">
        <f t="shared" si="99"/>
        <v>50495</v>
      </c>
      <c r="Y58" s="412">
        <f t="shared" si="99"/>
        <v>50860</v>
      </c>
      <c r="Z58" s="412">
        <f t="shared" si="99"/>
        <v>51226</v>
      </c>
      <c r="AA58" s="412">
        <f t="shared" si="99"/>
        <v>51591</v>
      </c>
      <c r="AB58" s="419"/>
    </row>
    <row r="59" spans="1:281" s="380" customFormat="1">
      <c r="A59" s="380" t="s">
        <v>267</v>
      </c>
      <c r="B59" s="413">
        <f>Assum!B108</f>
        <v>0</v>
      </c>
      <c r="C59" s="413"/>
      <c r="AB59" s="382"/>
    </row>
    <row r="60" spans="1:281" s="380" customFormat="1">
      <c r="A60" s="380" t="s">
        <v>268</v>
      </c>
      <c r="B60" s="413">
        <f>B59</f>
        <v>0</v>
      </c>
      <c r="C60" s="413"/>
      <c r="D60" s="382" t="e">
        <f ca="1">B59-D62</f>
        <v>#DIV/0!</v>
      </c>
      <c r="E60" s="382" t="e">
        <f ca="1">D60-Financials!I86</f>
        <v>#DIV/0!</v>
      </c>
      <c r="F60" s="382" t="e">
        <f ca="1">E60-Financials!J86</f>
        <v>#DIV/0!</v>
      </c>
      <c r="G60" s="382" t="e">
        <f ca="1">F60-Financials!K86</f>
        <v>#DIV/0!</v>
      </c>
      <c r="H60" s="382" t="e">
        <f ca="1">G60-Financials!L86</f>
        <v>#DIV/0!</v>
      </c>
      <c r="I60" s="382" t="e">
        <f ca="1">H60-Financials!M86</f>
        <v>#DIV/0!</v>
      </c>
      <c r="J60" s="382" t="e">
        <f ca="1">I60-Financials!N86</f>
        <v>#DIV/0!</v>
      </c>
      <c r="K60" s="382" t="e">
        <f ca="1">J60-Financials!O86</f>
        <v>#DIV/0!</v>
      </c>
      <c r="L60" s="382" t="e">
        <f ca="1">K60-Financials!P86</f>
        <v>#DIV/0!</v>
      </c>
      <c r="M60" s="382" t="e">
        <f ca="1">L60-Financials!Q86</f>
        <v>#DIV/0!</v>
      </c>
      <c r="N60" s="382" t="e">
        <f ca="1">M60-Financials!R86</f>
        <v>#DIV/0!</v>
      </c>
      <c r="O60" s="382" t="e">
        <f ca="1">N60-Financials!S86</f>
        <v>#DIV/0!</v>
      </c>
      <c r="P60" s="382" t="e">
        <f ca="1">O60-Financials!T86</f>
        <v>#DIV/0!</v>
      </c>
      <c r="Q60" s="382" t="e">
        <f ca="1">P60-Financials!U86</f>
        <v>#DIV/0!</v>
      </c>
      <c r="R60" s="382" t="e">
        <f ca="1">Q60-Financials!V86</f>
        <v>#DIV/0!</v>
      </c>
      <c r="S60" s="382" t="e">
        <f ca="1">R60-Financials!W86</f>
        <v>#DIV/0!</v>
      </c>
      <c r="T60" s="382" t="e">
        <f ca="1">S60-Financials!X86</f>
        <v>#DIV/0!</v>
      </c>
      <c r="U60" s="382" t="e">
        <f ca="1">T60-Financials!Y86</f>
        <v>#DIV/0!</v>
      </c>
      <c r="V60" s="382" t="e">
        <f ca="1">U60-Financials!Z86</f>
        <v>#DIV/0!</v>
      </c>
      <c r="W60" s="382" t="e">
        <f ca="1">V60-Financials!AA86</f>
        <v>#DIV/0!</v>
      </c>
      <c r="X60" s="382" t="e">
        <f ca="1">W60-Financials!AB86</f>
        <v>#DIV/0!</v>
      </c>
      <c r="Y60" s="382" t="e">
        <f ca="1">X60-Financials!AC86</f>
        <v>#DIV/0!</v>
      </c>
      <c r="Z60" s="382" t="e">
        <f ca="1">Y60-Financials!AD86</f>
        <v>#DIV/0!</v>
      </c>
      <c r="AA60" s="382" t="e">
        <f ca="1">Z60-Financials!AE86</f>
        <v>#DIV/0!</v>
      </c>
      <c r="AB60" s="382"/>
    </row>
    <row r="61" spans="1:281" s="380" customFormat="1">
      <c r="A61" s="380" t="s">
        <v>269</v>
      </c>
      <c r="D61" s="414">
        <f>IF(Financials!H27&gt;0,Debt!B60*Assum!$B$111*(Debt!D58-Debt!B58)/365,0)</f>
        <v>0</v>
      </c>
      <c r="E61" s="414">
        <f>IF(Financials!I27&gt;0,Debt!D60*Assum!$B$111*(Debt!E58-Debt!D58)/365,0)</f>
        <v>0</v>
      </c>
      <c r="F61" s="414">
        <f>IF(Financials!J27&gt;0,Debt!E60*Assum!$B$111*(Debt!F58-Debt!E58)/365,0)</f>
        <v>0</v>
      </c>
      <c r="G61" s="414" t="e">
        <f ca="1">IF(Financials!K27&gt;0,Debt!F60*Assum!$B$111*(Debt!G58-Debt!F58)/365,0)</f>
        <v>#DIV/0!</v>
      </c>
      <c r="H61" s="414">
        <f>IF(Financials!L27&gt;0,Debt!G60*Assum!$B$111*(Debt!H58-Debt!G58)/365,0)</f>
        <v>0</v>
      </c>
      <c r="I61" s="414">
        <f>IF(Financials!M27&gt;0,Debt!H60*Assum!$B$111*(Debt!I58-Debt!H58)/365,0)</f>
        <v>0</v>
      </c>
      <c r="J61" s="414">
        <f>IF(Financials!N27&gt;0,Debt!I60*Assum!$B$111*(Debt!J58-Debt!I58)/365,0)</f>
        <v>0</v>
      </c>
      <c r="K61" s="414">
        <f>IF(Financials!O27&gt;0,Debt!J60*Assum!$B$111*(Debt!K58-Debt!J58)/365,0)</f>
        <v>0</v>
      </c>
      <c r="L61" s="414">
        <f>IF(Financials!P27&gt;0,Debt!K60*Assum!$B$111*(Debt!L58-Debt!K58)/365,0)</f>
        <v>0</v>
      </c>
      <c r="M61" s="414">
        <f>IF(Financials!Q27&gt;0,Debt!L60*Assum!$B$111*(Debt!M58-Debt!L58)/365,0)</f>
        <v>0</v>
      </c>
      <c r="N61" s="414">
        <f>IF(Financials!R27&gt;0,Debt!M60*Assum!$B$111*(Debt!N58-Debt!M58)/365,0)</f>
        <v>0</v>
      </c>
      <c r="O61" s="414">
        <f>IF(Financials!S27&gt;0,Debt!N60*Assum!$B$111*(Debt!O58-Debt!N58)/365,0)</f>
        <v>0</v>
      </c>
      <c r="P61" s="414">
        <f>IF(Financials!T27&gt;0,Debt!O60*Assum!$B$111*(Debt!P58-Debt!O58)/365,0)</f>
        <v>0</v>
      </c>
      <c r="Q61" s="414">
        <f>IF(Financials!U27&gt;0,Debt!P60*Assum!$B$111*(Debt!Q58-Debt!P58)/365,0)</f>
        <v>0</v>
      </c>
      <c r="R61" s="414">
        <f>IF(Financials!V27&gt;0,Debt!Q60*Assum!$B$111*(Debt!R58-Debt!Q58)/365,0)</f>
        <v>0</v>
      </c>
      <c r="S61" s="414">
        <f>IF(Financials!W27&gt;0,Debt!R60*Assum!$B$111*(Debt!S58-Debt!R58)/365,0)</f>
        <v>0</v>
      </c>
      <c r="T61" s="414">
        <f>IF(Financials!X27&gt;0,Debt!S60*Assum!$B$111*(Debt!T58-Debt!S58)/365,0)</f>
        <v>0</v>
      </c>
      <c r="U61" s="414">
        <f>IF(Financials!Y27&gt;0,Debt!T60*Assum!$B$111*(Debt!U58-Debt!T58)/365,0)</f>
        <v>0</v>
      </c>
      <c r="V61" s="414">
        <f>IF(Financials!Z27&gt;0,Debt!U60*Assum!$B$111*(Debt!V58-Debt!U58)/365,0)</f>
        <v>0</v>
      </c>
      <c r="W61" s="414">
        <f>IF(Financials!AA27&gt;0,Debt!V60*Assum!$B$111*(Debt!W58-Debt!V58)/365,0)</f>
        <v>0</v>
      </c>
      <c r="X61" s="414">
        <f>IF(Financials!AB27&gt;0,Debt!W60*Assum!$B$111*(Debt!X58-Debt!W58)/365,0)</f>
        <v>0</v>
      </c>
      <c r="Y61" s="414">
        <f>IF(Financials!AC27&gt;0,Debt!X60*Assum!$B$111*(Debt!Y58-Debt!X58)/365,0)</f>
        <v>0</v>
      </c>
      <c r="Z61" s="414">
        <f>IF(Financials!AD27&gt;0,Debt!Y60*Assum!$B$111*(Debt!Z58-Debt!Y58)/365,0)</f>
        <v>0</v>
      </c>
      <c r="AA61" s="414">
        <f>IF(Financials!AE27&gt;0,Debt!Z60*Assum!$B$111*(Debt!AA58-Debt!Z58)/365,0)</f>
        <v>0</v>
      </c>
      <c r="AB61" s="414"/>
    </row>
    <row r="62" spans="1:281" s="380" customFormat="1">
      <c r="A62" s="380" t="s">
        <v>270</v>
      </c>
      <c r="D62" s="414" t="e">
        <f ca="1">Financials!H86</f>
        <v>#DIV/0!</v>
      </c>
      <c r="E62" s="414" t="e">
        <f ca="1">Financials!I86</f>
        <v>#DIV/0!</v>
      </c>
      <c r="F62" s="414" t="e">
        <f ca="1">Financials!J86</f>
        <v>#DIV/0!</v>
      </c>
      <c r="G62" s="414" t="e">
        <f ca="1">Financials!K86</f>
        <v>#DIV/0!</v>
      </c>
      <c r="H62" s="414" t="e">
        <f ca="1">Financials!L86</f>
        <v>#DIV/0!</v>
      </c>
      <c r="I62" s="414" t="e">
        <f ca="1">Financials!M86</f>
        <v>#DIV/0!</v>
      </c>
      <c r="J62" s="414" t="e">
        <f ca="1">Financials!N86</f>
        <v>#DIV/0!</v>
      </c>
      <c r="K62" s="414" t="e">
        <f ca="1">Financials!O86</f>
        <v>#DIV/0!</v>
      </c>
      <c r="L62" s="414" t="e">
        <f ca="1">Financials!P86</f>
        <v>#DIV/0!</v>
      </c>
      <c r="M62" s="414" t="e">
        <f ca="1">Financials!Q86</f>
        <v>#DIV/0!</v>
      </c>
      <c r="N62" s="414" t="e">
        <f ca="1">Financials!R86</f>
        <v>#DIV/0!</v>
      </c>
      <c r="O62" s="414" t="e">
        <f ca="1">Financials!S86</f>
        <v>#DIV/0!</v>
      </c>
      <c r="P62" s="414" t="e">
        <f ca="1">Financials!T86</f>
        <v>#DIV/0!</v>
      </c>
      <c r="Q62" s="414" t="e">
        <f ca="1">Financials!U86</f>
        <v>#DIV/0!</v>
      </c>
      <c r="R62" s="414" t="e">
        <f ca="1">Financials!V86</f>
        <v>#DIV/0!</v>
      </c>
      <c r="S62" s="414" t="e">
        <f ca="1">Financials!W86</f>
        <v>#DIV/0!</v>
      </c>
      <c r="T62" s="414" t="e">
        <f ca="1">Financials!X86</f>
        <v>#DIV/0!</v>
      </c>
      <c r="U62" s="414" t="e">
        <f ca="1">Financials!Y86</f>
        <v>#DIV/0!</v>
      </c>
      <c r="V62" s="414" t="e">
        <f ca="1">Financials!Z86</f>
        <v>#DIV/0!</v>
      </c>
      <c r="W62" s="414" t="e">
        <f ca="1">Financials!AA86</f>
        <v>#DIV/0!</v>
      </c>
      <c r="X62" s="414" t="e">
        <f ca="1">Financials!AB86</f>
        <v>#DIV/0!</v>
      </c>
      <c r="Y62" s="414" t="e">
        <f ca="1">Financials!AC86</f>
        <v>#DIV/0!</v>
      </c>
      <c r="Z62" s="414" t="e">
        <f ca="1">Financials!AD86</f>
        <v>#DIV/0!</v>
      </c>
      <c r="AA62" s="414" t="e">
        <f ca="1">Financials!AE86</f>
        <v>#DIV/0!</v>
      </c>
      <c r="AB62" s="414"/>
    </row>
    <row r="63" spans="1:281" s="380" customFormat="1">
      <c r="A63" s="380" t="s">
        <v>33</v>
      </c>
      <c r="B63" s="415">
        <f>-B59</f>
        <v>0</v>
      </c>
      <c r="C63" s="415"/>
      <c r="D63" s="13" t="e">
        <f t="shared" ref="D63:AA63" ca="1" si="100">SUM(D61:D62)</f>
        <v>#VALUE!</v>
      </c>
      <c r="E63" s="13" t="e">
        <f t="shared" ca="1" si="100"/>
        <v>#VALUE!</v>
      </c>
      <c r="F63" s="13" t="e">
        <f t="shared" ca="1" si="100"/>
        <v>#DIV/0!</v>
      </c>
      <c r="G63" s="13" t="e">
        <f t="shared" ca="1" si="100"/>
        <v>#DIV/0!</v>
      </c>
      <c r="H63" s="13" t="e">
        <f t="shared" ca="1" si="100"/>
        <v>#DIV/0!</v>
      </c>
      <c r="I63" s="13" t="e">
        <f t="shared" ca="1" si="100"/>
        <v>#DIV/0!</v>
      </c>
      <c r="J63" s="13" t="e">
        <f t="shared" ca="1" si="100"/>
        <v>#DIV/0!</v>
      </c>
      <c r="K63" s="13" t="e">
        <f t="shared" ca="1" si="100"/>
        <v>#DIV/0!</v>
      </c>
      <c r="L63" s="13" t="e">
        <f t="shared" ca="1" si="100"/>
        <v>#DIV/0!</v>
      </c>
      <c r="M63" s="13" t="e">
        <f t="shared" ca="1" si="100"/>
        <v>#DIV/0!</v>
      </c>
      <c r="N63" s="13" t="e">
        <f t="shared" ca="1" si="100"/>
        <v>#DIV/0!</v>
      </c>
      <c r="O63" s="13" t="e">
        <f t="shared" ca="1" si="100"/>
        <v>#DIV/0!</v>
      </c>
      <c r="P63" s="13" t="e">
        <f t="shared" ca="1" si="100"/>
        <v>#VALUE!</v>
      </c>
      <c r="Q63" s="13" t="e">
        <f t="shared" ca="1" si="100"/>
        <v>#VALUE!</v>
      </c>
      <c r="R63" s="13" t="e">
        <f t="shared" ca="1" si="100"/>
        <v>#VALUE!</v>
      </c>
      <c r="S63" s="13" t="e">
        <f t="shared" ca="1" si="100"/>
        <v>#VALUE!</v>
      </c>
      <c r="T63" s="13" t="e">
        <f t="shared" ca="1" si="100"/>
        <v>#VALUE!</v>
      </c>
      <c r="U63" s="13" t="e">
        <f t="shared" ca="1" si="100"/>
        <v>#VALUE!</v>
      </c>
      <c r="V63" s="13" t="e">
        <f t="shared" ca="1" si="100"/>
        <v>#VALUE!</v>
      </c>
      <c r="W63" s="13" t="e">
        <f t="shared" ca="1" si="100"/>
        <v>#VALUE!</v>
      </c>
      <c r="X63" s="13" t="e">
        <f t="shared" ca="1" si="100"/>
        <v>#VALUE!</v>
      </c>
      <c r="Y63" s="13" t="e">
        <f t="shared" ca="1" si="100"/>
        <v>#VALUE!</v>
      </c>
      <c r="Z63" s="13" t="e">
        <f t="shared" ca="1" si="100"/>
        <v>#VALUE!</v>
      </c>
      <c r="AA63" s="13" t="e">
        <f t="shared" ca="1" si="100"/>
        <v>#VALUE!</v>
      </c>
      <c r="AB63" s="15"/>
    </row>
    <row r="64" spans="1:281" s="380" customFormat="1">
      <c r="A64" s="380" t="s">
        <v>271</v>
      </c>
      <c r="B64" s="416" t="e">
        <f ca="1">IRR(B63:AB63)</f>
        <v>#VALUE!</v>
      </c>
      <c r="C64" s="416"/>
      <c r="D64" s="382"/>
      <c r="E64" s="382"/>
      <c r="F64" s="382"/>
      <c r="G64" s="382"/>
      <c r="H64" s="382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2"/>
      <c r="T64" s="382"/>
      <c r="U64" s="382"/>
      <c r="V64" s="382"/>
      <c r="W64" s="382"/>
      <c r="X64" s="382"/>
      <c r="Y64" s="382"/>
      <c r="Z64" s="382"/>
      <c r="AA64" s="382"/>
      <c r="AB64" s="382"/>
    </row>
    <row r="65" spans="1:102" s="380" customFormat="1">
      <c r="D65" s="382"/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382"/>
      <c r="P65" s="382"/>
      <c r="Q65" s="382"/>
      <c r="R65" s="382"/>
      <c r="S65" s="382"/>
      <c r="T65" s="382"/>
      <c r="U65" s="382"/>
      <c r="V65" s="382"/>
      <c r="W65" s="382"/>
      <c r="X65" s="382"/>
      <c r="Y65" s="382"/>
      <c r="Z65" s="382"/>
      <c r="AA65" s="382"/>
      <c r="AB65" s="382"/>
    </row>
    <row r="66" spans="1:102" s="380" customFormat="1">
      <c r="A66" s="380" t="s">
        <v>272</v>
      </c>
      <c r="B66" s="382"/>
      <c r="C66" s="382"/>
      <c r="D66" s="382">
        <f>B59</f>
        <v>0</v>
      </c>
    </row>
    <row r="67" spans="1:102" s="380" customFormat="1">
      <c r="A67" s="380" t="s">
        <v>270</v>
      </c>
      <c r="B67" s="382"/>
      <c r="C67" s="382"/>
      <c r="D67" s="382" t="e">
        <f ca="1">SUM(D62:AA62)</f>
        <v>#DIV/0!</v>
      </c>
      <c r="E67" s="382"/>
      <c r="F67" s="382"/>
      <c r="G67" s="382"/>
    </row>
    <row r="68" spans="1:102" s="380" customFormat="1">
      <c r="D68" s="13" t="e">
        <f ca="1">D66-D67</f>
        <v>#DIV/0!</v>
      </c>
    </row>
    <row r="70" spans="1:102">
      <c r="A70" t="s">
        <v>273</v>
      </c>
      <c r="B70" s="79">
        <f>Assum!B105</f>
        <v>0.13694780585923655</v>
      </c>
      <c r="C70" s="79"/>
      <c r="D70" s="2" t="e">
        <f ca="1">NPV(B70,D38:AA38)</f>
        <v>#DIV/0!</v>
      </c>
    </row>
    <row r="71" spans="1:102">
      <c r="A71" t="s">
        <v>274</v>
      </c>
      <c r="D71" s="9" t="e">
        <f ca="1">D63</f>
        <v>#VALUE!</v>
      </c>
      <c r="E71" s="9" t="e">
        <f ca="1">E63</f>
        <v>#VALUE!</v>
      </c>
      <c r="F71" s="9" t="e">
        <f t="shared" ref="F71:AA71" ca="1" si="101">F63</f>
        <v>#DIV/0!</v>
      </c>
      <c r="G71" s="9" t="e">
        <f t="shared" ca="1" si="101"/>
        <v>#DIV/0!</v>
      </c>
      <c r="H71" s="9" t="e">
        <f t="shared" ca="1" si="101"/>
        <v>#DIV/0!</v>
      </c>
      <c r="I71" s="9" t="e">
        <f t="shared" ca="1" si="101"/>
        <v>#DIV/0!</v>
      </c>
      <c r="J71" s="9" t="e">
        <f t="shared" ca="1" si="101"/>
        <v>#DIV/0!</v>
      </c>
      <c r="K71" s="9" t="e">
        <f t="shared" ca="1" si="101"/>
        <v>#DIV/0!</v>
      </c>
      <c r="L71" s="9" t="e">
        <f t="shared" ca="1" si="101"/>
        <v>#DIV/0!</v>
      </c>
      <c r="M71" s="9" t="e">
        <f t="shared" ca="1" si="101"/>
        <v>#DIV/0!</v>
      </c>
      <c r="N71" s="9" t="e">
        <f t="shared" ca="1" si="101"/>
        <v>#DIV/0!</v>
      </c>
      <c r="O71" s="9" t="e">
        <f t="shared" ca="1" si="101"/>
        <v>#DIV/0!</v>
      </c>
      <c r="P71" s="9" t="e">
        <f t="shared" ca="1" si="101"/>
        <v>#VALUE!</v>
      </c>
      <c r="Q71" s="9" t="e">
        <f t="shared" ca="1" si="101"/>
        <v>#VALUE!</v>
      </c>
      <c r="R71" s="9" t="e">
        <f t="shared" ca="1" si="101"/>
        <v>#VALUE!</v>
      </c>
      <c r="S71" s="9" t="e">
        <f t="shared" ca="1" si="101"/>
        <v>#VALUE!</v>
      </c>
      <c r="T71" s="9" t="e">
        <f t="shared" ca="1" si="101"/>
        <v>#VALUE!</v>
      </c>
      <c r="U71" s="9" t="e">
        <f t="shared" ca="1" si="101"/>
        <v>#VALUE!</v>
      </c>
      <c r="V71" s="9" t="e">
        <f t="shared" ca="1" si="101"/>
        <v>#VALUE!</v>
      </c>
      <c r="W71" s="9" t="e">
        <f t="shared" ca="1" si="101"/>
        <v>#VALUE!</v>
      </c>
      <c r="X71" s="9" t="e">
        <f t="shared" ca="1" si="101"/>
        <v>#VALUE!</v>
      </c>
      <c r="Y71" s="9" t="e">
        <f t="shared" ca="1" si="101"/>
        <v>#VALUE!</v>
      </c>
      <c r="Z71" s="9" t="e">
        <f t="shared" ca="1" si="101"/>
        <v>#VALUE!</v>
      </c>
      <c r="AA71" s="9" t="e">
        <f t="shared" ca="1" si="101"/>
        <v>#VALUE!</v>
      </c>
    </row>
    <row r="72" spans="1:102">
      <c r="A72" t="s">
        <v>273</v>
      </c>
      <c r="B72" s="79">
        <f>B70</f>
        <v>0.13694780585923655</v>
      </c>
      <c r="C72" s="79"/>
      <c r="D72" s="55" t="e">
        <f ca="1">NPV(B72,D71:JU71)</f>
        <v>#VALUE!</v>
      </c>
    </row>
    <row r="73" spans="1:102">
      <c r="D73" s="55" t="e">
        <f ca="1">D72+D70</f>
        <v>#DIV/0!</v>
      </c>
    </row>
    <row r="78" spans="1:102" s="380" customFormat="1">
      <c r="A78" s="404" t="s">
        <v>275</v>
      </c>
      <c r="B78" s="46"/>
      <c r="C78" s="46"/>
      <c r="D78" s="419">
        <f>D2</f>
        <v>42916</v>
      </c>
      <c r="E78" s="419">
        <f>EOMONTH(D78,3)</f>
        <v>43008</v>
      </c>
      <c r="F78" s="419">
        <f t="shared" ref="F78:BQ78" si="102">EOMONTH(E78,3)</f>
        <v>43100</v>
      </c>
      <c r="G78" s="419">
        <f t="shared" si="102"/>
        <v>43190</v>
      </c>
      <c r="H78" s="419">
        <f t="shared" si="102"/>
        <v>43281</v>
      </c>
      <c r="I78" s="419">
        <f t="shared" si="102"/>
        <v>43373</v>
      </c>
      <c r="J78" s="419">
        <f t="shared" si="102"/>
        <v>43465</v>
      </c>
      <c r="K78" s="419">
        <f t="shared" si="102"/>
        <v>43555</v>
      </c>
      <c r="L78" s="419">
        <f t="shared" si="102"/>
        <v>43646</v>
      </c>
      <c r="M78" s="419">
        <f t="shared" si="102"/>
        <v>43738</v>
      </c>
      <c r="N78" s="419">
        <f t="shared" si="102"/>
        <v>43830</v>
      </c>
      <c r="O78" s="419">
        <f t="shared" si="102"/>
        <v>43921</v>
      </c>
      <c r="P78" s="419">
        <f t="shared" si="102"/>
        <v>44012</v>
      </c>
      <c r="Q78" s="419">
        <f t="shared" si="102"/>
        <v>44104</v>
      </c>
      <c r="R78" s="419">
        <f t="shared" si="102"/>
        <v>44196</v>
      </c>
      <c r="S78" s="419">
        <f t="shared" si="102"/>
        <v>44286</v>
      </c>
      <c r="T78" s="419">
        <f t="shared" si="102"/>
        <v>44377</v>
      </c>
      <c r="U78" s="419">
        <f t="shared" si="102"/>
        <v>44469</v>
      </c>
      <c r="V78" s="419">
        <f t="shared" si="102"/>
        <v>44561</v>
      </c>
      <c r="W78" s="419">
        <f t="shared" si="102"/>
        <v>44651</v>
      </c>
      <c r="X78" s="419">
        <f t="shared" si="102"/>
        <v>44742</v>
      </c>
      <c r="Y78" s="419">
        <f t="shared" si="102"/>
        <v>44834</v>
      </c>
      <c r="Z78" s="419">
        <f t="shared" si="102"/>
        <v>44926</v>
      </c>
      <c r="AA78" s="419">
        <f t="shared" si="102"/>
        <v>45016</v>
      </c>
      <c r="AB78" s="419">
        <f t="shared" si="102"/>
        <v>45107</v>
      </c>
      <c r="AC78" s="419">
        <f t="shared" si="102"/>
        <v>45199</v>
      </c>
      <c r="AD78" s="419">
        <f t="shared" si="102"/>
        <v>45291</v>
      </c>
      <c r="AE78" s="419">
        <f t="shared" si="102"/>
        <v>45382</v>
      </c>
      <c r="AF78" s="419">
        <f t="shared" si="102"/>
        <v>45473</v>
      </c>
      <c r="AG78" s="419">
        <f t="shared" si="102"/>
        <v>45565</v>
      </c>
      <c r="AH78" s="419">
        <f t="shared" si="102"/>
        <v>45657</v>
      </c>
      <c r="AI78" s="419">
        <f t="shared" si="102"/>
        <v>45747</v>
      </c>
      <c r="AJ78" s="419">
        <f t="shared" si="102"/>
        <v>45838</v>
      </c>
      <c r="AK78" s="419">
        <f t="shared" si="102"/>
        <v>45930</v>
      </c>
      <c r="AL78" s="419">
        <f t="shared" si="102"/>
        <v>46022</v>
      </c>
      <c r="AM78" s="419">
        <f t="shared" si="102"/>
        <v>46112</v>
      </c>
      <c r="AN78" s="419">
        <f t="shared" si="102"/>
        <v>46203</v>
      </c>
      <c r="AO78" s="419">
        <f t="shared" si="102"/>
        <v>46295</v>
      </c>
      <c r="AP78" s="419">
        <f t="shared" si="102"/>
        <v>46387</v>
      </c>
      <c r="AQ78" s="419">
        <f t="shared" si="102"/>
        <v>46477</v>
      </c>
      <c r="AR78" s="419">
        <f t="shared" si="102"/>
        <v>46568</v>
      </c>
      <c r="AS78" s="419">
        <f t="shared" si="102"/>
        <v>46660</v>
      </c>
      <c r="AT78" s="419">
        <f t="shared" si="102"/>
        <v>46752</v>
      </c>
      <c r="AU78" s="419">
        <f t="shared" si="102"/>
        <v>46843</v>
      </c>
      <c r="AV78" s="419">
        <f t="shared" si="102"/>
        <v>46934</v>
      </c>
      <c r="AW78" s="419">
        <f t="shared" si="102"/>
        <v>47026</v>
      </c>
      <c r="AX78" s="419">
        <f t="shared" si="102"/>
        <v>47118</v>
      </c>
      <c r="AY78" s="419">
        <f t="shared" si="102"/>
        <v>47208</v>
      </c>
      <c r="AZ78" s="419">
        <f t="shared" si="102"/>
        <v>47299</v>
      </c>
      <c r="BA78" s="419">
        <f t="shared" si="102"/>
        <v>47391</v>
      </c>
      <c r="BB78" s="419">
        <f t="shared" si="102"/>
        <v>47483</v>
      </c>
      <c r="BC78" s="419">
        <f t="shared" si="102"/>
        <v>47573</v>
      </c>
      <c r="BD78" s="419">
        <f t="shared" si="102"/>
        <v>47664</v>
      </c>
      <c r="BE78" s="419">
        <f t="shared" si="102"/>
        <v>47756</v>
      </c>
      <c r="BF78" s="419">
        <f t="shared" si="102"/>
        <v>47848</v>
      </c>
      <c r="BG78" s="419">
        <f t="shared" si="102"/>
        <v>47938</v>
      </c>
      <c r="BH78" s="419">
        <f t="shared" si="102"/>
        <v>48029</v>
      </c>
      <c r="BI78" s="419">
        <f t="shared" si="102"/>
        <v>48121</v>
      </c>
      <c r="BJ78" s="419">
        <f t="shared" si="102"/>
        <v>48213</v>
      </c>
      <c r="BK78" s="419">
        <f t="shared" si="102"/>
        <v>48304</v>
      </c>
      <c r="BL78" s="419">
        <f t="shared" si="102"/>
        <v>48395</v>
      </c>
      <c r="BM78" s="419">
        <f t="shared" si="102"/>
        <v>48487</v>
      </c>
      <c r="BN78" s="419">
        <f t="shared" si="102"/>
        <v>48579</v>
      </c>
      <c r="BO78" s="419">
        <f t="shared" si="102"/>
        <v>48669</v>
      </c>
      <c r="BP78" s="419">
        <f t="shared" si="102"/>
        <v>48760</v>
      </c>
      <c r="BQ78" s="419">
        <f t="shared" si="102"/>
        <v>48852</v>
      </c>
      <c r="BR78" s="419">
        <f t="shared" ref="BR78:CC78" si="103">EOMONTH(BQ78,3)</f>
        <v>48944</v>
      </c>
      <c r="BS78" s="419">
        <f t="shared" si="103"/>
        <v>49034</v>
      </c>
      <c r="BT78" s="419">
        <f t="shared" si="103"/>
        <v>49125</v>
      </c>
      <c r="BU78" s="419">
        <f t="shared" si="103"/>
        <v>49217</v>
      </c>
      <c r="BV78" s="419">
        <f t="shared" si="103"/>
        <v>49309</v>
      </c>
      <c r="BW78" s="419">
        <f t="shared" si="103"/>
        <v>49399</v>
      </c>
      <c r="BX78" s="419">
        <f t="shared" si="103"/>
        <v>49490</v>
      </c>
      <c r="BY78" s="419">
        <f t="shared" si="103"/>
        <v>49582</v>
      </c>
      <c r="BZ78" s="419">
        <f t="shared" si="103"/>
        <v>49674</v>
      </c>
      <c r="CA78" s="419">
        <f t="shared" si="103"/>
        <v>49765</v>
      </c>
      <c r="CB78" s="419">
        <f t="shared" si="103"/>
        <v>49856</v>
      </c>
      <c r="CC78" s="419">
        <f t="shared" si="103"/>
        <v>49948</v>
      </c>
      <c r="CD78" s="419">
        <f t="shared" ref="CD78:CQ78" si="104">EOMONTH(CC78,3)</f>
        <v>50040</v>
      </c>
      <c r="CE78" s="419">
        <f t="shared" si="104"/>
        <v>50130</v>
      </c>
      <c r="CF78" s="419">
        <f t="shared" si="104"/>
        <v>50221</v>
      </c>
      <c r="CG78" s="419">
        <f t="shared" si="104"/>
        <v>50313</v>
      </c>
      <c r="CH78" s="419">
        <f t="shared" si="104"/>
        <v>50405</v>
      </c>
      <c r="CI78" s="419">
        <f t="shared" si="104"/>
        <v>50495</v>
      </c>
      <c r="CJ78" s="419">
        <f t="shared" si="104"/>
        <v>50586</v>
      </c>
      <c r="CK78" s="419">
        <f t="shared" si="104"/>
        <v>50678</v>
      </c>
      <c r="CL78" s="419">
        <f t="shared" si="104"/>
        <v>50770</v>
      </c>
      <c r="CM78" s="419">
        <f t="shared" si="104"/>
        <v>50860</v>
      </c>
      <c r="CN78" s="419">
        <f t="shared" si="104"/>
        <v>50951</v>
      </c>
      <c r="CO78" s="419">
        <f t="shared" si="104"/>
        <v>51043</v>
      </c>
      <c r="CP78" s="419">
        <f t="shared" si="104"/>
        <v>51135</v>
      </c>
      <c r="CQ78" s="419">
        <f t="shared" si="104"/>
        <v>51226</v>
      </c>
      <c r="CR78" s="419">
        <f>EOMONTH(CQ78,3)</f>
        <v>51317</v>
      </c>
      <c r="CS78" s="419">
        <f>EOMONTH(CR78,3)</f>
        <v>51409</v>
      </c>
      <c r="CT78" s="419">
        <f>EOMONTH(CS78,3)</f>
        <v>51501</v>
      </c>
      <c r="CU78" s="419">
        <f>EOMONTH(CT78,3)</f>
        <v>51591</v>
      </c>
      <c r="CV78" s="422"/>
      <c r="CW78" s="422"/>
      <c r="CX78" s="422"/>
    </row>
    <row r="79" spans="1:102" s="380" customFormat="1">
      <c r="A79" t="s">
        <v>276</v>
      </c>
      <c r="D79" s="414">
        <f>B83</f>
        <v>0</v>
      </c>
      <c r="E79" s="414">
        <f>D83</f>
        <v>0</v>
      </c>
      <c r="F79" s="414">
        <f t="shared" ref="F79:AT79" si="105">E83</f>
        <v>0</v>
      </c>
      <c r="G79" s="414">
        <f t="shared" si="105"/>
        <v>0</v>
      </c>
      <c r="H79" s="414">
        <f t="shared" si="105"/>
        <v>0</v>
      </c>
      <c r="I79" s="414">
        <f t="shared" si="105"/>
        <v>0</v>
      </c>
      <c r="J79" s="414">
        <f t="shared" si="105"/>
        <v>0</v>
      </c>
      <c r="K79" s="414">
        <f t="shared" si="105"/>
        <v>0</v>
      </c>
      <c r="L79" s="414">
        <f t="shared" si="105"/>
        <v>0</v>
      </c>
      <c r="M79" s="414" t="e">
        <f t="shared" ca="1" si="105"/>
        <v>#DIV/0!</v>
      </c>
      <c r="N79" s="414" t="e">
        <f t="shared" ca="1" si="105"/>
        <v>#DIV/0!</v>
      </c>
      <c r="O79" s="414" t="e">
        <f t="shared" ca="1" si="105"/>
        <v>#DIV/0!</v>
      </c>
      <c r="P79" s="414" t="e">
        <f t="shared" ca="1" si="105"/>
        <v>#DIV/0!</v>
      </c>
      <c r="Q79" s="414" t="e">
        <f t="shared" ca="1" si="105"/>
        <v>#DIV/0!</v>
      </c>
      <c r="R79" s="414" t="e">
        <f t="shared" ca="1" si="105"/>
        <v>#DIV/0!</v>
      </c>
      <c r="S79" s="414" t="e">
        <f t="shared" ca="1" si="105"/>
        <v>#DIV/0!</v>
      </c>
      <c r="T79" s="414" t="e">
        <f t="shared" ca="1" si="105"/>
        <v>#DIV/0!</v>
      </c>
      <c r="U79" s="414" t="e">
        <f t="shared" ca="1" si="105"/>
        <v>#DIV/0!</v>
      </c>
      <c r="V79" s="414" t="e">
        <f t="shared" ca="1" si="105"/>
        <v>#DIV/0!</v>
      </c>
      <c r="W79" s="414" t="e">
        <f t="shared" ca="1" si="105"/>
        <v>#DIV/0!</v>
      </c>
      <c r="X79" s="414" t="e">
        <f t="shared" ca="1" si="105"/>
        <v>#DIV/0!</v>
      </c>
      <c r="Y79" s="414" t="e">
        <f t="shared" ca="1" si="105"/>
        <v>#DIV/0!</v>
      </c>
      <c r="Z79" s="414" t="e">
        <f t="shared" ca="1" si="105"/>
        <v>#DIV/0!</v>
      </c>
      <c r="AA79" s="414" t="e">
        <f t="shared" ca="1" si="105"/>
        <v>#DIV/0!</v>
      </c>
      <c r="AB79" s="414" t="e">
        <f t="shared" ca="1" si="105"/>
        <v>#DIV/0!</v>
      </c>
      <c r="AC79" s="414" t="e">
        <f t="shared" ca="1" si="105"/>
        <v>#DIV/0!</v>
      </c>
      <c r="AD79" s="414" t="e">
        <f t="shared" ca="1" si="105"/>
        <v>#DIV/0!</v>
      </c>
      <c r="AE79" s="414" t="e">
        <f t="shared" ca="1" si="105"/>
        <v>#DIV/0!</v>
      </c>
      <c r="AF79" s="414" t="e">
        <f t="shared" ca="1" si="105"/>
        <v>#DIV/0!</v>
      </c>
      <c r="AG79" s="414" t="e">
        <f t="shared" ca="1" si="105"/>
        <v>#DIV/0!</v>
      </c>
      <c r="AH79" s="414" t="e">
        <f t="shared" ca="1" si="105"/>
        <v>#DIV/0!</v>
      </c>
      <c r="AI79" s="414" t="e">
        <f t="shared" ca="1" si="105"/>
        <v>#DIV/0!</v>
      </c>
      <c r="AJ79" s="414" t="e">
        <f t="shared" ca="1" si="105"/>
        <v>#DIV/0!</v>
      </c>
      <c r="AK79" s="414" t="e">
        <f t="shared" ca="1" si="105"/>
        <v>#DIV/0!</v>
      </c>
      <c r="AL79" s="414" t="e">
        <f t="shared" ca="1" si="105"/>
        <v>#DIV/0!</v>
      </c>
      <c r="AM79" s="414" t="e">
        <f t="shared" ca="1" si="105"/>
        <v>#DIV/0!</v>
      </c>
      <c r="AN79" s="414" t="e">
        <f t="shared" ca="1" si="105"/>
        <v>#DIV/0!</v>
      </c>
      <c r="AO79" s="414" t="e">
        <f t="shared" ca="1" si="105"/>
        <v>#DIV/0!</v>
      </c>
      <c r="AP79" s="414" t="e">
        <f t="shared" ca="1" si="105"/>
        <v>#DIV/0!</v>
      </c>
      <c r="AQ79" s="414" t="e">
        <f t="shared" ca="1" si="105"/>
        <v>#DIV/0!</v>
      </c>
      <c r="AR79" s="414" t="e">
        <f t="shared" ca="1" si="105"/>
        <v>#DIV/0!</v>
      </c>
      <c r="AS79" s="414" t="e">
        <f t="shared" ca="1" si="105"/>
        <v>#DIV/0!</v>
      </c>
      <c r="AT79" s="414" t="e">
        <f t="shared" ca="1" si="105"/>
        <v>#DIV/0!</v>
      </c>
      <c r="AU79" s="414" t="e">
        <f t="shared" ref="AU79:CU79" ca="1" si="106">AT83</f>
        <v>#DIV/0!</v>
      </c>
      <c r="AV79" s="414" t="e">
        <f t="shared" ca="1" si="106"/>
        <v>#DIV/0!</v>
      </c>
      <c r="AW79" s="414" t="e">
        <f t="shared" ca="1" si="106"/>
        <v>#DIV/0!</v>
      </c>
      <c r="AX79" s="414" t="e">
        <f t="shared" ca="1" si="106"/>
        <v>#DIV/0!</v>
      </c>
      <c r="AY79" s="414" t="e">
        <f t="shared" ca="1" si="106"/>
        <v>#DIV/0!</v>
      </c>
      <c r="AZ79" s="414" t="e">
        <f t="shared" ca="1" si="106"/>
        <v>#DIV/0!</v>
      </c>
      <c r="BA79" s="414" t="e">
        <f t="shared" ca="1" si="106"/>
        <v>#DIV/0!</v>
      </c>
      <c r="BB79" s="414" t="e">
        <f t="shared" ca="1" si="106"/>
        <v>#DIV/0!</v>
      </c>
      <c r="BC79" s="414" t="e">
        <f t="shared" ca="1" si="106"/>
        <v>#DIV/0!</v>
      </c>
      <c r="BD79" s="414" t="e">
        <f t="shared" ca="1" si="106"/>
        <v>#DIV/0!</v>
      </c>
      <c r="BE79" s="414" t="e">
        <f t="shared" ca="1" si="106"/>
        <v>#DIV/0!</v>
      </c>
      <c r="BF79" s="414" t="e">
        <f t="shared" ca="1" si="106"/>
        <v>#DIV/0!</v>
      </c>
      <c r="BG79" s="414" t="e">
        <f t="shared" ca="1" si="106"/>
        <v>#DIV/0!</v>
      </c>
      <c r="BH79" s="414" t="e">
        <f t="shared" ca="1" si="106"/>
        <v>#DIV/0!</v>
      </c>
      <c r="BI79" s="414" t="e">
        <f t="shared" ca="1" si="106"/>
        <v>#DIV/0!</v>
      </c>
      <c r="BJ79" s="414" t="e">
        <f t="shared" ca="1" si="106"/>
        <v>#DIV/0!</v>
      </c>
      <c r="BK79" s="414" t="e">
        <f t="shared" ca="1" si="106"/>
        <v>#DIV/0!</v>
      </c>
      <c r="BL79" s="414" t="e">
        <f t="shared" ca="1" si="106"/>
        <v>#DIV/0!</v>
      </c>
      <c r="BM79" s="414" t="e">
        <f t="shared" ca="1" si="106"/>
        <v>#DIV/0!</v>
      </c>
      <c r="BN79" s="414" t="e">
        <f t="shared" ca="1" si="106"/>
        <v>#DIV/0!</v>
      </c>
      <c r="BO79" s="414" t="e">
        <f t="shared" ca="1" si="106"/>
        <v>#DIV/0!</v>
      </c>
      <c r="BP79" s="414" t="e">
        <f t="shared" ca="1" si="106"/>
        <v>#DIV/0!</v>
      </c>
      <c r="BQ79" s="414" t="e">
        <f t="shared" ca="1" si="106"/>
        <v>#DIV/0!</v>
      </c>
      <c r="BR79" s="414" t="e">
        <f t="shared" ca="1" si="106"/>
        <v>#DIV/0!</v>
      </c>
      <c r="BS79" s="414" t="e">
        <f t="shared" ca="1" si="106"/>
        <v>#DIV/0!</v>
      </c>
      <c r="BT79" s="414" t="e">
        <f t="shared" ca="1" si="106"/>
        <v>#DIV/0!</v>
      </c>
      <c r="BU79" s="414" t="e">
        <f t="shared" ca="1" si="106"/>
        <v>#DIV/0!</v>
      </c>
      <c r="BV79" s="414" t="e">
        <f t="shared" ca="1" si="106"/>
        <v>#DIV/0!</v>
      </c>
      <c r="BW79" s="414" t="e">
        <f t="shared" ca="1" si="106"/>
        <v>#DIV/0!</v>
      </c>
      <c r="BX79" s="414" t="e">
        <f t="shared" ca="1" si="106"/>
        <v>#DIV/0!</v>
      </c>
      <c r="BY79" s="414" t="e">
        <f t="shared" ca="1" si="106"/>
        <v>#DIV/0!</v>
      </c>
      <c r="BZ79" s="414" t="e">
        <f t="shared" ca="1" si="106"/>
        <v>#DIV/0!</v>
      </c>
      <c r="CA79" s="414" t="e">
        <f t="shared" ca="1" si="106"/>
        <v>#DIV/0!</v>
      </c>
      <c r="CB79" s="414" t="e">
        <f t="shared" ca="1" si="106"/>
        <v>#DIV/0!</v>
      </c>
      <c r="CC79" s="414" t="e">
        <f t="shared" ca="1" si="106"/>
        <v>#DIV/0!</v>
      </c>
      <c r="CD79" s="414" t="e">
        <f t="shared" ca="1" si="106"/>
        <v>#DIV/0!</v>
      </c>
      <c r="CE79" s="414" t="e">
        <f t="shared" ca="1" si="106"/>
        <v>#DIV/0!</v>
      </c>
      <c r="CF79" s="414" t="e">
        <f t="shared" ca="1" si="106"/>
        <v>#DIV/0!</v>
      </c>
      <c r="CG79" s="414" t="e">
        <f t="shared" ca="1" si="106"/>
        <v>#DIV/0!</v>
      </c>
      <c r="CH79" s="414" t="e">
        <f t="shared" ca="1" si="106"/>
        <v>#DIV/0!</v>
      </c>
      <c r="CI79" s="414" t="e">
        <f t="shared" ca="1" si="106"/>
        <v>#DIV/0!</v>
      </c>
      <c r="CJ79" s="414" t="e">
        <f t="shared" ca="1" si="106"/>
        <v>#DIV/0!</v>
      </c>
      <c r="CK79" s="414" t="e">
        <f t="shared" ca="1" si="106"/>
        <v>#DIV/0!</v>
      </c>
      <c r="CL79" s="414" t="e">
        <f t="shared" ca="1" si="106"/>
        <v>#DIV/0!</v>
      </c>
      <c r="CM79" s="414" t="e">
        <f t="shared" ca="1" si="106"/>
        <v>#DIV/0!</v>
      </c>
      <c r="CN79" s="414" t="e">
        <f t="shared" ca="1" si="106"/>
        <v>#DIV/0!</v>
      </c>
      <c r="CO79" s="414" t="e">
        <f t="shared" ca="1" si="106"/>
        <v>#DIV/0!</v>
      </c>
      <c r="CP79" s="414" t="e">
        <f t="shared" ca="1" si="106"/>
        <v>#DIV/0!</v>
      </c>
      <c r="CQ79" s="414" t="e">
        <f t="shared" ca="1" si="106"/>
        <v>#DIV/0!</v>
      </c>
      <c r="CR79" s="414" t="e">
        <f t="shared" ca="1" si="106"/>
        <v>#DIV/0!</v>
      </c>
      <c r="CS79" s="414" t="e">
        <f t="shared" ca="1" si="106"/>
        <v>#DIV/0!</v>
      </c>
      <c r="CT79" s="414" t="e">
        <f t="shared" ca="1" si="106"/>
        <v>#DIV/0!</v>
      </c>
      <c r="CU79" s="414" t="e">
        <f t="shared" ca="1" si="106"/>
        <v>#DIV/0!</v>
      </c>
    </row>
    <row r="80" spans="1:102" s="380" customFormat="1">
      <c r="A80" t="s">
        <v>277</v>
      </c>
      <c r="D80" s="414">
        <f>IF(D25&gt;EOMONTH(Assum!$B$116,-Assum!$B$114),SUMIF($25:$25,EOMONTH(D78,Assum!$B$114),$31:$31),0)</f>
        <v>0</v>
      </c>
      <c r="E80" s="414">
        <f>IF(E25&gt;EOMONTH(Assum!$B$116,-Assum!$B$114),SUMIF($25:$25,EOMONTH(E78,Assum!$B$114),$31:$31),0)</f>
        <v>0</v>
      </c>
      <c r="F80" s="414">
        <f>IF(F25&gt;EOMONTH(Assum!$B$116,-Assum!$B$114),SUMIF($25:$25,EOMONTH(F78,Assum!$B$114),$31:$31),0)</f>
        <v>0</v>
      </c>
      <c r="G80" s="414">
        <f>IF(G25&gt;EOMONTH(Assum!$B$116,-Assum!$B$114),SUMIF($25:$25,EOMONTH(G78,Assum!$B$114),$31:$31),0)</f>
        <v>0</v>
      </c>
      <c r="H80" s="414">
        <f>IF(H25&gt;EOMONTH(Assum!$B$116,-Assum!$B$114),SUMIF($25:$25,EOMONTH(H78,Assum!$B$114),$31:$31),0)</f>
        <v>0</v>
      </c>
      <c r="I80" s="414">
        <f>IF(I25&gt;EOMONTH(Assum!$B$116,-Assum!$B$114),SUMIF($25:$25,EOMONTH(I78,Assum!$B$114),$31:$31),0)</f>
        <v>0</v>
      </c>
      <c r="J80" s="414">
        <f>IF(J25&gt;EOMONTH(Assum!$B$116,-Assum!$B$114),SUMIF($25:$25,EOMONTH(J78,Assum!$B$114),$31:$31),0)</f>
        <v>0</v>
      </c>
      <c r="K80" s="414">
        <f>IF(K25&gt;EOMONTH(Assum!$B$116,-Assum!$B$114),SUMIF($25:$25,EOMONTH(K78,Assum!$B$114),$31:$31),0)</f>
        <v>0</v>
      </c>
      <c r="L80" s="414" t="e">
        <f ca="1">IF(L25&gt;EOMONTH(Assum!$B$116,-Assum!$B$114),SUMIF($25:$25,EOMONTH(L78,Assum!$B$114),$31:$31),0)</f>
        <v>#DIV/0!</v>
      </c>
      <c r="M80" s="414" t="e">
        <f ca="1">IF(M25&gt;EOMONTH(Assum!$B$116,-Assum!$B$114),SUMIF($25:$25,EOMONTH(M78,Assum!$B$114),$31:$31),0)</f>
        <v>#DIV/0!</v>
      </c>
      <c r="N80" s="414" t="e">
        <f ca="1">IF(N25&gt;EOMONTH(Assum!$B$116,-Assum!$B$114),SUMIF($25:$25,EOMONTH(N78,Assum!$B$114),$31:$31),0)</f>
        <v>#DIV/0!</v>
      </c>
      <c r="O80" s="414" t="e">
        <f ca="1">IF(O25&gt;EOMONTH(Assum!$B$116,-Assum!$B$114),SUMIF($25:$25,EOMONTH(O78,Assum!$B$114),$31:$31),0)</f>
        <v>#DIV/0!</v>
      </c>
      <c r="P80" s="414" t="e">
        <f ca="1">IF(P25&gt;EOMONTH(Assum!$B$116,-Assum!$B$114),SUMIF($25:$25,EOMONTH(P78,Assum!$B$114),$31:$31),0)</f>
        <v>#DIV/0!</v>
      </c>
      <c r="Q80" s="414" t="e">
        <f ca="1">IF(Q25&gt;EOMONTH(Assum!$B$116,-Assum!$B$114),SUMIF($25:$25,EOMONTH(Q78,Assum!$B$114),$31:$31),0)</f>
        <v>#DIV/0!</v>
      </c>
      <c r="R80" s="414" t="e">
        <f ca="1">IF(R25&gt;EOMONTH(Assum!$B$116,-Assum!$B$114),SUMIF($25:$25,EOMONTH(R78,Assum!$B$114),$31:$31),0)</f>
        <v>#DIV/0!</v>
      </c>
      <c r="S80" s="414" t="e">
        <f ca="1">IF(S25&gt;EOMONTH(Assum!$B$116,-Assum!$B$114),SUMIF($25:$25,EOMONTH(S78,Assum!$B$114),$31:$31),0)</f>
        <v>#DIV/0!</v>
      </c>
      <c r="T80" s="414" t="e">
        <f ca="1">IF(T25&gt;EOMONTH(Assum!$B$116,-Assum!$B$114),SUMIF($25:$25,EOMONTH(T78,Assum!$B$114),$31:$31),0)</f>
        <v>#DIV/0!</v>
      </c>
      <c r="U80" s="414" t="e">
        <f ca="1">IF(U25&gt;EOMONTH(Assum!$B$116,-Assum!$B$114),SUMIF($25:$25,EOMONTH(U78,Assum!$B$114),$31:$31),0)</f>
        <v>#DIV/0!</v>
      </c>
      <c r="V80" s="414" t="e">
        <f ca="1">IF(V25&gt;EOMONTH(Assum!$B$116,-Assum!$B$114),SUMIF($25:$25,EOMONTH(V78,Assum!$B$114),$31:$31),0)</f>
        <v>#DIV/0!</v>
      </c>
      <c r="W80" s="414" t="e">
        <f ca="1">IF(W25&gt;EOMONTH(Assum!$B$116,-Assum!$B$114),SUMIF($25:$25,EOMONTH(W78,Assum!$B$114),$31:$31),0)</f>
        <v>#DIV/0!</v>
      </c>
      <c r="X80" s="414" t="e">
        <f ca="1">IF(X25&gt;EOMONTH(Assum!$B$116,-Assum!$B$114),SUMIF($25:$25,EOMONTH(X78,Assum!$B$114),$31:$31),0)</f>
        <v>#DIV/0!</v>
      </c>
      <c r="Y80" s="414" t="e">
        <f ca="1">IF(Y25&gt;EOMONTH(Assum!$B$116,-Assum!$B$114),SUMIF($25:$25,EOMONTH(Y78,Assum!$B$114),$31:$31),0)</f>
        <v>#DIV/0!</v>
      </c>
      <c r="Z80" s="414" t="e">
        <f ca="1">IF(Z25&gt;EOMONTH(Assum!$B$116,-Assum!$B$114),SUMIF($25:$25,EOMONTH(Z78,Assum!$B$114),$31:$31),0)</f>
        <v>#DIV/0!</v>
      </c>
      <c r="AA80" s="414" t="e">
        <f ca="1">IF(AA25&gt;EOMONTH(Assum!$B$116,-Assum!$B$114),SUMIF($25:$25,EOMONTH(AA78,Assum!$B$114),$31:$31),0)</f>
        <v>#DIV/0!</v>
      </c>
      <c r="AB80" s="414" t="e">
        <f ca="1">IF(AB25&gt;EOMONTH(Assum!$B$116,-Assum!$B$114),SUMIF($25:$25,EOMONTH(AB78,Assum!$B$114),$31:$31),0)</f>
        <v>#DIV/0!</v>
      </c>
      <c r="AC80" s="414" t="e">
        <f ca="1">IF(AC25&gt;EOMONTH(Assum!$B$116,-Assum!$B$114),SUMIF($25:$25,EOMONTH(AC78,Assum!$B$114),$31:$31),0)</f>
        <v>#DIV/0!</v>
      </c>
      <c r="AD80" s="414" t="e">
        <f ca="1">IF(AD25&gt;EOMONTH(Assum!$B$116,-Assum!$B$114),SUMIF($25:$25,EOMONTH(AD78,Assum!$B$114),$31:$31),0)</f>
        <v>#DIV/0!</v>
      </c>
      <c r="AE80" s="414" t="e">
        <f ca="1">IF(AE25&gt;EOMONTH(Assum!$B$116,-Assum!$B$114),SUMIF($25:$25,EOMONTH(AE78,Assum!$B$114),$31:$31),0)</f>
        <v>#DIV/0!</v>
      </c>
      <c r="AF80" s="414" t="e">
        <f ca="1">IF(AF25&gt;EOMONTH(Assum!$B$116,-Assum!$B$114),SUMIF($25:$25,EOMONTH(AF78,Assum!$B$114),$31:$31),0)</f>
        <v>#DIV/0!</v>
      </c>
      <c r="AG80" s="414" t="e">
        <f ca="1">IF(AG25&gt;EOMONTH(Assum!$B$116,-Assum!$B$114),SUMIF($25:$25,EOMONTH(AG78,Assum!$B$114),$31:$31),0)</f>
        <v>#DIV/0!</v>
      </c>
      <c r="AH80" s="414" t="e">
        <f ca="1">IF(AH25&gt;EOMONTH(Assum!$B$116,-Assum!$B$114),SUMIF($25:$25,EOMONTH(AH78,Assum!$B$114),$31:$31),0)</f>
        <v>#DIV/0!</v>
      </c>
      <c r="AI80" s="414" t="e">
        <f ca="1">IF(AI25&gt;EOMONTH(Assum!$B$116,-Assum!$B$114),SUMIF($25:$25,EOMONTH(AI78,Assum!$B$114),$31:$31),0)</f>
        <v>#DIV/0!</v>
      </c>
      <c r="AJ80" s="414" t="e">
        <f ca="1">IF(AJ25&gt;EOMONTH(Assum!$B$116,-Assum!$B$114),SUMIF($25:$25,EOMONTH(AJ78,Assum!$B$114),$31:$31),0)</f>
        <v>#DIV/0!</v>
      </c>
      <c r="AK80" s="414" t="e">
        <f ca="1">IF(AK25&gt;EOMONTH(Assum!$B$116,-Assum!$B$114),SUMIF($25:$25,EOMONTH(AK78,Assum!$B$114),$31:$31),0)</f>
        <v>#DIV/0!</v>
      </c>
      <c r="AL80" s="414" t="e">
        <f ca="1">IF(AL25&gt;EOMONTH(Assum!$B$116,-Assum!$B$114),SUMIF($25:$25,EOMONTH(AL78,Assum!$B$114),$31:$31),0)</f>
        <v>#DIV/0!</v>
      </c>
      <c r="AM80" s="414" t="e">
        <f ca="1">IF(AM25&gt;EOMONTH(Assum!$B$116,-Assum!$B$114),SUMIF($25:$25,EOMONTH(AM78,Assum!$B$114),$31:$31),0)</f>
        <v>#DIV/0!</v>
      </c>
      <c r="AN80" s="414" t="e">
        <f ca="1">IF(AN25&gt;EOMONTH(Assum!$B$116,-Assum!$B$114),SUMIF($25:$25,EOMONTH(AN78,Assum!$B$114),$31:$31),0)</f>
        <v>#DIV/0!</v>
      </c>
      <c r="AO80" s="414" t="e">
        <f ca="1">IF(AO25&gt;EOMONTH(Assum!$B$116,-Assum!$B$114),SUMIF($25:$25,EOMONTH(AO78,Assum!$B$114),$31:$31),0)</f>
        <v>#DIV/0!</v>
      </c>
      <c r="AP80" s="414" t="e">
        <f ca="1">IF(AP25&gt;EOMONTH(Assum!$B$116,-Assum!$B$114),SUMIF($25:$25,EOMONTH(AP78,Assum!$B$114),$31:$31),0)</f>
        <v>#DIV/0!</v>
      </c>
      <c r="AQ80" s="414" t="e">
        <f ca="1">IF(AQ25&gt;EOMONTH(Assum!$B$116,-Assum!$B$114),SUMIF($25:$25,EOMONTH(AQ78,Assum!$B$114),$31:$31),0)</f>
        <v>#DIV/0!</v>
      </c>
      <c r="AR80" s="414" t="e">
        <f ca="1">IF(AR25&gt;EOMONTH(Assum!$B$116,-Assum!$B$114),SUMIF($25:$25,EOMONTH(AR78,Assum!$B$114),$31:$31),0)</f>
        <v>#DIV/0!</v>
      </c>
      <c r="AS80" s="414" t="e">
        <f ca="1">IF(AS25&gt;EOMONTH(Assum!$B$116,-Assum!$B$114),SUMIF($25:$25,EOMONTH(AS78,Assum!$B$114),$31:$31),0)</f>
        <v>#DIV/0!</v>
      </c>
      <c r="AT80" s="414" t="e">
        <f ca="1">IF(AT25&gt;EOMONTH(Assum!$B$116,-Assum!$B$114),SUMIF($25:$25,EOMONTH(AT78,Assum!$B$114),$31:$31),0)</f>
        <v>#DIV/0!</v>
      </c>
      <c r="AU80" s="414" t="e">
        <f ca="1">IF(AU25&gt;EOMONTH(Assum!$B$116,-Assum!$B$114),SUMIF($25:$25,EOMONTH(AU78,Assum!$B$114),$31:$31),0)</f>
        <v>#DIV/0!</v>
      </c>
      <c r="AV80" s="414" t="e">
        <f ca="1">IF(AV25&gt;EOMONTH(Assum!$B$116,-Assum!$B$114),SUMIF($25:$25,EOMONTH(AV78,Assum!$B$114),$31:$31),0)</f>
        <v>#DIV/0!</v>
      </c>
      <c r="AW80" s="414" t="e">
        <f ca="1">IF(AW25&gt;EOMONTH(Assum!$B$116,-Assum!$B$114),SUMIF($25:$25,EOMONTH(AW78,Assum!$B$114),$31:$31),0)</f>
        <v>#DIV/0!</v>
      </c>
      <c r="AX80" s="414" t="e">
        <f ca="1">IF(AX25&gt;EOMONTH(Assum!$B$116,-Assum!$B$114),SUMIF($25:$25,EOMONTH(AX78,Assum!$B$114),$31:$31),0)</f>
        <v>#DIV/0!</v>
      </c>
      <c r="AY80" s="414" t="e">
        <f ca="1">IF(AY25&gt;EOMONTH(Assum!$B$116,-Assum!$B$114),SUMIF($25:$25,EOMONTH(AY78,Assum!$B$114),$31:$31),0)</f>
        <v>#DIV/0!</v>
      </c>
      <c r="AZ80" s="414" t="e">
        <f ca="1">IF(AZ25&gt;EOMONTH(Assum!$B$116,-Assum!$B$114),SUMIF($25:$25,EOMONTH(AZ78,Assum!$B$114),$31:$31),0)</f>
        <v>#DIV/0!</v>
      </c>
      <c r="BA80" s="414" t="e">
        <f ca="1">IF(BA25&gt;EOMONTH(Assum!$B$116,-Assum!$B$114),SUMIF($25:$25,EOMONTH(BA78,Assum!$B$114),$31:$31),0)</f>
        <v>#DIV/0!</v>
      </c>
      <c r="BB80" s="414" t="e">
        <f ca="1">IF(BB25&gt;EOMONTH(Assum!$B$116,-Assum!$B$114),SUMIF($25:$25,EOMONTH(BB78,Assum!$B$114),$31:$31),0)</f>
        <v>#DIV/0!</v>
      </c>
      <c r="BC80" s="414" t="e">
        <f ca="1">IF(BC25&gt;EOMONTH(Assum!$B$116,-Assum!$B$114),SUMIF($25:$25,EOMONTH(BC78,Assum!$B$114),$31:$31),0)</f>
        <v>#DIV/0!</v>
      </c>
      <c r="BD80" s="414" t="e">
        <f ca="1">IF(BD25&gt;EOMONTH(Assum!$B$116,-Assum!$B$114),SUMIF($25:$25,EOMONTH(BD78,Assum!$B$114),$31:$31),0)</f>
        <v>#DIV/0!</v>
      </c>
      <c r="BE80" s="414" t="e">
        <f ca="1">IF(BE25&gt;EOMONTH(Assum!$B$116,-Assum!$B$114),SUMIF($25:$25,EOMONTH(BE78,Assum!$B$114),$31:$31),0)</f>
        <v>#DIV/0!</v>
      </c>
      <c r="BF80" s="414" t="e">
        <f ca="1">IF(BF25&gt;EOMONTH(Assum!$B$116,-Assum!$B$114),SUMIF($25:$25,EOMONTH(BF78,Assum!$B$114),$31:$31),0)</f>
        <v>#DIV/0!</v>
      </c>
      <c r="BG80" s="414" t="e">
        <f ca="1">IF(BG25&gt;EOMONTH(Assum!$B$116,-Assum!$B$114),SUMIF($25:$25,EOMONTH(BG78,Assum!$B$114),$31:$31),0)</f>
        <v>#DIV/0!</v>
      </c>
      <c r="BH80" s="414" t="e">
        <f ca="1">IF(BH25&gt;EOMONTH(Assum!$B$116,-Assum!$B$114),SUMIF($25:$25,EOMONTH(BH78,Assum!$B$114),$31:$31),0)</f>
        <v>#DIV/0!</v>
      </c>
      <c r="BI80" s="414" t="e">
        <f ca="1">IF(BI25&gt;EOMONTH(Assum!$B$116,-Assum!$B$114),SUMIF($25:$25,EOMONTH(BI78,Assum!$B$114),$31:$31),0)</f>
        <v>#DIV/0!</v>
      </c>
      <c r="BJ80" s="414" t="e">
        <f ca="1">IF(BJ25&gt;EOMONTH(Assum!$B$116,-Assum!$B$114),SUMIF($25:$25,EOMONTH(BJ78,Assum!$B$114),$31:$31),0)</f>
        <v>#DIV/0!</v>
      </c>
      <c r="BK80" s="414" t="e">
        <f ca="1">IF(BK25&gt;EOMONTH(Assum!$B$116,-Assum!$B$114),SUMIF($25:$25,EOMONTH(BK78,Assum!$B$114),$31:$31),0)</f>
        <v>#DIV/0!</v>
      </c>
      <c r="BL80" s="414" t="e">
        <f ca="1">IF(BL25&gt;EOMONTH(Assum!$B$116,-Assum!$B$114),SUMIF($25:$25,EOMONTH(BL78,Assum!$B$114),$31:$31),0)</f>
        <v>#DIV/0!</v>
      </c>
      <c r="BM80" s="414" t="e">
        <f ca="1">IF(BM25&gt;EOMONTH(Assum!$B$116,-Assum!$B$114),SUMIF($25:$25,EOMONTH(BM78,Assum!$B$114),$31:$31),0)</f>
        <v>#DIV/0!</v>
      </c>
      <c r="BN80" s="414" t="e">
        <f ca="1">IF(BN25&gt;EOMONTH(Assum!$B$116,-Assum!$B$114),SUMIF($25:$25,EOMONTH(BN78,Assum!$B$114),$31:$31),0)</f>
        <v>#DIV/0!</v>
      </c>
      <c r="BO80" s="414" t="e">
        <f ca="1">IF(BO25&gt;EOMONTH(Assum!$B$116,-Assum!$B$114),SUMIF($25:$25,EOMONTH(BO78,Assum!$B$114),$31:$31),0)</f>
        <v>#DIV/0!</v>
      </c>
      <c r="BP80" s="414" t="e">
        <f ca="1">IF(BP25&gt;EOMONTH(Assum!$B$116,-Assum!$B$114),SUMIF($25:$25,EOMONTH(BP78,Assum!$B$114),$31:$31),0)</f>
        <v>#DIV/0!</v>
      </c>
      <c r="BQ80" s="414" t="e">
        <f ca="1">IF(BQ25&gt;EOMONTH(Assum!$B$116,-Assum!$B$114),SUMIF($25:$25,EOMONTH(BQ78,Assum!$B$114),$31:$31),0)</f>
        <v>#DIV/0!</v>
      </c>
      <c r="BR80" s="414" t="e">
        <f ca="1">IF(BR25&gt;EOMONTH(Assum!$B$116,-Assum!$B$114),SUMIF($25:$25,EOMONTH(BR78,Assum!$B$114),$31:$31),0)</f>
        <v>#DIV/0!</v>
      </c>
      <c r="BS80" s="414" t="e">
        <f ca="1">IF(BS25&gt;EOMONTH(Assum!$B$116,-Assum!$B$114),SUMIF($25:$25,EOMONTH(BS78,Assum!$B$114),$31:$31),0)</f>
        <v>#DIV/0!</v>
      </c>
      <c r="BT80" s="414" t="e">
        <f ca="1">IF(BT25&gt;EOMONTH(Assum!$B$116,-Assum!$B$114),SUMIF($25:$25,EOMONTH(BT78,Assum!$B$114),$31:$31),0)</f>
        <v>#DIV/0!</v>
      </c>
      <c r="BU80" s="414" t="e">
        <f ca="1">IF(BU25&gt;EOMONTH(Assum!$B$116,-Assum!$B$114),SUMIF($25:$25,EOMONTH(BU78,Assum!$B$114),$31:$31),0)</f>
        <v>#DIV/0!</v>
      </c>
      <c r="BV80" s="414" t="e">
        <f ca="1">IF(BV25&gt;EOMONTH(Assum!$B$116,-Assum!$B$114),SUMIF($25:$25,EOMONTH(BV78,Assum!$B$114),$31:$31),0)</f>
        <v>#DIV/0!</v>
      </c>
      <c r="BW80" s="414" t="e">
        <f ca="1">IF(BW25&gt;EOMONTH(Assum!$B$116,-Assum!$B$114),SUMIF($25:$25,EOMONTH(BW78,Assum!$B$114),$31:$31),0)</f>
        <v>#DIV/0!</v>
      </c>
      <c r="BX80" s="414" t="e">
        <f ca="1">IF(BX25&gt;EOMONTH(Assum!$B$116,-Assum!$B$114),SUMIF($25:$25,EOMONTH(BX78,Assum!$B$114),$31:$31),0)</f>
        <v>#DIV/0!</v>
      </c>
      <c r="BY80" s="414" t="e">
        <f ca="1">IF(BY25&gt;EOMONTH(Assum!$B$116,-Assum!$B$114),SUMIF($25:$25,EOMONTH(BY78,Assum!$B$114),$31:$31),0)</f>
        <v>#DIV/0!</v>
      </c>
      <c r="BZ80" s="414" t="e">
        <f ca="1">IF(BZ25&gt;EOMONTH(Assum!$B$116,-Assum!$B$114),SUMIF($25:$25,EOMONTH(BZ78,Assum!$B$114),$31:$31),0)</f>
        <v>#DIV/0!</v>
      </c>
      <c r="CA80" s="414" t="e">
        <f ca="1">IF(CA25&gt;EOMONTH(Assum!$B$116,-Assum!$B$114),SUMIF($25:$25,EOMONTH(CA78,Assum!$B$114),$31:$31),0)</f>
        <v>#DIV/0!</v>
      </c>
      <c r="CB80" s="414" t="e">
        <f ca="1">IF(CB25&gt;EOMONTH(Assum!$B$116,-Assum!$B$114),SUMIF($25:$25,EOMONTH(CB78,Assum!$B$114),$31:$31),0)</f>
        <v>#DIV/0!</v>
      </c>
      <c r="CC80" s="414" t="e">
        <f ca="1">IF(CC25&gt;EOMONTH(Assum!$B$116,-Assum!$B$114),SUMIF($25:$25,EOMONTH(CC78,Assum!$B$114),$31:$31),0)</f>
        <v>#DIV/0!</v>
      </c>
      <c r="CD80" s="414" t="e">
        <f ca="1">IF(CD25&gt;EOMONTH(Assum!$B$116,-Assum!$B$114),SUMIF($25:$25,EOMONTH(CD78,Assum!$B$114),$31:$31),0)</f>
        <v>#DIV/0!</v>
      </c>
      <c r="CE80" s="414" t="e">
        <f ca="1">IF(CE25&gt;EOMONTH(Assum!$B$116,-Assum!$B$114),SUMIF($25:$25,EOMONTH(CE78,Assum!$B$114),$31:$31),0)</f>
        <v>#DIV/0!</v>
      </c>
      <c r="CF80" s="414" t="e">
        <f ca="1">IF(CF25&gt;EOMONTH(Assum!$B$116,-Assum!$B$114),SUMIF($25:$25,EOMONTH(CF78,Assum!$B$114),$31:$31),0)</f>
        <v>#DIV/0!</v>
      </c>
      <c r="CG80" s="414" t="e">
        <f ca="1">IF(CG25&gt;EOMONTH(Assum!$B$116,-Assum!$B$114),SUMIF($25:$25,EOMONTH(CG78,Assum!$B$114),$31:$31),0)</f>
        <v>#DIV/0!</v>
      </c>
      <c r="CH80" s="414" t="e">
        <f ca="1">IF(CH25&gt;EOMONTH(Assum!$B$116,-Assum!$B$114),SUMIF($25:$25,EOMONTH(CH78,Assum!$B$114),$31:$31),0)</f>
        <v>#DIV/0!</v>
      </c>
      <c r="CI80" s="414" t="e">
        <f ca="1">IF(CI25&gt;EOMONTH(Assum!$B$116,-Assum!$B$114),SUMIF($25:$25,EOMONTH(CI78,Assum!$B$114),$31:$31),0)</f>
        <v>#DIV/0!</v>
      </c>
      <c r="CJ80" s="414" t="e">
        <f ca="1">IF(CJ25&gt;EOMONTH(Assum!$B$116,-Assum!$B$114),SUMIF($25:$25,EOMONTH(CJ78,Assum!$B$114),$31:$31),0)</f>
        <v>#DIV/0!</v>
      </c>
      <c r="CK80" s="414" t="e">
        <f ca="1">IF(CK25&gt;EOMONTH(Assum!$B$116,-Assum!$B$114),SUMIF($25:$25,EOMONTH(CK78,Assum!$B$114),$31:$31),0)</f>
        <v>#DIV/0!</v>
      </c>
      <c r="CL80" s="414" t="e">
        <f ca="1">IF(CL25&gt;EOMONTH(Assum!$B$116,-Assum!$B$114),SUMIF($25:$25,EOMONTH(CL78,Assum!$B$114),$31:$31),0)</f>
        <v>#DIV/0!</v>
      </c>
      <c r="CM80" s="414" t="e">
        <f ca="1">IF(CM25&gt;EOMONTH(Assum!$B$116,-Assum!$B$114),SUMIF($25:$25,EOMONTH(CM78,Assum!$B$114),$31:$31),0)</f>
        <v>#DIV/0!</v>
      </c>
      <c r="CN80" s="414" t="e">
        <f ca="1">IF(CN25&gt;EOMONTH(Assum!$B$116,-Assum!$B$114),SUMIF($25:$25,EOMONTH(CN78,Assum!$B$114),$31:$31),0)</f>
        <v>#DIV/0!</v>
      </c>
      <c r="CO80" s="414" t="e">
        <f ca="1">IF(CO25&gt;EOMONTH(Assum!$B$116,-Assum!$B$114),SUMIF($25:$25,EOMONTH(CO78,Assum!$B$114),$31:$31),0)</f>
        <v>#DIV/0!</v>
      </c>
      <c r="CP80" s="414" t="e">
        <f ca="1">IF(CP25&gt;EOMONTH(Assum!$B$116,-Assum!$B$114),SUMIF($25:$25,EOMONTH(CP78,Assum!$B$114),$31:$31),0)</f>
        <v>#DIV/0!</v>
      </c>
      <c r="CQ80" s="414" t="e">
        <f ca="1">IF(CQ25&gt;EOMONTH(Assum!$B$116,-Assum!$B$114),SUMIF($25:$25,EOMONTH(CQ78,Assum!$B$114),$31:$31),0)</f>
        <v>#DIV/0!</v>
      </c>
      <c r="CR80" s="414">
        <f>IF(CR25&gt;EOMONTH(Assum!$B$116,-Assum!$B$114),SUMIF($25:$25,EOMONTH(CR78,Assum!$B$114),$31:$31),0)</f>
        <v>0</v>
      </c>
      <c r="CS80" s="414">
        <f>IF(CS25&gt;EOMONTH(Assum!$B$116,-Assum!$B$114),SUMIF($25:$25,EOMONTH(CS78,Assum!$B$114),$31:$31),0)</f>
        <v>0</v>
      </c>
      <c r="CT80" s="414">
        <f>IF(CT25&gt;EOMONTH(Assum!$B$116,-Assum!$B$114),SUMIF($25:$25,EOMONTH(CT78,Assum!$B$114),$31:$31),0)</f>
        <v>0</v>
      </c>
      <c r="CU80" s="414">
        <f>IF(CU25&gt;EOMONTH(Assum!$B$116,-Assum!$B$114),SUMIF($25:$25,EOMONTH(CU78,Assum!$B$114),$31:$31),0)</f>
        <v>0</v>
      </c>
    </row>
    <row r="81" spans="1:281" s="380" customFormat="1">
      <c r="A81" t="s">
        <v>188</v>
      </c>
      <c r="D81" s="15">
        <f t="shared" ref="D81:AI81" si="107">IF(D80-D79&lt;0,0,D80-D79)</f>
        <v>0</v>
      </c>
      <c r="E81" s="15">
        <f t="shared" si="107"/>
        <v>0</v>
      </c>
      <c r="F81" s="15">
        <f t="shared" si="107"/>
        <v>0</v>
      </c>
      <c r="G81" s="15">
        <f t="shared" si="107"/>
        <v>0</v>
      </c>
      <c r="H81" s="15">
        <f t="shared" si="107"/>
        <v>0</v>
      </c>
      <c r="I81" s="15">
        <f t="shared" si="107"/>
        <v>0</v>
      </c>
      <c r="J81" s="15">
        <f t="shared" si="107"/>
        <v>0</v>
      </c>
      <c r="K81" s="15">
        <f t="shared" si="107"/>
        <v>0</v>
      </c>
      <c r="L81" s="15" t="e">
        <f t="shared" ca="1" si="107"/>
        <v>#DIV/0!</v>
      </c>
      <c r="M81" s="15" t="e">
        <f t="shared" ca="1" si="107"/>
        <v>#DIV/0!</v>
      </c>
      <c r="N81" s="15" t="e">
        <f t="shared" ca="1" si="107"/>
        <v>#DIV/0!</v>
      </c>
      <c r="O81" s="15" t="e">
        <f t="shared" ca="1" si="107"/>
        <v>#DIV/0!</v>
      </c>
      <c r="P81" s="15" t="e">
        <f t="shared" ca="1" si="107"/>
        <v>#DIV/0!</v>
      </c>
      <c r="Q81" s="15" t="e">
        <f t="shared" ca="1" si="107"/>
        <v>#DIV/0!</v>
      </c>
      <c r="R81" s="15" t="e">
        <f t="shared" ca="1" si="107"/>
        <v>#DIV/0!</v>
      </c>
      <c r="S81" s="15" t="e">
        <f t="shared" ca="1" si="107"/>
        <v>#DIV/0!</v>
      </c>
      <c r="T81" s="15" t="e">
        <f t="shared" ca="1" si="107"/>
        <v>#DIV/0!</v>
      </c>
      <c r="U81" s="15" t="e">
        <f t="shared" ca="1" si="107"/>
        <v>#DIV/0!</v>
      </c>
      <c r="V81" s="15" t="e">
        <f t="shared" ca="1" si="107"/>
        <v>#DIV/0!</v>
      </c>
      <c r="W81" s="15" t="e">
        <f t="shared" ca="1" si="107"/>
        <v>#DIV/0!</v>
      </c>
      <c r="X81" s="15" t="e">
        <f t="shared" ca="1" si="107"/>
        <v>#DIV/0!</v>
      </c>
      <c r="Y81" s="15" t="e">
        <f t="shared" ca="1" si="107"/>
        <v>#DIV/0!</v>
      </c>
      <c r="Z81" s="15" t="e">
        <f t="shared" ca="1" si="107"/>
        <v>#DIV/0!</v>
      </c>
      <c r="AA81" s="15" t="e">
        <f t="shared" ca="1" si="107"/>
        <v>#DIV/0!</v>
      </c>
      <c r="AB81" s="15" t="e">
        <f t="shared" ca="1" si="107"/>
        <v>#DIV/0!</v>
      </c>
      <c r="AC81" s="15" t="e">
        <f t="shared" ca="1" si="107"/>
        <v>#DIV/0!</v>
      </c>
      <c r="AD81" s="15" t="e">
        <f t="shared" ca="1" si="107"/>
        <v>#DIV/0!</v>
      </c>
      <c r="AE81" s="15" t="e">
        <f t="shared" ca="1" si="107"/>
        <v>#DIV/0!</v>
      </c>
      <c r="AF81" s="15" t="e">
        <f t="shared" ca="1" si="107"/>
        <v>#DIV/0!</v>
      </c>
      <c r="AG81" s="15" t="e">
        <f t="shared" ca="1" si="107"/>
        <v>#DIV/0!</v>
      </c>
      <c r="AH81" s="15" t="e">
        <f t="shared" ca="1" si="107"/>
        <v>#DIV/0!</v>
      </c>
      <c r="AI81" s="15" t="e">
        <f t="shared" ca="1" si="107"/>
        <v>#DIV/0!</v>
      </c>
      <c r="AJ81" s="15" t="e">
        <f t="shared" ref="AJ81:BO81" ca="1" si="108">IF(AJ80-AJ79&lt;0,0,AJ80-AJ79)</f>
        <v>#DIV/0!</v>
      </c>
      <c r="AK81" s="15" t="e">
        <f t="shared" ca="1" si="108"/>
        <v>#DIV/0!</v>
      </c>
      <c r="AL81" s="15" t="e">
        <f t="shared" ca="1" si="108"/>
        <v>#DIV/0!</v>
      </c>
      <c r="AM81" s="15" t="e">
        <f t="shared" ca="1" si="108"/>
        <v>#DIV/0!</v>
      </c>
      <c r="AN81" s="15" t="e">
        <f t="shared" ca="1" si="108"/>
        <v>#DIV/0!</v>
      </c>
      <c r="AO81" s="15" t="e">
        <f t="shared" ca="1" si="108"/>
        <v>#DIV/0!</v>
      </c>
      <c r="AP81" s="15" t="e">
        <f t="shared" ca="1" si="108"/>
        <v>#DIV/0!</v>
      </c>
      <c r="AQ81" s="15" t="e">
        <f t="shared" ca="1" si="108"/>
        <v>#DIV/0!</v>
      </c>
      <c r="AR81" s="15" t="e">
        <f t="shared" ca="1" si="108"/>
        <v>#DIV/0!</v>
      </c>
      <c r="AS81" s="15" t="e">
        <f t="shared" ca="1" si="108"/>
        <v>#DIV/0!</v>
      </c>
      <c r="AT81" s="15" t="e">
        <f t="shared" ca="1" si="108"/>
        <v>#DIV/0!</v>
      </c>
      <c r="AU81" s="15" t="e">
        <f t="shared" ca="1" si="108"/>
        <v>#DIV/0!</v>
      </c>
      <c r="AV81" s="15" t="e">
        <f t="shared" ca="1" si="108"/>
        <v>#DIV/0!</v>
      </c>
      <c r="AW81" s="15" t="e">
        <f t="shared" ca="1" si="108"/>
        <v>#DIV/0!</v>
      </c>
      <c r="AX81" s="15" t="e">
        <f t="shared" ca="1" si="108"/>
        <v>#DIV/0!</v>
      </c>
      <c r="AY81" s="15" t="e">
        <f t="shared" ca="1" si="108"/>
        <v>#DIV/0!</v>
      </c>
      <c r="AZ81" s="15" t="e">
        <f t="shared" ca="1" si="108"/>
        <v>#DIV/0!</v>
      </c>
      <c r="BA81" s="15" t="e">
        <f t="shared" ca="1" si="108"/>
        <v>#DIV/0!</v>
      </c>
      <c r="BB81" s="15" t="e">
        <f t="shared" ca="1" si="108"/>
        <v>#DIV/0!</v>
      </c>
      <c r="BC81" s="15" t="e">
        <f t="shared" ca="1" si="108"/>
        <v>#DIV/0!</v>
      </c>
      <c r="BD81" s="15" t="e">
        <f t="shared" ca="1" si="108"/>
        <v>#DIV/0!</v>
      </c>
      <c r="BE81" s="15" t="e">
        <f t="shared" ca="1" si="108"/>
        <v>#DIV/0!</v>
      </c>
      <c r="BF81" s="15" t="e">
        <f t="shared" ca="1" si="108"/>
        <v>#DIV/0!</v>
      </c>
      <c r="BG81" s="15" t="e">
        <f t="shared" ca="1" si="108"/>
        <v>#DIV/0!</v>
      </c>
      <c r="BH81" s="15" t="e">
        <f t="shared" ca="1" si="108"/>
        <v>#DIV/0!</v>
      </c>
      <c r="BI81" s="15" t="e">
        <f t="shared" ca="1" si="108"/>
        <v>#DIV/0!</v>
      </c>
      <c r="BJ81" s="15" t="e">
        <f t="shared" ca="1" si="108"/>
        <v>#DIV/0!</v>
      </c>
      <c r="BK81" s="15" t="e">
        <f t="shared" ca="1" si="108"/>
        <v>#DIV/0!</v>
      </c>
      <c r="BL81" s="15" t="e">
        <f t="shared" ca="1" si="108"/>
        <v>#DIV/0!</v>
      </c>
      <c r="BM81" s="15" t="e">
        <f t="shared" ca="1" si="108"/>
        <v>#DIV/0!</v>
      </c>
      <c r="BN81" s="15" t="e">
        <f t="shared" ca="1" si="108"/>
        <v>#DIV/0!</v>
      </c>
      <c r="BO81" s="15" t="e">
        <f t="shared" ca="1" si="108"/>
        <v>#DIV/0!</v>
      </c>
      <c r="BP81" s="15" t="e">
        <f t="shared" ref="BP81:CU81" ca="1" si="109">IF(BP80-BP79&lt;0,0,BP80-BP79)</f>
        <v>#DIV/0!</v>
      </c>
      <c r="BQ81" s="15" t="e">
        <f t="shared" ca="1" si="109"/>
        <v>#DIV/0!</v>
      </c>
      <c r="BR81" s="15" t="e">
        <f t="shared" ca="1" si="109"/>
        <v>#DIV/0!</v>
      </c>
      <c r="BS81" s="15" t="e">
        <f t="shared" ca="1" si="109"/>
        <v>#DIV/0!</v>
      </c>
      <c r="BT81" s="15" t="e">
        <f t="shared" ca="1" si="109"/>
        <v>#DIV/0!</v>
      </c>
      <c r="BU81" s="15" t="e">
        <f t="shared" ca="1" si="109"/>
        <v>#DIV/0!</v>
      </c>
      <c r="BV81" s="15" t="e">
        <f t="shared" ca="1" si="109"/>
        <v>#DIV/0!</v>
      </c>
      <c r="BW81" s="15" t="e">
        <f t="shared" ca="1" si="109"/>
        <v>#DIV/0!</v>
      </c>
      <c r="BX81" s="15" t="e">
        <f t="shared" ca="1" si="109"/>
        <v>#DIV/0!</v>
      </c>
      <c r="BY81" s="15" t="e">
        <f t="shared" ca="1" si="109"/>
        <v>#DIV/0!</v>
      </c>
      <c r="BZ81" s="15" t="e">
        <f t="shared" ca="1" si="109"/>
        <v>#DIV/0!</v>
      </c>
      <c r="CA81" s="15" t="e">
        <f t="shared" ca="1" si="109"/>
        <v>#DIV/0!</v>
      </c>
      <c r="CB81" s="15" t="e">
        <f t="shared" ca="1" si="109"/>
        <v>#DIV/0!</v>
      </c>
      <c r="CC81" s="15" t="e">
        <f t="shared" ca="1" si="109"/>
        <v>#DIV/0!</v>
      </c>
      <c r="CD81" s="15" t="e">
        <f t="shared" ca="1" si="109"/>
        <v>#DIV/0!</v>
      </c>
      <c r="CE81" s="15" t="e">
        <f t="shared" ca="1" si="109"/>
        <v>#DIV/0!</v>
      </c>
      <c r="CF81" s="15" t="e">
        <f t="shared" ca="1" si="109"/>
        <v>#DIV/0!</v>
      </c>
      <c r="CG81" s="15" t="e">
        <f t="shared" ca="1" si="109"/>
        <v>#DIV/0!</v>
      </c>
      <c r="CH81" s="15" t="e">
        <f t="shared" ca="1" si="109"/>
        <v>#DIV/0!</v>
      </c>
      <c r="CI81" s="15" t="e">
        <f t="shared" ca="1" si="109"/>
        <v>#DIV/0!</v>
      </c>
      <c r="CJ81" s="15" t="e">
        <f t="shared" ca="1" si="109"/>
        <v>#DIV/0!</v>
      </c>
      <c r="CK81" s="15" t="e">
        <f t="shared" ca="1" si="109"/>
        <v>#DIV/0!</v>
      </c>
      <c r="CL81" s="15" t="e">
        <f t="shared" ca="1" si="109"/>
        <v>#DIV/0!</v>
      </c>
      <c r="CM81" s="15" t="e">
        <f t="shared" ca="1" si="109"/>
        <v>#DIV/0!</v>
      </c>
      <c r="CN81" s="15" t="e">
        <f t="shared" ca="1" si="109"/>
        <v>#DIV/0!</v>
      </c>
      <c r="CO81" s="15" t="e">
        <f t="shared" ca="1" si="109"/>
        <v>#DIV/0!</v>
      </c>
      <c r="CP81" s="15" t="e">
        <f t="shared" ca="1" si="109"/>
        <v>#DIV/0!</v>
      </c>
      <c r="CQ81" s="15" t="e">
        <f t="shared" ca="1" si="109"/>
        <v>#DIV/0!</v>
      </c>
      <c r="CR81" s="15" t="e">
        <f t="shared" ca="1" si="109"/>
        <v>#DIV/0!</v>
      </c>
      <c r="CS81" s="15" t="e">
        <f t="shared" ca="1" si="109"/>
        <v>#DIV/0!</v>
      </c>
      <c r="CT81" s="15" t="e">
        <f t="shared" ca="1" si="109"/>
        <v>#DIV/0!</v>
      </c>
      <c r="CU81" s="15" t="e">
        <f t="shared" ca="1" si="109"/>
        <v>#DIV/0!</v>
      </c>
    </row>
    <row r="82" spans="1:281" s="380" customFormat="1">
      <c r="A82" t="s">
        <v>250</v>
      </c>
      <c r="D82" s="13">
        <f>IF(D80-D79&gt;=0,0,D79-D80)</f>
        <v>0</v>
      </c>
      <c r="E82" s="13">
        <f>IF(E80-E79&gt;=0,0,E79-E80)</f>
        <v>0</v>
      </c>
      <c r="F82" s="13">
        <f t="shared" ref="F82:AT82" si="110">IF(F80-F79&gt;=0,0,F79-F80)</f>
        <v>0</v>
      </c>
      <c r="G82" s="13">
        <f t="shared" si="110"/>
        <v>0</v>
      </c>
      <c r="H82" s="13">
        <f t="shared" si="110"/>
        <v>0</v>
      </c>
      <c r="I82" s="13">
        <f t="shared" si="110"/>
        <v>0</v>
      </c>
      <c r="J82" s="13">
        <f t="shared" si="110"/>
        <v>0</v>
      </c>
      <c r="K82" s="13">
        <f t="shared" si="110"/>
        <v>0</v>
      </c>
      <c r="L82" s="13" t="e">
        <f t="shared" ca="1" si="110"/>
        <v>#DIV/0!</v>
      </c>
      <c r="M82" s="13" t="e">
        <f t="shared" ca="1" si="110"/>
        <v>#DIV/0!</v>
      </c>
      <c r="N82" s="13" t="e">
        <f t="shared" ca="1" si="110"/>
        <v>#DIV/0!</v>
      </c>
      <c r="O82" s="13" t="e">
        <f t="shared" ca="1" si="110"/>
        <v>#DIV/0!</v>
      </c>
      <c r="P82" s="13" t="e">
        <f t="shared" ca="1" si="110"/>
        <v>#DIV/0!</v>
      </c>
      <c r="Q82" s="13" t="e">
        <f t="shared" ca="1" si="110"/>
        <v>#DIV/0!</v>
      </c>
      <c r="R82" s="13" t="e">
        <f t="shared" ca="1" si="110"/>
        <v>#DIV/0!</v>
      </c>
      <c r="S82" s="13" t="e">
        <f t="shared" ca="1" si="110"/>
        <v>#DIV/0!</v>
      </c>
      <c r="T82" s="13" t="e">
        <f t="shared" ca="1" si="110"/>
        <v>#DIV/0!</v>
      </c>
      <c r="U82" s="13" t="e">
        <f t="shared" ca="1" si="110"/>
        <v>#DIV/0!</v>
      </c>
      <c r="V82" s="13" t="e">
        <f t="shared" ca="1" si="110"/>
        <v>#DIV/0!</v>
      </c>
      <c r="W82" s="13" t="e">
        <f t="shared" ca="1" si="110"/>
        <v>#DIV/0!</v>
      </c>
      <c r="X82" s="13" t="e">
        <f t="shared" ca="1" si="110"/>
        <v>#DIV/0!</v>
      </c>
      <c r="Y82" s="13" t="e">
        <f t="shared" ca="1" si="110"/>
        <v>#DIV/0!</v>
      </c>
      <c r="Z82" s="13" t="e">
        <f t="shared" ca="1" si="110"/>
        <v>#DIV/0!</v>
      </c>
      <c r="AA82" s="13" t="e">
        <f t="shared" ca="1" si="110"/>
        <v>#DIV/0!</v>
      </c>
      <c r="AB82" s="13" t="e">
        <f t="shared" ca="1" si="110"/>
        <v>#DIV/0!</v>
      </c>
      <c r="AC82" s="13" t="e">
        <f t="shared" ca="1" si="110"/>
        <v>#DIV/0!</v>
      </c>
      <c r="AD82" s="13" t="e">
        <f t="shared" ca="1" si="110"/>
        <v>#DIV/0!</v>
      </c>
      <c r="AE82" s="13" t="e">
        <f t="shared" ca="1" si="110"/>
        <v>#DIV/0!</v>
      </c>
      <c r="AF82" s="13" t="e">
        <f t="shared" ca="1" si="110"/>
        <v>#DIV/0!</v>
      </c>
      <c r="AG82" s="13" t="e">
        <f t="shared" ca="1" si="110"/>
        <v>#DIV/0!</v>
      </c>
      <c r="AH82" s="13" t="e">
        <f t="shared" ca="1" si="110"/>
        <v>#DIV/0!</v>
      </c>
      <c r="AI82" s="13" t="e">
        <f t="shared" ca="1" si="110"/>
        <v>#DIV/0!</v>
      </c>
      <c r="AJ82" s="13" t="e">
        <f t="shared" ca="1" si="110"/>
        <v>#DIV/0!</v>
      </c>
      <c r="AK82" s="13" t="e">
        <f t="shared" ca="1" si="110"/>
        <v>#DIV/0!</v>
      </c>
      <c r="AL82" s="13" t="e">
        <f t="shared" ca="1" si="110"/>
        <v>#DIV/0!</v>
      </c>
      <c r="AM82" s="13" t="e">
        <f t="shared" ca="1" si="110"/>
        <v>#DIV/0!</v>
      </c>
      <c r="AN82" s="13" t="e">
        <f t="shared" ca="1" si="110"/>
        <v>#DIV/0!</v>
      </c>
      <c r="AO82" s="13" t="e">
        <f t="shared" ca="1" si="110"/>
        <v>#DIV/0!</v>
      </c>
      <c r="AP82" s="13" t="e">
        <f t="shared" ca="1" si="110"/>
        <v>#DIV/0!</v>
      </c>
      <c r="AQ82" s="13" t="e">
        <f t="shared" ca="1" si="110"/>
        <v>#DIV/0!</v>
      </c>
      <c r="AR82" s="13" t="e">
        <f t="shared" ca="1" si="110"/>
        <v>#DIV/0!</v>
      </c>
      <c r="AS82" s="13" t="e">
        <f t="shared" ca="1" si="110"/>
        <v>#DIV/0!</v>
      </c>
      <c r="AT82" s="13" t="e">
        <f t="shared" ca="1" si="110"/>
        <v>#DIV/0!</v>
      </c>
      <c r="AU82" s="13" t="e">
        <f t="shared" ref="AU82:CU82" ca="1" si="111">IF(AU80-AU79&gt;=0,0,AU79-AU80)</f>
        <v>#DIV/0!</v>
      </c>
      <c r="AV82" s="13" t="e">
        <f t="shared" ca="1" si="111"/>
        <v>#DIV/0!</v>
      </c>
      <c r="AW82" s="13" t="e">
        <f t="shared" ca="1" si="111"/>
        <v>#DIV/0!</v>
      </c>
      <c r="AX82" s="13" t="e">
        <f t="shared" ca="1" si="111"/>
        <v>#DIV/0!</v>
      </c>
      <c r="AY82" s="13" t="e">
        <f t="shared" ca="1" si="111"/>
        <v>#DIV/0!</v>
      </c>
      <c r="AZ82" s="13" t="e">
        <f t="shared" ca="1" si="111"/>
        <v>#DIV/0!</v>
      </c>
      <c r="BA82" s="13" t="e">
        <f t="shared" ca="1" si="111"/>
        <v>#DIV/0!</v>
      </c>
      <c r="BB82" s="13" t="e">
        <f t="shared" ca="1" si="111"/>
        <v>#DIV/0!</v>
      </c>
      <c r="BC82" s="13" t="e">
        <f t="shared" ca="1" si="111"/>
        <v>#DIV/0!</v>
      </c>
      <c r="BD82" s="13" t="e">
        <f t="shared" ca="1" si="111"/>
        <v>#DIV/0!</v>
      </c>
      <c r="BE82" s="13" t="e">
        <f t="shared" ca="1" si="111"/>
        <v>#DIV/0!</v>
      </c>
      <c r="BF82" s="13" t="e">
        <f t="shared" ca="1" si="111"/>
        <v>#DIV/0!</v>
      </c>
      <c r="BG82" s="13" t="e">
        <f t="shared" ca="1" si="111"/>
        <v>#DIV/0!</v>
      </c>
      <c r="BH82" s="13" t="e">
        <f t="shared" ca="1" si="111"/>
        <v>#DIV/0!</v>
      </c>
      <c r="BI82" s="13" t="e">
        <f t="shared" ca="1" si="111"/>
        <v>#DIV/0!</v>
      </c>
      <c r="BJ82" s="13" t="e">
        <f t="shared" ca="1" si="111"/>
        <v>#DIV/0!</v>
      </c>
      <c r="BK82" s="13" t="e">
        <f t="shared" ca="1" si="111"/>
        <v>#DIV/0!</v>
      </c>
      <c r="BL82" s="13" t="e">
        <f t="shared" ca="1" si="111"/>
        <v>#DIV/0!</v>
      </c>
      <c r="BM82" s="13" t="e">
        <f t="shared" ca="1" si="111"/>
        <v>#DIV/0!</v>
      </c>
      <c r="BN82" s="13" t="e">
        <f t="shared" ca="1" si="111"/>
        <v>#DIV/0!</v>
      </c>
      <c r="BO82" s="13" t="e">
        <f t="shared" ca="1" si="111"/>
        <v>#DIV/0!</v>
      </c>
      <c r="BP82" s="13" t="e">
        <f t="shared" ca="1" si="111"/>
        <v>#DIV/0!</v>
      </c>
      <c r="BQ82" s="13" t="e">
        <f t="shared" ca="1" si="111"/>
        <v>#DIV/0!</v>
      </c>
      <c r="BR82" s="13" t="e">
        <f t="shared" ca="1" si="111"/>
        <v>#DIV/0!</v>
      </c>
      <c r="BS82" s="13" t="e">
        <f t="shared" ca="1" si="111"/>
        <v>#DIV/0!</v>
      </c>
      <c r="BT82" s="13" t="e">
        <f t="shared" ca="1" si="111"/>
        <v>#DIV/0!</v>
      </c>
      <c r="BU82" s="13" t="e">
        <f t="shared" ca="1" si="111"/>
        <v>#DIV/0!</v>
      </c>
      <c r="BV82" s="13" t="e">
        <f t="shared" ca="1" si="111"/>
        <v>#DIV/0!</v>
      </c>
      <c r="BW82" s="13" t="e">
        <f t="shared" ca="1" si="111"/>
        <v>#DIV/0!</v>
      </c>
      <c r="BX82" s="13" t="e">
        <f t="shared" ca="1" si="111"/>
        <v>#DIV/0!</v>
      </c>
      <c r="BY82" s="13" t="e">
        <f t="shared" ca="1" si="111"/>
        <v>#DIV/0!</v>
      </c>
      <c r="BZ82" s="13" t="e">
        <f t="shared" ca="1" si="111"/>
        <v>#DIV/0!</v>
      </c>
      <c r="CA82" s="13" t="e">
        <f t="shared" ca="1" si="111"/>
        <v>#DIV/0!</v>
      </c>
      <c r="CB82" s="13" t="e">
        <f t="shared" ca="1" si="111"/>
        <v>#DIV/0!</v>
      </c>
      <c r="CC82" s="13" t="e">
        <f t="shared" ca="1" si="111"/>
        <v>#DIV/0!</v>
      </c>
      <c r="CD82" s="13" t="e">
        <f t="shared" ca="1" si="111"/>
        <v>#DIV/0!</v>
      </c>
      <c r="CE82" s="13" t="e">
        <f t="shared" ca="1" si="111"/>
        <v>#DIV/0!</v>
      </c>
      <c r="CF82" s="13" t="e">
        <f t="shared" ca="1" si="111"/>
        <v>#DIV/0!</v>
      </c>
      <c r="CG82" s="13" t="e">
        <f t="shared" ca="1" si="111"/>
        <v>#DIV/0!</v>
      </c>
      <c r="CH82" s="13" t="e">
        <f t="shared" ca="1" si="111"/>
        <v>#DIV/0!</v>
      </c>
      <c r="CI82" s="13" t="e">
        <f t="shared" ca="1" si="111"/>
        <v>#DIV/0!</v>
      </c>
      <c r="CJ82" s="13" t="e">
        <f t="shared" ca="1" si="111"/>
        <v>#DIV/0!</v>
      </c>
      <c r="CK82" s="13" t="e">
        <f t="shared" ca="1" si="111"/>
        <v>#DIV/0!</v>
      </c>
      <c r="CL82" s="13" t="e">
        <f t="shared" ca="1" si="111"/>
        <v>#DIV/0!</v>
      </c>
      <c r="CM82" s="13" t="e">
        <f t="shared" ca="1" si="111"/>
        <v>#DIV/0!</v>
      </c>
      <c r="CN82" s="13" t="e">
        <f t="shared" ca="1" si="111"/>
        <v>#DIV/0!</v>
      </c>
      <c r="CO82" s="13" t="e">
        <f t="shared" ca="1" si="111"/>
        <v>#DIV/0!</v>
      </c>
      <c r="CP82" s="13" t="e">
        <f t="shared" ca="1" si="111"/>
        <v>#DIV/0!</v>
      </c>
      <c r="CQ82" s="13" t="e">
        <f t="shared" ca="1" si="111"/>
        <v>#DIV/0!</v>
      </c>
      <c r="CR82" s="13" t="e">
        <f t="shared" ca="1" si="111"/>
        <v>#DIV/0!</v>
      </c>
      <c r="CS82" s="13" t="e">
        <f t="shared" ca="1" si="111"/>
        <v>#DIV/0!</v>
      </c>
      <c r="CT82" s="13" t="e">
        <f t="shared" ca="1" si="111"/>
        <v>#DIV/0!</v>
      </c>
      <c r="CU82" s="13" t="e">
        <f t="shared" ca="1" si="111"/>
        <v>#DIV/0!</v>
      </c>
    </row>
    <row r="83" spans="1:281" s="380" customFormat="1">
      <c r="A83" t="s">
        <v>278</v>
      </c>
      <c r="D83" s="13">
        <f t="shared" ref="D83:AI83" si="112">D79+D81-D82</f>
        <v>0</v>
      </c>
      <c r="E83" s="13">
        <f t="shared" si="112"/>
        <v>0</v>
      </c>
      <c r="F83" s="13">
        <f t="shared" si="112"/>
        <v>0</v>
      </c>
      <c r="G83" s="13">
        <f t="shared" si="112"/>
        <v>0</v>
      </c>
      <c r="H83" s="13">
        <f t="shared" si="112"/>
        <v>0</v>
      </c>
      <c r="I83" s="13">
        <f t="shared" si="112"/>
        <v>0</v>
      </c>
      <c r="J83" s="13">
        <f t="shared" si="112"/>
        <v>0</v>
      </c>
      <c r="K83" s="13">
        <f t="shared" si="112"/>
        <v>0</v>
      </c>
      <c r="L83" s="13" t="e">
        <f t="shared" ca="1" si="112"/>
        <v>#DIV/0!</v>
      </c>
      <c r="M83" s="13" t="e">
        <f t="shared" ca="1" si="112"/>
        <v>#DIV/0!</v>
      </c>
      <c r="N83" s="13" t="e">
        <f t="shared" ca="1" si="112"/>
        <v>#DIV/0!</v>
      </c>
      <c r="O83" s="13" t="e">
        <f t="shared" ca="1" si="112"/>
        <v>#DIV/0!</v>
      </c>
      <c r="P83" s="13" t="e">
        <f t="shared" ca="1" si="112"/>
        <v>#DIV/0!</v>
      </c>
      <c r="Q83" s="13" t="e">
        <f t="shared" ca="1" si="112"/>
        <v>#DIV/0!</v>
      </c>
      <c r="R83" s="13" t="e">
        <f t="shared" ca="1" si="112"/>
        <v>#DIV/0!</v>
      </c>
      <c r="S83" s="13" t="e">
        <f t="shared" ca="1" si="112"/>
        <v>#DIV/0!</v>
      </c>
      <c r="T83" s="13" t="e">
        <f t="shared" ca="1" si="112"/>
        <v>#DIV/0!</v>
      </c>
      <c r="U83" s="13" t="e">
        <f t="shared" ca="1" si="112"/>
        <v>#DIV/0!</v>
      </c>
      <c r="V83" s="13" t="e">
        <f t="shared" ca="1" si="112"/>
        <v>#DIV/0!</v>
      </c>
      <c r="W83" s="13" t="e">
        <f t="shared" ca="1" si="112"/>
        <v>#DIV/0!</v>
      </c>
      <c r="X83" s="13" t="e">
        <f t="shared" ca="1" si="112"/>
        <v>#DIV/0!</v>
      </c>
      <c r="Y83" s="13" t="e">
        <f t="shared" ca="1" si="112"/>
        <v>#DIV/0!</v>
      </c>
      <c r="Z83" s="13" t="e">
        <f t="shared" ca="1" si="112"/>
        <v>#DIV/0!</v>
      </c>
      <c r="AA83" s="13" t="e">
        <f t="shared" ca="1" si="112"/>
        <v>#DIV/0!</v>
      </c>
      <c r="AB83" s="13" t="e">
        <f t="shared" ca="1" si="112"/>
        <v>#DIV/0!</v>
      </c>
      <c r="AC83" s="13" t="e">
        <f t="shared" ca="1" si="112"/>
        <v>#DIV/0!</v>
      </c>
      <c r="AD83" s="13" t="e">
        <f t="shared" ca="1" si="112"/>
        <v>#DIV/0!</v>
      </c>
      <c r="AE83" s="13" t="e">
        <f t="shared" ca="1" si="112"/>
        <v>#DIV/0!</v>
      </c>
      <c r="AF83" s="13" t="e">
        <f t="shared" ca="1" si="112"/>
        <v>#DIV/0!</v>
      </c>
      <c r="AG83" s="13" t="e">
        <f t="shared" ca="1" si="112"/>
        <v>#DIV/0!</v>
      </c>
      <c r="AH83" s="13" t="e">
        <f t="shared" ca="1" si="112"/>
        <v>#DIV/0!</v>
      </c>
      <c r="AI83" s="13" t="e">
        <f t="shared" ca="1" si="112"/>
        <v>#DIV/0!</v>
      </c>
      <c r="AJ83" s="13" t="e">
        <f t="shared" ref="AJ83:BO83" ca="1" si="113">AJ79+AJ81-AJ82</f>
        <v>#DIV/0!</v>
      </c>
      <c r="AK83" s="13" t="e">
        <f t="shared" ca="1" si="113"/>
        <v>#DIV/0!</v>
      </c>
      <c r="AL83" s="13" t="e">
        <f t="shared" ca="1" si="113"/>
        <v>#DIV/0!</v>
      </c>
      <c r="AM83" s="13" t="e">
        <f t="shared" ca="1" si="113"/>
        <v>#DIV/0!</v>
      </c>
      <c r="AN83" s="13" t="e">
        <f t="shared" ca="1" si="113"/>
        <v>#DIV/0!</v>
      </c>
      <c r="AO83" s="13" t="e">
        <f t="shared" ca="1" si="113"/>
        <v>#DIV/0!</v>
      </c>
      <c r="AP83" s="13" t="e">
        <f t="shared" ca="1" si="113"/>
        <v>#DIV/0!</v>
      </c>
      <c r="AQ83" s="13" t="e">
        <f t="shared" ca="1" si="113"/>
        <v>#DIV/0!</v>
      </c>
      <c r="AR83" s="13" t="e">
        <f t="shared" ca="1" si="113"/>
        <v>#DIV/0!</v>
      </c>
      <c r="AS83" s="13" t="e">
        <f t="shared" ca="1" si="113"/>
        <v>#DIV/0!</v>
      </c>
      <c r="AT83" s="13" t="e">
        <f t="shared" ca="1" si="113"/>
        <v>#DIV/0!</v>
      </c>
      <c r="AU83" s="13" t="e">
        <f t="shared" ca="1" si="113"/>
        <v>#DIV/0!</v>
      </c>
      <c r="AV83" s="13" t="e">
        <f t="shared" ca="1" si="113"/>
        <v>#DIV/0!</v>
      </c>
      <c r="AW83" s="13" t="e">
        <f t="shared" ca="1" si="113"/>
        <v>#DIV/0!</v>
      </c>
      <c r="AX83" s="13" t="e">
        <f t="shared" ca="1" si="113"/>
        <v>#DIV/0!</v>
      </c>
      <c r="AY83" s="13" t="e">
        <f t="shared" ca="1" si="113"/>
        <v>#DIV/0!</v>
      </c>
      <c r="AZ83" s="13" t="e">
        <f t="shared" ca="1" si="113"/>
        <v>#DIV/0!</v>
      </c>
      <c r="BA83" s="13" t="e">
        <f t="shared" ca="1" si="113"/>
        <v>#DIV/0!</v>
      </c>
      <c r="BB83" s="13" t="e">
        <f t="shared" ca="1" si="113"/>
        <v>#DIV/0!</v>
      </c>
      <c r="BC83" s="13" t="e">
        <f t="shared" ca="1" si="113"/>
        <v>#DIV/0!</v>
      </c>
      <c r="BD83" s="13" t="e">
        <f t="shared" ca="1" si="113"/>
        <v>#DIV/0!</v>
      </c>
      <c r="BE83" s="13" t="e">
        <f t="shared" ca="1" si="113"/>
        <v>#DIV/0!</v>
      </c>
      <c r="BF83" s="13" t="e">
        <f t="shared" ca="1" si="113"/>
        <v>#DIV/0!</v>
      </c>
      <c r="BG83" s="13" t="e">
        <f t="shared" ca="1" si="113"/>
        <v>#DIV/0!</v>
      </c>
      <c r="BH83" s="13" t="e">
        <f t="shared" ca="1" si="113"/>
        <v>#DIV/0!</v>
      </c>
      <c r="BI83" s="13" t="e">
        <f t="shared" ca="1" si="113"/>
        <v>#DIV/0!</v>
      </c>
      <c r="BJ83" s="13" t="e">
        <f t="shared" ca="1" si="113"/>
        <v>#DIV/0!</v>
      </c>
      <c r="BK83" s="13" t="e">
        <f t="shared" ca="1" si="113"/>
        <v>#DIV/0!</v>
      </c>
      <c r="BL83" s="13" t="e">
        <f t="shared" ca="1" si="113"/>
        <v>#DIV/0!</v>
      </c>
      <c r="BM83" s="13" t="e">
        <f t="shared" ca="1" si="113"/>
        <v>#DIV/0!</v>
      </c>
      <c r="BN83" s="13" t="e">
        <f t="shared" ca="1" si="113"/>
        <v>#DIV/0!</v>
      </c>
      <c r="BO83" s="13" t="e">
        <f t="shared" ca="1" si="113"/>
        <v>#DIV/0!</v>
      </c>
      <c r="BP83" s="13" t="e">
        <f t="shared" ref="BP83:CU83" ca="1" si="114">BP79+BP81-BP82</f>
        <v>#DIV/0!</v>
      </c>
      <c r="BQ83" s="13" t="e">
        <f t="shared" ca="1" si="114"/>
        <v>#DIV/0!</v>
      </c>
      <c r="BR83" s="13" t="e">
        <f t="shared" ca="1" si="114"/>
        <v>#DIV/0!</v>
      </c>
      <c r="BS83" s="13" t="e">
        <f t="shared" ca="1" si="114"/>
        <v>#DIV/0!</v>
      </c>
      <c r="BT83" s="13" t="e">
        <f t="shared" ca="1" si="114"/>
        <v>#DIV/0!</v>
      </c>
      <c r="BU83" s="13" t="e">
        <f t="shared" ca="1" si="114"/>
        <v>#DIV/0!</v>
      </c>
      <c r="BV83" s="13" t="e">
        <f t="shared" ca="1" si="114"/>
        <v>#DIV/0!</v>
      </c>
      <c r="BW83" s="13" t="e">
        <f t="shared" ca="1" si="114"/>
        <v>#DIV/0!</v>
      </c>
      <c r="BX83" s="13" t="e">
        <f t="shared" ca="1" si="114"/>
        <v>#DIV/0!</v>
      </c>
      <c r="BY83" s="13" t="e">
        <f t="shared" ca="1" si="114"/>
        <v>#DIV/0!</v>
      </c>
      <c r="BZ83" s="13" t="e">
        <f t="shared" ca="1" si="114"/>
        <v>#DIV/0!</v>
      </c>
      <c r="CA83" s="13" t="e">
        <f t="shared" ca="1" si="114"/>
        <v>#DIV/0!</v>
      </c>
      <c r="CB83" s="13" t="e">
        <f t="shared" ca="1" si="114"/>
        <v>#DIV/0!</v>
      </c>
      <c r="CC83" s="13" t="e">
        <f t="shared" ca="1" si="114"/>
        <v>#DIV/0!</v>
      </c>
      <c r="CD83" s="13" t="e">
        <f t="shared" ca="1" si="114"/>
        <v>#DIV/0!</v>
      </c>
      <c r="CE83" s="13" t="e">
        <f t="shared" ca="1" si="114"/>
        <v>#DIV/0!</v>
      </c>
      <c r="CF83" s="13" t="e">
        <f t="shared" ca="1" si="114"/>
        <v>#DIV/0!</v>
      </c>
      <c r="CG83" s="13" t="e">
        <f t="shared" ca="1" si="114"/>
        <v>#DIV/0!</v>
      </c>
      <c r="CH83" s="13" t="e">
        <f t="shared" ca="1" si="114"/>
        <v>#DIV/0!</v>
      </c>
      <c r="CI83" s="13" t="e">
        <f t="shared" ca="1" si="114"/>
        <v>#DIV/0!</v>
      </c>
      <c r="CJ83" s="13" t="e">
        <f t="shared" ca="1" si="114"/>
        <v>#DIV/0!</v>
      </c>
      <c r="CK83" s="13" t="e">
        <f t="shared" ca="1" si="114"/>
        <v>#DIV/0!</v>
      </c>
      <c r="CL83" s="13" t="e">
        <f t="shared" ca="1" si="114"/>
        <v>#DIV/0!</v>
      </c>
      <c r="CM83" s="13" t="e">
        <f t="shared" ca="1" si="114"/>
        <v>#DIV/0!</v>
      </c>
      <c r="CN83" s="13" t="e">
        <f t="shared" ca="1" si="114"/>
        <v>#DIV/0!</v>
      </c>
      <c r="CO83" s="13" t="e">
        <f t="shared" ca="1" si="114"/>
        <v>#DIV/0!</v>
      </c>
      <c r="CP83" s="13" t="e">
        <f t="shared" ca="1" si="114"/>
        <v>#DIV/0!</v>
      </c>
      <c r="CQ83" s="13" t="e">
        <f t="shared" ca="1" si="114"/>
        <v>#DIV/0!</v>
      </c>
      <c r="CR83" s="13" t="e">
        <f t="shared" ca="1" si="114"/>
        <v>#DIV/0!</v>
      </c>
      <c r="CS83" s="13" t="e">
        <f t="shared" ca="1" si="114"/>
        <v>#DIV/0!</v>
      </c>
      <c r="CT83" s="13" t="e">
        <f t="shared" ca="1" si="114"/>
        <v>#DIV/0!</v>
      </c>
      <c r="CU83" s="13" t="e">
        <f t="shared" ca="1" si="114"/>
        <v>#DIV/0!</v>
      </c>
    </row>
    <row r="84" spans="1:281" s="380" customFormat="1">
      <c r="A84" t="s">
        <v>143</v>
      </c>
      <c r="D84" s="9">
        <f>D83/D$5*D$4*Assum!$B$115</f>
        <v>0</v>
      </c>
      <c r="E84" s="9">
        <f>E83/E$5*E$4*Assum!$B$115</f>
        <v>0</v>
      </c>
      <c r="F84" s="9">
        <f>F83/F$5*F$4*Assum!$B$115</f>
        <v>0</v>
      </c>
      <c r="G84" s="9">
        <f>G83/G$5*G$4*Assum!$B$115</f>
        <v>0</v>
      </c>
      <c r="H84" s="9">
        <f>H83/H$5*H$4*Assum!$B$115</f>
        <v>0</v>
      </c>
      <c r="I84" s="9">
        <f>I83/I$5*I$4*Assum!$B$115</f>
        <v>0</v>
      </c>
      <c r="J84" s="9">
        <f>J83/J$5*J$4*Assum!$B$115</f>
        <v>0</v>
      </c>
      <c r="K84" s="9">
        <f>K83/K$5*K$4*Assum!$B$115</f>
        <v>0</v>
      </c>
      <c r="L84" s="9" t="e">
        <f ca="1">L83/L$5*L$4*Assum!$B$115</f>
        <v>#DIV/0!</v>
      </c>
      <c r="M84" s="9" t="e">
        <f ca="1">M83/M$5*M$4*Assum!$B$115</f>
        <v>#DIV/0!</v>
      </c>
      <c r="N84" s="9" t="e">
        <f ca="1">N83/N$5*N$4*Assum!$B$115</f>
        <v>#DIV/0!</v>
      </c>
      <c r="O84" s="9" t="e">
        <f ca="1">O83/O$5*O$4*Assum!$B$115</f>
        <v>#DIV/0!</v>
      </c>
      <c r="P84" s="9" t="e">
        <f ca="1">P83/P$5*P$4*Assum!$B$115</f>
        <v>#DIV/0!</v>
      </c>
      <c r="Q84" s="9" t="e">
        <f ca="1">Q83/Q$5*Q$4*Assum!$B$115</f>
        <v>#DIV/0!</v>
      </c>
      <c r="R84" s="9" t="e">
        <f ca="1">R83/R$5*R$4*Assum!$B$115</f>
        <v>#DIV/0!</v>
      </c>
      <c r="S84" s="9" t="e">
        <f ca="1">S83/S$5*S$4*Assum!$B$115</f>
        <v>#DIV/0!</v>
      </c>
      <c r="T84" s="9" t="e">
        <f ca="1">T83/T$5*T$4*Assum!$B$115</f>
        <v>#DIV/0!</v>
      </c>
      <c r="U84" s="9" t="e">
        <f ca="1">U83/U$5*U$4*Assum!$B$115</f>
        <v>#DIV/0!</v>
      </c>
      <c r="V84" s="9" t="e">
        <f ca="1">V83/V$5*V$4*Assum!$B$115</f>
        <v>#DIV/0!</v>
      </c>
      <c r="W84" s="9" t="e">
        <f ca="1">W83/W$5*W$4*Assum!$B$115</f>
        <v>#DIV/0!</v>
      </c>
      <c r="X84" s="9" t="e">
        <f ca="1">X83/X$5*X$4*Assum!$B$115</f>
        <v>#DIV/0!</v>
      </c>
      <c r="Y84" s="9" t="e">
        <f ca="1">Y83/Y$5*Y$4*Assum!$B$115</f>
        <v>#DIV/0!</v>
      </c>
      <c r="Z84" s="9" t="e">
        <f ca="1">Z83/Z$5*Z$4*Assum!$B$115</f>
        <v>#DIV/0!</v>
      </c>
      <c r="AA84" s="9" t="e">
        <f ca="1">AA83/AA$5*AA$4*Assum!$B$115</f>
        <v>#DIV/0!</v>
      </c>
      <c r="AB84" s="9" t="e">
        <f ca="1">AB83/AB$5*AB$4*Assum!$B$115</f>
        <v>#DIV/0!</v>
      </c>
      <c r="AC84" s="9" t="e">
        <f ca="1">AC83/AC$5*AC$4*Assum!$B$115</f>
        <v>#DIV/0!</v>
      </c>
      <c r="AD84" s="9" t="e">
        <f ca="1">AD83/AD$5*AD$4*Assum!$B$115</f>
        <v>#DIV/0!</v>
      </c>
      <c r="AE84" s="9" t="e">
        <f ca="1">AE83/AE$5*AE$4*Assum!$B$115</f>
        <v>#DIV/0!</v>
      </c>
      <c r="AF84" s="9" t="e">
        <f ca="1">AF83/AF$5*AF$4*Assum!$B$115</f>
        <v>#DIV/0!</v>
      </c>
      <c r="AG84" s="9" t="e">
        <f ca="1">AG83/AG$5*AG$4*Assum!$B$115</f>
        <v>#DIV/0!</v>
      </c>
      <c r="AH84" s="9" t="e">
        <f ca="1">AH83/AH$5*AH$4*Assum!$B$115</f>
        <v>#DIV/0!</v>
      </c>
      <c r="AI84" s="9" t="e">
        <f ca="1">AI83/AI$5*AI$4*Assum!$B$115</f>
        <v>#DIV/0!</v>
      </c>
      <c r="AJ84" s="9" t="e">
        <f ca="1">AJ83/AJ$5*AJ$4*Assum!$B$115</f>
        <v>#DIV/0!</v>
      </c>
      <c r="AK84" s="9" t="e">
        <f ca="1">AK83/AK$5*AK$4*Assum!$B$115</f>
        <v>#DIV/0!</v>
      </c>
      <c r="AL84" s="9" t="e">
        <f ca="1">AL83/AL$5*AL$4*Assum!$B$115</f>
        <v>#DIV/0!</v>
      </c>
      <c r="AM84" s="9" t="e">
        <f ca="1">AM83/AM$5*AM$4*Assum!$B$115</f>
        <v>#DIV/0!</v>
      </c>
      <c r="AN84" s="9" t="e">
        <f ca="1">AN83/AN$5*AN$4*Assum!$B$115</f>
        <v>#DIV/0!</v>
      </c>
      <c r="AO84" s="9" t="e">
        <f ca="1">AO83/AO$5*AO$4*Assum!$B$115</f>
        <v>#DIV/0!</v>
      </c>
      <c r="AP84" s="9" t="e">
        <f ca="1">AP83/AP$5*AP$4*Assum!$B$115</f>
        <v>#DIV/0!</v>
      </c>
      <c r="AQ84" s="9" t="e">
        <f ca="1">AQ83/AQ$5*AQ$4*Assum!$B$115</f>
        <v>#DIV/0!</v>
      </c>
      <c r="AR84" s="9" t="e">
        <f ca="1">AR83/AR$5*AR$4*Assum!$B$115</f>
        <v>#DIV/0!</v>
      </c>
      <c r="AS84" s="9" t="e">
        <f ca="1">AS83/AS$5*AS$4*Assum!$B$115</f>
        <v>#DIV/0!</v>
      </c>
      <c r="AT84" s="9" t="e">
        <f ca="1">AT83/AT$5*AT$4*Assum!$B$115</f>
        <v>#DIV/0!</v>
      </c>
      <c r="AU84" s="9" t="e">
        <f ca="1">AU83/AU$5*AU$4*Assum!$B$115</f>
        <v>#DIV/0!</v>
      </c>
      <c r="AV84" s="9" t="e">
        <f ca="1">AV83/AV$5*AV$4*Assum!$B$115</f>
        <v>#DIV/0!</v>
      </c>
      <c r="AW84" s="9" t="e">
        <f ca="1">AW83/AW$5*AW$4*Assum!$B$115</f>
        <v>#DIV/0!</v>
      </c>
      <c r="AX84" s="9" t="e">
        <f ca="1">AX83/AX$5*AX$4*Assum!$B$115</f>
        <v>#DIV/0!</v>
      </c>
      <c r="AY84" s="9" t="e">
        <f ca="1">AY83/AY$5*AY$4*Assum!$B$115</f>
        <v>#DIV/0!</v>
      </c>
      <c r="AZ84" s="9" t="e">
        <f ca="1">AZ83/AZ$5*AZ$4*Assum!$B$115</f>
        <v>#DIV/0!</v>
      </c>
      <c r="BA84" s="9" t="e">
        <f ca="1">BA83/BA$5*BA$4*Assum!$B$115</f>
        <v>#DIV/0!</v>
      </c>
      <c r="BB84" s="9" t="e">
        <f ca="1">BB83/BB$5*BB$4*Assum!$B$115</f>
        <v>#DIV/0!</v>
      </c>
      <c r="BC84" s="9" t="e">
        <f ca="1">BC83/BC$5*BC$4*Assum!$B$115</f>
        <v>#DIV/0!</v>
      </c>
      <c r="BD84" s="9" t="e">
        <f ca="1">BD83/BD$5*BD$4*Assum!$B$115</f>
        <v>#DIV/0!</v>
      </c>
      <c r="BE84" s="9" t="e">
        <f ca="1">BE83/BE$5*BE$4*Assum!$B$115</f>
        <v>#DIV/0!</v>
      </c>
      <c r="BF84" s="9" t="e">
        <f ca="1">BF83/BF$5*BF$4*Assum!$B$115</f>
        <v>#DIV/0!</v>
      </c>
      <c r="BG84" s="9" t="e">
        <f ca="1">BG83/BG$5*BG$4*Assum!$B$115</f>
        <v>#DIV/0!</v>
      </c>
      <c r="BH84" s="9" t="e">
        <f ca="1">BH83/BH$5*BH$4*Assum!$B$115</f>
        <v>#DIV/0!</v>
      </c>
      <c r="BI84" s="9" t="e">
        <f ca="1">BI83/BI$5*BI$4*Assum!$B$115</f>
        <v>#DIV/0!</v>
      </c>
      <c r="BJ84" s="9" t="e">
        <f ca="1">BJ83/BJ$5*BJ$4*Assum!$B$115</f>
        <v>#DIV/0!</v>
      </c>
      <c r="BK84" s="9" t="e">
        <f ca="1">BK83/BK$5*BK$4*Assum!$B$115</f>
        <v>#DIV/0!</v>
      </c>
      <c r="BL84" s="9" t="e">
        <f ca="1">BL83/BL$5*BL$4*Assum!$B$115</f>
        <v>#DIV/0!</v>
      </c>
      <c r="BM84" s="9" t="e">
        <f ca="1">BM83/BM$5*BM$4*Assum!$B$115</f>
        <v>#DIV/0!</v>
      </c>
      <c r="BN84" s="9" t="e">
        <f ca="1">BN83/BN$5*BN$4*Assum!$B$115</f>
        <v>#DIV/0!</v>
      </c>
      <c r="BO84" s="9" t="e">
        <f ca="1">BO83/BO$5*BO$4*Assum!$B$115</f>
        <v>#DIV/0!</v>
      </c>
      <c r="BP84" s="9" t="e">
        <f ca="1">BP83/BP$5*BP$4*Assum!$B$115</f>
        <v>#DIV/0!</v>
      </c>
      <c r="BQ84" s="9" t="e">
        <f ca="1">BQ83/BQ$5*BQ$4*Assum!$B$115</f>
        <v>#DIV/0!</v>
      </c>
      <c r="BR84" s="9" t="e">
        <f ca="1">BR83/BR$5*BR$4*Assum!$B$115</f>
        <v>#DIV/0!</v>
      </c>
      <c r="BS84" s="9" t="e">
        <f ca="1">BS83/BS$5*BS$4*Assum!$B$115</f>
        <v>#DIV/0!</v>
      </c>
      <c r="BT84" s="9" t="e">
        <f ca="1">BT83/BT$5*BT$4*Assum!$B$115</f>
        <v>#DIV/0!</v>
      </c>
      <c r="BU84" s="9" t="e">
        <f ca="1">BU83/BU$5*BU$4*Assum!$B$115</f>
        <v>#DIV/0!</v>
      </c>
      <c r="BV84" s="9" t="e">
        <f ca="1">BV83/BV$5*BV$4*Assum!$B$115</f>
        <v>#DIV/0!</v>
      </c>
      <c r="BW84" s="9" t="e">
        <f ca="1">BW83/BW$5*BW$4*Assum!$B$115</f>
        <v>#DIV/0!</v>
      </c>
      <c r="BX84" s="9" t="e">
        <f ca="1">BX83/BX$5*BX$4*Assum!$B$115</f>
        <v>#DIV/0!</v>
      </c>
      <c r="BY84" s="9" t="e">
        <f ca="1">BY83/BY$5*BY$4*Assum!$B$115</f>
        <v>#DIV/0!</v>
      </c>
      <c r="BZ84" s="9" t="e">
        <f ca="1">BZ83/BZ$5*BZ$4*Assum!$B$115</f>
        <v>#DIV/0!</v>
      </c>
      <c r="CA84" s="9" t="e">
        <f ca="1">CA83/CA$5*CA$4*Assum!$B$115</f>
        <v>#DIV/0!</v>
      </c>
      <c r="CB84" s="9" t="e">
        <f ca="1">CB83/CB$5*CB$4*Assum!$B$115</f>
        <v>#DIV/0!</v>
      </c>
      <c r="CC84" s="9" t="e">
        <f ca="1">CC83/CC$5*CC$4*Assum!$B$115</f>
        <v>#DIV/0!</v>
      </c>
      <c r="CD84" s="9" t="e">
        <f ca="1">CD83/CD$5*CD$4*Assum!$B$115</f>
        <v>#DIV/0!</v>
      </c>
      <c r="CE84" s="9" t="e">
        <f ca="1">CE83/CE$5*CE$4*Assum!$B$115</f>
        <v>#DIV/0!</v>
      </c>
      <c r="CF84" s="9" t="e">
        <f ca="1">CF83/CF$5*CF$4*Assum!$B$115</f>
        <v>#DIV/0!</v>
      </c>
      <c r="CG84" s="9" t="e">
        <f ca="1">CG83/CG$5*CG$4*Assum!$B$115</f>
        <v>#DIV/0!</v>
      </c>
      <c r="CH84" s="9" t="e">
        <f ca="1">CH83/CH$5*CH$4*Assum!$B$115</f>
        <v>#DIV/0!</v>
      </c>
      <c r="CI84" s="9" t="e">
        <f ca="1">CI83/CI$5*CI$4*Assum!$B$115</f>
        <v>#DIV/0!</v>
      </c>
      <c r="CJ84" s="9" t="e">
        <f ca="1">CJ83/CJ$5*CJ$4*Assum!$B$115</f>
        <v>#DIV/0!</v>
      </c>
      <c r="CK84" s="9" t="e">
        <f ca="1">CK83/CK$5*CK$4*Assum!$B$115</f>
        <v>#DIV/0!</v>
      </c>
      <c r="CL84" s="9" t="e">
        <f ca="1">CL83/CL$5*CL$4*Assum!$B$115</f>
        <v>#DIV/0!</v>
      </c>
      <c r="CM84" s="9" t="e">
        <f ca="1">CM83/CM$5*CM$4*Assum!$B$115</f>
        <v>#DIV/0!</v>
      </c>
      <c r="CN84" s="9" t="e">
        <f ca="1">CN83/CN$5*CN$4*Assum!$B$115</f>
        <v>#DIV/0!</v>
      </c>
      <c r="CO84" s="9" t="e">
        <f ca="1">CO83/CO$5*CO$4*Assum!$B$115</f>
        <v>#DIV/0!</v>
      </c>
      <c r="CP84" s="9" t="e">
        <f ca="1">CP83/CP$5*CP$4*Assum!$B$115</f>
        <v>#DIV/0!</v>
      </c>
      <c r="CQ84" s="9" t="e">
        <f ca="1">CQ83/CQ$5*CQ$4*Assum!$B$115</f>
        <v>#DIV/0!</v>
      </c>
      <c r="CR84" s="9" t="e">
        <f ca="1">CR83/CR$5*CR$4*Assum!$B$115</f>
        <v>#DIV/0!</v>
      </c>
      <c r="CS84" s="9" t="e">
        <f ca="1">CS83/CS$5*CS$4*Assum!$B$115</f>
        <v>#DIV/0!</v>
      </c>
      <c r="CT84" s="9" t="e">
        <f ca="1">CT83/CT$5*CT$4*Assum!$B$115</f>
        <v>#DIV/0!</v>
      </c>
      <c r="CU84" s="9" t="e">
        <f ca="1">CU83/CU$5*CU$4*Assum!$B$115</f>
        <v>#DIV/0!</v>
      </c>
    </row>
    <row r="85" spans="1:281" s="380" customFormat="1">
      <c r="B85" s="420"/>
      <c r="C85" s="420"/>
      <c r="D85" s="414"/>
      <c r="E85" s="414"/>
      <c r="F85" s="414"/>
      <c r="G85" s="414"/>
      <c r="H85" s="414"/>
      <c r="I85" s="414"/>
      <c r="J85" s="414"/>
      <c r="K85" s="414"/>
      <c r="L85" s="414"/>
      <c r="M85" s="414"/>
      <c r="N85" s="414"/>
    </row>
    <row r="86" spans="1:281" s="380" customFormat="1">
      <c r="A86" s="404" t="s">
        <v>255</v>
      </c>
      <c r="D86" s="419">
        <f>D3</f>
        <v>43190</v>
      </c>
      <c r="E86" s="419">
        <f t="shared" ref="E86:T86" si="115">EOMONTH(D86,12)</f>
        <v>43555</v>
      </c>
      <c r="F86" s="419">
        <f t="shared" si="115"/>
        <v>43921</v>
      </c>
      <c r="G86" s="419">
        <f t="shared" si="115"/>
        <v>44286</v>
      </c>
      <c r="H86" s="419">
        <f t="shared" si="115"/>
        <v>44651</v>
      </c>
      <c r="I86" s="419">
        <f t="shared" si="115"/>
        <v>45016</v>
      </c>
      <c r="J86" s="419">
        <f t="shared" si="115"/>
        <v>45382</v>
      </c>
      <c r="K86" s="419">
        <f t="shared" si="115"/>
        <v>45747</v>
      </c>
      <c r="L86" s="419">
        <f t="shared" si="115"/>
        <v>46112</v>
      </c>
      <c r="M86" s="419">
        <f t="shared" si="115"/>
        <v>46477</v>
      </c>
      <c r="N86" s="419">
        <f t="shared" si="115"/>
        <v>46843</v>
      </c>
      <c r="O86" s="419">
        <f t="shared" si="115"/>
        <v>47208</v>
      </c>
      <c r="P86" s="419">
        <f t="shared" si="115"/>
        <v>47573</v>
      </c>
      <c r="Q86" s="419">
        <f t="shared" si="115"/>
        <v>47938</v>
      </c>
      <c r="R86" s="419">
        <f t="shared" si="115"/>
        <v>48304</v>
      </c>
      <c r="S86" s="419">
        <f t="shared" si="115"/>
        <v>48669</v>
      </c>
      <c r="T86" s="419">
        <f t="shared" si="115"/>
        <v>49034</v>
      </c>
      <c r="U86" s="419">
        <f t="shared" ref="U86:AA86" si="116">EOMONTH(T86,12)</f>
        <v>49399</v>
      </c>
      <c r="V86" s="419">
        <f t="shared" si="116"/>
        <v>49765</v>
      </c>
      <c r="W86" s="419">
        <f t="shared" si="116"/>
        <v>50130</v>
      </c>
      <c r="X86" s="419">
        <f t="shared" si="116"/>
        <v>50495</v>
      </c>
      <c r="Y86" s="419">
        <f t="shared" si="116"/>
        <v>50860</v>
      </c>
      <c r="Z86" s="419">
        <f t="shared" si="116"/>
        <v>51226</v>
      </c>
      <c r="AA86" s="419">
        <f t="shared" si="116"/>
        <v>51591</v>
      </c>
      <c r="AB86" s="419"/>
      <c r="AC86" s="419"/>
    </row>
    <row r="87" spans="1:281" s="380" customFormat="1">
      <c r="A87" t="s">
        <v>276</v>
      </c>
      <c r="D87" s="414">
        <f>B91</f>
        <v>0</v>
      </c>
      <c r="E87" s="13">
        <f>SUMIF($78:$78,E86,$79:$79)</f>
        <v>0</v>
      </c>
      <c r="F87" s="13" t="e">
        <f t="shared" ref="F87:AA87" ca="1" si="117">SUMIF($78:$78,F86,$79:$79)</f>
        <v>#DIV/0!</v>
      </c>
      <c r="G87" s="13" t="e">
        <f t="shared" ca="1" si="117"/>
        <v>#DIV/0!</v>
      </c>
      <c r="H87" s="13" t="e">
        <f t="shared" ca="1" si="117"/>
        <v>#DIV/0!</v>
      </c>
      <c r="I87" s="13" t="e">
        <f t="shared" ca="1" si="117"/>
        <v>#DIV/0!</v>
      </c>
      <c r="J87" s="13" t="e">
        <f t="shared" ca="1" si="117"/>
        <v>#DIV/0!</v>
      </c>
      <c r="K87" s="13" t="e">
        <f t="shared" ca="1" si="117"/>
        <v>#DIV/0!</v>
      </c>
      <c r="L87" s="13" t="e">
        <f t="shared" ca="1" si="117"/>
        <v>#DIV/0!</v>
      </c>
      <c r="M87" s="13" t="e">
        <f t="shared" ca="1" si="117"/>
        <v>#DIV/0!</v>
      </c>
      <c r="N87" s="13" t="e">
        <f t="shared" ca="1" si="117"/>
        <v>#DIV/0!</v>
      </c>
      <c r="O87" s="13" t="e">
        <f t="shared" ca="1" si="117"/>
        <v>#DIV/0!</v>
      </c>
      <c r="P87" s="13" t="e">
        <f t="shared" ca="1" si="117"/>
        <v>#DIV/0!</v>
      </c>
      <c r="Q87" s="13" t="e">
        <f t="shared" ca="1" si="117"/>
        <v>#DIV/0!</v>
      </c>
      <c r="R87" s="13" t="e">
        <f t="shared" ca="1" si="117"/>
        <v>#DIV/0!</v>
      </c>
      <c r="S87" s="13" t="e">
        <f t="shared" ca="1" si="117"/>
        <v>#DIV/0!</v>
      </c>
      <c r="T87" s="13" t="e">
        <f t="shared" ca="1" si="117"/>
        <v>#DIV/0!</v>
      </c>
      <c r="U87" s="13" t="e">
        <f t="shared" ca="1" si="117"/>
        <v>#DIV/0!</v>
      </c>
      <c r="V87" s="13" t="e">
        <f t="shared" ca="1" si="117"/>
        <v>#DIV/0!</v>
      </c>
      <c r="W87" s="13" t="e">
        <f t="shared" ca="1" si="117"/>
        <v>#DIV/0!</v>
      </c>
      <c r="X87" s="13" t="e">
        <f t="shared" ca="1" si="117"/>
        <v>#DIV/0!</v>
      </c>
      <c r="Y87" s="13" t="e">
        <f t="shared" ca="1" si="117"/>
        <v>#DIV/0!</v>
      </c>
      <c r="Z87" s="13" t="e">
        <f t="shared" ca="1" si="117"/>
        <v>#DIV/0!</v>
      </c>
      <c r="AA87" s="13" t="e">
        <f t="shared" ca="1" si="117"/>
        <v>#DIV/0!</v>
      </c>
    </row>
    <row r="88" spans="1:281" s="380" customFormat="1">
      <c r="A88" t="s">
        <v>277</v>
      </c>
      <c r="D88" s="13">
        <f>HLOOKUP(D86,$D$78:$CU$84,3)</f>
        <v>0</v>
      </c>
      <c r="E88" s="13">
        <f>HLOOKUP(E86,$D$78:$CU$84,3)</f>
        <v>0</v>
      </c>
      <c r="F88" s="13" t="e">
        <f t="shared" ref="F88:AA88" ca="1" si="118">HLOOKUP(F86,$D$78:$CU$84,3)</f>
        <v>#DIV/0!</v>
      </c>
      <c r="G88" s="13" t="e">
        <f t="shared" ca="1" si="118"/>
        <v>#DIV/0!</v>
      </c>
      <c r="H88" s="13" t="e">
        <f t="shared" ca="1" si="118"/>
        <v>#DIV/0!</v>
      </c>
      <c r="I88" s="13" t="e">
        <f t="shared" ca="1" si="118"/>
        <v>#DIV/0!</v>
      </c>
      <c r="J88" s="13" t="e">
        <f t="shared" ca="1" si="118"/>
        <v>#DIV/0!</v>
      </c>
      <c r="K88" s="13" t="e">
        <f t="shared" ca="1" si="118"/>
        <v>#DIV/0!</v>
      </c>
      <c r="L88" s="13" t="e">
        <f t="shared" ca="1" si="118"/>
        <v>#DIV/0!</v>
      </c>
      <c r="M88" s="13" t="e">
        <f t="shared" ca="1" si="118"/>
        <v>#DIV/0!</v>
      </c>
      <c r="N88" s="13" t="e">
        <f t="shared" ca="1" si="118"/>
        <v>#DIV/0!</v>
      </c>
      <c r="O88" s="13" t="e">
        <f t="shared" ca="1" si="118"/>
        <v>#DIV/0!</v>
      </c>
      <c r="P88" s="13" t="e">
        <f t="shared" ca="1" si="118"/>
        <v>#DIV/0!</v>
      </c>
      <c r="Q88" s="13" t="e">
        <f t="shared" ca="1" si="118"/>
        <v>#DIV/0!</v>
      </c>
      <c r="R88" s="13" t="e">
        <f t="shared" ca="1" si="118"/>
        <v>#DIV/0!</v>
      </c>
      <c r="S88" s="13" t="e">
        <f t="shared" ca="1" si="118"/>
        <v>#DIV/0!</v>
      </c>
      <c r="T88" s="13" t="e">
        <f t="shared" ca="1" si="118"/>
        <v>#DIV/0!</v>
      </c>
      <c r="U88" s="13" t="e">
        <f t="shared" ca="1" si="118"/>
        <v>#DIV/0!</v>
      </c>
      <c r="V88" s="13" t="e">
        <f t="shared" ca="1" si="118"/>
        <v>#DIV/0!</v>
      </c>
      <c r="W88" s="13" t="e">
        <f t="shared" ca="1" si="118"/>
        <v>#DIV/0!</v>
      </c>
      <c r="X88" s="13" t="e">
        <f t="shared" ca="1" si="118"/>
        <v>#DIV/0!</v>
      </c>
      <c r="Y88" s="13" t="e">
        <f t="shared" ca="1" si="118"/>
        <v>#DIV/0!</v>
      </c>
      <c r="Z88" s="13" t="e">
        <f t="shared" ca="1" si="118"/>
        <v>#DIV/0!</v>
      </c>
      <c r="AA88" s="13">
        <f t="shared" si="118"/>
        <v>0</v>
      </c>
    </row>
    <row r="89" spans="1:281" s="380" customFormat="1">
      <c r="A89" t="s">
        <v>188</v>
      </c>
      <c r="D89" s="13">
        <f>SUMIF($78:$78,D86,$81:$81)</f>
        <v>0</v>
      </c>
      <c r="E89" s="13">
        <f>SUMIF($78:$78,E86,$81:$81)</f>
        <v>0</v>
      </c>
      <c r="F89" s="13" t="e">
        <f t="shared" ref="F89:AA89" ca="1" si="119">SUMIF($78:$78,F86,$81:$81)</f>
        <v>#DIV/0!</v>
      </c>
      <c r="G89" s="13" t="e">
        <f t="shared" ca="1" si="119"/>
        <v>#DIV/0!</v>
      </c>
      <c r="H89" s="13" t="e">
        <f t="shared" ca="1" si="119"/>
        <v>#DIV/0!</v>
      </c>
      <c r="I89" s="13" t="e">
        <f t="shared" ca="1" si="119"/>
        <v>#DIV/0!</v>
      </c>
      <c r="J89" s="13" t="e">
        <f t="shared" ca="1" si="119"/>
        <v>#DIV/0!</v>
      </c>
      <c r="K89" s="13" t="e">
        <f t="shared" ca="1" si="119"/>
        <v>#DIV/0!</v>
      </c>
      <c r="L89" s="13" t="e">
        <f t="shared" ca="1" si="119"/>
        <v>#DIV/0!</v>
      </c>
      <c r="M89" s="13" t="e">
        <f t="shared" ca="1" si="119"/>
        <v>#DIV/0!</v>
      </c>
      <c r="N89" s="13" t="e">
        <f t="shared" ca="1" si="119"/>
        <v>#DIV/0!</v>
      </c>
      <c r="O89" s="13" t="e">
        <f t="shared" ca="1" si="119"/>
        <v>#DIV/0!</v>
      </c>
      <c r="P89" s="13" t="e">
        <f t="shared" ca="1" si="119"/>
        <v>#DIV/0!</v>
      </c>
      <c r="Q89" s="13" t="e">
        <f t="shared" ca="1" si="119"/>
        <v>#DIV/0!</v>
      </c>
      <c r="R89" s="13" t="e">
        <f t="shared" ca="1" si="119"/>
        <v>#DIV/0!</v>
      </c>
      <c r="S89" s="13" t="e">
        <f t="shared" ca="1" si="119"/>
        <v>#DIV/0!</v>
      </c>
      <c r="T89" s="13" t="e">
        <f t="shared" ca="1" si="119"/>
        <v>#DIV/0!</v>
      </c>
      <c r="U89" s="13" t="e">
        <f t="shared" ca="1" si="119"/>
        <v>#DIV/0!</v>
      </c>
      <c r="V89" s="13" t="e">
        <f t="shared" ca="1" si="119"/>
        <v>#DIV/0!</v>
      </c>
      <c r="W89" s="13" t="e">
        <f t="shared" ca="1" si="119"/>
        <v>#DIV/0!</v>
      </c>
      <c r="X89" s="13" t="e">
        <f t="shared" ca="1" si="119"/>
        <v>#DIV/0!</v>
      </c>
      <c r="Y89" s="13" t="e">
        <f t="shared" ca="1" si="119"/>
        <v>#DIV/0!</v>
      </c>
      <c r="Z89" s="13" t="e">
        <f t="shared" ca="1" si="119"/>
        <v>#DIV/0!</v>
      </c>
      <c r="AA89" s="13" t="e">
        <f t="shared" ca="1" si="119"/>
        <v>#DIV/0!</v>
      </c>
    </row>
    <row r="90" spans="1:281" s="380" customFormat="1">
      <c r="A90" t="s">
        <v>250</v>
      </c>
      <c r="D90" s="13">
        <f>SUMIF($78:$78,D86,$82:$82)</f>
        <v>0</v>
      </c>
      <c r="E90" s="13">
        <f>SUMIF($78:$78,E86,$82:$82)</f>
        <v>0</v>
      </c>
      <c r="F90" s="13" t="e">
        <f t="shared" ref="F90:AA90" ca="1" si="120">SUMIF($78:$78,F86,$82:$82)</f>
        <v>#DIV/0!</v>
      </c>
      <c r="G90" s="13" t="e">
        <f t="shared" ca="1" si="120"/>
        <v>#DIV/0!</v>
      </c>
      <c r="H90" s="13" t="e">
        <f t="shared" ca="1" si="120"/>
        <v>#DIV/0!</v>
      </c>
      <c r="I90" s="13" t="e">
        <f t="shared" ca="1" si="120"/>
        <v>#DIV/0!</v>
      </c>
      <c r="J90" s="13" t="e">
        <f t="shared" ca="1" si="120"/>
        <v>#DIV/0!</v>
      </c>
      <c r="K90" s="13" t="e">
        <f t="shared" ca="1" si="120"/>
        <v>#DIV/0!</v>
      </c>
      <c r="L90" s="13" t="e">
        <f t="shared" ca="1" si="120"/>
        <v>#DIV/0!</v>
      </c>
      <c r="M90" s="13" t="e">
        <f t="shared" ca="1" si="120"/>
        <v>#DIV/0!</v>
      </c>
      <c r="N90" s="13" t="e">
        <f t="shared" ca="1" si="120"/>
        <v>#DIV/0!</v>
      </c>
      <c r="O90" s="13" t="e">
        <f t="shared" ca="1" si="120"/>
        <v>#DIV/0!</v>
      </c>
      <c r="P90" s="13" t="e">
        <f t="shared" ca="1" si="120"/>
        <v>#DIV/0!</v>
      </c>
      <c r="Q90" s="13" t="e">
        <f t="shared" ca="1" si="120"/>
        <v>#DIV/0!</v>
      </c>
      <c r="R90" s="13" t="e">
        <f t="shared" ca="1" si="120"/>
        <v>#DIV/0!</v>
      </c>
      <c r="S90" s="13" t="e">
        <f t="shared" ca="1" si="120"/>
        <v>#DIV/0!</v>
      </c>
      <c r="T90" s="13" t="e">
        <f t="shared" ca="1" si="120"/>
        <v>#DIV/0!</v>
      </c>
      <c r="U90" s="13" t="e">
        <f t="shared" ca="1" si="120"/>
        <v>#DIV/0!</v>
      </c>
      <c r="V90" s="13" t="e">
        <f t="shared" ca="1" si="120"/>
        <v>#DIV/0!</v>
      </c>
      <c r="W90" s="13" t="e">
        <f t="shared" ca="1" si="120"/>
        <v>#DIV/0!</v>
      </c>
      <c r="X90" s="13" t="e">
        <f t="shared" ca="1" si="120"/>
        <v>#DIV/0!</v>
      </c>
      <c r="Y90" s="13" t="e">
        <f t="shared" ca="1" si="120"/>
        <v>#DIV/0!</v>
      </c>
      <c r="Z90" s="13" t="e">
        <f t="shared" ca="1" si="120"/>
        <v>#DIV/0!</v>
      </c>
      <c r="AA90" s="13" t="e">
        <f t="shared" ca="1" si="120"/>
        <v>#DIV/0!</v>
      </c>
    </row>
    <row r="91" spans="1:281" s="380" customFormat="1">
      <c r="A91" t="s">
        <v>278</v>
      </c>
      <c r="D91" s="13">
        <f>D87+D89-D90</f>
        <v>0</v>
      </c>
      <c r="E91" s="13">
        <f>E87+E89-E90</f>
        <v>0</v>
      </c>
      <c r="F91" s="13" t="e">
        <f t="shared" ref="F91:AA91" ca="1" si="121">F87+F89-F90</f>
        <v>#DIV/0!</v>
      </c>
      <c r="G91" s="13" t="e">
        <f t="shared" ca="1" si="121"/>
        <v>#DIV/0!</v>
      </c>
      <c r="H91" s="13" t="e">
        <f t="shared" ca="1" si="121"/>
        <v>#DIV/0!</v>
      </c>
      <c r="I91" s="13" t="e">
        <f t="shared" ca="1" si="121"/>
        <v>#DIV/0!</v>
      </c>
      <c r="J91" s="13" t="e">
        <f t="shared" ca="1" si="121"/>
        <v>#DIV/0!</v>
      </c>
      <c r="K91" s="13" t="e">
        <f t="shared" ca="1" si="121"/>
        <v>#DIV/0!</v>
      </c>
      <c r="L91" s="13" t="e">
        <f t="shared" ca="1" si="121"/>
        <v>#DIV/0!</v>
      </c>
      <c r="M91" s="13" t="e">
        <f t="shared" ca="1" si="121"/>
        <v>#DIV/0!</v>
      </c>
      <c r="N91" s="13" t="e">
        <f t="shared" ca="1" si="121"/>
        <v>#DIV/0!</v>
      </c>
      <c r="O91" s="13" t="e">
        <f t="shared" ca="1" si="121"/>
        <v>#DIV/0!</v>
      </c>
      <c r="P91" s="13" t="e">
        <f t="shared" ca="1" si="121"/>
        <v>#DIV/0!</v>
      </c>
      <c r="Q91" s="13" t="e">
        <f t="shared" ca="1" si="121"/>
        <v>#DIV/0!</v>
      </c>
      <c r="R91" s="13" t="e">
        <f t="shared" ca="1" si="121"/>
        <v>#DIV/0!</v>
      </c>
      <c r="S91" s="13" t="e">
        <f t="shared" ca="1" si="121"/>
        <v>#DIV/0!</v>
      </c>
      <c r="T91" s="13" t="e">
        <f t="shared" ca="1" si="121"/>
        <v>#DIV/0!</v>
      </c>
      <c r="U91" s="13" t="e">
        <f t="shared" ca="1" si="121"/>
        <v>#DIV/0!</v>
      </c>
      <c r="V91" s="13" t="e">
        <f t="shared" ca="1" si="121"/>
        <v>#DIV/0!</v>
      </c>
      <c r="W91" s="13" t="e">
        <f t="shared" ca="1" si="121"/>
        <v>#DIV/0!</v>
      </c>
      <c r="X91" s="13" t="e">
        <f t="shared" ca="1" si="121"/>
        <v>#DIV/0!</v>
      </c>
      <c r="Y91" s="13" t="e">
        <f t="shared" ca="1" si="121"/>
        <v>#DIV/0!</v>
      </c>
      <c r="Z91" s="13" t="e">
        <f t="shared" ca="1" si="121"/>
        <v>#DIV/0!</v>
      </c>
      <c r="AA91" s="13" t="e">
        <f t="shared" ca="1" si="121"/>
        <v>#DIV/0!</v>
      </c>
    </row>
    <row r="92" spans="1:281" s="380" customFormat="1">
      <c r="A92" t="s">
        <v>143</v>
      </c>
      <c r="D92" s="13">
        <f>SUMIF($78:$78,D86,$84:$84)</f>
        <v>0</v>
      </c>
      <c r="E92" s="13">
        <f>SUMIF($78:$78,E86,$84:$84)</f>
        <v>0</v>
      </c>
      <c r="F92" s="13" t="e">
        <f t="shared" ref="F92:AA92" ca="1" si="122">SUMIF($78:$78,F86,$84:$84)</f>
        <v>#DIV/0!</v>
      </c>
      <c r="G92" s="13" t="e">
        <f t="shared" ca="1" si="122"/>
        <v>#DIV/0!</v>
      </c>
      <c r="H92" s="13" t="e">
        <f t="shared" ca="1" si="122"/>
        <v>#DIV/0!</v>
      </c>
      <c r="I92" s="13" t="e">
        <f t="shared" ca="1" si="122"/>
        <v>#DIV/0!</v>
      </c>
      <c r="J92" s="13" t="e">
        <f t="shared" ca="1" si="122"/>
        <v>#DIV/0!</v>
      </c>
      <c r="K92" s="13" t="e">
        <f t="shared" ca="1" si="122"/>
        <v>#DIV/0!</v>
      </c>
      <c r="L92" s="13" t="e">
        <f t="shared" ca="1" si="122"/>
        <v>#DIV/0!</v>
      </c>
      <c r="M92" s="13" t="e">
        <f t="shared" ca="1" si="122"/>
        <v>#DIV/0!</v>
      </c>
      <c r="N92" s="13" t="e">
        <f t="shared" ca="1" si="122"/>
        <v>#DIV/0!</v>
      </c>
      <c r="O92" s="13" t="e">
        <f t="shared" ca="1" si="122"/>
        <v>#DIV/0!</v>
      </c>
      <c r="P92" s="13" t="e">
        <f t="shared" ca="1" si="122"/>
        <v>#DIV/0!</v>
      </c>
      <c r="Q92" s="13" t="e">
        <f t="shared" ca="1" si="122"/>
        <v>#DIV/0!</v>
      </c>
      <c r="R92" s="13" t="e">
        <f t="shared" ca="1" si="122"/>
        <v>#DIV/0!</v>
      </c>
      <c r="S92" s="13" t="e">
        <f t="shared" ca="1" si="122"/>
        <v>#DIV/0!</v>
      </c>
      <c r="T92" s="13" t="e">
        <f t="shared" ca="1" si="122"/>
        <v>#DIV/0!</v>
      </c>
      <c r="U92" s="13" t="e">
        <f t="shared" ca="1" si="122"/>
        <v>#DIV/0!</v>
      </c>
      <c r="V92" s="13" t="e">
        <f t="shared" ca="1" si="122"/>
        <v>#DIV/0!</v>
      </c>
      <c r="W92" s="13" t="e">
        <f t="shared" ca="1" si="122"/>
        <v>#DIV/0!</v>
      </c>
      <c r="X92" s="13" t="e">
        <f t="shared" ca="1" si="122"/>
        <v>#DIV/0!</v>
      </c>
      <c r="Y92" s="13" t="e">
        <f t="shared" ca="1" si="122"/>
        <v>#DIV/0!</v>
      </c>
      <c r="Z92" s="13" t="e">
        <f t="shared" ca="1" si="122"/>
        <v>#DIV/0!</v>
      </c>
      <c r="AA92" s="13" t="e">
        <f t="shared" ca="1" si="122"/>
        <v>#DIV/0!</v>
      </c>
    </row>
    <row r="93" spans="1:281" s="380" customFormat="1">
      <c r="A9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</row>
    <row r="94" spans="1:281">
      <c r="A94" s="421" t="s">
        <v>279</v>
      </c>
      <c r="B94" s="9">
        <f>Assum!C145*0</f>
        <v>0</v>
      </c>
      <c r="C94" s="9"/>
    </row>
    <row r="95" spans="1:281">
      <c r="A95" s="1" t="s">
        <v>248</v>
      </c>
    </row>
    <row r="96" spans="1:281">
      <c r="A96" t="s">
        <v>249</v>
      </c>
      <c r="D96" s="9">
        <f>B99</f>
        <v>0</v>
      </c>
      <c r="E96" s="9">
        <f t="shared" ref="E96:K96" si="123">D99</f>
        <v>0</v>
      </c>
      <c r="F96" s="9">
        <f t="shared" si="123"/>
        <v>0</v>
      </c>
      <c r="G96" s="9">
        <f t="shared" si="123"/>
        <v>0</v>
      </c>
      <c r="H96" s="9">
        <f t="shared" si="123"/>
        <v>0</v>
      </c>
      <c r="I96" s="9">
        <f t="shared" si="123"/>
        <v>0</v>
      </c>
      <c r="J96" s="9">
        <f t="shared" si="123"/>
        <v>0</v>
      </c>
      <c r="K96" s="9">
        <f t="shared" si="123"/>
        <v>0</v>
      </c>
      <c r="L96" s="9">
        <f t="shared" ref="L96:BW96" si="124">K99</f>
        <v>0</v>
      </c>
      <c r="M96" s="9">
        <f t="shared" si="124"/>
        <v>0</v>
      </c>
      <c r="N96" s="9">
        <f t="shared" si="124"/>
        <v>0</v>
      </c>
      <c r="O96" s="9">
        <f t="shared" si="124"/>
        <v>0</v>
      </c>
      <c r="P96" s="9">
        <f t="shared" si="124"/>
        <v>0</v>
      </c>
      <c r="Q96" s="9">
        <f t="shared" si="124"/>
        <v>0</v>
      </c>
      <c r="R96" s="9">
        <f t="shared" si="124"/>
        <v>0</v>
      </c>
      <c r="S96" s="9">
        <f t="shared" si="124"/>
        <v>0</v>
      </c>
      <c r="T96" s="9">
        <f t="shared" si="124"/>
        <v>0</v>
      </c>
      <c r="U96" s="9">
        <f t="shared" si="124"/>
        <v>0</v>
      </c>
      <c r="V96" s="9">
        <f t="shared" si="124"/>
        <v>0</v>
      </c>
      <c r="W96" s="9">
        <f t="shared" si="124"/>
        <v>0</v>
      </c>
      <c r="X96" s="9">
        <f t="shared" si="124"/>
        <v>0</v>
      </c>
      <c r="Y96" s="9">
        <f t="shared" si="124"/>
        <v>0</v>
      </c>
      <c r="Z96" s="9">
        <f t="shared" si="124"/>
        <v>0</v>
      </c>
      <c r="AA96" s="9">
        <f t="shared" si="124"/>
        <v>0</v>
      </c>
      <c r="AB96" s="9">
        <f t="shared" si="124"/>
        <v>0</v>
      </c>
      <c r="AC96" s="9">
        <f t="shared" si="124"/>
        <v>0</v>
      </c>
      <c r="AD96" s="9">
        <f t="shared" si="124"/>
        <v>0</v>
      </c>
      <c r="AE96" s="9">
        <f t="shared" si="124"/>
        <v>0</v>
      </c>
      <c r="AF96" s="9">
        <f t="shared" si="124"/>
        <v>0</v>
      </c>
      <c r="AG96" s="9">
        <f t="shared" si="124"/>
        <v>0</v>
      </c>
      <c r="AH96" s="9">
        <f t="shared" si="124"/>
        <v>0</v>
      </c>
      <c r="AI96" s="9">
        <f t="shared" si="124"/>
        <v>0</v>
      </c>
      <c r="AJ96" s="9">
        <f t="shared" si="124"/>
        <v>0</v>
      </c>
      <c r="AK96" s="9">
        <f t="shared" si="124"/>
        <v>0</v>
      </c>
      <c r="AL96" s="9">
        <f t="shared" si="124"/>
        <v>0</v>
      </c>
      <c r="AM96" s="9">
        <f t="shared" si="124"/>
        <v>0</v>
      </c>
      <c r="AN96" s="9">
        <f t="shared" si="124"/>
        <v>0</v>
      </c>
      <c r="AO96" s="9">
        <f t="shared" si="124"/>
        <v>0</v>
      </c>
      <c r="AP96" s="9">
        <f t="shared" si="124"/>
        <v>0</v>
      </c>
      <c r="AQ96" s="9">
        <f t="shared" si="124"/>
        <v>0</v>
      </c>
      <c r="AR96" s="9">
        <f t="shared" si="124"/>
        <v>0</v>
      </c>
      <c r="AS96" s="9">
        <f t="shared" si="124"/>
        <v>0</v>
      </c>
      <c r="AT96" s="9">
        <f t="shared" si="124"/>
        <v>0</v>
      </c>
      <c r="AU96" s="9">
        <f t="shared" si="124"/>
        <v>0</v>
      </c>
      <c r="AV96" s="9">
        <f t="shared" si="124"/>
        <v>0</v>
      </c>
      <c r="AW96" s="9">
        <f t="shared" si="124"/>
        <v>0</v>
      </c>
      <c r="AX96" s="9">
        <f t="shared" si="124"/>
        <v>0</v>
      </c>
      <c r="AY96" s="9">
        <f t="shared" si="124"/>
        <v>0</v>
      </c>
      <c r="AZ96" s="9">
        <f t="shared" si="124"/>
        <v>0</v>
      </c>
      <c r="BA96" s="9">
        <f t="shared" si="124"/>
        <v>0</v>
      </c>
      <c r="BB96" s="9">
        <f t="shared" si="124"/>
        <v>0</v>
      </c>
      <c r="BC96" s="9">
        <f t="shared" si="124"/>
        <v>0</v>
      </c>
      <c r="BD96" s="9">
        <f t="shared" si="124"/>
        <v>0</v>
      </c>
      <c r="BE96" s="9">
        <f t="shared" si="124"/>
        <v>0</v>
      </c>
      <c r="BF96" s="9">
        <f t="shared" si="124"/>
        <v>0</v>
      </c>
      <c r="BG96" s="9">
        <f t="shared" si="124"/>
        <v>0</v>
      </c>
      <c r="BH96" s="9">
        <f t="shared" si="124"/>
        <v>0</v>
      </c>
      <c r="BI96" s="9">
        <f t="shared" si="124"/>
        <v>0</v>
      </c>
      <c r="BJ96" s="9">
        <f t="shared" si="124"/>
        <v>0</v>
      </c>
      <c r="BK96" s="9">
        <f t="shared" si="124"/>
        <v>0</v>
      </c>
      <c r="BL96" s="9">
        <f t="shared" si="124"/>
        <v>0</v>
      </c>
      <c r="BM96" s="9">
        <f t="shared" si="124"/>
        <v>0</v>
      </c>
      <c r="BN96" s="9">
        <f t="shared" si="124"/>
        <v>0</v>
      </c>
      <c r="BO96" s="9">
        <f t="shared" si="124"/>
        <v>0</v>
      </c>
      <c r="BP96" s="9">
        <f t="shared" si="124"/>
        <v>0</v>
      </c>
      <c r="BQ96" s="9">
        <f t="shared" si="124"/>
        <v>0</v>
      </c>
      <c r="BR96" s="9">
        <f t="shared" si="124"/>
        <v>0</v>
      </c>
      <c r="BS96" s="9">
        <f t="shared" si="124"/>
        <v>0</v>
      </c>
      <c r="BT96" s="9">
        <f t="shared" si="124"/>
        <v>0</v>
      </c>
      <c r="BU96" s="9">
        <f t="shared" si="124"/>
        <v>0</v>
      </c>
      <c r="BV96" s="9">
        <f t="shared" si="124"/>
        <v>0</v>
      </c>
      <c r="BW96" s="9">
        <f t="shared" si="124"/>
        <v>0</v>
      </c>
      <c r="BX96" s="9">
        <f t="shared" ref="BX96:EI96" si="125">BW99</f>
        <v>0</v>
      </c>
      <c r="BY96" s="9">
        <f t="shared" si="125"/>
        <v>0</v>
      </c>
      <c r="BZ96" s="9">
        <f t="shared" si="125"/>
        <v>0</v>
      </c>
      <c r="CA96" s="9">
        <f t="shared" si="125"/>
        <v>0</v>
      </c>
      <c r="CB96" s="9">
        <f t="shared" si="125"/>
        <v>0</v>
      </c>
      <c r="CC96" s="9">
        <f t="shared" si="125"/>
        <v>0</v>
      </c>
      <c r="CD96" s="9">
        <f t="shared" si="125"/>
        <v>0</v>
      </c>
      <c r="CE96" s="9">
        <f t="shared" si="125"/>
        <v>0</v>
      </c>
      <c r="CF96" s="9">
        <f t="shared" si="125"/>
        <v>0</v>
      </c>
      <c r="CG96" s="9">
        <f t="shared" si="125"/>
        <v>0</v>
      </c>
      <c r="CH96" s="9">
        <f t="shared" si="125"/>
        <v>0</v>
      </c>
      <c r="CI96" s="9">
        <f t="shared" si="125"/>
        <v>0</v>
      </c>
      <c r="CJ96" s="9">
        <f t="shared" si="125"/>
        <v>0</v>
      </c>
      <c r="CK96" s="9">
        <f t="shared" si="125"/>
        <v>0</v>
      </c>
      <c r="CL96" s="9">
        <f t="shared" si="125"/>
        <v>0</v>
      </c>
      <c r="CM96" s="9">
        <f t="shared" si="125"/>
        <v>0</v>
      </c>
      <c r="CN96" s="9">
        <f t="shared" si="125"/>
        <v>0</v>
      </c>
      <c r="CO96" s="9">
        <f t="shared" si="125"/>
        <v>0</v>
      </c>
      <c r="CP96" s="9">
        <f t="shared" si="125"/>
        <v>0</v>
      </c>
      <c r="CQ96" s="9">
        <f t="shared" si="125"/>
        <v>0</v>
      </c>
      <c r="CR96" s="9">
        <f t="shared" si="125"/>
        <v>0</v>
      </c>
      <c r="CS96" s="9">
        <f t="shared" si="125"/>
        <v>0</v>
      </c>
      <c r="CT96" s="9">
        <f t="shared" si="125"/>
        <v>0</v>
      </c>
      <c r="CU96" s="9">
        <f t="shared" si="125"/>
        <v>0</v>
      </c>
      <c r="CV96" s="9">
        <f t="shared" si="125"/>
        <v>0</v>
      </c>
      <c r="CW96" s="9">
        <f t="shared" si="125"/>
        <v>0</v>
      </c>
      <c r="CX96" s="9">
        <f t="shared" si="125"/>
        <v>0</v>
      </c>
      <c r="CY96" s="9">
        <f t="shared" si="125"/>
        <v>0</v>
      </c>
      <c r="CZ96" s="9">
        <f t="shared" si="125"/>
        <v>0</v>
      </c>
      <c r="DA96" s="9">
        <f t="shared" si="125"/>
        <v>0</v>
      </c>
      <c r="DB96" s="9">
        <f t="shared" si="125"/>
        <v>0</v>
      </c>
      <c r="DC96" s="9">
        <f t="shared" si="125"/>
        <v>0</v>
      </c>
      <c r="DD96" s="9">
        <f t="shared" si="125"/>
        <v>0</v>
      </c>
      <c r="DE96" s="9">
        <f t="shared" si="125"/>
        <v>0</v>
      </c>
      <c r="DF96" s="9">
        <f t="shared" si="125"/>
        <v>0</v>
      </c>
      <c r="DG96" s="9">
        <f t="shared" si="125"/>
        <v>0</v>
      </c>
      <c r="DH96" s="9">
        <f t="shared" si="125"/>
        <v>0</v>
      </c>
      <c r="DI96" s="9">
        <f t="shared" si="125"/>
        <v>0</v>
      </c>
      <c r="DJ96" s="9">
        <f t="shared" si="125"/>
        <v>0</v>
      </c>
      <c r="DK96" s="9">
        <f t="shared" si="125"/>
        <v>0</v>
      </c>
      <c r="DL96" s="9">
        <f t="shared" si="125"/>
        <v>0</v>
      </c>
      <c r="DM96" s="9">
        <f t="shared" si="125"/>
        <v>0</v>
      </c>
      <c r="DN96" s="9">
        <f t="shared" si="125"/>
        <v>0</v>
      </c>
      <c r="DO96" s="9">
        <f t="shared" si="125"/>
        <v>0</v>
      </c>
      <c r="DP96" s="9">
        <f t="shared" si="125"/>
        <v>0</v>
      </c>
      <c r="DQ96" s="9">
        <f t="shared" si="125"/>
        <v>0</v>
      </c>
      <c r="DR96" s="9">
        <f t="shared" si="125"/>
        <v>0</v>
      </c>
      <c r="DS96" s="9">
        <f t="shared" si="125"/>
        <v>0</v>
      </c>
      <c r="DT96" s="9">
        <f t="shared" si="125"/>
        <v>0</v>
      </c>
      <c r="DU96" s="9">
        <f t="shared" si="125"/>
        <v>0</v>
      </c>
      <c r="DV96" s="9">
        <f t="shared" si="125"/>
        <v>0</v>
      </c>
      <c r="DW96" s="9">
        <f t="shared" si="125"/>
        <v>0</v>
      </c>
      <c r="DX96" s="9">
        <f t="shared" si="125"/>
        <v>0</v>
      </c>
      <c r="DY96" s="9">
        <f t="shared" si="125"/>
        <v>0</v>
      </c>
      <c r="DZ96" s="9">
        <f t="shared" si="125"/>
        <v>0</v>
      </c>
      <c r="EA96" s="9">
        <f t="shared" si="125"/>
        <v>0</v>
      </c>
      <c r="EB96" s="9">
        <f t="shared" si="125"/>
        <v>0</v>
      </c>
      <c r="EC96" s="9">
        <f t="shared" si="125"/>
        <v>0</v>
      </c>
      <c r="ED96" s="9">
        <f t="shared" si="125"/>
        <v>0</v>
      </c>
      <c r="EE96" s="9">
        <f t="shared" si="125"/>
        <v>0</v>
      </c>
      <c r="EF96" s="9">
        <f t="shared" si="125"/>
        <v>0</v>
      </c>
      <c r="EG96" s="9">
        <f t="shared" si="125"/>
        <v>0</v>
      </c>
      <c r="EH96" s="9">
        <f t="shared" si="125"/>
        <v>0</v>
      </c>
      <c r="EI96" s="9">
        <f t="shared" si="125"/>
        <v>0</v>
      </c>
      <c r="EJ96" s="9">
        <f t="shared" ref="EJ96:GU96" si="126">EI99</f>
        <v>0</v>
      </c>
      <c r="EK96" s="9">
        <f t="shared" si="126"/>
        <v>0</v>
      </c>
      <c r="EL96" s="9">
        <f t="shared" si="126"/>
        <v>0</v>
      </c>
      <c r="EM96" s="9">
        <f t="shared" si="126"/>
        <v>0</v>
      </c>
      <c r="EN96" s="9">
        <f t="shared" si="126"/>
        <v>0</v>
      </c>
      <c r="EO96" s="9">
        <f t="shared" si="126"/>
        <v>0</v>
      </c>
      <c r="EP96" s="9">
        <f t="shared" si="126"/>
        <v>0</v>
      </c>
      <c r="EQ96" s="9">
        <f t="shared" si="126"/>
        <v>0</v>
      </c>
      <c r="ER96" s="9">
        <f t="shared" si="126"/>
        <v>0</v>
      </c>
      <c r="ES96" s="9">
        <f t="shared" si="126"/>
        <v>0</v>
      </c>
      <c r="ET96" s="9">
        <f t="shared" si="126"/>
        <v>0</v>
      </c>
      <c r="EU96" s="9">
        <f t="shared" si="126"/>
        <v>0</v>
      </c>
      <c r="EV96" s="9">
        <f t="shared" si="126"/>
        <v>0</v>
      </c>
      <c r="EW96" s="9">
        <f t="shared" si="126"/>
        <v>0</v>
      </c>
      <c r="EX96" s="9">
        <f t="shared" si="126"/>
        <v>0</v>
      </c>
      <c r="EY96" s="9">
        <f t="shared" si="126"/>
        <v>0</v>
      </c>
      <c r="EZ96" s="9">
        <f t="shared" si="126"/>
        <v>0</v>
      </c>
      <c r="FA96" s="9">
        <f t="shared" si="126"/>
        <v>0</v>
      </c>
      <c r="FB96" s="9">
        <f t="shared" si="126"/>
        <v>0</v>
      </c>
      <c r="FC96" s="9">
        <f t="shared" si="126"/>
        <v>0</v>
      </c>
      <c r="FD96" s="9">
        <f t="shared" si="126"/>
        <v>0</v>
      </c>
      <c r="FE96" s="9">
        <f t="shared" si="126"/>
        <v>0</v>
      </c>
      <c r="FF96" s="9">
        <f t="shared" si="126"/>
        <v>0</v>
      </c>
      <c r="FG96" s="9">
        <f t="shared" si="126"/>
        <v>0</v>
      </c>
      <c r="FH96" s="9">
        <f t="shared" si="126"/>
        <v>0</v>
      </c>
      <c r="FI96" s="9">
        <f t="shared" si="126"/>
        <v>0</v>
      </c>
      <c r="FJ96" s="9">
        <f t="shared" si="126"/>
        <v>0</v>
      </c>
      <c r="FK96" s="9">
        <f t="shared" si="126"/>
        <v>0</v>
      </c>
      <c r="FL96" s="9">
        <f t="shared" si="126"/>
        <v>0</v>
      </c>
      <c r="FM96" s="9">
        <f t="shared" si="126"/>
        <v>0</v>
      </c>
      <c r="FN96" s="9">
        <f t="shared" si="126"/>
        <v>0</v>
      </c>
      <c r="FO96" s="9">
        <f t="shared" si="126"/>
        <v>0</v>
      </c>
      <c r="FP96" s="9">
        <f t="shared" si="126"/>
        <v>0</v>
      </c>
      <c r="FQ96" s="9">
        <f t="shared" si="126"/>
        <v>0</v>
      </c>
      <c r="FR96" s="9">
        <f t="shared" si="126"/>
        <v>0</v>
      </c>
      <c r="FS96" s="9">
        <f t="shared" si="126"/>
        <v>0</v>
      </c>
      <c r="FT96" s="9">
        <f t="shared" si="126"/>
        <v>0</v>
      </c>
      <c r="FU96" s="9">
        <f t="shared" si="126"/>
        <v>0</v>
      </c>
      <c r="FV96" s="9">
        <f t="shared" si="126"/>
        <v>0</v>
      </c>
      <c r="FW96" s="9">
        <f t="shared" si="126"/>
        <v>0</v>
      </c>
      <c r="FX96" s="9">
        <f t="shared" si="126"/>
        <v>0</v>
      </c>
      <c r="FY96" s="9">
        <f t="shared" si="126"/>
        <v>0</v>
      </c>
      <c r="FZ96" s="9">
        <f t="shared" si="126"/>
        <v>0</v>
      </c>
      <c r="GA96" s="9">
        <f t="shared" si="126"/>
        <v>0</v>
      </c>
      <c r="GB96" s="9">
        <f t="shared" si="126"/>
        <v>0</v>
      </c>
      <c r="GC96" s="9">
        <f t="shared" si="126"/>
        <v>0</v>
      </c>
      <c r="GD96" s="9">
        <f t="shared" si="126"/>
        <v>0</v>
      </c>
      <c r="GE96" s="9">
        <f t="shared" si="126"/>
        <v>0</v>
      </c>
      <c r="GF96" s="9">
        <f t="shared" si="126"/>
        <v>0</v>
      </c>
      <c r="GG96" s="9">
        <f t="shared" si="126"/>
        <v>0</v>
      </c>
      <c r="GH96" s="9">
        <f t="shared" si="126"/>
        <v>0</v>
      </c>
      <c r="GI96" s="9">
        <f t="shared" si="126"/>
        <v>0</v>
      </c>
      <c r="GJ96" s="9">
        <f t="shared" si="126"/>
        <v>0</v>
      </c>
      <c r="GK96" s="9">
        <f t="shared" si="126"/>
        <v>0</v>
      </c>
      <c r="GL96" s="9">
        <f t="shared" si="126"/>
        <v>0</v>
      </c>
      <c r="GM96" s="9">
        <f t="shared" si="126"/>
        <v>0</v>
      </c>
      <c r="GN96" s="9">
        <f t="shared" si="126"/>
        <v>0</v>
      </c>
      <c r="GO96" s="9">
        <f t="shared" si="126"/>
        <v>0</v>
      </c>
      <c r="GP96" s="9">
        <f t="shared" si="126"/>
        <v>0</v>
      </c>
      <c r="GQ96" s="9">
        <f t="shared" si="126"/>
        <v>0</v>
      </c>
      <c r="GR96" s="9">
        <f t="shared" si="126"/>
        <v>0</v>
      </c>
      <c r="GS96" s="9">
        <f t="shared" si="126"/>
        <v>0</v>
      </c>
      <c r="GT96" s="9">
        <f t="shared" si="126"/>
        <v>0</v>
      </c>
      <c r="GU96" s="9">
        <f t="shared" si="126"/>
        <v>0</v>
      </c>
      <c r="GV96" s="9">
        <f t="shared" ref="GV96:JG96" si="127">GU99</f>
        <v>0</v>
      </c>
      <c r="GW96" s="9">
        <f t="shared" si="127"/>
        <v>0</v>
      </c>
      <c r="GX96" s="9">
        <f t="shared" si="127"/>
        <v>0</v>
      </c>
      <c r="GY96" s="9">
        <f t="shared" si="127"/>
        <v>0</v>
      </c>
      <c r="GZ96" s="9">
        <f t="shared" si="127"/>
        <v>0</v>
      </c>
      <c r="HA96" s="9">
        <f t="shared" si="127"/>
        <v>0</v>
      </c>
      <c r="HB96" s="9">
        <f t="shared" si="127"/>
        <v>0</v>
      </c>
      <c r="HC96" s="9">
        <f t="shared" si="127"/>
        <v>0</v>
      </c>
      <c r="HD96" s="9">
        <f t="shared" si="127"/>
        <v>0</v>
      </c>
      <c r="HE96" s="9">
        <f t="shared" si="127"/>
        <v>0</v>
      </c>
      <c r="HF96" s="9">
        <f t="shared" si="127"/>
        <v>0</v>
      </c>
      <c r="HG96" s="9">
        <f t="shared" si="127"/>
        <v>0</v>
      </c>
      <c r="HH96" s="9">
        <f t="shared" si="127"/>
        <v>0</v>
      </c>
      <c r="HI96" s="9">
        <f t="shared" si="127"/>
        <v>0</v>
      </c>
      <c r="HJ96" s="9">
        <f t="shared" si="127"/>
        <v>0</v>
      </c>
      <c r="HK96" s="9">
        <f t="shared" si="127"/>
        <v>0</v>
      </c>
      <c r="HL96" s="9">
        <f t="shared" si="127"/>
        <v>0</v>
      </c>
      <c r="HM96" s="9">
        <f t="shared" si="127"/>
        <v>0</v>
      </c>
      <c r="HN96" s="9">
        <f t="shared" si="127"/>
        <v>0</v>
      </c>
      <c r="HO96" s="9">
        <f t="shared" si="127"/>
        <v>0</v>
      </c>
      <c r="HP96" s="9">
        <f t="shared" si="127"/>
        <v>0</v>
      </c>
      <c r="HQ96" s="9">
        <f t="shared" si="127"/>
        <v>0</v>
      </c>
      <c r="HR96" s="9">
        <f t="shared" si="127"/>
        <v>0</v>
      </c>
      <c r="HS96" s="9">
        <f t="shared" si="127"/>
        <v>0</v>
      </c>
      <c r="HT96" s="9">
        <f t="shared" si="127"/>
        <v>0</v>
      </c>
      <c r="HU96" s="9">
        <f t="shared" si="127"/>
        <v>0</v>
      </c>
      <c r="HV96" s="9">
        <f t="shared" si="127"/>
        <v>0</v>
      </c>
      <c r="HW96" s="9">
        <f t="shared" si="127"/>
        <v>0</v>
      </c>
      <c r="HX96" s="9">
        <f t="shared" si="127"/>
        <v>0</v>
      </c>
      <c r="HY96" s="9">
        <f t="shared" si="127"/>
        <v>0</v>
      </c>
      <c r="HZ96" s="9">
        <f t="shared" si="127"/>
        <v>0</v>
      </c>
      <c r="IA96" s="9">
        <f t="shared" si="127"/>
        <v>0</v>
      </c>
      <c r="IB96" s="9">
        <f t="shared" si="127"/>
        <v>0</v>
      </c>
      <c r="IC96" s="9">
        <f t="shared" si="127"/>
        <v>0</v>
      </c>
      <c r="ID96" s="9">
        <f t="shared" si="127"/>
        <v>0</v>
      </c>
      <c r="IE96" s="9">
        <f t="shared" si="127"/>
        <v>0</v>
      </c>
      <c r="IF96" s="9">
        <f t="shared" si="127"/>
        <v>0</v>
      </c>
      <c r="IG96" s="9">
        <f t="shared" si="127"/>
        <v>0</v>
      </c>
      <c r="IH96" s="9">
        <f t="shared" si="127"/>
        <v>0</v>
      </c>
      <c r="II96" s="9">
        <f t="shared" si="127"/>
        <v>0</v>
      </c>
      <c r="IJ96" s="9">
        <f t="shared" si="127"/>
        <v>0</v>
      </c>
      <c r="IK96" s="9">
        <f t="shared" si="127"/>
        <v>0</v>
      </c>
      <c r="IL96" s="9">
        <f t="shared" si="127"/>
        <v>0</v>
      </c>
      <c r="IM96" s="9">
        <f t="shared" si="127"/>
        <v>0</v>
      </c>
      <c r="IN96" s="9">
        <f t="shared" si="127"/>
        <v>0</v>
      </c>
      <c r="IO96" s="9">
        <f t="shared" si="127"/>
        <v>0</v>
      </c>
      <c r="IP96" s="9">
        <f t="shared" si="127"/>
        <v>0</v>
      </c>
      <c r="IQ96" s="9">
        <f t="shared" si="127"/>
        <v>0</v>
      </c>
      <c r="IR96" s="9">
        <f t="shared" si="127"/>
        <v>0</v>
      </c>
      <c r="IS96" s="9">
        <f t="shared" si="127"/>
        <v>0</v>
      </c>
      <c r="IT96" s="9">
        <f t="shared" si="127"/>
        <v>0</v>
      </c>
      <c r="IU96" s="9">
        <f t="shared" si="127"/>
        <v>0</v>
      </c>
      <c r="IV96" s="9">
        <f t="shared" si="127"/>
        <v>0</v>
      </c>
      <c r="IW96" s="9">
        <f t="shared" si="127"/>
        <v>0</v>
      </c>
      <c r="IX96" s="9">
        <f t="shared" si="127"/>
        <v>0</v>
      </c>
      <c r="IY96" s="9">
        <f t="shared" si="127"/>
        <v>0</v>
      </c>
      <c r="IZ96" s="9">
        <f t="shared" si="127"/>
        <v>0</v>
      </c>
      <c r="JA96" s="9">
        <f t="shared" si="127"/>
        <v>0</v>
      </c>
      <c r="JB96" s="9">
        <f t="shared" si="127"/>
        <v>0</v>
      </c>
      <c r="JC96" s="9">
        <f t="shared" si="127"/>
        <v>0</v>
      </c>
      <c r="JD96" s="9">
        <f t="shared" si="127"/>
        <v>0</v>
      </c>
      <c r="JE96" s="9">
        <f t="shared" si="127"/>
        <v>0</v>
      </c>
      <c r="JF96" s="9">
        <f t="shared" si="127"/>
        <v>0</v>
      </c>
      <c r="JG96" s="9">
        <f t="shared" si="127"/>
        <v>0</v>
      </c>
      <c r="JH96" s="9">
        <f t="shared" ref="JH96:JU96" si="128">JG99</f>
        <v>0</v>
      </c>
      <c r="JI96" s="9">
        <f t="shared" si="128"/>
        <v>0</v>
      </c>
      <c r="JJ96" s="9">
        <f t="shared" si="128"/>
        <v>0</v>
      </c>
      <c r="JK96" s="9">
        <f t="shared" si="128"/>
        <v>0</v>
      </c>
      <c r="JL96" s="9">
        <f t="shared" si="128"/>
        <v>0</v>
      </c>
      <c r="JM96" s="9">
        <f t="shared" si="128"/>
        <v>0</v>
      </c>
      <c r="JN96" s="9">
        <f t="shared" si="128"/>
        <v>0</v>
      </c>
      <c r="JO96" s="9">
        <f t="shared" si="128"/>
        <v>0</v>
      </c>
      <c r="JP96" s="9">
        <f t="shared" si="128"/>
        <v>0</v>
      </c>
      <c r="JQ96" s="9">
        <f t="shared" si="128"/>
        <v>0</v>
      </c>
      <c r="JR96" s="9">
        <f t="shared" si="128"/>
        <v>0</v>
      </c>
      <c r="JS96" s="9">
        <f t="shared" si="128"/>
        <v>0</v>
      </c>
      <c r="JT96" s="9">
        <f t="shared" si="128"/>
        <v>0</v>
      </c>
      <c r="JU96" s="9">
        <f t="shared" si="128"/>
        <v>0</v>
      </c>
    </row>
    <row r="97" spans="1:281">
      <c r="A97" t="s">
        <v>188</v>
      </c>
      <c r="D97" s="13">
        <f>IF(D1=Assum!$D$88,$B94,0)</f>
        <v>0</v>
      </c>
      <c r="E97" s="13">
        <f>IF(E1=Assum!$D$88,$B94,0)</f>
        <v>0</v>
      </c>
      <c r="F97" s="13">
        <f>IF(F1=Assum!$D$88,$B94,0)</f>
        <v>0</v>
      </c>
      <c r="G97" s="13">
        <f>IF(G1=Assum!$D$88,$B94,0)</f>
        <v>0</v>
      </c>
      <c r="H97" s="13">
        <f>IF(H1=Assum!$D$88,$B94,0)</f>
        <v>0</v>
      </c>
      <c r="I97" s="13">
        <f>IF(I1=Assum!$D$88,$B94,0)</f>
        <v>0</v>
      </c>
      <c r="J97" s="13">
        <f>IF(J1=Assum!$D$88,$B94,0)</f>
        <v>0</v>
      </c>
      <c r="K97" s="13">
        <f>IF(K1=Assum!$D$88,$B94,0)</f>
        <v>0</v>
      </c>
      <c r="L97" s="13">
        <f>IF(L1=Assum!$D$88,$B94,0)</f>
        <v>0</v>
      </c>
      <c r="M97" s="13">
        <f>IF(M1=Assum!$D$88,$B94,0)</f>
        <v>0</v>
      </c>
      <c r="N97" s="13">
        <f>IF(N1=Assum!$D$88,$B94,0)</f>
        <v>0</v>
      </c>
      <c r="O97" s="13">
        <f>IF(O1=Assum!$D$88,$B94,0)</f>
        <v>0</v>
      </c>
      <c r="P97" s="13">
        <f>IF(P1=Assum!$D$88,$B94,0)</f>
        <v>0</v>
      </c>
      <c r="Q97" s="13">
        <f>IF(Q1=Assum!$D$88,$B94,0)</f>
        <v>0</v>
      </c>
      <c r="R97" s="13">
        <f>IF(R1=Assum!$D$88,$B94,0)</f>
        <v>0</v>
      </c>
      <c r="S97" s="13">
        <f>IF(S1=Assum!$D$88,$B94,0)</f>
        <v>0</v>
      </c>
      <c r="T97" s="13">
        <f>IF(T1=Assum!$D$88,$B94,0)</f>
        <v>0</v>
      </c>
      <c r="U97" s="13">
        <f>IF(U1=Assum!$D$88,$B94,0)</f>
        <v>0</v>
      </c>
      <c r="V97" s="13">
        <f>IF(V1=Assum!$D$88,$B94,0)</f>
        <v>0</v>
      </c>
      <c r="W97" s="13">
        <f>IF(W1=Assum!$D$88,$B94,0)</f>
        <v>0</v>
      </c>
      <c r="X97" s="13">
        <f>IF(X1=Assum!$D$88,$B94,0)</f>
        <v>0</v>
      </c>
      <c r="Y97" s="13">
        <f>IF(Y1=Assum!$D$88,$B94,0)</f>
        <v>0</v>
      </c>
      <c r="Z97" s="13">
        <f>IF(Z1=Assum!$D$88,$B94,0)</f>
        <v>0</v>
      </c>
      <c r="AA97" s="13">
        <f>IF(AA1=Assum!$D$88,$B94,0)</f>
        <v>0</v>
      </c>
      <c r="AB97" s="13">
        <f>IF(AB1=Assum!$D$88,$B94,0)</f>
        <v>0</v>
      </c>
      <c r="AC97" s="13">
        <f>IF(AC1=Assum!$D$88,$B94,0)</f>
        <v>0</v>
      </c>
      <c r="AD97" s="13">
        <f>IF(AD1=Assum!$D$88,$B94,0)</f>
        <v>0</v>
      </c>
      <c r="AE97" s="13">
        <f>IF(AE1=Assum!$D$88,$B94,0)</f>
        <v>0</v>
      </c>
      <c r="AF97" s="13">
        <f>IF(AF1=Assum!$D$88,$B94,0)</f>
        <v>0</v>
      </c>
      <c r="AG97" s="13">
        <f>IF(AG1=Assum!$D$88,$B94,0)</f>
        <v>0</v>
      </c>
      <c r="AH97" s="13">
        <f>IF(AH1=Assum!$D$88,$B94,0)</f>
        <v>0</v>
      </c>
      <c r="AI97" s="13">
        <f>IF(AI1=Assum!$D$88,$B94,0)</f>
        <v>0</v>
      </c>
      <c r="AJ97" s="13">
        <f>IF(AJ1=Assum!$D$88,$B94,0)</f>
        <v>0</v>
      </c>
      <c r="AK97" s="13">
        <f>IF(AK1=Assum!$D$88,$B94,0)</f>
        <v>0</v>
      </c>
      <c r="AL97" s="13">
        <f>IF(AL1=Assum!$D$88,$B94,0)</f>
        <v>0</v>
      </c>
      <c r="AM97" s="13">
        <f>IF(AM1=Assum!$D$88,$B94,0)</f>
        <v>0</v>
      </c>
      <c r="AN97" s="13">
        <f>IF(AN1=Assum!$D$88,$B94,0)</f>
        <v>0</v>
      </c>
      <c r="AO97" s="13">
        <f>IF(AO1=Assum!$D$88,$B94,0)</f>
        <v>0</v>
      </c>
      <c r="AP97" s="13">
        <f>IF(AP1=Assum!$D$88,$B94,0)</f>
        <v>0</v>
      </c>
      <c r="AQ97" s="13">
        <f>IF(AQ1=Assum!$D$88,$B94,0)</f>
        <v>0</v>
      </c>
      <c r="AR97" s="13">
        <f>IF(AR1=Assum!$D$88,$B94,0)</f>
        <v>0</v>
      </c>
      <c r="AS97" s="13">
        <f>IF(AS1=Assum!$D$88,$B94,0)</f>
        <v>0</v>
      </c>
      <c r="AT97" s="13">
        <f>IF(AT1=Assum!$D$88,$B94,0)</f>
        <v>0</v>
      </c>
      <c r="AU97" s="13">
        <f>IF(AU1=Assum!$D$88,$B94,0)</f>
        <v>0</v>
      </c>
      <c r="AV97" s="13">
        <f>IF(AV1=Assum!$D$88,$B94,0)</f>
        <v>0</v>
      </c>
      <c r="AW97" s="13">
        <f>IF(AW1=Assum!$D$88,$B94,0)</f>
        <v>0</v>
      </c>
      <c r="AX97" s="13">
        <f>IF(AX1=Assum!$D$88,$B94,0)</f>
        <v>0</v>
      </c>
      <c r="AY97" s="13">
        <f>IF(AY1=Assum!$D$88,$B94,0)</f>
        <v>0</v>
      </c>
      <c r="AZ97" s="13">
        <f>IF(AZ1=Assum!$D$88,$B94,0)</f>
        <v>0</v>
      </c>
      <c r="BA97" s="13">
        <f>IF(BA1=Assum!$D$88,$B94,0)</f>
        <v>0</v>
      </c>
      <c r="BB97" s="13">
        <f>IF(BB1=Assum!$D$88,$B94,0)</f>
        <v>0</v>
      </c>
      <c r="BC97" s="13">
        <f>IF(BC1=Assum!$D$88,$B94,0)</f>
        <v>0</v>
      </c>
      <c r="BD97" s="13">
        <f>IF(BD1=Assum!$D$88,$B94,0)</f>
        <v>0</v>
      </c>
      <c r="BE97" s="13">
        <f>IF(BE1=Assum!$D$88,$B94,0)</f>
        <v>0</v>
      </c>
      <c r="BF97" s="13">
        <f>IF(BF1=Assum!$D$88,$B94,0)</f>
        <v>0</v>
      </c>
      <c r="BG97" s="13">
        <f>IF(BG1=Assum!$D$88,$B94,0)</f>
        <v>0</v>
      </c>
      <c r="BH97" s="13">
        <f>IF(BH1=Assum!$D$88,$B94,0)</f>
        <v>0</v>
      </c>
      <c r="BI97" s="13">
        <f>IF(BI1=Assum!$D$88,$B94,0)</f>
        <v>0</v>
      </c>
      <c r="BJ97" s="13">
        <f>IF(BJ1=Assum!$D$88,$B94,0)</f>
        <v>0</v>
      </c>
      <c r="BK97" s="13">
        <f>IF(BK1=Assum!$D$88,$B94,0)</f>
        <v>0</v>
      </c>
      <c r="BL97" s="13">
        <f>IF(BL1=Assum!$D$88,$B94,0)</f>
        <v>0</v>
      </c>
      <c r="BM97" s="13">
        <f>IF(BM1=Assum!$D$88,$B94,0)</f>
        <v>0</v>
      </c>
      <c r="BN97" s="13">
        <f>IF(BN1=Assum!$D$88,$B94,0)</f>
        <v>0</v>
      </c>
      <c r="BO97" s="13">
        <f>IF(BO1=Assum!$D$88,$B94,0)</f>
        <v>0</v>
      </c>
      <c r="BP97" s="13">
        <f>IF(BP1=Assum!$D$88,$B94,0)</f>
        <v>0</v>
      </c>
      <c r="BQ97" s="13">
        <f>IF(BQ1=Assum!$D$88,$B94,0)</f>
        <v>0</v>
      </c>
      <c r="BR97" s="13">
        <f>IF(BR1=Assum!$D$88,$B94,0)</f>
        <v>0</v>
      </c>
      <c r="BS97" s="13">
        <f>IF(BS1=Assum!$D$88,$B94,0)</f>
        <v>0</v>
      </c>
      <c r="BT97" s="13">
        <f>IF(BT1=Assum!$D$88,$B94,0)</f>
        <v>0</v>
      </c>
      <c r="BU97" s="13">
        <f>IF(BU1=Assum!$D$88,$B94,0)</f>
        <v>0</v>
      </c>
      <c r="BV97" s="13">
        <f>IF(BV1=Assum!$D$88,$B94,0)</f>
        <v>0</v>
      </c>
      <c r="BW97" s="13">
        <f>IF(BW1=Assum!$D$88,$B94,0)</f>
        <v>0</v>
      </c>
      <c r="BX97" s="13">
        <f>IF(BX1=Assum!$D$88,$B94,0)</f>
        <v>0</v>
      </c>
      <c r="BY97" s="13">
        <f>IF(BY1=Assum!$D$88,$B94,0)</f>
        <v>0</v>
      </c>
      <c r="BZ97" s="13">
        <f>IF(BZ1=Assum!$D$88,$B94,0)</f>
        <v>0</v>
      </c>
      <c r="CA97" s="13">
        <f>IF(CA1=Assum!$D$88,$B94,0)</f>
        <v>0</v>
      </c>
      <c r="CB97" s="13">
        <f>IF(CB1=Assum!$D$88,$B94,0)</f>
        <v>0</v>
      </c>
      <c r="CC97" s="13">
        <f>IF(CC1=Assum!$D$88,$B94,0)</f>
        <v>0</v>
      </c>
      <c r="CD97" s="13">
        <f>IF(CD1=Assum!$D$88,$B94,0)</f>
        <v>0</v>
      </c>
      <c r="CE97" s="13">
        <f>IF(CE1=Assum!$D$88,$B94,0)</f>
        <v>0</v>
      </c>
      <c r="CF97" s="13">
        <f>IF(CF1=Assum!$D$88,$B94,0)</f>
        <v>0</v>
      </c>
      <c r="CG97" s="13">
        <f>IF(CG1=Assum!$D$88,$B94,0)</f>
        <v>0</v>
      </c>
      <c r="CH97" s="13">
        <f>IF(CH1=Assum!$D$88,$B94,0)</f>
        <v>0</v>
      </c>
      <c r="CI97" s="13">
        <f>IF(CI1=Assum!$D$88,$B94,0)</f>
        <v>0</v>
      </c>
      <c r="CJ97" s="13">
        <f>IF(CJ1=Assum!$D$88,$B94,0)</f>
        <v>0</v>
      </c>
      <c r="CK97" s="13">
        <f>IF(CK1=Assum!$D$88,$B94,0)</f>
        <v>0</v>
      </c>
      <c r="CL97" s="13">
        <f>IF(CL1=Assum!$D$88,$B94,0)</f>
        <v>0</v>
      </c>
      <c r="CM97" s="13">
        <f>IF(CM1=Assum!$D$88,$B94,0)</f>
        <v>0</v>
      </c>
      <c r="CN97" s="13">
        <f>IF(CN1=Assum!$D$88,$B94,0)</f>
        <v>0</v>
      </c>
      <c r="CO97" s="13">
        <f>IF(CO1=Assum!$D$88,$B94,0)</f>
        <v>0</v>
      </c>
      <c r="CP97" s="13">
        <f>IF(CP1=Assum!$D$88,$B94,0)</f>
        <v>0</v>
      </c>
      <c r="CQ97" s="13">
        <f>IF(CQ1=Assum!$D$88,$B94,0)</f>
        <v>0</v>
      </c>
      <c r="CR97" s="13">
        <f>IF(CR1=Assum!$D$88,$B94,0)</f>
        <v>0</v>
      </c>
      <c r="CS97" s="13">
        <f>IF(CS1=Assum!$D$88,$B94,0)</f>
        <v>0</v>
      </c>
      <c r="CT97" s="13">
        <f>IF(CT1=Assum!$D$88,$B94,0)</f>
        <v>0</v>
      </c>
      <c r="CU97" s="13">
        <f>IF(CU1=Assum!$D$88,$B94,0)</f>
        <v>0</v>
      </c>
      <c r="CV97" s="13">
        <f>IF(CV1=Assum!$D$88,$B94,0)</f>
        <v>0</v>
      </c>
      <c r="CW97" s="13">
        <f>IF(CW1=Assum!$D$88,$B94,0)</f>
        <v>0</v>
      </c>
      <c r="CX97" s="13">
        <f>IF(CX1=Assum!$D$88,$B94,0)</f>
        <v>0</v>
      </c>
      <c r="CY97" s="13">
        <f>IF(CY1=Assum!$D$88,$B94,0)</f>
        <v>0</v>
      </c>
      <c r="CZ97" s="13">
        <f>IF(CZ1=Assum!$D$88,$B94,0)</f>
        <v>0</v>
      </c>
      <c r="DA97" s="13">
        <f>IF(DA1=Assum!$D$88,$B94,0)</f>
        <v>0</v>
      </c>
      <c r="DB97" s="13">
        <f>IF(DB1=Assum!$D$88,$B94,0)</f>
        <v>0</v>
      </c>
      <c r="DC97" s="13">
        <f>IF(DC1=Assum!$D$88,$B94,0)</f>
        <v>0</v>
      </c>
      <c r="DD97" s="13">
        <f>IF(DD1=Assum!$D$88,$B94,0)</f>
        <v>0</v>
      </c>
      <c r="DE97" s="13">
        <f>IF(DE1=Assum!$D$88,$B94,0)</f>
        <v>0</v>
      </c>
      <c r="DF97" s="13">
        <f>IF(DF1=Assum!$D$88,$B94,0)</f>
        <v>0</v>
      </c>
      <c r="DG97" s="13">
        <f>IF(DG1=Assum!$D$88,$B94,0)</f>
        <v>0</v>
      </c>
      <c r="DH97" s="13">
        <f>IF(DH1=Assum!$D$88,$B94,0)</f>
        <v>0</v>
      </c>
      <c r="DI97" s="13">
        <f>IF(DI1=Assum!$D$88,$B94,0)</f>
        <v>0</v>
      </c>
      <c r="DJ97" s="13">
        <f>IF(DJ1=Assum!$D$88,$B94,0)</f>
        <v>0</v>
      </c>
      <c r="DK97" s="13">
        <f>IF(DK1=Assum!$D$88,$B94,0)</f>
        <v>0</v>
      </c>
      <c r="DL97" s="13">
        <f>IF(DL1=Assum!$D$88,$B94,0)</f>
        <v>0</v>
      </c>
      <c r="DM97" s="13">
        <f>IF(DM1=Assum!$D$88,$B94,0)</f>
        <v>0</v>
      </c>
      <c r="DN97" s="13">
        <f>IF(DN1=Assum!$D$88,$B94,0)</f>
        <v>0</v>
      </c>
      <c r="DO97" s="13">
        <f>IF(DO1=Assum!$D$88,$B94,0)</f>
        <v>0</v>
      </c>
      <c r="DP97" s="13">
        <f>IF(DP1=Assum!$D$88,$B94,0)</f>
        <v>0</v>
      </c>
      <c r="DQ97" s="13">
        <f>IF(DQ1=Assum!$D$88,$B94,0)</f>
        <v>0</v>
      </c>
      <c r="DR97" s="13">
        <f>IF(DR1=Assum!$D$88,$B94,0)</f>
        <v>0</v>
      </c>
      <c r="DS97" s="13">
        <f>IF(DS1=Assum!$D$88,$B94,0)</f>
        <v>0</v>
      </c>
      <c r="DT97" s="13">
        <f>IF(DT1=Assum!$D$88,$B94,0)</f>
        <v>0</v>
      </c>
      <c r="DU97" s="13">
        <f>IF(DU1=Assum!$D$88,$B94,0)</f>
        <v>0</v>
      </c>
      <c r="DV97" s="13">
        <f>IF(DV1=Assum!$D$88,$B94,0)</f>
        <v>0</v>
      </c>
      <c r="DW97" s="13">
        <f>IF(DW1=Assum!$D$88,$B94,0)</f>
        <v>0</v>
      </c>
      <c r="DX97" s="13">
        <f>IF(DX1=Assum!$D$88,$B94,0)</f>
        <v>0</v>
      </c>
      <c r="DY97" s="13">
        <f>IF(DY1=Assum!$D$88,$B94,0)</f>
        <v>0</v>
      </c>
      <c r="DZ97" s="13">
        <f>IF(DZ1=Assum!$D$88,$B94,0)</f>
        <v>0</v>
      </c>
      <c r="EA97" s="13">
        <f>IF(EA1=Assum!$D$88,$B94,0)</f>
        <v>0</v>
      </c>
      <c r="EB97" s="13">
        <f>IF(EB1=Assum!$D$88,$B94,0)</f>
        <v>0</v>
      </c>
      <c r="EC97" s="13">
        <f>IF(EC1=Assum!$D$88,$B94,0)</f>
        <v>0</v>
      </c>
      <c r="ED97" s="13">
        <f>IF(ED1=Assum!$D$88,$B94,0)</f>
        <v>0</v>
      </c>
      <c r="EE97" s="13">
        <f>IF(EE1=Assum!$D$88,$B94,0)</f>
        <v>0</v>
      </c>
      <c r="EF97" s="13">
        <f>IF(EF1=Assum!$D$88,$B94,0)</f>
        <v>0</v>
      </c>
      <c r="EG97" s="13">
        <f>IF(EG1=Assum!$D$88,$B94,0)</f>
        <v>0</v>
      </c>
      <c r="EH97" s="13">
        <f>IF(EH1=Assum!$D$88,$B94,0)</f>
        <v>0</v>
      </c>
      <c r="EI97" s="13">
        <f>IF(EI1=Assum!$D$88,$B94,0)</f>
        <v>0</v>
      </c>
      <c r="EJ97" s="13">
        <f>IF(EJ1=Assum!$D$88,$B94,0)</f>
        <v>0</v>
      </c>
      <c r="EK97" s="13">
        <f>IF(EK1=Assum!$D$88,$B94,0)</f>
        <v>0</v>
      </c>
      <c r="EL97" s="13">
        <f>IF(EL1=Assum!$D$88,$B94,0)</f>
        <v>0</v>
      </c>
      <c r="EM97" s="13">
        <f>IF(EM1=Assum!$D$88,$B94,0)</f>
        <v>0</v>
      </c>
      <c r="EN97" s="13">
        <f>IF(EN1=Assum!$D$88,$B94,0)</f>
        <v>0</v>
      </c>
      <c r="EO97" s="13">
        <f>IF(EO1=Assum!$D$88,$B94,0)</f>
        <v>0</v>
      </c>
      <c r="EP97" s="13">
        <f>IF(EP1=Assum!$D$88,$B94,0)</f>
        <v>0</v>
      </c>
      <c r="EQ97" s="13">
        <f>IF(EQ1=Assum!$D$88,$B94,0)</f>
        <v>0</v>
      </c>
      <c r="ER97" s="13">
        <f>IF(ER1=Assum!$D$88,$B94,0)</f>
        <v>0</v>
      </c>
      <c r="ES97" s="13">
        <f>IF(ES1=Assum!$D$88,$B94,0)</f>
        <v>0</v>
      </c>
      <c r="ET97" s="13">
        <f>IF(ET1=Assum!$D$88,$B94,0)</f>
        <v>0</v>
      </c>
      <c r="EU97" s="13">
        <f>IF(EU1=Assum!$D$88,$B94,0)</f>
        <v>0</v>
      </c>
      <c r="EV97" s="13">
        <f>IF(EV1=Assum!$D$88,$B94,0)</f>
        <v>0</v>
      </c>
      <c r="EW97" s="13">
        <f>IF(EW1=Assum!$D$88,$B94,0)</f>
        <v>0</v>
      </c>
      <c r="EX97" s="13">
        <f>IF(EX1=Assum!$D$88,$B94,0)</f>
        <v>0</v>
      </c>
      <c r="EY97" s="13">
        <f>IF(EY1=Assum!$D$88,$B94,0)</f>
        <v>0</v>
      </c>
      <c r="EZ97" s="13">
        <f>IF(EZ1=Assum!$D$88,$B94,0)</f>
        <v>0</v>
      </c>
      <c r="FA97" s="13">
        <f>IF(FA1=Assum!$D$88,$B94,0)</f>
        <v>0</v>
      </c>
      <c r="FB97" s="13">
        <f>IF(FB1=Assum!$D$88,$B94,0)</f>
        <v>0</v>
      </c>
      <c r="FC97" s="13">
        <f>IF(FC1=Assum!$D$88,$B94,0)</f>
        <v>0</v>
      </c>
      <c r="FD97" s="13">
        <f>IF(FD1=Assum!$D$88,$B94,0)</f>
        <v>0</v>
      </c>
      <c r="FE97" s="13">
        <f>IF(FE1=Assum!$D$88,$B94,0)</f>
        <v>0</v>
      </c>
      <c r="FF97" s="13">
        <f>IF(FF1=Assum!$D$88,$B94,0)</f>
        <v>0</v>
      </c>
      <c r="FG97" s="13">
        <f>IF(FG1=Assum!$D$88,$B94,0)</f>
        <v>0</v>
      </c>
      <c r="FH97" s="13">
        <f>IF(FH1=Assum!$D$88,$B94,0)</f>
        <v>0</v>
      </c>
      <c r="FI97" s="13">
        <f>IF(FI1=Assum!$D$88,$B94,0)</f>
        <v>0</v>
      </c>
      <c r="FJ97" s="13">
        <f>IF(FJ1=Assum!$D$88,$B94,0)</f>
        <v>0</v>
      </c>
      <c r="FK97" s="13">
        <f>IF(FK1=Assum!$D$88,$B94,0)</f>
        <v>0</v>
      </c>
      <c r="FL97" s="13">
        <f>IF(FL1=Assum!$D$88,$B94,0)</f>
        <v>0</v>
      </c>
      <c r="FM97" s="13">
        <f>IF(FM1=Assum!$D$88,$B94,0)</f>
        <v>0</v>
      </c>
      <c r="FN97" s="13">
        <f>IF(FN1=Assum!$D$88,$B94,0)</f>
        <v>0</v>
      </c>
      <c r="FO97" s="13">
        <f>IF(FO1=Assum!$D$88,$B94,0)</f>
        <v>0</v>
      </c>
      <c r="FP97" s="13">
        <f>IF(FP1=Assum!$D$88,$B94,0)</f>
        <v>0</v>
      </c>
      <c r="FQ97" s="13">
        <f>IF(FQ1=Assum!$D$88,$B94,0)</f>
        <v>0</v>
      </c>
      <c r="FR97" s="13">
        <f>IF(FR1=Assum!$D$88,$B94,0)</f>
        <v>0</v>
      </c>
      <c r="FS97" s="13">
        <f>IF(FS1=Assum!$D$88,$B94,0)</f>
        <v>0</v>
      </c>
      <c r="FT97" s="13">
        <f>IF(FT1=Assum!$D$88,$B94,0)</f>
        <v>0</v>
      </c>
      <c r="FU97" s="13">
        <f>IF(FU1=Assum!$D$88,$B94,0)</f>
        <v>0</v>
      </c>
      <c r="FV97" s="13">
        <f>IF(FV1=Assum!$D$88,$B94,0)</f>
        <v>0</v>
      </c>
      <c r="FW97" s="13">
        <f>IF(FW1=Assum!$D$88,$B94,0)</f>
        <v>0</v>
      </c>
      <c r="FX97" s="13">
        <f>IF(FX1=Assum!$D$88,$B94,0)</f>
        <v>0</v>
      </c>
      <c r="FY97" s="13">
        <f>IF(FY1=Assum!$D$88,$B94,0)</f>
        <v>0</v>
      </c>
      <c r="FZ97" s="13">
        <f>IF(FZ1=Assum!$D$88,$B94,0)</f>
        <v>0</v>
      </c>
      <c r="GA97" s="13">
        <f>IF(GA1=Assum!$D$88,$B94,0)</f>
        <v>0</v>
      </c>
      <c r="GB97" s="13">
        <f>IF(GB1=Assum!$D$88,$B94,0)</f>
        <v>0</v>
      </c>
      <c r="GC97" s="13">
        <f>IF(GC1=Assum!$D$88,$B94,0)</f>
        <v>0</v>
      </c>
      <c r="GD97" s="13">
        <f>IF(GD1=Assum!$D$88,$B94,0)</f>
        <v>0</v>
      </c>
      <c r="GE97" s="13">
        <f>IF(GE1=Assum!$D$88,$B94,0)</f>
        <v>0</v>
      </c>
      <c r="GF97" s="13">
        <f>IF(GF1=Assum!$D$88,$B94,0)</f>
        <v>0</v>
      </c>
      <c r="GG97" s="13">
        <f>IF(GG1=Assum!$D$88,$B94,0)</f>
        <v>0</v>
      </c>
      <c r="GH97" s="13">
        <f>IF(GH1=Assum!$D$88,$B94,0)</f>
        <v>0</v>
      </c>
      <c r="GI97" s="13">
        <f>IF(GI1=Assum!$D$88,$B94,0)</f>
        <v>0</v>
      </c>
      <c r="GJ97" s="13">
        <f>IF(GJ1=Assum!$D$88,$B94,0)</f>
        <v>0</v>
      </c>
      <c r="GK97" s="13">
        <f>IF(GK1=Assum!$D$88,$B94,0)</f>
        <v>0</v>
      </c>
      <c r="GL97" s="13">
        <f>IF(GL1=Assum!$D$88,$B94,0)</f>
        <v>0</v>
      </c>
      <c r="GM97" s="13">
        <f>IF(GM1=Assum!$D$88,$B94,0)</f>
        <v>0</v>
      </c>
      <c r="GN97" s="13">
        <f>IF(GN1=Assum!$D$88,$B94,0)</f>
        <v>0</v>
      </c>
      <c r="GO97" s="13">
        <f>IF(GO1=Assum!$D$88,$B94,0)</f>
        <v>0</v>
      </c>
      <c r="GP97" s="13">
        <f>IF(GP1=Assum!$D$88,$B94,0)</f>
        <v>0</v>
      </c>
      <c r="GQ97" s="13">
        <f>IF(GQ1=Assum!$D$88,$B94,0)</f>
        <v>0</v>
      </c>
      <c r="GR97" s="13">
        <f>IF(GR1=Assum!$D$88,$B94,0)</f>
        <v>0</v>
      </c>
      <c r="GS97" s="13">
        <f>IF(GS1=Assum!$D$88,$B94,0)</f>
        <v>0</v>
      </c>
      <c r="GT97" s="13">
        <f>IF(GT1=Assum!$D$88,$B94,0)</f>
        <v>0</v>
      </c>
      <c r="GU97" s="13">
        <f>IF(GU1=Assum!$D$88,$B94,0)</f>
        <v>0</v>
      </c>
      <c r="GV97" s="13">
        <f>IF(GV1=Assum!$D$88,$B94,0)</f>
        <v>0</v>
      </c>
      <c r="GW97" s="13">
        <f>IF(GW1=Assum!$D$88,$B94,0)</f>
        <v>0</v>
      </c>
      <c r="GX97" s="13">
        <f>IF(GX1=Assum!$D$88,$B94,0)</f>
        <v>0</v>
      </c>
      <c r="GY97" s="13">
        <f>IF(GY1=Assum!$D$88,$B94,0)</f>
        <v>0</v>
      </c>
      <c r="GZ97" s="13">
        <f>IF(GZ1=Assum!$D$88,$B94,0)</f>
        <v>0</v>
      </c>
      <c r="HA97" s="13">
        <f>IF(HA1=Assum!$D$88,$B94,0)</f>
        <v>0</v>
      </c>
      <c r="HB97" s="13">
        <f>IF(HB1=Assum!$D$88,$B94,0)</f>
        <v>0</v>
      </c>
      <c r="HC97" s="13">
        <f>IF(HC1=Assum!$D$88,$B94,0)</f>
        <v>0</v>
      </c>
      <c r="HD97" s="13">
        <f>IF(HD1=Assum!$D$88,$B94,0)</f>
        <v>0</v>
      </c>
      <c r="HE97" s="13">
        <f>IF(HE1=Assum!$D$88,$B94,0)</f>
        <v>0</v>
      </c>
      <c r="HF97" s="13">
        <f>IF(HF1=Assum!$D$88,$B94,0)</f>
        <v>0</v>
      </c>
      <c r="HG97" s="13">
        <f>IF(HG1=Assum!$D$88,$B94,0)</f>
        <v>0</v>
      </c>
      <c r="HH97" s="13">
        <f>IF(HH1=Assum!$D$88,$B94,0)</f>
        <v>0</v>
      </c>
      <c r="HI97" s="13">
        <f>IF(HI1=Assum!$D$88,$B94,0)</f>
        <v>0</v>
      </c>
      <c r="HJ97" s="13">
        <f>IF(HJ1=Assum!$D$88,$B94,0)</f>
        <v>0</v>
      </c>
      <c r="HK97" s="13">
        <f>IF(HK1=Assum!$D$88,$B94,0)</f>
        <v>0</v>
      </c>
      <c r="HL97" s="13">
        <f>IF(HL1=Assum!$D$88,$B94,0)</f>
        <v>0</v>
      </c>
      <c r="HM97" s="13">
        <f>IF(HM1=Assum!$D$88,$B94,0)</f>
        <v>0</v>
      </c>
      <c r="HN97" s="13">
        <f>IF(HN1=Assum!$D$88,$B94,0)</f>
        <v>0</v>
      </c>
      <c r="HO97" s="13">
        <f>IF(HO1=Assum!$D$88,$B94,0)</f>
        <v>0</v>
      </c>
      <c r="HP97" s="13">
        <f>IF(HP1=Assum!$D$88,$B94,0)</f>
        <v>0</v>
      </c>
      <c r="HQ97" s="13">
        <f>IF(HQ1=Assum!$D$88,$B94,0)</f>
        <v>0</v>
      </c>
      <c r="HR97" s="13">
        <f>IF(HR1=Assum!$D$88,$B94,0)</f>
        <v>0</v>
      </c>
      <c r="HS97" s="13">
        <f>IF(HS1=Assum!$D$88,$B94,0)</f>
        <v>0</v>
      </c>
      <c r="HT97" s="13">
        <f>IF(HT1=Assum!$D$88,$B94,0)</f>
        <v>0</v>
      </c>
      <c r="HU97" s="13">
        <f>IF(HU1=Assum!$D$88,$B94,0)</f>
        <v>0</v>
      </c>
      <c r="HV97" s="13">
        <f>IF(HV1=Assum!$D$88,$B94,0)</f>
        <v>0</v>
      </c>
      <c r="HW97" s="13">
        <f>IF(HW1=Assum!$D$88,$B94,0)</f>
        <v>0</v>
      </c>
      <c r="HX97" s="13">
        <f>IF(HX1=Assum!$D$88,$B94,0)</f>
        <v>0</v>
      </c>
      <c r="HY97" s="13">
        <f>IF(HY1=Assum!$D$88,$B94,0)</f>
        <v>0</v>
      </c>
      <c r="HZ97" s="13">
        <f>IF(HZ1=Assum!$D$88,$B94,0)</f>
        <v>0</v>
      </c>
      <c r="IA97" s="13">
        <f>IF(IA1=Assum!$D$88,$B94,0)</f>
        <v>0</v>
      </c>
      <c r="IB97" s="13">
        <f>IF(IB1=Assum!$D$88,$B94,0)</f>
        <v>0</v>
      </c>
      <c r="IC97" s="13">
        <f>IF(IC1=Assum!$D$88,$B94,0)</f>
        <v>0</v>
      </c>
      <c r="ID97" s="13">
        <f>IF(ID1=Assum!$D$88,$B94,0)</f>
        <v>0</v>
      </c>
      <c r="IE97" s="13">
        <f>IF(IE1=Assum!$D$88,$B94,0)</f>
        <v>0</v>
      </c>
      <c r="IF97" s="13">
        <f>IF(IF1=Assum!$D$88,$B94,0)</f>
        <v>0</v>
      </c>
      <c r="IG97" s="13">
        <f>IF(IG1=Assum!$D$88,$B94,0)</f>
        <v>0</v>
      </c>
      <c r="IH97" s="13">
        <f>IF(IH1=Assum!$D$88,$B94,0)</f>
        <v>0</v>
      </c>
      <c r="II97" s="13">
        <f>IF(II1=Assum!$D$88,$B94,0)</f>
        <v>0</v>
      </c>
      <c r="IJ97" s="13">
        <f>IF(IJ1=Assum!$D$88,$B94,0)</f>
        <v>0</v>
      </c>
      <c r="IK97" s="13">
        <f>IF(IK1=Assum!$D$88,$B94,0)</f>
        <v>0</v>
      </c>
      <c r="IL97" s="13">
        <f>IF(IL1=Assum!$D$88,$B94,0)</f>
        <v>0</v>
      </c>
      <c r="IM97" s="13">
        <f>IF(IM1=Assum!$D$88,$B94,0)</f>
        <v>0</v>
      </c>
      <c r="IN97" s="13">
        <f>IF(IN1=Assum!$D$88,$B94,0)</f>
        <v>0</v>
      </c>
      <c r="IO97" s="13">
        <f>IF(IO1=Assum!$D$88,$B94,0)</f>
        <v>0</v>
      </c>
      <c r="IP97" s="13">
        <f>IF(IP1=Assum!$D$88,$B94,0)</f>
        <v>0</v>
      </c>
      <c r="IQ97" s="13">
        <f>IF(IQ1=Assum!$D$88,$B94,0)</f>
        <v>0</v>
      </c>
      <c r="IR97" s="13">
        <f>IF(IR1=Assum!$D$88,$B94,0)</f>
        <v>0</v>
      </c>
      <c r="IS97" s="13">
        <f>IF(IS1=Assum!$D$88,$B94,0)</f>
        <v>0</v>
      </c>
      <c r="IT97" s="13">
        <f>IF(IT1=Assum!$D$88,$B94,0)</f>
        <v>0</v>
      </c>
      <c r="IU97" s="13">
        <f>IF(IU1=Assum!$D$88,$B94,0)</f>
        <v>0</v>
      </c>
      <c r="IV97" s="13">
        <f>IF(IV1=Assum!$D$88,$B94,0)</f>
        <v>0</v>
      </c>
      <c r="IW97" s="13">
        <f>IF(IW1=Assum!$D$88,$B94,0)</f>
        <v>0</v>
      </c>
      <c r="IX97" s="13">
        <f>IF(IX1=Assum!$D$88,$B94,0)</f>
        <v>0</v>
      </c>
      <c r="IY97" s="13">
        <f>IF(IY1=Assum!$D$88,$B94,0)</f>
        <v>0</v>
      </c>
      <c r="IZ97" s="13">
        <f>IF(IZ1=Assum!$D$88,$B94,0)</f>
        <v>0</v>
      </c>
      <c r="JA97" s="13">
        <f>IF(JA1=Assum!$D$88,$B94,0)</f>
        <v>0</v>
      </c>
      <c r="JB97" s="13">
        <f>IF(JB1=Assum!$D$88,$B94,0)</f>
        <v>0</v>
      </c>
      <c r="JC97" s="13">
        <f>IF(JC1=Assum!$D$88,$B94,0)</f>
        <v>0</v>
      </c>
      <c r="JD97" s="13">
        <f>IF(JD1=Assum!$D$88,$B94,0)</f>
        <v>0</v>
      </c>
      <c r="JE97" s="13">
        <f>IF(JE1=Assum!$D$88,$B94,0)</f>
        <v>0</v>
      </c>
      <c r="JF97" s="13">
        <f>IF(JF1=Assum!$D$88,$B94,0)</f>
        <v>0</v>
      </c>
      <c r="JG97" s="13">
        <f>IF(JG1=Assum!$D$88,$B94,0)</f>
        <v>0</v>
      </c>
      <c r="JH97" s="13">
        <f>IF(JH1=Assum!$D$88,$B94,0)</f>
        <v>0</v>
      </c>
      <c r="JI97" s="13">
        <f>IF(JI1=Assum!$D$88,$B94,0)</f>
        <v>0</v>
      </c>
      <c r="JJ97" s="13">
        <f>IF(JJ1=Assum!$D$88,$B94,0)</f>
        <v>0</v>
      </c>
      <c r="JK97" s="13">
        <f>IF(JK1=Assum!$D$88,$B94,0)</f>
        <v>0</v>
      </c>
      <c r="JL97" s="13">
        <f>IF(JL1=Assum!$D$88,$B94,0)</f>
        <v>0</v>
      </c>
      <c r="JM97" s="13">
        <f>IF(JM1=Assum!$D$88,$B94,0)</f>
        <v>0</v>
      </c>
      <c r="JN97" s="13">
        <f>IF(JN1=Assum!$D$88,$B94,0)</f>
        <v>0</v>
      </c>
      <c r="JO97" s="13">
        <f>IF(JO1=Assum!$D$88,$B94,0)</f>
        <v>0</v>
      </c>
      <c r="JP97" s="13">
        <f>IF(JP1=Assum!$D$88,$B94,0)</f>
        <v>0</v>
      </c>
      <c r="JQ97" s="13">
        <f>IF(JQ1=Assum!$D$88,$B94,0)</f>
        <v>0</v>
      </c>
      <c r="JR97" s="13">
        <f>IF(JR1=Assum!$D$88,$B94,0)</f>
        <v>0</v>
      </c>
      <c r="JS97" s="13">
        <f>IF(JS1=Assum!$D$88,$B94,0)</f>
        <v>0</v>
      </c>
      <c r="JT97" s="13">
        <f>IF(JT1=Assum!$D$88,$B94,0)</f>
        <v>0</v>
      </c>
      <c r="JU97" s="13">
        <f>IF(JU1=Assum!$D$88,$B94,0)</f>
        <v>0</v>
      </c>
    </row>
    <row r="98" spans="1:281">
      <c r="A98" t="s">
        <v>250</v>
      </c>
      <c r="D98" s="9">
        <f t="shared" ref="D98:BO98" si="129">$B94*D10</f>
        <v>0</v>
      </c>
      <c r="E98" s="9">
        <f t="shared" si="129"/>
        <v>0</v>
      </c>
      <c r="F98" s="9">
        <f t="shared" si="129"/>
        <v>0</v>
      </c>
      <c r="G98" s="9">
        <f t="shared" si="129"/>
        <v>0</v>
      </c>
      <c r="H98" s="9">
        <f t="shared" si="129"/>
        <v>0</v>
      </c>
      <c r="I98" s="9">
        <f t="shared" si="129"/>
        <v>0</v>
      </c>
      <c r="J98" s="9">
        <f t="shared" si="129"/>
        <v>0</v>
      </c>
      <c r="K98" s="9">
        <f t="shared" si="129"/>
        <v>0</v>
      </c>
      <c r="L98" s="9">
        <f t="shared" si="129"/>
        <v>0</v>
      </c>
      <c r="M98" s="9">
        <f t="shared" si="129"/>
        <v>0</v>
      </c>
      <c r="N98" s="9">
        <f t="shared" si="129"/>
        <v>0</v>
      </c>
      <c r="O98" s="9">
        <f t="shared" si="129"/>
        <v>0</v>
      </c>
      <c r="P98" s="9">
        <f t="shared" si="129"/>
        <v>0</v>
      </c>
      <c r="Q98" s="9">
        <f t="shared" si="129"/>
        <v>0</v>
      </c>
      <c r="R98" s="9">
        <f t="shared" si="129"/>
        <v>0</v>
      </c>
      <c r="S98" s="9">
        <f t="shared" si="129"/>
        <v>0</v>
      </c>
      <c r="T98" s="9">
        <f t="shared" si="129"/>
        <v>0</v>
      </c>
      <c r="U98" s="9">
        <f t="shared" si="129"/>
        <v>0</v>
      </c>
      <c r="V98" s="9">
        <f t="shared" si="129"/>
        <v>0</v>
      </c>
      <c r="W98" s="9">
        <f t="shared" si="129"/>
        <v>0</v>
      </c>
      <c r="X98" s="9">
        <f t="shared" si="129"/>
        <v>0</v>
      </c>
      <c r="Y98" s="9">
        <f t="shared" si="129"/>
        <v>0</v>
      </c>
      <c r="Z98" s="9">
        <f t="shared" si="129"/>
        <v>0</v>
      </c>
      <c r="AA98" s="9">
        <f t="shared" si="129"/>
        <v>0</v>
      </c>
      <c r="AB98" s="9">
        <f t="shared" si="129"/>
        <v>0</v>
      </c>
      <c r="AC98" s="9">
        <f t="shared" si="129"/>
        <v>0</v>
      </c>
      <c r="AD98" s="9">
        <f t="shared" si="129"/>
        <v>0</v>
      </c>
      <c r="AE98" s="9">
        <f t="shared" si="129"/>
        <v>0</v>
      </c>
      <c r="AF98" s="9">
        <f t="shared" si="129"/>
        <v>0</v>
      </c>
      <c r="AG98" s="9">
        <f t="shared" si="129"/>
        <v>0</v>
      </c>
      <c r="AH98" s="9">
        <f t="shared" si="129"/>
        <v>0</v>
      </c>
      <c r="AI98" s="9">
        <f t="shared" si="129"/>
        <v>0</v>
      </c>
      <c r="AJ98" s="9">
        <f t="shared" si="129"/>
        <v>0</v>
      </c>
      <c r="AK98" s="9">
        <f t="shared" si="129"/>
        <v>0</v>
      </c>
      <c r="AL98" s="9">
        <f t="shared" si="129"/>
        <v>0</v>
      </c>
      <c r="AM98" s="9">
        <f t="shared" si="129"/>
        <v>0</v>
      </c>
      <c r="AN98" s="9">
        <f t="shared" si="129"/>
        <v>0</v>
      </c>
      <c r="AO98" s="9">
        <f t="shared" si="129"/>
        <v>0</v>
      </c>
      <c r="AP98" s="9">
        <f t="shared" si="129"/>
        <v>0</v>
      </c>
      <c r="AQ98" s="9">
        <f t="shared" si="129"/>
        <v>0</v>
      </c>
      <c r="AR98" s="9">
        <f t="shared" si="129"/>
        <v>0</v>
      </c>
      <c r="AS98" s="9">
        <f t="shared" si="129"/>
        <v>0</v>
      </c>
      <c r="AT98" s="9">
        <f t="shared" si="129"/>
        <v>0</v>
      </c>
      <c r="AU98" s="9">
        <f t="shared" si="129"/>
        <v>0</v>
      </c>
      <c r="AV98" s="9">
        <f t="shared" si="129"/>
        <v>0</v>
      </c>
      <c r="AW98" s="9">
        <f t="shared" si="129"/>
        <v>0</v>
      </c>
      <c r="AX98" s="9">
        <f t="shared" si="129"/>
        <v>0</v>
      </c>
      <c r="AY98" s="9">
        <f t="shared" si="129"/>
        <v>0</v>
      </c>
      <c r="AZ98" s="9">
        <f t="shared" si="129"/>
        <v>0</v>
      </c>
      <c r="BA98" s="9">
        <f t="shared" si="129"/>
        <v>0</v>
      </c>
      <c r="BB98" s="9">
        <f t="shared" si="129"/>
        <v>0</v>
      </c>
      <c r="BC98" s="9">
        <f t="shared" si="129"/>
        <v>0</v>
      </c>
      <c r="BD98" s="9">
        <f t="shared" si="129"/>
        <v>0</v>
      </c>
      <c r="BE98" s="9">
        <f t="shared" si="129"/>
        <v>0</v>
      </c>
      <c r="BF98" s="9">
        <f t="shared" si="129"/>
        <v>0</v>
      </c>
      <c r="BG98" s="9">
        <f t="shared" si="129"/>
        <v>0</v>
      </c>
      <c r="BH98" s="9">
        <f t="shared" si="129"/>
        <v>0</v>
      </c>
      <c r="BI98" s="9">
        <f t="shared" si="129"/>
        <v>0</v>
      </c>
      <c r="BJ98" s="9">
        <f t="shared" si="129"/>
        <v>0</v>
      </c>
      <c r="BK98" s="9">
        <f t="shared" si="129"/>
        <v>0</v>
      </c>
      <c r="BL98" s="9">
        <f t="shared" si="129"/>
        <v>0</v>
      </c>
      <c r="BM98" s="9">
        <f t="shared" si="129"/>
        <v>0</v>
      </c>
      <c r="BN98" s="9">
        <f t="shared" si="129"/>
        <v>0</v>
      </c>
      <c r="BO98" s="9">
        <f t="shared" si="129"/>
        <v>0</v>
      </c>
      <c r="BP98" s="9">
        <f t="shared" ref="BP98:EA98" si="130">$B94*BP10</f>
        <v>0</v>
      </c>
      <c r="BQ98" s="9">
        <f t="shared" si="130"/>
        <v>0</v>
      </c>
      <c r="BR98" s="9">
        <f t="shared" si="130"/>
        <v>0</v>
      </c>
      <c r="BS98" s="9">
        <f t="shared" si="130"/>
        <v>0</v>
      </c>
      <c r="BT98" s="9">
        <f t="shared" si="130"/>
        <v>0</v>
      </c>
      <c r="BU98" s="9">
        <f t="shared" si="130"/>
        <v>0</v>
      </c>
      <c r="BV98" s="9">
        <f t="shared" si="130"/>
        <v>0</v>
      </c>
      <c r="BW98" s="9">
        <f t="shared" si="130"/>
        <v>0</v>
      </c>
      <c r="BX98" s="9">
        <f t="shared" si="130"/>
        <v>0</v>
      </c>
      <c r="BY98" s="9">
        <f t="shared" si="130"/>
        <v>0</v>
      </c>
      <c r="BZ98" s="9">
        <f t="shared" si="130"/>
        <v>0</v>
      </c>
      <c r="CA98" s="9">
        <f t="shared" si="130"/>
        <v>0</v>
      </c>
      <c r="CB98" s="9">
        <f t="shared" si="130"/>
        <v>0</v>
      </c>
      <c r="CC98" s="9">
        <f t="shared" si="130"/>
        <v>0</v>
      </c>
      <c r="CD98" s="9">
        <f t="shared" si="130"/>
        <v>0</v>
      </c>
      <c r="CE98" s="9">
        <f t="shared" si="130"/>
        <v>0</v>
      </c>
      <c r="CF98" s="9">
        <f t="shared" si="130"/>
        <v>0</v>
      </c>
      <c r="CG98" s="9">
        <f t="shared" si="130"/>
        <v>0</v>
      </c>
      <c r="CH98" s="9">
        <f t="shared" si="130"/>
        <v>0</v>
      </c>
      <c r="CI98" s="9">
        <f t="shared" si="130"/>
        <v>0</v>
      </c>
      <c r="CJ98" s="9">
        <f t="shared" si="130"/>
        <v>0</v>
      </c>
      <c r="CK98" s="9">
        <f t="shared" si="130"/>
        <v>0</v>
      </c>
      <c r="CL98" s="9">
        <f t="shared" si="130"/>
        <v>0</v>
      </c>
      <c r="CM98" s="9">
        <f t="shared" si="130"/>
        <v>0</v>
      </c>
      <c r="CN98" s="9">
        <f t="shared" si="130"/>
        <v>0</v>
      </c>
      <c r="CO98" s="9">
        <f t="shared" si="130"/>
        <v>0</v>
      </c>
      <c r="CP98" s="9">
        <f t="shared" si="130"/>
        <v>0</v>
      </c>
      <c r="CQ98" s="9">
        <f t="shared" si="130"/>
        <v>0</v>
      </c>
      <c r="CR98" s="9">
        <f t="shared" si="130"/>
        <v>0</v>
      </c>
      <c r="CS98" s="9">
        <f t="shared" si="130"/>
        <v>0</v>
      </c>
      <c r="CT98" s="9">
        <f t="shared" si="130"/>
        <v>0</v>
      </c>
      <c r="CU98" s="9">
        <f t="shared" si="130"/>
        <v>0</v>
      </c>
      <c r="CV98" s="9">
        <f t="shared" si="130"/>
        <v>0</v>
      </c>
      <c r="CW98" s="9">
        <f t="shared" si="130"/>
        <v>0</v>
      </c>
      <c r="CX98" s="9">
        <f t="shared" si="130"/>
        <v>0</v>
      </c>
      <c r="CY98" s="9">
        <f t="shared" si="130"/>
        <v>0</v>
      </c>
      <c r="CZ98" s="9">
        <f t="shared" si="130"/>
        <v>0</v>
      </c>
      <c r="DA98" s="9">
        <f t="shared" si="130"/>
        <v>0</v>
      </c>
      <c r="DB98" s="9">
        <f t="shared" si="130"/>
        <v>0</v>
      </c>
      <c r="DC98" s="9">
        <f t="shared" si="130"/>
        <v>0</v>
      </c>
      <c r="DD98" s="9">
        <f t="shared" si="130"/>
        <v>0</v>
      </c>
      <c r="DE98" s="9">
        <f t="shared" si="130"/>
        <v>0</v>
      </c>
      <c r="DF98" s="9">
        <f t="shared" si="130"/>
        <v>0</v>
      </c>
      <c r="DG98" s="9">
        <f t="shared" si="130"/>
        <v>0</v>
      </c>
      <c r="DH98" s="9">
        <f t="shared" si="130"/>
        <v>0</v>
      </c>
      <c r="DI98" s="9">
        <f t="shared" si="130"/>
        <v>0</v>
      </c>
      <c r="DJ98" s="9">
        <f t="shared" si="130"/>
        <v>0</v>
      </c>
      <c r="DK98" s="9">
        <f t="shared" si="130"/>
        <v>0</v>
      </c>
      <c r="DL98" s="9">
        <f t="shared" si="130"/>
        <v>0</v>
      </c>
      <c r="DM98" s="9">
        <f t="shared" si="130"/>
        <v>0</v>
      </c>
      <c r="DN98" s="9">
        <f t="shared" si="130"/>
        <v>0</v>
      </c>
      <c r="DO98" s="9">
        <f t="shared" si="130"/>
        <v>0</v>
      </c>
      <c r="DP98" s="9">
        <f t="shared" si="130"/>
        <v>0</v>
      </c>
      <c r="DQ98" s="9">
        <f t="shared" si="130"/>
        <v>0</v>
      </c>
      <c r="DR98" s="9">
        <f t="shared" si="130"/>
        <v>0</v>
      </c>
      <c r="DS98" s="9">
        <f t="shared" si="130"/>
        <v>0</v>
      </c>
      <c r="DT98" s="9">
        <f t="shared" si="130"/>
        <v>0</v>
      </c>
      <c r="DU98" s="9">
        <f t="shared" si="130"/>
        <v>0</v>
      </c>
      <c r="DV98" s="9">
        <f t="shared" si="130"/>
        <v>0</v>
      </c>
      <c r="DW98" s="9">
        <f t="shared" si="130"/>
        <v>0</v>
      </c>
      <c r="DX98" s="9">
        <f t="shared" si="130"/>
        <v>0</v>
      </c>
      <c r="DY98" s="9">
        <f t="shared" si="130"/>
        <v>0</v>
      </c>
      <c r="DZ98" s="9">
        <f t="shared" si="130"/>
        <v>0</v>
      </c>
      <c r="EA98" s="9">
        <f t="shared" si="130"/>
        <v>0</v>
      </c>
      <c r="EB98" s="9">
        <f t="shared" ref="EB98:GM98" si="131">$B94*EB10</f>
        <v>0</v>
      </c>
      <c r="EC98" s="9">
        <f t="shared" si="131"/>
        <v>0</v>
      </c>
      <c r="ED98" s="9">
        <f t="shared" si="131"/>
        <v>0</v>
      </c>
      <c r="EE98" s="9">
        <f t="shared" si="131"/>
        <v>0</v>
      </c>
      <c r="EF98" s="9">
        <f t="shared" si="131"/>
        <v>0</v>
      </c>
      <c r="EG98" s="9">
        <f t="shared" si="131"/>
        <v>0</v>
      </c>
      <c r="EH98" s="9">
        <f t="shared" si="131"/>
        <v>0</v>
      </c>
      <c r="EI98" s="9">
        <f t="shared" si="131"/>
        <v>0</v>
      </c>
      <c r="EJ98" s="9">
        <f t="shared" si="131"/>
        <v>0</v>
      </c>
      <c r="EK98" s="9">
        <f t="shared" si="131"/>
        <v>0</v>
      </c>
      <c r="EL98" s="9">
        <f t="shared" si="131"/>
        <v>0</v>
      </c>
      <c r="EM98" s="9">
        <f t="shared" si="131"/>
        <v>0</v>
      </c>
      <c r="EN98" s="9">
        <f t="shared" si="131"/>
        <v>0</v>
      </c>
      <c r="EO98" s="9">
        <f t="shared" si="131"/>
        <v>0</v>
      </c>
      <c r="EP98" s="9">
        <f t="shared" si="131"/>
        <v>0</v>
      </c>
      <c r="EQ98" s="9">
        <f t="shared" si="131"/>
        <v>0</v>
      </c>
      <c r="ER98" s="9">
        <f t="shared" si="131"/>
        <v>0</v>
      </c>
      <c r="ES98" s="9">
        <f t="shared" si="131"/>
        <v>0</v>
      </c>
      <c r="ET98" s="9">
        <f t="shared" si="131"/>
        <v>0</v>
      </c>
      <c r="EU98" s="9">
        <f t="shared" si="131"/>
        <v>0</v>
      </c>
      <c r="EV98" s="9">
        <f t="shared" si="131"/>
        <v>0</v>
      </c>
      <c r="EW98" s="9">
        <f t="shared" si="131"/>
        <v>0</v>
      </c>
      <c r="EX98" s="9">
        <f t="shared" si="131"/>
        <v>0</v>
      </c>
      <c r="EY98" s="9">
        <f t="shared" si="131"/>
        <v>0</v>
      </c>
      <c r="EZ98" s="9">
        <f t="shared" si="131"/>
        <v>0</v>
      </c>
      <c r="FA98" s="9">
        <f t="shared" si="131"/>
        <v>0</v>
      </c>
      <c r="FB98" s="9">
        <f t="shared" si="131"/>
        <v>0</v>
      </c>
      <c r="FC98" s="9">
        <f t="shared" si="131"/>
        <v>0</v>
      </c>
      <c r="FD98" s="9">
        <f t="shared" si="131"/>
        <v>0</v>
      </c>
      <c r="FE98" s="9">
        <f t="shared" si="131"/>
        <v>0</v>
      </c>
      <c r="FF98" s="9">
        <f t="shared" si="131"/>
        <v>0</v>
      </c>
      <c r="FG98" s="9">
        <f t="shared" si="131"/>
        <v>0</v>
      </c>
      <c r="FH98" s="9">
        <f t="shared" si="131"/>
        <v>0</v>
      </c>
      <c r="FI98" s="9">
        <f t="shared" si="131"/>
        <v>0</v>
      </c>
      <c r="FJ98" s="9">
        <f t="shared" si="131"/>
        <v>0</v>
      </c>
      <c r="FK98" s="9">
        <f t="shared" si="131"/>
        <v>0</v>
      </c>
      <c r="FL98" s="9">
        <f t="shared" si="131"/>
        <v>0</v>
      </c>
      <c r="FM98" s="9">
        <f t="shared" si="131"/>
        <v>0</v>
      </c>
      <c r="FN98" s="9">
        <f t="shared" si="131"/>
        <v>0</v>
      </c>
      <c r="FO98" s="9">
        <f t="shared" si="131"/>
        <v>0</v>
      </c>
      <c r="FP98" s="9">
        <f t="shared" si="131"/>
        <v>0</v>
      </c>
      <c r="FQ98" s="9">
        <f t="shared" si="131"/>
        <v>0</v>
      </c>
      <c r="FR98" s="9">
        <f t="shared" si="131"/>
        <v>0</v>
      </c>
      <c r="FS98" s="9">
        <f t="shared" si="131"/>
        <v>0</v>
      </c>
      <c r="FT98" s="9">
        <f t="shared" si="131"/>
        <v>0</v>
      </c>
      <c r="FU98" s="9">
        <f t="shared" si="131"/>
        <v>0</v>
      </c>
      <c r="FV98" s="9">
        <f t="shared" si="131"/>
        <v>0</v>
      </c>
      <c r="FW98" s="9">
        <f t="shared" si="131"/>
        <v>0</v>
      </c>
      <c r="FX98" s="9">
        <f t="shared" si="131"/>
        <v>0</v>
      </c>
      <c r="FY98" s="9">
        <f t="shared" si="131"/>
        <v>0</v>
      </c>
      <c r="FZ98" s="9">
        <f t="shared" si="131"/>
        <v>0</v>
      </c>
      <c r="GA98" s="9">
        <f t="shared" si="131"/>
        <v>0</v>
      </c>
      <c r="GB98" s="9">
        <f t="shared" si="131"/>
        <v>0</v>
      </c>
      <c r="GC98" s="9">
        <f t="shared" si="131"/>
        <v>0</v>
      </c>
      <c r="GD98" s="9">
        <f t="shared" si="131"/>
        <v>0</v>
      </c>
      <c r="GE98" s="9">
        <f t="shared" si="131"/>
        <v>0</v>
      </c>
      <c r="GF98" s="9">
        <f t="shared" si="131"/>
        <v>0</v>
      </c>
      <c r="GG98" s="9">
        <f t="shared" si="131"/>
        <v>0</v>
      </c>
      <c r="GH98" s="9">
        <f t="shared" si="131"/>
        <v>0</v>
      </c>
      <c r="GI98" s="9">
        <f t="shared" si="131"/>
        <v>0</v>
      </c>
      <c r="GJ98" s="9">
        <f t="shared" si="131"/>
        <v>0</v>
      </c>
      <c r="GK98" s="9">
        <f t="shared" si="131"/>
        <v>0</v>
      </c>
      <c r="GL98" s="9">
        <f t="shared" si="131"/>
        <v>0</v>
      </c>
      <c r="GM98" s="9">
        <f t="shared" si="131"/>
        <v>0</v>
      </c>
      <c r="GN98" s="9">
        <f t="shared" ref="GN98:IY98" si="132">$B94*GN10</f>
        <v>0</v>
      </c>
      <c r="GO98" s="9">
        <f t="shared" si="132"/>
        <v>0</v>
      </c>
      <c r="GP98" s="9">
        <f t="shared" si="132"/>
        <v>0</v>
      </c>
      <c r="GQ98" s="9">
        <f t="shared" si="132"/>
        <v>0</v>
      </c>
      <c r="GR98" s="9">
        <f t="shared" si="132"/>
        <v>0</v>
      </c>
      <c r="GS98" s="9">
        <f t="shared" si="132"/>
        <v>0</v>
      </c>
      <c r="GT98" s="9">
        <f t="shared" si="132"/>
        <v>0</v>
      </c>
      <c r="GU98" s="9">
        <f t="shared" si="132"/>
        <v>0</v>
      </c>
      <c r="GV98" s="9">
        <f t="shared" si="132"/>
        <v>0</v>
      </c>
      <c r="GW98" s="9">
        <f t="shared" si="132"/>
        <v>0</v>
      </c>
      <c r="GX98" s="9">
        <f t="shared" si="132"/>
        <v>0</v>
      </c>
      <c r="GY98" s="9">
        <f t="shared" si="132"/>
        <v>0</v>
      </c>
      <c r="GZ98" s="9">
        <f t="shared" si="132"/>
        <v>0</v>
      </c>
      <c r="HA98" s="9">
        <f t="shared" si="132"/>
        <v>0</v>
      </c>
      <c r="HB98" s="9">
        <f t="shared" si="132"/>
        <v>0</v>
      </c>
      <c r="HC98" s="9">
        <f t="shared" si="132"/>
        <v>0</v>
      </c>
      <c r="HD98" s="9">
        <f t="shared" si="132"/>
        <v>0</v>
      </c>
      <c r="HE98" s="9">
        <f t="shared" si="132"/>
        <v>0</v>
      </c>
      <c r="HF98" s="9">
        <f t="shared" si="132"/>
        <v>0</v>
      </c>
      <c r="HG98" s="9">
        <f t="shared" si="132"/>
        <v>0</v>
      </c>
      <c r="HH98" s="9">
        <f t="shared" si="132"/>
        <v>0</v>
      </c>
      <c r="HI98" s="9">
        <f t="shared" si="132"/>
        <v>0</v>
      </c>
      <c r="HJ98" s="9">
        <f t="shared" si="132"/>
        <v>0</v>
      </c>
      <c r="HK98" s="9">
        <f t="shared" si="132"/>
        <v>0</v>
      </c>
      <c r="HL98" s="9">
        <f t="shared" si="132"/>
        <v>0</v>
      </c>
      <c r="HM98" s="9">
        <f t="shared" si="132"/>
        <v>0</v>
      </c>
      <c r="HN98" s="9">
        <f t="shared" si="132"/>
        <v>0</v>
      </c>
      <c r="HO98" s="9">
        <f t="shared" si="132"/>
        <v>0</v>
      </c>
      <c r="HP98" s="9">
        <f t="shared" si="132"/>
        <v>0</v>
      </c>
      <c r="HQ98" s="9">
        <f t="shared" si="132"/>
        <v>0</v>
      </c>
      <c r="HR98" s="9">
        <f t="shared" si="132"/>
        <v>0</v>
      </c>
      <c r="HS98" s="9">
        <f t="shared" si="132"/>
        <v>0</v>
      </c>
      <c r="HT98" s="9">
        <f t="shared" si="132"/>
        <v>0</v>
      </c>
      <c r="HU98" s="9">
        <f t="shared" si="132"/>
        <v>0</v>
      </c>
      <c r="HV98" s="9">
        <f t="shared" si="132"/>
        <v>0</v>
      </c>
      <c r="HW98" s="9">
        <f t="shared" si="132"/>
        <v>0</v>
      </c>
      <c r="HX98" s="9">
        <f t="shared" si="132"/>
        <v>0</v>
      </c>
      <c r="HY98" s="9">
        <f t="shared" si="132"/>
        <v>0</v>
      </c>
      <c r="HZ98" s="9">
        <f t="shared" si="132"/>
        <v>0</v>
      </c>
      <c r="IA98" s="9">
        <f t="shared" si="132"/>
        <v>0</v>
      </c>
      <c r="IB98" s="9">
        <f t="shared" si="132"/>
        <v>0</v>
      </c>
      <c r="IC98" s="9">
        <f t="shared" si="132"/>
        <v>0</v>
      </c>
      <c r="ID98" s="9">
        <f t="shared" si="132"/>
        <v>0</v>
      </c>
      <c r="IE98" s="9">
        <f t="shared" si="132"/>
        <v>0</v>
      </c>
      <c r="IF98" s="9">
        <f t="shared" si="132"/>
        <v>0</v>
      </c>
      <c r="IG98" s="9">
        <f t="shared" si="132"/>
        <v>0</v>
      </c>
      <c r="IH98" s="9">
        <f t="shared" si="132"/>
        <v>0</v>
      </c>
      <c r="II98" s="9">
        <f t="shared" si="132"/>
        <v>0</v>
      </c>
      <c r="IJ98" s="9">
        <f t="shared" si="132"/>
        <v>0</v>
      </c>
      <c r="IK98" s="9">
        <f t="shared" si="132"/>
        <v>0</v>
      </c>
      <c r="IL98" s="9">
        <f t="shared" si="132"/>
        <v>0</v>
      </c>
      <c r="IM98" s="9">
        <f t="shared" si="132"/>
        <v>0</v>
      </c>
      <c r="IN98" s="9">
        <f t="shared" si="132"/>
        <v>0</v>
      </c>
      <c r="IO98" s="9">
        <f t="shared" si="132"/>
        <v>0</v>
      </c>
      <c r="IP98" s="9">
        <f t="shared" si="132"/>
        <v>0</v>
      </c>
      <c r="IQ98" s="9">
        <f t="shared" si="132"/>
        <v>0</v>
      </c>
      <c r="IR98" s="9">
        <f t="shared" si="132"/>
        <v>0</v>
      </c>
      <c r="IS98" s="9">
        <f t="shared" si="132"/>
        <v>0</v>
      </c>
      <c r="IT98" s="9">
        <f t="shared" si="132"/>
        <v>0</v>
      </c>
      <c r="IU98" s="9">
        <f t="shared" si="132"/>
        <v>0</v>
      </c>
      <c r="IV98" s="9">
        <f t="shared" si="132"/>
        <v>0</v>
      </c>
      <c r="IW98" s="9">
        <f t="shared" si="132"/>
        <v>0</v>
      </c>
      <c r="IX98" s="9">
        <f t="shared" si="132"/>
        <v>0</v>
      </c>
      <c r="IY98" s="9">
        <f t="shared" si="132"/>
        <v>0</v>
      </c>
      <c r="IZ98" s="9">
        <f t="shared" ref="IZ98:JU98" si="133">$B94*IZ10</f>
        <v>0</v>
      </c>
      <c r="JA98" s="9">
        <f t="shared" si="133"/>
        <v>0</v>
      </c>
      <c r="JB98" s="9">
        <f t="shared" si="133"/>
        <v>0</v>
      </c>
      <c r="JC98" s="9">
        <f t="shared" si="133"/>
        <v>0</v>
      </c>
      <c r="JD98" s="9">
        <f t="shared" si="133"/>
        <v>0</v>
      </c>
      <c r="JE98" s="9">
        <f t="shared" si="133"/>
        <v>0</v>
      </c>
      <c r="JF98" s="9">
        <f t="shared" si="133"/>
        <v>0</v>
      </c>
      <c r="JG98" s="9">
        <f t="shared" si="133"/>
        <v>0</v>
      </c>
      <c r="JH98" s="9">
        <f t="shared" si="133"/>
        <v>0</v>
      </c>
      <c r="JI98" s="9">
        <f t="shared" si="133"/>
        <v>0</v>
      </c>
      <c r="JJ98" s="9">
        <f t="shared" si="133"/>
        <v>0</v>
      </c>
      <c r="JK98" s="9">
        <f t="shared" si="133"/>
        <v>0</v>
      </c>
      <c r="JL98" s="9">
        <f t="shared" si="133"/>
        <v>0</v>
      </c>
      <c r="JM98" s="9">
        <f t="shared" si="133"/>
        <v>0</v>
      </c>
      <c r="JN98" s="9">
        <f t="shared" si="133"/>
        <v>0</v>
      </c>
      <c r="JO98" s="9">
        <f t="shared" si="133"/>
        <v>0</v>
      </c>
      <c r="JP98" s="9">
        <f t="shared" si="133"/>
        <v>0</v>
      </c>
      <c r="JQ98" s="9">
        <f t="shared" si="133"/>
        <v>0</v>
      </c>
      <c r="JR98" s="9">
        <f t="shared" si="133"/>
        <v>0</v>
      </c>
      <c r="JS98" s="9">
        <f t="shared" si="133"/>
        <v>0</v>
      </c>
      <c r="JT98" s="9">
        <f t="shared" si="133"/>
        <v>0</v>
      </c>
      <c r="JU98" s="9">
        <f t="shared" si="133"/>
        <v>0</v>
      </c>
    </row>
    <row r="99" spans="1:281">
      <c r="A99" t="s">
        <v>251</v>
      </c>
      <c r="D99" s="9">
        <f>D96+D97-D98</f>
        <v>0</v>
      </c>
      <c r="E99" s="9">
        <f t="shared" ref="E99:J99" si="134">E96+E97-E98</f>
        <v>0</v>
      </c>
      <c r="F99" s="9">
        <f t="shared" si="134"/>
        <v>0</v>
      </c>
      <c r="G99" s="9">
        <f t="shared" si="134"/>
        <v>0</v>
      </c>
      <c r="H99" s="9">
        <f t="shared" si="134"/>
        <v>0</v>
      </c>
      <c r="I99" s="9">
        <f t="shared" si="134"/>
        <v>0</v>
      </c>
      <c r="J99" s="9">
        <f t="shared" si="134"/>
        <v>0</v>
      </c>
      <c r="K99" s="9">
        <f t="shared" ref="K99:BV99" si="135">K96+K97-K98</f>
        <v>0</v>
      </c>
      <c r="L99" s="9">
        <f t="shared" si="135"/>
        <v>0</v>
      </c>
      <c r="M99" s="9">
        <f t="shared" si="135"/>
        <v>0</v>
      </c>
      <c r="N99" s="9">
        <f t="shared" si="135"/>
        <v>0</v>
      </c>
      <c r="O99" s="9">
        <f t="shared" si="135"/>
        <v>0</v>
      </c>
      <c r="P99" s="9">
        <f t="shared" si="135"/>
        <v>0</v>
      </c>
      <c r="Q99" s="9">
        <f t="shared" si="135"/>
        <v>0</v>
      </c>
      <c r="R99" s="9">
        <f t="shared" si="135"/>
        <v>0</v>
      </c>
      <c r="S99" s="9">
        <f t="shared" si="135"/>
        <v>0</v>
      </c>
      <c r="T99" s="9">
        <f t="shared" si="135"/>
        <v>0</v>
      </c>
      <c r="U99" s="9">
        <f t="shared" si="135"/>
        <v>0</v>
      </c>
      <c r="V99" s="9">
        <f t="shared" si="135"/>
        <v>0</v>
      </c>
      <c r="W99" s="9">
        <f t="shared" si="135"/>
        <v>0</v>
      </c>
      <c r="X99" s="9">
        <f t="shared" si="135"/>
        <v>0</v>
      </c>
      <c r="Y99" s="9">
        <f t="shared" si="135"/>
        <v>0</v>
      </c>
      <c r="Z99" s="9">
        <f t="shared" si="135"/>
        <v>0</v>
      </c>
      <c r="AA99" s="9">
        <f t="shared" si="135"/>
        <v>0</v>
      </c>
      <c r="AB99" s="9">
        <f t="shared" si="135"/>
        <v>0</v>
      </c>
      <c r="AC99" s="9">
        <f t="shared" si="135"/>
        <v>0</v>
      </c>
      <c r="AD99" s="9">
        <f t="shared" si="135"/>
        <v>0</v>
      </c>
      <c r="AE99" s="9">
        <f t="shared" si="135"/>
        <v>0</v>
      </c>
      <c r="AF99" s="9">
        <f t="shared" si="135"/>
        <v>0</v>
      </c>
      <c r="AG99" s="9">
        <f t="shared" si="135"/>
        <v>0</v>
      </c>
      <c r="AH99" s="9">
        <f t="shared" si="135"/>
        <v>0</v>
      </c>
      <c r="AI99" s="9">
        <f t="shared" si="135"/>
        <v>0</v>
      </c>
      <c r="AJ99" s="9">
        <f t="shared" si="135"/>
        <v>0</v>
      </c>
      <c r="AK99" s="9">
        <f t="shared" si="135"/>
        <v>0</v>
      </c>
      <c r="AL99" s="9">
        <f t="shared" si="135"/>
        <v>0</v>
      </c>
      <c r="AM99" s="9">
        <f t="shared" si="135"/>
        <v>0</v>
      </c>
      <c r="AN99" s="9">
        <f t="shared" si="135"/>
        <v>0</v>
      </c>
      <c r="AO99" s="9">
        <f t="shared" si="135"/>
        <v>0</v>
      </c>
      <c r="AP99" s="9">
        <f t="shared" si="135"/>
        <v>0</v>
      </c>
      <c r="AQ99" s="9">
        <f t="shared" si="135"/>
        <v>0</v>
      </c>
      <c r="AR99" s="9">
        <f t="shared" si="135"/>
        <v>0</v>
      </c>
      <c r="AS99" s="9">
        <f t="shared" si="135"/>
        <v>0</v>
      </c>
      <c r="AT99" s="9">
        <f t="shared" si="135"/>
        <v>0</v>
      </c>
      <c r="AU99" s="9">
        <f t="shared" si="135"/>
        <v>0</v>
      </c>
      <c r="AV99" s="9">
        <f t="shared" si="135"/>
        <v>0</v>
      </c>
      <c r="AW99" s="9">
        <f t="shared" si="135"/>
        <v>0</v>
      </c>
      <c r="AX99" s="9">
        <f t="shared" si="135"/>
        <v>0</v>
      </c>
      <c r="AY99" s="9">
        <f t="shared" si="135"/>
        <v>0</v>
      </c>
      <c r="AZ99" s="9">
        <f t="shared" si="135"/>
        <v>0</v>
      </c>
      <c r="BA99" s="9">
        <f t="shared" si="135"/>
        <v>0</v>
      </c>
      <c r="BB99" s="9">
        <f t="shared" si="135"/>
        <v>0</v>
      </c>
      <c r="BC99" s="9">
        <f t="shared" si="135"/>
        <v>0</v>
      </c>
      <c r="BD99" s="9">
        <f t="shared" si="135"/>
        <v>0</v>
      </c>
      <c r="BE99" s="9">
        <f t="shared" si="135"/>
        <v>0</v>
      </c>
      <c r="BF99" s="9">
        <f t="shared" si="135"/>
        <v>0</v>
      </c>
      <c r="BG99" s="9">
        <f t="shared" si="135"/>
        <v>0</v>
      </c>
      <c r="BH99" s="9">
        <f t="shared" si="135"/>
        <v>0</v>
      </c>
      <c r="BI99" s="9">
        <f t="shared" si="135"/>
        <v>0</v>
      </c>
      <c r="BJ99" s="9">
        <f t="shared" si="135"/>
        <v>0</v>
      </c>
      <c r="BK99" s="9">
        <f t="shared" si="135"/>
        <v>0</v>
      </c>
      <c r="BL99" s="9">
        <f t="shared" si="135"/>
        <v>0</v>
      </c>
      <c r="BM99" s="9">
        <f t="shared" si="135"/>
        <v>0</v>
      </c>
      <c r="BN99" s="9">
        <f t="shared" si="135"/>
        <v>0</v>
      </c>
      <c r="BO99" s="9">
        <f t="shared" si="135"/>
        <v>0</v>
      </c>
      <c r="BP99" s="9">
        <f t="shared" si="135"/>
        <v>0</v>
      </c>
      <c r="BQ99" s="9">
        <f t="shared" si="135"/>
        <v>0</v>
      </c>
      <c r="BR99" s="9">
        <f t="shared" si="135"/>
        <v>0</v>
      </c>
      <c r="BS99" s="9">
        <f t="shared" si="135"/>
        <v>0</v>
      </c>
      <c r="BT99" s="9">
        <f t="shared" si="135"/>
        <v>0</v>
      </c>
      <c r="BU99" s="9">
        <f t="shared" si="135"/>
        <v>0</v>
      </c>
      <c r="BV99" s="9">
        <f t="shared" si="135"/>
        <v>0</v>
      </c>
      <c r="BW99" s="9">
        <f t="shared" ref="BW99:EH99" si="136">BW96+BW97-BW98</f>
        <v>0</v>
      </c>
      <c r="BX99" s="9">
        <f t="shared" si="136"/>
        <v>0</v>
      </c>
      <c r="BY99" s="9">
        <f t="shared" si="136"/>
        <v>0</v>
      </c>
      <c r="BZ99" s="9">
        <f t="shared" si="136"/>
        <v>0</v>
      </c>
      <c r="CA99" s="9">
        <f t="shared" si="136"/>
        <v>0</v>
      </c>
      <c r="CB99" s="9">
        <f t="shared" si="136"/>
        <v>0</v>
      </c>
      <c r="CC99" s="9">
        <f t="shared" si="136"/>
        <v>0</v>
      </c>
      <c r="CD99" s="9">
        <f t="shared" si="136"/>
        <v>0</v>
      </c>
      <c r="CE99" s="9">
        <f t="shared" si="136"/>
        <v>0</v>
      </c>
      <c r="CF99" s="9">
        <f t="shared" si="136"/>
        <v>0</v>
      </c>
      <c r="CG99" s="9">
        <f t="shared" si="136"/>
        <v>0</v>
      </c>
      <c r="CH99" s="9">
        <f t="shared" si="136"/>
        <v>0</v>
      </c>
      <c r="CI99" s="9">
        <f t="shared" si="136"/>
        <v>0</v>
      </c>
      <c r="CJ99" s="9">
        <f t="shared" si="136"/>
        <v>0</v>
      </c>
      <c r="CK99" s="9">
        <f t="shared" si="136"/>
        <v>0</v>
      </c>
      <c r="CL99" s="9">
        <f t="shared" si="136"/>
        <v>0</v>
      </c>
      <c r="CM99" s="9">
        <f t="shared" si="136"/>
        <v>0</v>
      </c>
      <c r="CN99" s="9">
        <f t="shared" si="136"/>
        <v>0</v>
      </c>
      <c r="CO99" s="9">
        <f t="shared" si="136"/>
        <v>0</v>
      </c>
      <c r="CP99" s="9">
        <f t="shared" si="136"/>
        <v>0</v>
      </c>
      <c r="CQ99" s="9">
        <f t="shared" si="136"/>
        <v>0</v>
      </c>
      <c r="CR99" s="9">
        <f t="shared" si="136"/>
        <v>0</v>
      </c>
      <c r="CS99" s="9">
        <f t="shared" si="136"/>
        <v>0</v>
      </c>
      <c r="CT99" s="9">
        <f t="shared" si="136"/>
        <v>0</v>
      </c>
      <c r="CU99" s="9">
        <f t="shared" si="136"/>
        <v>0</v>
      </c>
      <c r="CV99" s="9">
        <f t="shared" si="136"/>
        <v>0</v>
      </c>
      <c r="CW99" s="9">
        <f t="shared" si="136"/>
        <v>0</v>
      </c>
      <c r="CX99" s="9">
        <f t="shared" si="136"/>
        <v>0</v>
      </c>
      <c r="CY99" s="9">
        <f t="shared" si="136"/>
        <v>0</v>
      </c>
      <c r="CZ99" s="9">
        <f t="shared" si="136"/>
        <v>0</v>
      </c>
      <c r="DA99" s="9">
        <f t="shared" si="136"/>
        <v>0</v>
      </c>
      <c r="DB99" s="9">
        <f t="shared" si="136"/>
        <v>0</v>
      </c>
      <c r="DC99" s="9">
        <f t="shared" si="136"/>
        <v>0</v>
      </c>
      <c r="DD99" s="9">
        <f t="shared" si="136"/>
        <v>0</v>
      </c>
      <c r="DE99" s="9">
        <f t="shared" si="136"/>
        <v>0</v>
      </c>
      <c r="DF99" s="9">
        <f t="shared" si="136"/>
        <v>0</v>
      </c>
      <c r="DG99" s="9">
        <f t="shared" si="136"/>
        <v>0</v>
      </c>
      <c r="DH99" s="9">
        <f t="shared" si="136"/>
        <v>0</v>
      </c>
      <c r="DI99" s="9">
        <f t="shared" si="136"/>
        <v>0</v>
      </c>
      <c r="DJ99" s="9">
        <f t="shared" si="136"/>
        <v>0</v>
      </c>
      <c r="DK99" s="9">
        <f t="shared" si="136"/>
        <v>0</v>
      </c>
      <c r="DL99" s="9">
        <f t="shared" si="136"/>
        <v>0</v>
      </c>
      <c r="DM99" s="9">
        <f t="shared" si="136"/>
        <v>0</v>
      </c>
      <c r="DN99" s="9">
        <f t="shared" si="136"/>
        <v>0</v>
      </c>
      <c r="DO99" s="9">
        <f t="shared" si="136"/>
        <v>0</v>
      </c>
      <c r="DP99" s="9">
        <f t="shared" si="136"/>
        <v>0</v>
      </c>
      <c r="DQ99" s="9">
        <f t="shared" si="136"/>
        <v>0</v>
      </c>
      <c r="DR99" s="9">
        <f t="shared" si="136"/>
        <v>0</v>
      </c>
      <c r="DS99" s="9">
        <f t="shared" si="136"/>
        <v>0</v>
      </c>
      <c r="DT99" s="9">
        <f t="shared" si="136"/>
        <v>0</v>
      </c>
      <c r="DU99" s="9">
        <f t="shared" si="136"/>
        <v>0</v>
      </c>
      <c r="DV99" s="9">
        <f t="shared" si="136"/>
        <v>0</v>
      </c>
      <c r="DW99" s="9">
        <f t="shared" si="136"/>
        <v>0</v>
      </c>
      <c r="DX99" s="9">
        <f t="shared" si="136"/>
        <v>0</v>
      </c>
      <c r="DY99" s="9">
        <f t="shared" si="136"/>
        <v>0</v>
      </c>
      <c r="DZ99" s="9">
        <f t="shared" si="136"/>
        <v>0</v>
      </c>
      <c r="EA99" s="9">
        <f t="shared" si="136"/>
        <v>0</v>
      </c>
      <c r="EB99" s="9">
        <f t="shared" si="136"/>
        <v>0</v>
      </c>
      <c r="EC99" s="9">
        <f t="shared" si="136"/>
        <v>0</v>
      </c>
      <c r="ED99" s="9">
        <f t="shared" si="136"/>
        <v>0</v>
      </c>
      <c r="EE99" s="9">
        <f t="shared" si="136"/>
        <v>0</v>
      </c>
      <c r="EF99" s="9">
        <f t="shared" si="136"/>
        <v>0</v>
      </c>
      <c r="EG99" s="9">
        <f t="shared" si="136"/>
        <v>0</v>
      </c>
      <c r="EH99" s="9">
        <f t="shared" si="136"/>
        <v>0</v>
      </c>
      <c r="EI99" s="9">
        <f t="shared" ref="EI99:GT99" si="137">EI96+EI97-EI98</f>
        <v>0</v>
      </c>
      <c r="EJ99" s="9">
        <f t="shared" si="137"/>
        <v>0</v>
      </c>
      <c r="EK99" s="9">
        <f t="shared" si="137"/>
        <v>0</v>
      </c>
      <c r="EL99" s="9">
        <f t="shared" si="137"/>
        <v>0</v>
      </c>
      <c r="EM99" s="9">
        <f t="shared" si="137"/>
        <v>0</v>
      </c>
      <c r="EN99" s="9">
        <f t="shared" si="137"/>
        <v>0</v>
      </c>
      <c r="EO99" s="9">
        <f t="shared" si="137"/>
        <v>0</v>
      </c>
      <c r="EP99" s="9">
        <f t="shared" si="137"/>
        <v>0</v>
      </c>
      <c r="EQ99" s="9">
        <f t="shared" si="137"/>
        <v>0</v>
      </c>
      <c r="ER99" s="9">
        <f t="shared" si="137"/>
        <v>0</v>
      </c>
      <c r="ES99" s="9">
        <f t="shared" si="137"/>
        <v>0</v>
      </c>
      <c r="ET99" s="9">
        <f t="shared" si="137"/>
        <v>0</v>
      </c>
      <c r="EU99" s="9">
        <f t="shared" si="137"/>
        <v>0</v>
      </c>
      <c r="EV99" s="9">
        <f t="shared" si="137"/>
        <v>0</v>
      </c>
      <c r="EW99" s="9">
        <f t="shared" si="137"/>
        <v>0</v>
      </c>
      <c r="EX99" s="9">
        <f t="shared" si="137"/>
        <v>0</v>
      </c>
      <c r="EY99" s="9">
        <f t="shared" si="137"/>
        <v>0</v>
      </c>
      <c r="EZ99" s="9">
        <f t="shared" si="137"/>
        <v>0</v>
      </c>
      <c r="FA99" s="9">
        <f t="shared" si="137"/>
        <v>0</v>
      </c>
      <c r="FB99" s="9">
        <f t="shared" si="137"/>
        <v>0</v>
      </c>
      <c r="FC99" s="9">
        <f t="shared" si="137"/>
        <v>0</v>
      </c>
      <c r="FD99" s="9">
        <f t="shared" si="137"/>
        <v>0</v>
      </c>
      <c r="FE99" s="9">
        <f t="shared" si="137"/>
        <v>0</v>
      </c>
      <c r="FF99" s="9">
        <f t="shared" si="137"/>
        <v>0</v>
      </c>
      <c r="FG99" s="9">
        <f t="shared" si="137"/>
        <v>0</v>
      </c>
      <c r="FH99" s="9">
        <f t="shared" si="137"/>
        <v>0</v>
      </c>
      <c r="FI99" s="9">
        <f t="shared" si="137"/>
        <v>0</v>
      </c>
      <c r="FJ99" s="9">
        <f t="shared" si="137"/>
        <v>0</v>
      </c>
      <c r="FK99" s="9">
        <f t="shared" si="137"/>
        <v>0</v>
      </c>
      <c r="FL99" s="9">
        <f t="shared" si="137"/>
        <v>0</v>
      </c>
      <c r="FM99" s="9">
        <f t="shared" si="137"/>
        <v>0</v>
      </c>
      <c r="FN99" s="9">
        <f t="shared" si="137"/>
        <v>0</v>
      </c>
      <c r="FO99" s="9">
        <f t="shared" si="137"/>
        <v>0</v>
      </c>
      <c r="FP99" s="9">
        <f t="shared" si="137"/>
        <v>0</v>
      </c>
      <c r="FQ99" s="9">
        <f t="shared" si="137"/>
        <v>0</v>
      </c>
      <c r="FR99" s="9">
        <f t="shared" si="137"/>
        <v>0</v>
      </c>
      <c r="FS99" s="9">
        <f t="shared" si="137"/>
        <v>0</v>
      </c>
      <c r="FT99" s="9">
        <f t="shared" si="137"/>
        <v>0</v>
      </c>
      <c r="FU99" s="9">
        <f t="shared" si="137"/>
        <v>0</v>
      </c>
      <c r="FV99" s="9">
        <f t="shared" si="137"/>
        <v>0</v>
      </c>
      <c r="FW99" s="9">
        <f t="shared" si="137"/>
        <v>0</v>
      </c>
      <c r="FX99" s="9">
        <f t="shared" si="137"/>
        <v>0</v>
      </c>
      <c r="FY99" s="9">
        <f t="shared" si="137"/>
        <v>0</v>
      </c>
      <c r="FZ99" s="9">
        <f t="shared" si="137"/>
        <v>0</v>
      </c>
      <c r="GA99" s="9">
        <f t="shared" si="137"/>
        <v>0</v>
      </c>
      <c r="GB99" s="9">
        <f t="shared" si="137"/>
        <v>0</v>
      </c>
      <c r="GC99" s="9">
        <f t="shared" si="137"/>
        <v>0</v>
      </c>
      <c r="GD99" s="9">
        <f t="shared" si="137"/>
        <v>0</v>
      </c>
      <c r="GE99" s="9">
        <f t="shared" si="137"/>
        <v>0</v>
      </c>
      <c r="GF99" s="9">
        <f t="shared" si="137"/>
        <v>0</v>
      </c>
      <c r="GG99" s="9">
        <f t="shared" si="137"/>
        <v>0</v>
      </c>
      <c r="GH99" s="9">
        <f t="shared" si="137"/>
        <v>0</v>
      </c>
      <c r="GI99" s="9">
        <f t="shared" si="137"/>
        <v>0</v>
      </c>
      <c r="GJ99" s="9">
        <f t="shared" si="137"/>
        <v>0</v>
      </c>
      <c r="GK99" s="9">
        <f t="shared" si="137"/>
        <v>0</v>
      </c>
      <c r="GL99" s="9">
        <f t="shared" si="137"/>
        <v>0</v>
      </c>
      <c r="GM99" s="9">
        <f t="shared" si="137"/>
        <v>0</v>
      </c>
      <c r="GN99" s="9">
        <f t="shared" si="137"/>
        <v>0</v>
      </c>
      <c r="GO99" s="9">
        <f t="shared" si="137"/>
        <v>0</v>
      </c>
      <c r="GP99" s="9">
        <f t="shared" si="137"/>
        <v>0</v>
      </c>
      <c r="GQ99" s="9">
        <f t="shared" si="137"/>
        <v>0</v>
      </c>
      <c r="GR99" s="9">
        <f t="shared" si="137"/>
        <v>0</v>
      </c>
      <c r="GS99" s="9">
        <f t="shared" si="137"/>
        <v>0</v>
      </c>
      <c r="GT99" s="9">
        <f t="shared" si="137"/>
        <v>0</v>
      </c>
      <c r="GU99" s="9">
        <f t="shared" ref="GU99:JF99" si="138">GU96+GU97-GU98</f>
        <v>0</v>
      </c>
      <c r="GV99" s="9">
        <f t="shared" si="138"/>
        <v>0</v>
      </c>
      <c r="GW99" s="9">
        <f t="shared" si="138"/>
        <v>0</v>
      </c>
      <c r="GX99" s="9">
        <f t="shared" si="138"/>
        <v>0</v>
      </c>
      <c r="GY99" s="9">
        <f t="shared" si="138"/>
        <v>0</v>
      </c>
      <c r="GZ99" s="9">
        <f t="shared" si="138"/>
        <v>0</v>
      </c>
      <c r="HA99" s="9">
        <f t="shared" si="138"/>
        <v>0</v>
      </c>
      <c r="HB99" s="9">
        <f t="shared" si="138"/>
        <v>0</v>
      </c>
      <c r="HC99" s="9">
        <f t="shared" si="138"/>
        <v>0</v>
      </c>
      <c r="HD99" s="9">
        <f t="shared" si="138"/>
        <v>0</v>
      </c>
      <c r="HE99" s="9">
        <f t="shared" si="138"/>
        <v>0</v>
      </c>
      <c r="HF99" s="9">
        <f t="shared" si="138"/>
        <v>0</v>
      </c>
      <c r="HG99" s="9">
        <f t="shared" si="138"/>
        <v>0</v>
      </c>
      <c r="HH99" s="9">
        <f t="shared" si="138"/>
        <v>0</v>
      </c>
      <c r="HI99" s="9">
        <f t="shared" si="138"/>
        <v>0</v>
      </c>
      <c r="HJ99" s="9">
        <f t="shared" si="138"/>
        <v>0</v>
      </c>
      <c r="HK99" s="9">
        <f t="shared" si="138"/>
        <v>0</v>
      </c>
      <c r="HL99" s="9">
        <f t="shared" si="138"/>
        <v>0</v>
      </c>
      <c r="HM99" s="9">
        <f t="shared" si="138"/>
        <v>0</v>
      </c>
      <c r="HN99" s="9">
        <f t="shared" si="138"/>
        <v>0</v>
      </c>
      <c r="HO99" s="9">
        <f t="shared" si="138"/>
        <v>0</v>
      </c>
      <c r="HP99" s="9">
        <f t="shared" si="138"/>
        <v>0</v>
      </c>
      <c r="HQ99" s="9">
        <f t="shared" si="138"/>
        <v>0</v>
      </c>
      <c r="HR99" s="9">
        <f t="shared" si="138"/>
        <v>0</v>
      </c>
      <c r="HS99" s="9">
        <f t="shared" si="138"/>
        <v>0</v>
      </c>
      <c r="HT99" s="9">
        <f t="shared" si="138"/>
        <v>0</v>
      </c>
      <c r="HU99" s="9">
        <f t="shared" si="138"/>
        <v>0</v>
      </c>
      <c r="HV99" s="9">
        <f t="shared" si="138"/>
        <v>0</v>
      </c>
      <c r="HW99" s="9">
        <f t="shared" si="138"/>
        <v>0</v>
      </c>
      <c r="HX99" s="9">
        <f t="shared" si="138"/>
        <v>0</v>
      </c>
      <c r="HY99" s="9">
        <f t="shared" si="138"/>
        <v>0</v>
      </c>
      <c r="HZ99" s="9">
        <f t="shared" si="138"/>
        <v>0</v>
      </c>
      <c r="IA99" s="9">
        <f t="shared" si="138"/>
        <v>0</v>
      </c>
      <c r="IB99" s="9">
        <f t="shared" si="138"/>
        <v>0</v>
      </c>
      <c r="IC99" s="9">
        <f t="shared" si="138"/>
        <v>0</v>
      </c>
      <c r="ID99" s="9">
        <f t="shared" si="138"/>
        <v>0</v>
      </c>
      <c r="IE99" s="9">
        <f t="shared" si="138"/>
        <v>0</v>
      </c>
      <c r="IF99" s="9">
        <f t="shared" si="138"/>
        <v>0</v>
      </c>
      <c r="IG99" s="9">
        <f t="shared" si="138"/>
        <v>0</v>
      </c>
      <c r="IH99" s="9">
        <f t="shared" si="138"/>
        <v>0</v>
      </c>
      <c r="II99" s="9">
        <f t="shared" si="138"/>
        <v>0</v>
      </c>
      <c r="IJ99" s="9">
        <f t="shared" si="138"/>
        <v>0</v>
      </c>
      <c r="IK99" s="9">
        <f t="shared" si="138"/>
        <v>0</v>
      </c>
      <c r="IL99" s="9">
        <f t="shared" si="138"/>
        <v>0</v>
      </c>
      <c r="IM99" s="9">
        <f t="shared" si="138"/>
        <v>0</v>
      </c>
      <c r="IN99" s="9">
        <f t="shared" si="138"/>
        <v>0</v>
      </c>
      <c r="IO99" s="9">
        <f t="shared" si="138"/>
        <v>0</v>
      </c>
      <c r="IP99" s="9">
        <f t="shared" si="138"/>
        <v>0</v>
      </c>
      <c r="IQ99" s="9">
        <f t="shared" si="138"/>
        <v>0</v>
      </c>
      <c r="IR99" s="9">
        <f t="shared" si="138"/>
        <v>0</v>
      </c>
      <c r="IS99" s="9">
        <f t="shared" si="138"/>
        <v>0</v>
      </c>
      <c r="IT99" s="9">
        <f t="shared" si="138"/>
        <v>0</v>
      </c>
      <c r="IU99" s="9">
        <f t="shared" si="138"/>
        <v>0</v>
      </c>
      <c r="IV99" s="9">
        <f t="shared" si="138"/>
        <v>0</v>
      </c>
      <c r="IW99" s="9">
        <f t="shared" si="138"/>
        <v>0</v>
      </c>
      <c r="IX99" s="9">
        <f t="shared" si="138"/>
        <v>0</v>
      </c>
      <c r="IY99" s="9">
        <f t="shared" si="138"/>
        <v>0</v>
      </c>
      <c r="IZ99" s="9">
        <f t="shared" si="138"/>
        <v>0</v>
      </c>
      <c r="JA99" s="9">
        <f t="shared" si="138"/>
        <v>0</v>
      </c>
      <c r="JB99" s="9">
        <f t="shared" si="138"/>
        <v>0</v>
      </c>
      <c r="JC99" s="9">
        <f t="shared" si="138"/>
        <v>0</v>
      </c>
      <c r="JD99" s="9">
        <f t="shared" si="138"/>
        <v>0</v>
      </c>
      <c r="JE99" s="9">
        <f t="shared" si="138"/>
        <v>0</v>
      </c>
      <c r="JF99" s="9">
        <f t="shared" si="138"/>
        <v>0</v>
      </c>
      <c r="JG99" s="9">
        <f t="shared" ref="JG99:JU99" si="139">JG96+JG97-JG98</f>
        <v>0</v>
      </c>
      <c r="JH99" s="9">
        <f t="shared" si="139"/>
        <v>0</v>
      </c>
      <c r="JI99" s="9">
        <f t="shared" si="139"/>
        <v>0</v>
      </c>
      <c r="JJ99" s="9">
        <f t="shared" si="139"/>
        <v>0</v>
      </c>
      <c r="JK99" s="9">
        <f t="shared" si="139"/>
        <v>0</v>
      </c>
      <c r="JL99" s="9">
        <f t="shared" si="139"/>
        <v>0</v>
      </c>
      <c r="JM99" s="9">
        <f t="shared" si="139"/>
        <v>0</v>
      </c>
      <c r="JN99" s="9">
        <f t="shared" si="139"/>
        <v>0</v>
      </c>
      <c r="JO99" s="9">
        <f t="shared" si="139"/>
        <v>0</v>
      </c>
      <c r="JP99" s="9">
        <f t="shared" si="139"/>
        <v>0</v>
      </c>
      <c r="JQ99" s="9">
        <f t="shared" si="139"/>
        <v>0</v>
      </c>
      <c r="JR99" s="9">
        <f t="shared" si="139"/>
        <v>0</v>
      </c>
      <c r="JS99" s="9">
        <f t="shared" si="139"/>
        <v>0</v>
      </c>
      <c r="JT99" s="9">
        <f t="shared" si="139"/>
        <v>0</v>
      </c>
      <c r="JU99" s="9">
        <f t="shared" si="139"/>
        <v>0</v>
      </c>
    </row>
    <row r="100" spans="1:281">
      <c r="A100" t="s">
        <v>252</v>
      </c>
      <c r="B100" s="79">
        <f>Assum!B139</f>
        <v>0</v>
      </c>
      <c r="C100" s="79"/>
      <c r="D100" s="13">
        <f>(D96+D97)*$B100</f>
        <v>0</v>
      </c>
      <c r="E100" s="13">
        <f t="shared" ref="E100:J100" si="140">(E96+E97)*$B100</f>
        <v>0</v>
      </c>
      <c r="F100" s="13">
        <f t="shared" si="140"/>
        <v>0</v>
      </c>
      <c r="G100" s="13">
        <f t="shared" si="140"/>
        <v>0</v>
      </c>
      <c r="H100" s="13">
        <f t="shared" si="140"/>
        <v>0</v>
      </c>
      <c r="I100" s="13">
        <f t="shared" si="140"/>
        <v>0</v>
      </c>
      <c r="J100" s="13">
        <f t="shared" si="140"/>
        <v>0</v>
      </c>
      <c r="K100" s="13">
        <f t="shared" ref="K100:BV100" si="141">(K96+K97)*$B100</f>
        <v>0</v>
      </c>
      <c r="L100" s="13">
        <f t="shared" si="141"/>
        <v>0</v>
      </c>
      <c r="M100" s="13">
        <f t="shared" si="141"/>
        <v>0</v>
      </c>
      <c r="N100" s="13">
        <f t="shared" si="141"/>
        <v>0</v>
      </c>
      <c r="O100" s="13">
        <f t="shared" si="141"/>
        <v>0</v>
      </c>
      <c r="P100" s="13">
        <f t="shared" si="141"/>
        <v>0</v>
      </c>
      <c r="Q100" s="13">
        <f t="shared" si="141"/>
        <v>0</v>
      </c>
      <c r="R100" s="13">
        <f t="shared" si="141"/>
        <v>0</v>
      </c>
      <c r="S100" s="13">
        <f t="shared" si="141"/>
        <v>0</v>
      </c>
      <c r="T100" s="13">
        <f t="shared" si="141"/>
        <v>0</v>
      </c>
      <c r="U100" s="13">
        <f t="shared" si="141"/>
        <v>0</v>
      </c>
      <c r="V100" s="13">
        <f t="shared" si="141"/>
        <v>0</v>
      </c>
      <c r="W100" s="13">
        <f t="shared" si="141"/>
        <v>0</v>
      </c>
      <c r="X100" s="13">
        <f t="shared" si="141"/>
        <v>0</v>
      </c>
      <c r="Y100" s="13">
        <f t="shared" si="141"/>
        <v>0</v>
      </c>
      <c r="Z100" s="13">
        <f t="shared" si="141"/>
        <v>0</v>
      </c>
      <c r="AA100" s="13">
        <f t="shared" si="141"/>
        <v>0</v>
      </c>
      <c r="AB100" s="13">
        <f t="shared" si="141"/>
        <v>0</v>
      </c>
      <c r="AC100" s="13">
        <f t="shared" si="141"/>
        <v>0</v>
      </c>
      <c r="AD100" s="13">
        <f t="shared" si="141"/>
        <v>0</v>
      </c>
      <c r="AE100" s="13">
        <f t="shared" si="141"/>
        <v>0</v>
      </c>
      <c r="AF100" s="13">
        <f t="shared" si="141"/>
        <v>0</v>
      </c>
      <c r="AG100" s="13">
        <f t="shared" si="141"/>
        <v>0</v>
      </c>
      <c r="AH100" s="13">
        <f t="shared" si="141"/>
        <v>0</v>
      </c>
      <c r="AI100" s="13">
        <f t="shared" si="141"/>
        <v>0</v>
      </c>
      <c r="AJ100" s="13">
        <f t="shared" si="141"/>
        <v>0</v>
      </c>
      <c r="AK100" s="13">
        <f t="shared" si="141"/>
        <v>0</v>
      </c>
      <c r="AL100" s="13">
        <f t="shared" si="141"/>
        <v>0</v>
      </c>
      <c r="AM100" s="13">
        <f t="shared" si="141"/>
        <v>0</v>
      </c>
      <c r="AN100" s="13">
        <f t="shared" si="141"/>
        <v>0</v>
      </c>
      <c r="AO100" s="13">
        <f t="shared" si="141"/>
        <v>0</v>
      </c>
      <c r="AP100" s="13">
        <f t="shared" si="141"/>
        <v>0</v>
      </c>
      <c r="AQ100" s="13">
        <f t="shared" si="141"/>
        <v>0</v>
      </c>
      <c r="AR100" s="13">
        <f t="shared" si="141"/>
        <v>0</v>
      </c>
      <c r="AS100" s="13">
        <f t="shared" si="141"/>
        <v>0</v>
      </c>
      <c r="AT100" s="13">
        <f t="shared" si="141"/>
        <v>0</v>
      </c>
      <c r="AU100" s="13">
        <f t="shared" si="141"/>
        <v>0</v>
      </c>
      <c r="AV100" s="13">
        <f t="shared" si="141"/>
        <v>0</v>
      </c>
      <c r="AW100" s="13">
        <f t="shared" si="141"/>
        <v>0</v>
      </c>
      <c r="AX100" s="13">
        <f t="shared" si="141"/>
        <v>0</v>
      </c>
      <c r="AY100" s="13">
        <f t="shared" si="141"/>
        <v>0</v>
      </c>
      <c r="AZ100" s="13">
        <f t="shared" si="141"/>
        <v>0</v>
      </c>
      <c r="BA100" s="13">
        <f t="shared" si="141"/>
        <v>0</v>
      </c>
      <c r="BB100" s="13">
        <f t="shared" si="141"/>
        <v>0</v>
      </c>
      <c r="BC100" s="13">
        <f t="shared" si="141"/>
        <v>0</v>
      </c>
      <c r="BD100" s="13">
        <f t="shared" si="141"/>
        <v>0</v>
      </c>
      <c r="BE100" s="13">
        <f t="shared" si="141"/>
        <v>0</v>
      </c>
      <c r="BF100" s="13">
        <f t="shared" si="141"/>
        <v>0</v>
      </c>
      <c r="BG100" s="13">
        <f t="shared" si="141"/>
        <v>0</v>
      </c>
      <c r="BH100" s="13">
        <f t="shared" si="141"/>
        <v>0</v>
      </c>
      <c r="BI100" s="13">
        <f t="shared" si="141"/>
        <v>0</v>
      </c>
      <c r="BJ100" s="13">
        <f t="shared" si="141"/>
        <v>0</v>
      </c>
      <c r="BK100" s="13">
        <f t="shared" si="141"/>
        <v>0</v>
      </c>
      <c r="BL100" s="13">
        <f t="shared" si="141"/>
        <v>0</v>
      </c>
      <c r="BM100" s="13">
        <f t="shared" si="141"/>
        <v>0</v>
      </c>
      <c r="BN100" s="13">
        <f t="shared" si="141"/>
        <v>0</v>
      </c>
      <c r="BO100" s="13">
        <f t="shared" si="141"/>
        <v>0</v>
      </c>
      <c r="BP100" s="13">
        <f t="shared" si="141"/>
        <v>0</v>
      </c>
      <c r="BQ100" s="13">
        <f t="shared" si="141"/>
        <v>0</v>
      </c>
      <c r="BR100" s="13">
        <f t="shared" si="141"/>
        <v>0</v>
      </c>
      <c r="BS100" s="13">
        <f t="shared" si="141"/>
        <v>0</v>
      </c>
      <c r="BT100" s="13">
        <f t="shared" si="141"/>
        <v>0</v>
      </c>
      <c r="BU100" s="13">
        <f t="shared" si="141"/>
        <v>0</v>
      </c>
      <c r="BV100" s="13">
        <f t="shared" si="141"/>
        <v>0</v>
      </c>
      <c r="BW100" s="13">
        <f t="shared" ref="BW100:EH100" si="142">(BW96+BW97)*$B100</f>
        <v>0</v>
      </c>
      <c r="BX100" s="13">
        <f t="shared" si="142"/>
        <v>0</v>
      </c>
      <c r="BY100" s="13">
        <f t="shared" si="142"/>
        <v>0</v>
      </c>
      <c r="BZ100" s="13">
        <f t="shared" si="142"/>
        <v>0</v>
      </c>
      <c r="CA100" s="13">
        <f t="shared" si="142"/>
        <v>0</v>
      </c>
      <c r="CB100" s="13">
        <f t="shared" si="142"/>
        <v>0</v>
      </c>
      <c r="CC100" s="13">
        <f t="shared" si="142"/>
        <v>0</v>
      </c>
      <c r="CD100" s="13">
        <f t="shared" si="142"/>
        <v>0</v>
      </c>
      <c r="CE100" s="13">
        <f t="shared" si="142"/>
        <v>0</v>
      </c>
      <c r="CF100" s="13">
        <f t="shared" si="142"/>
        <v>0</v>
      </c>
      <c r="CG100" s="13">
        <f t="shared" si="142"/>
        <v>0</v>
      </c>
      <c r="CH100" s="13">
        <f t="shared" si="142"/>
        <v>0</v>
      </c>
      <c r="CI100" s="13">
        <f t="shared" si="142"/>
        <v>0</v>
      </c>
      <c r="CJ100" s="13">
        <f t="shared" si="142"/>
        <v>0</v>
      </c>
      <c r="CK100" s="13">
        <f t="shared" si="142"/>
        <v>0</v>
      </c>
      <c r="CL100" s="13">
        <f t="shared" si="142"/>
        <v>0</v>
      </c>
      <c r="CM100" s="13">
        <f t="shared" si="142"/>
        <v>0</v>
      </c>
      <c r="CN100" s="13">
        <f t="shared" si="142"/>
        <v>0</v>
      </c>
      <c r="CO100" s="13">
        <f t="shared" si="142"/>
        <v>0</v>
      </c>
      <c r="CP100" s="13">
        <f t="shared" si="142"/>
        <v>0</v>
      </c>
      <c r="CQ100" s="13">
        <f t="shared" si="142"/>
        <v>0</v>
      </c>
      <c r="CR100" s="13">
        <f t="shared" si="142"/>
        <v>0</v>
      </c>
      <c r="CS100" s="13">
        <f t="shared" si="142"/>
        <v>0</v>
      </c>
      <c r="CT100" s="13">
        <f t="shared" si="142"/>
        <v>0</v>
      </c>
      <c r="CU100" s="13">
        <f t="shared" si="142"/>
        <v>0</v>
      </c>
      <c r="CV100" s="13">
        <f t="shared" si="142"/>
        <v>0</v>
      </c>
      <c r="CW100" s="13">
        <f t="shared" si="142"/>
        <v>0</v>
      </c>
      <c r="CX100" s="13">
        <f t="shared" si="142"/>
        <v>0</v>
      </c>
      <c r="CY100" s="13">
        <f t="shared" si="142"/>
        <v>0</v>
      </c>
      <c r="CZ100" s="13">
        <f t="shared" si="142"/>
        <v>0</v>
      </c>
      <c r="DA100" s="13">
        <f t="shared" si="142"/>
        <v>0</v>
      </c>
      <c r="DB100" s="13">
        <f t="shared" si="142"/>
        <v>0</v>
      </c>
      <c r="DC100" s="13">
        <f t="shared" si="142"/>
        <v>0</v>
      </c>
      <c r="DD100" s="13">
        <f t="shared" si="142"/>
        <v>0</v>
      </c>
      <c r="DE100" s="13">
        <f t="shared" si="142"/>
        <v>0</v>
      </c>
      <c r="DF100" s="13">
        <f t="shared" si="142"/>
        <v>0</v>
      </c>
      <c r="DG100" s="13">
        <f t="shared" si="142"/>
        <v>0</v>
      </c>
      <c r="DH100" s="13">
        <f t="shared" si="142"/>
        <v>0</v>
      </c>
      <c r="DI100" s="13">
        <f t="shared" si="142"/>
        <v>0</v>
      </c>
      <c r="DJ100" s="13">
        <f t="shared" si="142"/>
        <v>0</v>
      </c>
      <c r="DK100" s="13">
        <f t="shared" si="142"/>
        <v>0</v>
      </c>
      <c r="DL100" s="13">
        <f t="shared" si="142"/>
        <v>0</v>
      </c>
      <c r="DM100" s="13">
        <f t="shared" si="142"/>
        <v>0</v>
      </c>
      <c r="DN100" s="13">
        <f t="shared" si="142"/>
        <v>0</v>
      </c>
      <c r="DO100" s="13">
        <f t="shared" si="142"/>
        <v>0</v>
      </c>
      <c r="DP100" s="13">
        <f t="shared" si="142"/>
        <v>0</v>
      </c>
      <c r="DQ100" s="13">
        <f t="shared" si="142"/>
        <v>0</v>
      </c>
      <c r="DR100" s="13">
        <f t="shared" si="142"/>
        <v>0</v>
      </c>
      <c r="DS100" s="13">
        <f t="shared" si="142"/>
        <v>0</v>
      </c>
      <c r="DT100" s="13">
        <f t="shared" si="142"/>
        <v>0</v>
      </c>
      <c r="DU100" s="13">
        <f t="shared" si="142"/>
        <v>0</v>
      </c>
      <c r="DV100" s="13">
        <f t="shared" si="142"/>
        <v>0</v>
      </c>
      <c r="DW100" s="13">
        <f t="shared" si="142"/>
        <v>0</v>
      </c>
      <c r="DX100" s="13">
        <f t="shared" si="142"/>
        <v>0</v>
      </c>
      <c r="DY100" s="13">
        <f t="shared" si="142"/>
        <v>0</v>
      </c>
      <c r="DZ100" s="13">
        <f t="shared" si="142"/>
        <v>0</v>
      </c>
      <c r="EA100" s="13">
        <f t="shared" si="142"/>
        <v>0</v>
      </c>
      <c r="EB100" s="13">
        <f t="shared" si="142"/>
        <v>0</v>
      </c>
      <c r="EC100" s="13">
        <f t="shared" si="142"/>
        <v>0</v>
      </c>
      <c r="ED100" s="13">
        <f t="shared" si="142"/>
        <v>0</v>
      </c>
      <c r="EE100" s="13">
        <f t="shared" si="142"/>
        <v>0</v>
      </c>
      <c r="EF100" s="13">
        <f t="shared" si="142"/>
        <v>0</v>
      </c>
      <c r="EG100" s="13">
        <f t="shared" si="142"/>
        <v>0</v>
      </c>
      <c r="EH100" s="13">
        <f t="shared" si="142"/>
        <v>0</v>
      </c>
      <c r="EI100" s="13">
        <f t="shared" ref="EI100:GT100" si="143">(EI96+EI97)*$B100</f>
        <v>0</v>
      </c>
      <c r="EJ100" s="13">
        <f t="shared" si="143"/>
        <v>0</v>
      </c>
      <c r="EK100" s="13">
        <f t="shared" si="143"/>
        <v>0</v>
      </c>
      <c r="EL100" s="13">
        <f t="shared" si="143"/>
        <v>0</v>
      </c>
      <c r="EM100" s="13">
        <f t="shared" si="143"/>
        <v>0</v>
      </c>
      <c r="EN100" s="13">
        <f t="shared" si="143"/>
        <v>0</v>
      </c>
      <c r="EO100" s="13">
        <f t="shared" si="143"/>
        <v>0</v>
      </c>
      <c r="EP100" s="13">
        <f t="shared" si="143"/>
        <v>0</v>
      </c>
      <c r="EQ100" s="13">
        <f t="shared" si="143"/>
        <v>0</v>
      </c>
      <c r="ER100" s="13">
        <f t="shared" si="143"/>
        <v>0</v>
      </c>
      <c r="ES100" s="13">
        <f t="shared" si="143"/>
        <v>0</v>
      </c>
      <c r="ET100" s="13">
        <f t="shared" si="143"/>
        <v>0</v>
      </c>
      <c r="EU100" s="13">
        <f t="shared" si="143"/>
        <v>0</v>
      </c>
      <c r="EV100" s="13">
        <f t="shared" si="143"/>
        <v>0</v>
      </c>
      <c r="EW100" s="13">
        <f t="shared" si="143"/>
        <v>0</v>
      </c>
      <c r="EX100" s="13">
        <f t="shared" si="143"/>
        <v>0</v>
      </c>
      <c r="EY100" s="13">
        <f t="shared" si="143"/>
        <v>0</v>
      </c>
      <c r="EZ100" s="13">
        <f t="shared" si="143"/>
        <v>0</v>
      </c>
      <c r="FA100" s="13">
        <f t="shared" si="143"/>
        <v>0</v>
      </c>
      <c r="FB100" s="13">
        <f t="shared" si="143"/>
        <v>0</v>
      </c>
      <c r="FC100" s="13">
        <f t="shared" si="143"/>
        <v>0</v>
      </c>
      <c r="FD100" s="13">
        <f t="shared" si="143"/>
        <v>0</v>
      </c>
      <c r="FE100" s="13">
        <f t="shared" si="143"/>
        <v>0</v>
      </c>
      <c r="FF100" s="13">
        <f t="shared" si="143"/>
        <v>0</v>
      </c>
      <c r="FG100" s="13">
        <f t="shared" si="143"/>
        <v>0</v>
      </c>
      <c r="FH100" s="13">
        <f t="shared" si="143"/>
        <v>0</v>
      </c>
      <c r="FI100" s="13">
        <f t="shared" si="143"/>
        <v>0</v>
      </c>
      <c r="FJ100" s="13">
        <f t="shared" si="143"/>
        <v>0</v>
      </c>
      <c r="FK100" s="13">
        <f t="shared" si="143"/>
        <v>0</v>
      </c>
      <c r="FL100" s="13">
        <f t="shared" si="143"/>
        <v>0</v>
      </c>
      <c r="FM100" s="13">
        <f t="shared" si="143"/>
        <v>0</v>
      </c>
      <c r="FN100" s="13">
        <f t="shared" si="143"/>
        <v>0</v>
      </c>
      <c r="FO100" s="13">
        <f t="shared" si="143"/>
        <v>0</v>
      </c>
      <c r="FP100" s="13">
        <f t="shared" si="143"/>
        <v>0</v>
      </c>
      <c r="FQ100" s="13">
        <f t="shared" si="143"/>
        <v>0</v>
      </c>
      <c r="FR100" s="13">
        <f t="shared" si="143"/>
        <v>0</v>
      </c>
      <c r="FS100" s="13">
        <f t="shared" si="143"/>
        <v>0</v>
      </c>
      <c r="FT100" s="13">
        <f t="shared" si="143"/>
        <v>0</v>
      </c>
      <c r="FU100" s="13">
        <f t="shared" si="143"/>
        <v>0</v>
      </c>
      <c r="FV100" s="13">
        <f t="shared" si="143"/>
        <v>0</v>
      </c>
      <c r="FW100" s="13">
        <f t="shared" si="143"/>
        <v>0</v>
      </c>
      <c r="FX100" s="13">
        <f t="shared" si="143"/>
        <v>0</v>
      </c>
      <c r="FY100" s="13">
        <f t="shared" si="143"/>
        <v>0</v>
      </c>
      <c r="FZ100" s="13">
        <f t="shared" si="143"/>
        <v>0</v>
      </c>
      <c r="GA100" s="13">
        <f t="shared" si="143"/>
        <v>0</v>
      </c>
      <c r="GB100" s="13">
        <f t="shared" si="143"/>
        <v>0</v>
      </c>
      <c r="GC100" s="13">
        <f t="shared" si="143"/>
        <v>0</v>
      </c>
      <c r="GD100" s="13">
        <f t="shared" si="143"/>
        <v>0</v>
      </c>
      <c r="GE100" s="13">
        <f t="shared" si="143"/>
        <v>0</v>
      </c>
      <c r="GF100" s="13">
        <f t="shared" si="143"/>
        <v>0</v>
      </c>
      <c r="GG100" s="13">
        <f t="shared" si="143"/>
        <v>0</v>
      </c>
      <c r="GH100" s="13">
        <f t="shared" si="143"/>
        <v>0</v>
      </c>
      <c r="GI100" s="13">
        <f t="shared" si="143"/>
        <v>0</v>
      </c>
      <c r="GJ100" s="13">
        <f t="shared" si="143"/>
        <v>0</v>
      </c>
      <c r="GK100" s="13">
        <f t="shared" si="143"/>
        <v>0</v>
      </c>
      <c r="GL100" s="13">
        <f t="shared" si="143"/>
        <v>0</v>
      </c>
      <c r="GM100" s="13">
        <f t="shared" si="143"/>
        <v>0</v>
      </c>
      <c r="GN100" s="13">
        <f t="shared" si="143"/>
        <v>0</v>
      </c>
      <c r="GO100" s="13">
        <f t="shared" si="143"/>
        <v>0</v>
      </c>
      <c r="GP100" s="13">
        <f t="shared" si="143"/>
        <v>0</v>
      </c>
      <c r="GQ100" s="13">
        <f t="shared" si="143"/>
        <v>0</v>
      </c>
      <c r="GR100" s="13">
        <f t="shared" si="143"/>
        <v>0</v>
      </c>
      <c r="GS100" s="13">
        <f t="shared" si="143"/>
        <v>0</v>
      </c>
      <c r="GT100" s="13">
        <f t="shared" si="143"/>
        <v>0</v>
      </c>
      <c r="GU100" s="13">
        <f t="shared" ref="GU100:JF100" si="144">(GU96+GU97)*$B100</f>
        <v>0</v>
      </c>
      <c r="GV100" s="13">
        <f t="shared" si="144"/>
        <v>0</v>
      </c>
      <c r="GW100" s="13">
        <f t="shared" si="144"/>
        <v>0</v>
      </c>
      <c r="GX100" s="13">
        <f t="shared" si="144"/>
        <v>0</v>
      </c>
      <c r="GY100" s="13">
        <f t="shared" si="144"/>
        <v>0</v>
      </c>
      <c r="GZ100" s="13">
        <f t="shared" si="144"/>
        <v>0</v>
      </c>
      <c r="HA100" s="13">
        <f t="shared" si="144"/>
        <v>0</v>
      </c>
      <c r="HB100" s="13">
        <f t="shared" si="144"/>
        <v>0</v>
      </c>
      <c r="HC100" s="13">
        <f t="shared" si="144"/>
        <v>0</v>
      </c>
      <c r="HD100" s="13">
        <f t="shared" si="144"/>
        <v>0</v>
      </c>
      <c r="HE100" s="13">
        <f t="shared" si="144"/>
        <v>0</v>
      </c>
      <c r="HF100" s="13">
        <f t="shared" si="144"/>
        <v>0</v>
      </c>
      <c r="HG100" s="13">
        <f t="shared" si="144"/>
        <v>0</v>
      </c>
      <c r="HH100" s="13">
        <f t="shared" si="144"/>
        <v>0</v>
      </c>
      <c r="HI100" s="13">
        <f t="shared" si="144"/>
        <v>0</v>
      </c>
      <c r="HJ100" s="13">
        <f t="shared" si="144"/>
        <v>0</v>
      </c>
      <c r="HK100" s="13">
        <f t="shared" si="144"/>
        <v>0</v>
      </c>
      <c r="HL100" s="13">
        <f t="shared" si="144"/>
        <v>0</v>
      </c>
      <c r="HM100" s="13">
        <f t="shared" si="144"/>
        <v>0</v>
      </c>
      <c r="HN100" s="13">
        <f t="shared" si="144"/>
        <v>0</v>
      </c>
      <c r="HO100" s="13">
        <f t="shared" si="144"/>
        <v>0</v>
      </c>
      <c r="HP100" s="13">
        <f t="shared" si="144"/>
        <v>0</v>
      </c>
      <c r="HQ100" s="13">
        <f t="shared" si="144"/>
        <v>0</v>
      </c>
      <c r="HR100" s="13">
        <f t="shared" si="144"/>
        <v>0</v>
      </c>
      <c r="HS100" s="13">
        <f t="shared" si="144"/>
        <v>0</v>
      </c>
      <c r="HT100" s="13">
        <f t="shared" si="144"/>
        <v>0</v>
      </c>
      <c r="HU100" s="13">
        <f t="shared" si="144"/>
        <v>0</v>
      </c>
      <c r="HV100" s="13">
        <f t="shared" si="144"/>
        <v>0</v>
      </c>
      <c r="HW100" s="13">
        <f t="shared" si="144"/>
        <v>0</v>
      </c>
      <c r="HX100" s="13">
        <f t="shared" si="144"/>
        <v>0</v>
      </c>
      <c r="HY100" s="13">
        <f t="shared" si="144"/>
        <v>0</v>
      </c>
      <c r="HZ100" s="13">
        <f t="shared" si="144"/>
        <v>0</v>
      </c>
      <c r="IA100" s="13">
        <f t="shared" si="144"/>
        <v>0</v>
      </c>
      <c r="IB100" s="13">
        <f t="shared" si="144"/>
        <v>0</v>
      </c>
      <c r="IC100" s="13">
        <f t="shared" si="144"/>
        <v>0</v>
      </c>
      <c r="ID100" s="13">
        <f t="shared" si="144"/>
        <v>0</v>
      </c>
      <c r="IE100" s="13">
        <f t="shared" si="144"/>
        <v>0</v>
      </c>
      <c r="IF100" s="13">
        <f t="shared" si="144"/>
        <v>0</v>
      </c>
      <c r="IG100" s="13">
        <f t="shared" si="144"/>
        <v>0</v>
      </c>
      <c r="IH100" s="13">
        <f t="shared" si="144"/>
        <v>0</v>
      </c>
      <c r="II100" s="13">
        <f t="shared" si="144"/>
        <v>0</v>
      </c>
      <c r="IJ100" s="13">
        <f t="shared" si="144"/>
        <v>0</v>
      </c>
      <c r="IK100" s="13">
        <f t="shared" si="144"/>
        <v>0</v>
      </c>
      <c r="IL100" s="13">
        <f t="shared" si="144"/>
        <v>0</v>
      </c>
      <c r="IM100" s="13">
        <f t="shared" si="144"/>
        <v>0</v>
      </c>
      <c r="IN100" s="13">
        <f t="shared" si="144"/>
        <v>0</v>
      </c>
      <c r="IO100" s="13">
        <f t="shared" si="144"/>
        <v>0</v>
      </c>
      <c r="IP100" s="13">
        <f t="shared" si="144"/>
        <v>0</v>
      </c>
      <c r="IQ100" s="13">
        <f t="shared" si="144"/>
        <v>0</v>
      </c>
      <c r="IR100" s="13">
        <f t="shared" si="144"/>
        <v>0</v>
      </c>
      <c r="IS100" s="13">
        <f t="shared" si="144"/>
        <v>0</v>
      </c>
      <c r="IT100" s="13">
        <f t="shared" si="144"/>
        <v>0</v>
      </c>
      <c r="IU100" s="13">
        <f t="shared" si="144"/>
        <v>0</v>
      </c>
      <c r="IV100" s="13">
        <f t="shared" si="144"/>
        <v>0</v>
      </c>
      <c r="IW100" s="13">
        <f t="shared" si="144"/>
        <v>0</v>
      </c>
      <c r="IX100" s="13">
        <f t="shared" si="144"/>
        <v>0</v>
      </c>
      <c r="IY100" s="13">
        <f t="shared" si="144"/>
        <v>0</v>
      </c>
      <c r="IZ100" s="13">
        <f t="shared" si="144"/>
        <v>0</v>
      </c>
      <c r="JA100" s="13">
        <f t="shared" si="144"/>
        <v>0</v>
      </c>
      <c r="JB100" s="13">
        <f t="shared" si="144"/>
        <v>0</v>
      </c>
      <c r="JC100" s="13">
        <f t="shared" si="144"/>
        <v>0</v>
      </c>
      <c r="JD100" s="13">
        <f t="shared" si="144"/>
        <v>0</v>
      </c>
      <c r="JE100" s="13">
        <f t="shared" si="144"/>
        <v>0</v>
      </c>
      <c r="JF100" s="13">
        <f t="shared" si="144"/>
        <v>0</v>
      </c>
      <c r="JG100" s="13">
        <f t="shared" ref="JG100:JU100" si="145">(JG96+JG97)*$B100</f>
        <v>0</v>
      </c>
      <c r="JH100" s="13">
        <f t="shared" si="145"/>
        <v>0</v>
      </c>
      <c r="JI100" s="13">
        <f t="shared" si="145"/>
        <v>0</v>
      </c>
      <c r="JJ100" s="13">
        <f t="shared" si="145"/>
        <v>0</v>
      </c>
      <c r="JK100" s="13">
        <f t="shared" si="145"/>
        <v>0</v>
      </c>
      <c r="JL100" s="13">
        <f t="shared" si="145"/>
        <v>0</v>
      </c>
      <c r="JM100" s="13">
        <f t="shared" si="145"/>
        <v>0</v>
      </c>
      <c r="JN100" s="13">
        <f t="shared" si="145"/>
        <v>0</v>
      </c>
      <c r="JO100" s="13">
        <f t="shared" si="145"/>
        <v>0</v>
      </c>
      <c r="JP100" s="13">
        <f t="shared" si="145"/>
        <v>0</v>
      </c>
      <c r="JQ100" s="13">
        <f t="shared" si="145"/>
        <v>0</v>
      </c>
      <c r="JR100" s="13">
        <f t="shared" si="145"/>
        <v>0</v>
      </c>
      <c r="JS100" s="13">
        <f t="shared" si="145"/>
        <v>0</v>
      </c>
      <c r="JT100" s="13">
        <f t="shared" si="145"/>
        <v>0</v>
      </c>
      <c r="JU100" s="13">
        <f t="shared" si="145"/>
        <v>0</v>
      </c>
    </row>
    <row r="102" spans="1:281">
      <c r="A102" s="1" t="s">
        <v>253</v>
      </c>
      <c r="D102" s="419">
        <f t="shared" ref="D102:AI102" si="146">D25</f>
        <v>42916</v>
      </c>
      <c r="E102" s="419">
        <f t="shared" si="146"/>
        <v>43008</v>
      </c>
      <c r="F102" s="419">
        <f t="shared" si="146"/>
        <v>43100</v>
      </c>
      <c r="G102" s="419">
        <f t="shared" si="146"/>
        <v>43190</v>
      </c>
      <c r="H102" s="419">
        <f t="shared" si="146"/>
        <v>43281</v>
      </c>
      <c r="I102" s="419">
        <f t="shared" si="146"/>
        <v>43373</v>
      </c>
      <c r="J102" s="419">
        <f t="shared" si="146"/>
        <v>43465</v>
      </c>
      <c r="K102" s="419">
        <f t="shared" si="146"/>
        <v>43555</v>
      </c>
      <c r="L102" s="419">
        <f t="shared" si="146"/>
        <v>43646</v>
      </c>
      <c r="M102" s="419">
        <f t="shared" si="146"/>
        <v>43738</v>
      </c>
      <c r="N102" s="419">
        <f t="shared" si="146"/>
        <v>43830</v>
      </c>
      <c r="O102" s="419">
        <f t="shared" si="146"/>
        <v>43921</v>
      </c>
      <c r="P102" s="419">
        <f t="shared" si="146"/>
        <v>44012</v>
      </c>
      <c r="Q102" s="419">
        <f t="shared" si="146"/>
        <v>44104</v>
      </c>
      <c r="R102" s="419">
        <f t="shared" si="146"/>
        <v>44196</v>
      </c>
      <c r="S102" s="419">
        <f t="shared" si="146"/>
        <v>44286</v>
      </c>
      <c r="T102" s="419">
        <f t="shared" si="146"/>
        <v>44377</v>
      </c>
      <c r="U102" s="419">
        <f t="shared" si="146"/>
        <v>44469</v>
      </c>
      <c r="V102" s="419">
        <f t="shared" si="146"/>
        <v>44561</v>
      </c>
      <c r="W102" s="419">
        <f t="shared" si="146"/>
        <v>44651</v>
      </c>
      <c r="X102" s="419">
        <f t="shared" si="146"/>
        <v>44742</v>
      </c>
      <c r="Y102" s="419">
        <f t="shared" si="146"/>
        <v>44834</v>
      </c>
      <c r="Z102" s="419">
        <f t="shared" si="146"/>
        <v>44926</v>
      </c>
      <c r="AA102" s="419">
        <f t="shared" si="146"/>
        <v>45016</v>
      </c>
      <c r="AB102" s="419">
        <f t="shared" si="146"/>
        <v>45107</v>
      </c>
      <c r="AC102" s="419">
        <f t="shared" si="146"/>
        <v>45199</v>
      </c>
      <c r="AD102" s="419">
        <f t="shared" si="146"/>
        <v>45291</v>
      </c>
      <c r="AE102" s="419">
        <f t="shared" si="146"/>
        <v>45382</v>
      </c>
      <c r="AF102" s="419">
        <f t="shared" si="146"/>
        <v>45473</v>
      </c>
      <c r="AG102" s="419">
        <f t="shared" si="146"/>
        <v>45565</v>
      </c>
      <c r="AH102" s="419">
        <f t="shared" si="146"/>
        <v>45657</v>
      </c>
      <c r="AI102" s="419">
        <f t="shared" si="146"/>
        <v>45747</v>
      </c>
      <c r="AJ102" s="419">
        <f t="shared" ref="AJ102:BO102" si="147">AJ25</f>
        <v>45838</v>
      </c>
      <c r="AK102" s="419">
        <f t="shared" si="147"/>
        <v>45930</v>
      </c>
      <c r="AL102" s="419">
        <f t="shared" si="147"/>
        <v>46022</v>
      </c>
      <c r="AM102" s="419">
        <f t="shared" si="147"/>
        <v>46112</v>
      </c>
      <c r="AN102" s="419">
        <f t="shared" si="147"/>
        <v>46203</v>
      </c>
      <c r="AO102" s="419">
        <f t="shared" si="147"/>
        <v>46295</v>
      </c>
      <c r="AP102" s="419">
        <f t="shared" si="147"/>
        <v>46387</v>
      </c>
      <c r="AQ102" s="419">
        <f t="shared" si="147"/>
        <v>46477</v>
      </c>
      <c r="AR102" s="419">
        <f t="shared" si="147"/>
        <v>46568</v>
      </c>
      <c r="AS102" s="419">
        <f t="shared" si="147"/>
        <v>46660</v>
      </c>
      <c r="AT102" s="419">
        <f t="shared" si="147"/>
        <v>46752</v>
      </c>
      <c r="AU102" s="419">
        <f t="shared" si="147"/>
        <v>46843</v>
      </c>
      <c r="AV102" s="419">
        <f t="shared" si="147"/>
        <v>46934</v>
      </c>
      <c r="AW102" s="419">
        <f t="shared" si="147"/>
        <v>47026</v>
      </c>
      <c r="AX102" s="419">
        <f t="shared" si="147"/>
        <v>47118</v>
      </c>
      <c r="AY102" s="419">
        <f t="shared" si="147"/>
        <v>47208</v>
      </c>
      <c r="AZ102" s="419">
        <f t="shared" si="147"/>
        <v>47299</v>
      </c>
      <c r="BA102" s="419">
        <f t="shared" si="147"/>
        <v>47391</v>
      </c>
      <c r="BB102" s="419">
        <f t="shared" si="147"/>
        <v>47483</v>
      </c>
      <c r="BC102" s="419">
        <f t="shared" si="147"/>
        <v>47573</v>
      </c>
      <c r="BD102" s="419">
        <f t="shared" si="147"/>
        <v>47664</v>
      </c>
      <c r="BE102" s="419">
        <f t="shared" si="147"/>
        <v>47756</v>
      </c>
      <c r="BF102" s="419">
        <f t="shared" si="147"/>
        <v>47848</v>
      </c>
      <c r="BG102" s="419">
        <f t="shared" si="147"/>
        <v>47938</v>
      </c>
      <c r="BH102" s="419">
        <f t="shared" si="147"/>
        <v>48029</v>
      </c>
      <c r="BI102" s="419">
        <f t="shared" si="147"/>
        <v>48121</v>
      </c>
      <c r="BJ102" s="419">
        <f t="shared" si="147"/>
        <v>48213</v>
      </c>
      <c r="BK102" s="419">
        <f t="shared" si="147"/>
        <v>48304</v>
      </c>
      <c r="BL102" s="419">
        <f t="shared" si="147"/>
        <v>48395</v>
      </c>
      <c r="BM102" s="419">
        <f t="shared" si="147"/>
        <v>48487</v>
      </c>
      <c r="BN102" s="419">
        <f t="shared" si="147"/>
        <v>48579</v>
      </c>
      <c r="BO102" s="419">
        <f t="shared" si="147"/>
        <v>48669</v>
      </c>
      <c r="BP102" s="419">
        <f t="shared" ref="BP102:CU102" si="148">BP25</f>
        <v>48760</v>
      </c>
      <c r="BQ102" s="419">
        <f t="shared" si="148"/>
        <v>48852</v>
      </c>
      <c r="BR102" s="419">
        <f t="shared" si="148"/>
        <v>48944</v>
      </c>
      <c r="BS102" s="419">
        <f t="shared" si="148"/>
        <v>49034</v>
      </c>
      <c r="BT102" s="419">
        <f t="shared" si="148"/>
        <v>49125</v>
      </c>
      <c r="BU102" s="419">
        <f t="shared" si="148"/>
        <v>49217</v>
      </c>
      <c r="BV102" s="419">
        <f t="shared" si="148"/>
        <v>49309</v>
      </c>
      <c r="BW102" s="419">
        <f t="shared" si="148"/>
        <v>49399</v>
      </c>
      <c r="BX102" s="419">
        <f t="shared" si="148"/>
        <v>49490</v>
      </c>
      <c r="BY102" s="419">
        <f t="shared" si="148"/>
        <v>49582</v>
      </c>
      <c r="BZ102" s="419">
        <f t="shared" si="148"/>
        <v>49674</v>
      </c>
      <c r="CA102" s="419">
        <f t="shared" si="148"/>
        <v>49765</v>
      </c>
      <c r="CB102" s="419">
        <f t="shared" si="148"/>
        <v>49856</v>
      </c>
      <c r="CC102" s="419">
        <f t="shared" si="148"/>
        <v>49948</v>
      </c>
      <c r="CD102" s="419">
        <f t="shared" si="148"/>
        <v>50040</v>
      </c>
      <c r="CE102" s="419">
        <f t="shared" si="148"/>
        <v>50130</v>
      </c>
      <c r="CF102" s="419">
        <f t="shared" si="148"/>
        <v>50221</v>
      </c>
      <c r="CG102" s="419">
        <f t="shared" si="148"/>
        <v>50313</v>
      </c>
      <c r="CH102" s="419">
        <f t="shared" si="148"/>
        <v>50405</v>
      </c>
      <c r="CI102" s="419">
        <f t="shared" si="148"/>
        <v>50495</v>
      </c>
      <c r="CJ102" s="419">
        <f t="shared" si="148"/>
        <v>50586</v>
      </c>
      <c r="CK102" s="419">
        <f t="shared" si="148"/>
        <v>50678</v>
      </c>
      <c r="CL102" s="419">
        <f t="shared" si="148"/>
        <v>50770</v>
      </c>
      <c r="CM102" s="419">
        <f t="shared" si="148"/>
        <v>50860</v>
      </c>
      <c r="CN102" s="419">
        <f t="shared" si="148"/>
        <v>50951</v>
      </c>
      <c r="CO102" s="419">
        <f t="shared" si="148"/>
        <v>51043</v>
      </c>
      <c r="CP102" s="419">
        <f t="shared" si="148"/>
        <v>51135</v>
      </c>
      <c r="CQ102" s="419">
        <f t="shared" si="148"/>
        <v>51226</v>
      </c>
      <c r="CR102" s="419">
        <f t="shared" si="148"/>
        <v>51317</v>
      </c>
      <c r="CS102" s="419">
        <f t="shared" si="148"/>
        <v>51409</v>
      </c>
      <c r="CT102" s="419">
        <f t="shared" si="148"/>
        <v>51501</v>
      </c>
      <c r="CU102" s="419">
        <f t="shared" si="148"/>
        <v>51591</v>
      </c>
    </row>
    <row r="103" spans="1:281">
      <c r="A103" t="s">
        <v>249</v>
      </c>
      <c r="D103" s="9">
        <f>D96</f>
        <v>0</v>
      </c>
      <c r="E103" s="9">
        <f t="shared" ref="E103:J103" si="149">D106</f>
        <v>0</v>
      </c>
      <c r="F103" s="9">
        <f t="shared" si="149"/>
        <v>0</v>
      </c>
      <c r="G103" s="9">
        <f t="shared" si="149"/>
        <v>0</v>
      </c>
      <c r="H103" s="9">
        <f t="shared" si="149"/>
        <v>0</v>
      </c>
      <c r="I103" s="9">
        <f t="shared" si="149"/>
        <v>0</v>
      </c>
      <c r="J103" s="9">
        <f t="shared" si="149"/>
        <v>0</v>
      </c>
      <c r="K103" s="9">
        <f t="shared" ref="K103:BV103" si="150">J106</f>
        <v>0</v>
      </c>
      <c r="L103" s="9">
        <f t="shared" si="150"/>
        <v>0</v>
      </c>
      <c r="M103" s="9">
        <f t="shared" si="150"/>
        <v>0</v>
      </c>
      <c r="N103" s="9">
        <f t="shared" si="150"/>
        <v>0</v>
      </c>
      <c r="O103" s="9">
        <f t="shared" si="150"/>
        <v>0</v>
      </c>
      <c r="P103" s="9">
        <f t="shared" si="150"/>
        <v>0</v>
      </c>
      <c r="Q103" s="9">
        <f t="shared" si="150"/>
        <v>0</v>
      </c>
      <c r="R103" s="9">
        <f t="shared" si="150"/>
        <v>0</v>
      </c>
      <c r="S103" s="9">
        <f t="shared" si="150"/>
        <v>0</v>
      </c>
      <c r="T103" s="9">
        <f t="shared" si="150"/>
        <v>0</v>
      </c>
      <c r="U103" s="9">
        <f t="shared" si="150"/>
        <v>0</v>
      </c>
      <c r="V103" s="9">
        <f t="shared" si="150"/>
        <v>0</v>
      </c>
      <c r="W103" s="9">
        <f t="shared" si="150"/>
        <v>0</v>
      </c>
      <c r="X103" s="9">
        <f t="shared" si="150"/>
        <v>0</v>
      </c>
      <c r="Y103" s="9">
        <f t="shared" si="150"/>
        <v>0</v>
      </c>
      <c r="Z103" s="9">
        <f t="shared" si="150"/>
        <v>0</v>
      </c>
      <c r="AA103" s="9">
        <f t="shared" si="150"/>
        <v>0</v>
      </c>
      <c r="AB103" s="9">
        <f t="shared" si="150"/>
        <v>0</v>
      </c>
      <c r="AC103" s="9">
        <f t="shared" si="150"/>
        <v>0</v>
      </c>
      <c r="AD103" s="9">
        <f t="shared" si="150"/>
        <v>0</v>
      </c>
      <c r="AE103" s="9">
        <f t="shared" si="150"/>
        <v>0</v>
      </c>
      <c r="AF103" s="9">
        <f t="shared" si="150"/>
        <v>0</v>
      </c>
      <c r="AG103" s="9">
        <f t="shared" si="150"/>
        <v>0</v>
      </c>
      <c r="AH103" s="9">
        <f t="shared" si="150"/>
        <v>0</v>
      </c>
      <c r="AI103" s="9">
        <f t="shared" si="150"/>
        <v>0</v>
      </c>
      <c r="AJ103" s="9">
        <f t="shared" si="150"/>
        <v>0</v>
      </c>
      <c r="AK103" s="9">
        <f t="shared" si="150"/>
        <v>0</v>
      </c>
      <c r="AL103" s="9">
        <f t="shared" si="150"/>
        <v>0</v>
      </c>
      <c r="AM103" s="9">
        <f t="shared" si="150"/>
        <v>0</v>
      </c>
      <c r="AN103" s="9">
        <f t="shared" si="150"/>
        <v>0</v>
      </c>
      <c r="AO103" s="9">
        <f t="shared" si="150"/>
        <v>0</v>
      </c>
      <c r="AP103" s="9">
        <f t="shared" si="150"/>
        <v>0</v>
      </c>
      <c r="AQ103" s="9">
        <f t="shared" si="150"/>
        <v>0</v>
      </c>
      <c r="AR103" s="9">
        <f t="shared" si="150"/>
        <v>0</v>
      </c>
      <c r="AS103" s="9">
        <f t="shared" si="150"/>
        <v>0</v>
      </c>
      <c r="AT103" s="9">
        <f t="shared" si="150"/>
        <v>0</v>
      </c>
      <c r="AU103" s="9">
        <f t="shared" si="150"/>
        <v>0</v>
      </c>
      <c r="AV103" s="9">
        <f t="shared" si="150"/>
        <v>0</v>
      </c>
      <c r="AW103" s="9">
        <f t="shared" si="150"/>
        <v>0</v>
      </c>
      <c r="AX103" s="9">
        <f t="shared" si="150"/>
        <v>0</v>
      </c>
      <c r="AY103" s="9">
        <f t="shared" si="150"/>
        <v>0</v>
      </c>
      <c r="AZ103" s="9">
        <f t="shared" si="150"/>
        <v>0</v>
      </c>
      <c r="BA103" s="9">
        <f t="shared" si="150"/>
        <v>0</v>
      </c>
      <c r="BB103" s="9">
        <f t="shared" si="150"/>
        <v>0</v>
      </c>
      <c r="BC103" s="9">
        <f t="shared" si="150"/>
        <v>0</v>
      </c>
      <c r="BD103" s="9">
        <f t="shared" si="150"/>
        <v>0</v>
      </c>
      <c r="BE103" s="9">
        <f t="shared" si="150"/>
        <v>0</v>
      </c>
      <c r="BF103" s="9">
        <f t="shared" si="150"/>
        <v>0</v>
      </c>
      <c r="BG103" s="9">
        <f t="shared" si="150"/>
        <v>0</v>
      </c>
      <c r="BH103" s="9">
        <f t="shared" si="150"/>
        <v>0</v>
      </c>
      <c r="BI103" s="9">
        <f t="shared" si="150"/>
        <v>0</v>
      </c>
      <c r="BJ103" s="9">
        <f t="shared" si="150"/>
        <v>0</v>
      </c>
      <c r="BK103" s="9">
        <f t="shared" si="150"/>
        <v>0</v>
      </c>
      <c r="BL103" s="9">
        <f t="shared" si="150"/>
        <v>0</v>
      </c>
      <c r="BM103" s="9">
        <f t="shared" si="150"/>
        <v>0</v>
      </c>
      <c r="BN103" s="9">
        <f t="shared" si="150"/>
        <v>0</v>
      </c>
      <c r="BO103" s="9">
        <f t="shared" si="150"/>
        <v>0</v>
      </c>
      <c r="BP103" s="9">
        <f t="shared" si="150"/>
        <v>0</v>
      </c>
      <c r="BQ103" s="9">
        <f t="shared" si="150"/>
        <v>0</v>
      </c>
      <c r="BR103" s="9">
        <f t="shared" si="150"/>
        <v>0</v>
      </c>
      <c r="BS103" s="9">
        <f t="shared" si="150"/>
        <v>0</v>
      </c>
      <c r="BT103" s="9">
        <f t="shared" si="150"/>
        <v>0</v>
      </c>
      <c r="BU103" s="9">
        <f t="shared" si="150"/>
        <v>0</v>
      </c>
      <c r="BV103" s="9">
        <f t="shared" si="150"/>
        <v>0</v>
      </c>
      <c r="BW103" s="9">
        <f t="shared" ref="BW103:CU103" si="151">BV106</f>
        <v>0</v>
      </c>
      <c r="BX103" s="9">
        <f t="shared" si="151"/>
        <v>0</v>
      </c>
      <c r="BY103" s="9">
        <f t="shared" si="151"/>
        <v>0</v>
      </c>
      <c r="BZ103" s="9">
        <f t="shared" si="151"/>
        <v>0</v>
      </c>
      <c r="CA103" s="9">
        <f t="shared" si="151"/>
        <v>0</v>
      </c>
      <c r="CB103" s="9">
        <f t="shared" si="151"/>
        <v>0</v>
      </c>
      <c r="CC103" s="9">
        <f t="shared" si="151"/>
        <v>0</v>
      </c>
      <c r="CD103" s="9">
        <f t="shared" si="151"/>
        <v>0</v>
      </c>
      <c r="CE103" s="9">
        <f t="shared" si="151"/>
        <v>0</v>
      </c>
      <c r="CF103" s="9">
        <f t="shared" si="151"/>
        <v>0</v>
      </c>
      <c r="CG103" s="9">
        <f t="shared" si="151"/>
        <v>0</v>
      </c>
      <c r="CH103" s="9">
        <f t="shared" si="151"/>
        <v>0</v>
      </c>
      <c r="CI103" s="9">
        <f t="shared" si="151"/>
        <v>0</v>
      </c>
      <c r="CJ103" s="9">
        <f t="shared" si="151"/>
        <v>0</v>
      </c>
      <c r="CK103" s="9">
        <f t="shared" si="151"/>
        <v>0</v>
      </c>
      <c r="CL103" s="9">
        <f t="shared" si="151"/>
        <v>0</v>
      </c>
      <c r="CM103" s="9">
        <f t="shared" si="151"/>
        <v>0</v>
      </c>
      <c r="CN103" s="9">
        <f t="shared" si="151"/>
        <v>0</v>
      </c>
      <c r="CO103" s="9">
        <f t="shared" si="151"/>
        <v>0</v>
      </c>
      <c r="CP103" s="9">
        <f t="shared" si="151"/>
        <v>0</v>
      </c>
      <c r="CQ103" s="9">
        <f t="shared" si="151"/>
        <v>0</v>
      </c>
      <c r="CR103" s="9">
        <f t="shared" si="151"/>
        <v>0</v>
      </c>
      <c r="CS103" s="9">
        <f t="shared" si="151"/>
        <v>0</v>
      </c>
      <c r="CT103" s="9">
        <f t="shared" si="151"/>
        <v>0</v>
      </c>
      <c r="CU103" s="9">
        <f t="shared" si="151"/>
        <v>0</v>
      </c>
    </row>
    <row r="104" spans="1:281">
      <c r="A104" t="s">
        <v>188</v>
      </c>
      <c r="D104" s="402">
        <f t="shared" ref="D104:AI104" si="152">SUMIF($D$2:$JU$2,D$102,$D97:$JU97)</f>
        <v>0</v>
      </c>
      <c r="E104" s="402">
        <f t="shared" si="152"/>
        <v>0</v>
      </c>
      <c r="F104" s="402">
        <f t="shared" si="152"/>
        <v>0</v>
      </c>
      <c r="G104" s="402">
        <f t="shared" si="152"/>
        <v>0</v>
      </c>
      <c r="H104" s="402">
        <f t="shared" si="152"/>
        <v>0</v>
      </c>
      <c r="I104" s="402">
        <f t="shared" si="152"/>
        <v>0</v>
      </c>
      <c r="J104" s="402">
        <f t="shared" si="152"/>
        <v>0</v>
      </c>
      <c r="K104" s="402">
        <f t="shared" si="152"/>
        <v>0</v>
      </c>
      <c r="L104" s="402">
        <f t="shared" si="152"/>
        <v>0</v>
      </c>
      <c r="M104" s="402">
        <f t="shared" si="152"/>
        <v>0</v>
      </c>
      <c r="N104" s="402">
        <f t="shared" si="152"/>
        <v>0</v>
      </c>
      <c r="O104" s="402">
        <f t="shared" si="152"/>
        <v>0</v>
      </c>
      <c r="P104" s="402">
        <f t="shared" si="152"/>
        <v>0</v>
      </c>
      <c r="Q104" s="402">
        <f t="shared" si="152"/>
        <v>0</v>
      </c>
      <c r="R104" s="402">
        <f t="shared" si="152"/>
        <v>0</v>
      </c>
      <c r="S104" s="402">
        <f t="shared" si="152"/>
        <v>0</v>
      </c>
      <c r="T104" s="402">
        <f t="shared" si="152"/>
        <v>0</v>
      </c>
      <c r="U104" s="402">
        <f t="shared" si="152"/>
        <v>0</v>
      </c>
      <c r="V104" s="402">
        <f t="shared" si="152"/>
        <v>0</v>
      </c>
      <c r="W104" s="402">
        <f t="shared" si="152"/>
        <v>0</v>
      </c>
      <c r="X104" s="402">
        <f t="shared" si="152"/>
        <v>0</v>
      </c>
      <c r="Y104" s="402">
        <f t="shared" si="152"/>
        <v>0</v>
      </c>
      <c r="Z104" s="402">
        <f t="shared" si="152"/>
        <v>0</v>
      </c>
      <c r="AA104" s="402">
        <f t="shared" si="152"/>
        <v>0</v>
      </c>
      <c r="AB104" s="402">
        <f t="shared" si="152"/>
        <v>0</v>
      </c>
      <c r="AC104" s="402">
        <f t="shared" si="152"/>
        <v>0</v>
      </c>
      <c r="AD104" s="402">
        <f t="shared" si="152"/>
        <v>0</v>
      </c>
      <c r="AE104" s="402">
        <f t="shared" si="152"/>
        <v>0</v>
      </c>
      <c r="AF104" s="402">
        <f t="shared" si="152"/>
        <v>0</v>
      </c>
      <c r="AG104" s="402">
        <f t="shared" si="152"/>
        <v>0</v>
      </c>
      <c r="AH104" s="402">
        <f t="shared" si="152"/>
        <v>0</v>
      </c>
      <c r="AI104" s="402">
        <f t="shared" si="152"/>
        <v>0</v>
      </c>
      <c r="AJ104" s="402">
        <f t="shared" ref="AJ104:BO104" si="153">SUMIF($D$2:$JU$2,AJ$102,$D97:$JU97)</f>
        <v>0</v>
      </c>
      <c r="AK104" s="402">
        <f t="shared" si="153"/>
        <v>0</v>
      </c>
      <c r="AL104" s="402">
        <f t="shared" si="153"/>
        <v>0</v>
      </c>
      <c r="AM104" s="402">
        <f t="shared" si="153"/>
        <v>0</v>
      </c>
      <c r="AN104" s="402">
        <f t="shared" si="153"/>
        <v>0</v>
      </c>
      <c r="AO104" s="402">
        <f t="shared" si="153"/>
        <v>0</v>
      </c>
      <c r="AP104" s="402">
        <f t="shared" si="153"/>
        <v>0</v>
      </c>
      <c r="AQ104" s="402">
        <f t="shared" si="153"/>
        <v>0</v>
      </c>
      <c r="AR104" s="402">
        <f t="shared" si="153"/>
        <v>0</v>
      </c>
      <c r="AS104" s="402">
        <f t="shared" si="153"/>
        <v>0</v>
      </c>
      <c r="AT104" s="402">
        <f t="shared" si="153"/>
        <v>0</v>
      </c>
      <c r="AU104" s="402">
        <f t="shared" si="153"/>
        <v>0</v>
      </c>
      <c r="AV104" s="402">
        <f t="shared" si="153"/>
        <v>0</v>
      </c>
      <c r="AW104" s="402">
        <f t="shared" si="153"/>
        <v>0</v>
      </c>
      <c r="AX104" s="402">
        <f t="shared" si="153"/>
        <v>0</v>
      </c>
      <c r="AY104" s="402">
        <f t="shared" si="153"/>
        <v>0</v>
      </c>
      <c r="AZ104" s="402">
        <f t="shared" si="153"/>
        <v>0</v>
      </c>
      <c r="BA104" s="402">
        <f t="shared" si="153"/>
        <v>0</v>
      </c>
      <c r="BB104" s="402">
        <f t="shared" si="153"/>
        <v>0</v>
      </c>
      <c r="BC104" s="402">
        <f t="shared" si="153"/>
        <v>0</v>
      </c>
      <c r="BD104" s="402">
        <f t="shared" si="153"/>
        <v>0</v>
      </c>
      <c r="BE104" s="402">
        <f t="shared" si="153"/>
        <v>0</v>
      </c>
      <c r="BF104" s="402">
        <f t="shared" si="153"/>
        <v>0</v>
      </c>
      <c r="BG104" s="402">
        <f t="shared" si="153"/>
        <v>0</v>
      </c>
      <c r="BH104" s="402">
        <f t="shared" si="153"/>
        <v>0</v>
      </c>
      <c r="BI104" s="402">
        <f t="shared" si="153"/>
        <v>0</v>
      </c>
      <c r="BJ104" s="402">
        <f t="shared" si="153"/>
        <v>0</v>
      </c>
      <c r="BK104" s="402">
        <f t="shared" si="153"/>
        <v>0</v>
      </c>
      <c r="BL104" s="402">
        <f t="shared" si="153"/>
        <v>0</v>
      </c>
      <c r="BM104" s="402">
        <f t="shared" si="153"/>
        <v>0</v>
      </c>
      <c r="BN104" s="402">
        <f t="shared" si="153"/>
        <v>0</v>
      </c>
      <c r="BO104" s="402">
        <f t="shared" si="153"/>
        <v>0</v>
      </c>
      <c r="BP104" s="402">
        <f t="shared" ref="BP104:CU104" si="154">SUMIF($D$2:$JU$2,BP$102,$D97:$JU97)</f>
        <v>0</v>
      </c>
      <c r="BQ104" s="402">
        <f t="shared" si="154"/>
        <v>0</v>
      </c>
      <c r="BR104" s="402">
        <f t="shared" si="154"/>
        <v>0</v>
      </c>
      <c r="BS104" s="402">
        <f t="shared" si="154"/>
        <v>0</v>
      </c>
      <c r="BT104" s="402">
        <f t="shared" si="154"/>
        <v>0</v>
      </c>
      <c r="BU104" s="402">
        <f t="shared" si="154"/>
        <v>0</v>
      </c>
      <c r="BV104" s="402">
        <f t="shared" si="154"/>
        <v>0</v>
      </c>
      <c r="BW104" s="402">
        <f t="shared" si="154"/>
        <v>0</v>
      </c>
      <c r="BX104" s="402">
        <f t="shared" si="154"/>
        <v>0</v>
      </c>
      <c r="BY104" s="402">
        <f t="shared" si="154"/>
        <v>0</v>
      </c>
      <c r="BZ104" s="402">
        <f t="shared" si="154"/>
        <v>0</v>
      </c>
      <c r="CA104" s="402">
        <f t="shared" si="154"/>
        <v>0</v>
      </c>
      <c r="CB104" s="402">
        <f t="shared" si="154"/>
        <v>0</v>
      </c>
      <c r="CC104" s="402">
        <f t="shared" si="154"/>
        <v>0</v>
      </c>
      <c r="CD104" s="402">
        <f t="shared" si="154"/>
        <v>0</v>
      </c>
      <c r="CE104" s="402">
        <f t="shared" si="154"/>
        <v>0</v>
      </c>
      <c r="CF104" s="402">
        <f t="shared" si="154"/>
        <v>0</v>
      </c>
      <c r="CG104" s="402">
        <f t="shared" si="154"/>
        <v>0</v>
      </c>
      <c r="CH104" s="402">
        <f t="shared" si="154"/>
        <v>0</v>
      </c>
      <c r="CI104" s="402">
        <f t="shared" si="154"/>
        <v>0</v>
      </c>
      <c r="CJ104" s="402">
        <f t="shared" si="154"/>
        <v>0</v>
      </c>
      <c r="CK104" s="402">
        <f t="shared" si="154"/>
        <v>0</v>
      </c>
      <c r="CL104" s="402">
        <f t="shared" si="154"/>
        <v>0</v>
      </c>
      <c r="CM104" s="402">
        <f t="shared" si="154"/>
        <v>0</v>
      </c>
      <c r="CN104" s="402">
        <f t="shared" si="154"/>
        <v>0</v>
      </c>
      <c r="CO104" s="402">
        <f t="shared" si="154"/>
        <v>0</v>
      </c>
      <c r="CP104" s="402">
        <f t="shared" si="154"/>
        <v>0</v>
      </c>
      <c r="CQ104" s="402">
        <f t="shared" si="154"/>
        <v>0</v>
      </c>
      <c r="CR104" s="402">
        <f t="shared" si="154"/>
        <v>0</v>
      </c>
      <c r="CS104" s="402">
        <f t="shared" si="154"/>
        <v>0</v>
      </c>
      <c r="CT104" s="402">
        <f t="shared" si="154"/>
        <v>0</v>
      </c>
      <c r="CU104" s="402">
        <f t="shared" si="154"/>
        <v>0</v>
      </c>
    </row>
    <row r="105" spans="1:281">
      <c r="A105" t="s">
        <v>250</v>
      </c>
      <c r="D105" s="402">
        <f t="shared" ref="D105:AI105" si="155">SUMIF($D$2:$JU$2,D$102,$D98:$JU98)</f>
        <v>0</v>
      </c>
      <c r="E105" s="402">
        <f t="shared" si="155"/>
        <v>0</v>
      </c>
      <c r="F105" s="402">
        <f t="shared" si="155"/>
        <v>0</v>
      </c>
      <c r="G105" s="402">
        <f t="shared" si="155"/>
        <v>0</v>
      </c>
      <c r="H105" s="402">
        <f t="shared" si="155"/>
        <v>0</v>
      </c>
      <c r="I105" s="402">
        <f t="shared" si="155"/>
        <v>0</v>
      </c>
      <c r="J105" s="402">
        <f t="shared" si="155"/>
        <v>0</v>
      </c>
      <c r="K105" s="402">
        <f t="shared" si="155"/>
        <v>0</v>
      </c>
      <c r="L105" s="402">
        <f t="shared" si="155"/>
        <v>0</v>
      </c>
      <c r="M105" s="402">
        <f t="shared" si="155"/>
        <v>0</v>
      </c>
      <c r="N105" s="402">
        <f t="shared" si="155"/>
        <v>0</v>
      </c>
      <c r="O105" s="402">
        <f t="shared" si="155"/>
        <v>0</v>
      </c>
      <c r="P105" s="402">
        <f t="shared" si="155"/>
        <v>0</v>
      </c>
      <c r="Q105" s="402">
        <f t="shared" si="155"/>
        <v>0</v>
      </c>
      <c r="R105" s="402">
        <f t="shared" si="155"/>
        <v>0</v>
      </c>
      <c r="S105" s="402">
        <f t="shared" si="155"/>
        <v>0</v>
      </c>
      <c r="T105" s="402">
        <f t="shared" si="155"/>
        <v>0</v>
      </c>
      <c r="U105" s="402">
        <f t="shared" si="155"/>
        <v>0</v>
      </c>
      <c r="V105" s="402">
        <f t="shared" si="155"/>
        <v>0</v>
      </c>
      <c r="W105" s="402">
        <f t="shared" si="155"/>
        <v>0</v>
      </c>
      <c r="X105" s="402">
        <f t="shared" si="155"/>
        <v>0</v>
      </c>
      <c r="Y105" s="402">
        <f t="shared" si="155"/>
        <v>0</v>
      </c>
      <c r="Z105" s="402">
        <f t="shared" si="155"/>
        <v>0</v>
      </c>
      <c r="AA105" s="402">
        <f t="shared" si="155"/>
        <v>0</v>
      </c>
      <c r="AB105" s="402">
        <f t="shared" si="155"/>
        <v>0</v>
      </c>
      <c r="AC105" s="402">
        <f t="shared" si="155"/>
        <v>0</v>
      </c>
      <c r="AD105" s="402">
        <f t="shared" si="155"/>
        <v>0</v>
      </c>
      <c r="AE105" s="402">
        <f t="shared" si="155"/>
        <v>0</v>
      </c>
      <c r="AF105" s="402">
        <f t="shared" si="155"/>
        <v>0</v>
      </c>
      <c r="AG105" s="402">
        <f t="shared" si="155"/>
        <v>0</v>
      </c>
      <c r="AH105" s="402">
        <f t="shared" si="155"/>
        <v>0</v>
      </c>
      <c r="AI105" s="402">
        <f t="shared" si="155"/>
        <v>0</v>
      </c>
      <c r="AJ105" s="402">
        <f t="shared" ref="AJ105:BO105" si="156">SUMIF($D$2:$JU$2,AJ$102,$D98:$JU98)</f>
        <v>0</v>
      </c>
      <c r="AK105" s="402">
        <f t="shared" si="156"/>
        <v>0</v>
      </c>
      <c r="AL105" s="402">
        <f t="shared" si="156"/>
        <v>0</v>
      </c>
      <c r="AM105" s="402">
        <f t="shared" si="156"/>
        <v>0</v>
      </c>
      <c r="AN105" s="402">
        <f t="shared" si="156"/>
        <v>0</v>
      </c>
      <c r="AO105" s="402">
        <f t="shared" si="156"/>
        <v>0</v>
      </c>
      <c r="AP105" s="402">
        <f t="shared" si="156"/>
        <v>0</v>
      </c>
      <c r="AQ105" s="402">
        <f t="shared" si="156"/>
        <v>0</v>
      </c>
      <c r="AR105" s="402">
        <f t="shared" si="156"/>
        <v>0</v>
      </c>
      <c r="AS105" s="402">
        <f t="shared" si="156"/>
        <v>0</v>
      </c>
      <c r="AT105" s="402">
        <f t="shared" si="156"/>
        <v>0</v>
      </c>
      <c r="AU105" s="402">
        <f t="shared" si="156"/>
        <v>0</v>
      </c>
      <c r="AV105" s="402">
        <f t="shared" si="156"/>
        <v>0</v>
      </c>
      <c r="AW105" s="402">
        <f t="shared" si="156"/>
        <v>0</v>
      </c>
      <c r="AX105" s="402">
        <f t="shared" si="156"/>
        <v>0</v>
      </c>
      <c r="AY105" s="402">
        <f t="shared" si="156"/>
        <v>0</v>
      </c>
      <c r="AZ105" s="402">
        <f t="shared" si="156"/>
        <v>0</v>
      </c>
      <c r="BA105" s="402">
        <f t="shared" si="156"/>
        <v>0</v>
      </c>
      <c r="BB105" s="402">
        <f t="shared" si="156"/>
        <v>0</v>
      </c>
      <c r="BC105" s="402">
        <f t="shared" si="156"/>
        <v>0</v>
      </c>
      <c r="BD105" s="402">
        <f t="shared" si="156"/>
        <v>0</v>
      </c>
      <c r="BE105" s="402">
        <f t="shared" si="156"/>
        <v>0</v>
      </c>
      <c r="BF105" s="402">
        <f t="shared" si="156"/>
        <v>0</v>
      </c>
      <c r="BG105" s="402">
        <f t="shared" si="156"/>
        <v>0</v>
      </c>
      <c r="BH105" s="402">
        <f t="shared" si="156"/>
        <v>0</v>
      </c>
      <c r="BI105" s="402">
        <f t="shared" si="156"/>
        <v>0</v>
      </c>
      <c r="BJ105" s="402">
        <f t="shared" si="156"/>
        <v>0</v>
      </c>
      <c r="BK105" s="402">
        <f t="shared" si="156"/>
        <v>0</v>
      </c>
      <c r="BL105" s="402">
        <f t="shared" si="156"/>
        <v>0</v>
      </c>
      <c r="BM105" s="402">
        <f t="shared" si="156"/>
        <v>0</v>
      </c>
      <c r="BN105" s="402">
        <f t="shared" si="156"/>
        <v>0</v>
      </c>
      <c r="BO105" s="402">
        <f t="shared" si="156"/>
        <v>0</v>
      </c>
      <c r="BP105" s="402">
        <f t="shared" ref="BP105:CU105" si="157">SUMIF($D$2:$JU$2,BP$102,$D98:$JU98)</f>
        <v>0</v>
      </c>
      <c r="BQ105" s="402">
        <f t="shared" si="157"/>
        <v>0</v>
      </c>
      <c r="BR105" s="402">
        <f t="shared" si="157"/>
        <v>0</v>
      </c>
      <c r="BS105" s="402">
        <f t="shared" si="157"/>
        <v>0</v>
      </c>
      <c r="BT105" s="402">
        <f t="shared" si="157"/>
        <v>0</v>
      </c>
      <c r="BU105" s="402">
        <f t="shared" si="157"/>
        <v>0</v>
      </c>
      <c r="BV105" s="402">
        <f t="shared" si="157"/>
        <v>0</v>
      </c>
      <c r="BW105" s="402">
        <f t="shared" si="157"/>
        <v>0</v>
      </c>
      <c r="BX105" s="402">
        <f t="shared" si="157"/>
        <v>0</v>
      </c>
      <c r="BY105" s="402">
        <f t="shared" si="157"/>
        <v>0</v>
      </c>
      <c r="BZ105" s="402">
        <f t="shared" si="157"/>
        <v>0</v>
      </c>
      <c r="CA105" s="402">
        <f t="shared" si="157"/>
        <v>0</v>
      </c>
      <c r="CB105" s="402">
        <f t="shared" si="157"/>
        <v>0</v>
      </c>
      <c r="CC105" s="402">
        <f t="shared" si="157"/>
        <v>0</v>
      </c>
      <c r="CD105" s="402">
        <f t="shared" si="157"/>
        <v>0</v>
      </c>
      <c r="CE105" s="402">
        <f t="shared" si="157"/>
        <v>0</v>
      </c>
      <c r="CF105" s="402">
        <f t="shared" si="157"/>
        <v>0</v>
      </c>
      <c r="CG105" s="402">
        <f t="shared" si="157"/>
        <v>0</v>
      </c>
      <c r="CH105" s="402">
        <f t="shared" si="157"/>
        <v>0</v>
      </c>
      <c r="CI105" s="402">
        <f t="shared" si="157"/>
        <v>0</v>
      </c>
      <c r="CJ105" s="402">
        <f t="shared" si="157"/>
        <v>0</v>
      </c>
      <c r="CK105" s="402">
        <f t="shared" si="157"/>
        <v>0</v>
      </c>
      <c r="CL105" s="402">
        <f t="shared" si="157"/>
        <v>0</v>
      </c>
      <c r="CM105" s="402">
        <f t="shared" si="157"/>
        <v>0</v>
      </c>
      <c r="CN105" s="402">
        <f t="shared" si="157"/>
        <v>0</v>
      </c>
      <c r="CO105" s="402">
        <f t="shared" si="157"/>
        <v>0</v>
      </c>
      <c r="CP105" s="402">
        <f t="shared" si="157"/>
        <v>0</v>
      </c>
      <c r="CQ105" s="402">
        <f t="shared" si="157"/>
        <v>0</v>
      </c>
      <c r="CR105" s="402">
        <f t="shared" si="157"/>
        <v>0</v>
      </c>
      <c r="CS105" s="402">
        <f t="shared" si="157"/>
        <v>0</v>
      </c>
      <c r="CT105" s="402">
        <f t="shared" si="157"/>
        <v>0</v>
      </c>
      <c r="CU105" s="402">
        <f t="shared" si="157"/>
        <v>0</v>
      </c>
    </row>
    <row r="106" spans="1:281">
      <c r="A106" t="s">
        <v>251</v>
      </c>
      <c r="D106" s="9">
        <f>D103+D104-D105</f>
        <v>0</v>
      </c>
      <c r="E106" s="9">
        <f t="shared" ref="E106:J106" si="158">E103+E104-E105</f>
        <v>0</v>
      </c>
      <c r="F106" s="9">
        <f t="shared" si="158"/>
        <v>0</v>
      </c>
      <c r="G106" s="9">
        <f t="shared" si="158"/>
        <v>0</v>
      </c>
      <c r="H106" s="9">
        <f t="shared" si="158"/>
        <v>0</v>
      </c>
      <c r="I106" s="9">
        <f t="shared" si="158"/>
        <v>0</v>
      </c>
      <c r="J106" s="9">
        <f t="shared" si="158"/>
        <v>0</v>
      </c>
      <c r="K106" s="9">
        <f t="shared" ref="K106:AP106" si="159">K103+K104-K105</f>
        <v>0</v>
      </c>
      <c r="L106" s="9">
        <f t="shared" si="159"/>
        <v>0</v>
      </c>
      <c r="M106" s="9">
        <f t="shared" si="159"/>
        <v>0</v>
      </c>
      <c r="N106" s="9">
        <f t="shared" si="159"/>
        <v>0</v>
      </c>
      <c r="O106" s="9">
        <f t="shared" si="159"/>
        <v>0</v>
      </c>
      <c r="P106" s="9">
        <f t="shared" si="159"/>
        <v>0</v>
      </c>
      <c r="Q106" s="9">
        <f t="shared" si="159"/>
        <v>0</v>
      </c>
      <c r="R106" s="9">
        <f t="shared" si="159"/>
        <v>0</v>
      </c>
      <c r="S106" s="9">
        <f t="shared" si="159"/>
        <v>0</v>
      </c>
      <c r="T106" s="9">
        <f t="shared" si="159"/>
        <v>0</v>
      </c>
      <c r="U106" s="9">
        <f t="shared" si="159"/>
        <v>0</v>
      </c>
      <c r="V106" s="9">
        <f t="shared" si="159"/>
        <v>0</v>
      </c>
      <c r="W106" s="9">
        <f t="shared" si="159"/>
        <v>0</v>
      </c>
      <c r="X106" s="9">
        <f t="shared" si="159"/>
        <v>0</v>
      </c>
      <c r="Y106" s="9">
        <f t="shared" si="159"/>
        <v>0</v>
      </c>
      <c r="Z106" s="9">
        <f t="shared" si="159"/>
        <v>0</v>
      </c>
      <c r="AA106" s="9">
        <f t="shared" si="159"/>
        <v>0</v>
      </c>
      <c r="AB106" s="9">
        <f t="shared" si="159"/>
        <v>0</v>
      </c>
      <c r="AC106" s="9">
        <f t="shared" si="159"/>
        <v>0</v>
      </c>
      <c r="AD106" s="9">
        <f t="shared" si="159"/>
        <v>0</v>
      </c>
      <c r="AE106" s="9">
        <f t="shared" si="159"/>
        <v>0</v>
      </c>
      <c r="AF106" s="9">
        <f t="shared" si="159"/>
        <v>0</v>
      </c>
      <c r="AG106" s="9">
        <f t="shared" si="159"/>
        <v>0</v>
      </c>
      <c r="AH106" s="9">
        <f t="shared" si="159"/>
        <v>0</v>
      </c>
      <c r="AI106" s="9">
        <f t="shared" si="159"/>
        <v>0</v>
      </c>
      <c r="AJ106" s="9">
        <f t="shared" si="159"/>
        <v>0</v>
      </c>
      <c r="AK106" s="9">
        <f t="shared" si="159"/>
        <v>0</v>
      </c>
      <c r="AL106" s="9">
        <f t="shared" si="159"/>
        <v>0</v>
      </c>
      <c r="AM106" s="9">
        <f t="shared" si="159"/>
        <v>0</v>
      </c>
      <c r="AN106" s="9">
        <f t="shared" si="159"/>
        <v>0</v>
      </c>
      <c r="AO106" s="9">
        <f t="shared" si="159"/>
        <v>0</v>
      </c>
      <c r="AP106" s="9">
        <f t="shared" si="159"/>
        <v>0</v>
      </c>
      <c r="AQ106" s="9">
        <f t="shared" ref="AQ106:BV106" si="160">AQ103+AQ104-AQ105</f>
        <v>0</v>
      </c>
      <c r="AR106" s="9">
        <f t="shared" si="160"/>
        <v>0</v>
      </c>
      <c r="AS106" s="9">
        <f t="shared" si="160"/>
        <v>0</v>
      </c>
      <c r="AT106" s="9">
        <f t="shared" si="160"/>
        <v>0</v>
      </c>
      <c r="AU106" s="9">
        <f t="shared" si="160"/>
        <v>0</v>
      </c>
      <c r="AV106" s="9">
        <f t="shared" si="160"/>
        <v>0</v>
      </c>
      <c r="AW106" s="9">
        <f t="shared" si="160"/>
        <v>0</v>
      </c>
      <c r="AX106" s="9">
        <f t="shared" si="160"/>
        <v>0</v>
      </c>
      <c r="AY106" s="9">
        <f t="shared" si="160"/>
        <v>0</v>
      </c>
      <c r="AZ106" s="9">
        <f t="shared" si="160"/>
        <v>0</v>
      </c>
      <c r="BA106" s="9">
        <f t="shared" si="160"/>
        <v>0</v>
      </c>
      <c r="BB106" s="9">
        <f t="shared" si="160"/>
        <v>0</v>
      </c>
      <c r="BC106" s="9">
        <f t="shared" si="160"/>
        <v>0</v>
      </c>
      <c r="BD106" s="9">
        <f t="shared" si="160"/>
        <v>0</v>
      </c>
      <c r="BE106" s="9">
        <f t="shared" si="160"/>
        <v>0</v>
      </c>
      <c r="BF106" s="9">
        <f t="shared" si="160"/>
        <v>0</v>
      </c>
      <c r="BG106" s="9">
        <f t="shared" si="160"/>
        <v>0</v>
      </c>
      <c r="BH106" s="9">
        <f t="shared" si="160"/>
        <v>0</v>
      </c>
      <c r="BI106" s="9">
        <f t="shared" si="160"/>
        <v>0</v>
      </c>
      <c r="BJ106" s="9">
        <f t="shared" si="160"/>
        <v>0</v>
      </c>
      <c r="BK106" s="9">
        <f t="shared" si="160"/>
        <v>0</v>
      </c>
      <c r="BL106" s="9">
        <f t="shared" si="160"/>
        <v>0</v>
      </c>
      <c r="BM106" s="9">
        <f t="shared" si="160"/>
        <v>0</v>
      </c>
      <c r="BN106" s="9">
        <f t="shared" si="160"/>
        <v>0</v>
      </c>
      <c r="BO106" s="9">
        <f t="shared" si="160"/>
        <v>0</v>
      </c>
      <c r="BP106" s="9">
        <f t="shared" si="160"/>
        <v>0</v>
      </c>
      <c r="BQ106" s="9">
        <f t="shared" si="160"/>
        <v>0</v>
      </c>
      <c r="BR106" s="9">
        <f t="shared" si="160"/>
        <v>0</v>
      </c>
      <c r="BS106" s="9">
        <f t="shared" si="160"/>
        <v>0</v>
      </c>
      <c r="BT106" s="9">
        <f t="shared" si="160"/>
        <v>0</v>
      </c>
      <c r="BU106" s="9">
        <f t="shared" si="160"/>
        <v>0</v>
      </c>
      <c r="BV106" s="9">
        <f t="shared" si="160"/>
        <v>0</v>
      </c>
      <c r="BW106" s="9">
        <f t="shared" ref="BW106:CU106" si="161">BW103+BW104-BW105</f>
        <v>0</v>
      </c>
      <c r="BX106" s="9">
        <f t="shared" si="161"/>
        <v>0</v>
      </c>
      <c r="BY106" s="9">
        <f t="shared" si="161"/>
        <v>0</v>
      </c>
      <c r="BZ106" s="9">
        <f t="shared" si="161"/>
        <v>0</v>
      </c>
      <c r="CA106" s="9">
        <f t="shared" si="161"/>
        <v>0</v>
      </c>
      <c r="CB106" s="9">
        <f t="shared" si="161"/>
        <v>0</v>
      </c>
      <c r="CC106" s="9">
        <f t="shared" si="161"/>
        <v>0</v>
      </c>
      <c r="CD106" s="9">
        <f t="shared" si="161"/>
        <v>0</v>
      </c>
      <c r="CE106" s="9">
        <f t="shared" si="161"/>
        <v>0</v>
      </c>
      <c r="CF106" s="9">
        <f t="shared" si="161"/>
        <v>0</v>
      </c>
      <c r="CG106" s="9">
        <f t="shared" si="161"/>
        <v>0</v>
      </c>
      <c r="CH106" s="9">
        <f t="shared" si="161"/>
        <v>0</v>
      </c>
      <c r="CI106" s="9">
        <f t="shared" si="161"/>
        <v>0</v>
      </c>
      <c r="CJ106" s="9">
        <f t="shared" si="161"/>
        <v>0</v>
      </c>
      <c r="CK106" s="9">
        <f t="shared" si="161"/>
        <v>0</v>
      </c>
      <c r="CL106" s="9">
        <f t="shared" si="161"/>
        <v>0</v>
      </c>
      <c r="CM106" s="9">
        <f t="shared" si="161"/>
        <v>0</v>
      </c>
      <c r="CN106" s="9">
        <f t="shared" si="161"/>
        <v>0</v>
      </c>
      <c r="CO106" s="9">
        <f t="shared" si="161"/>
        <v>0</v>
      </c>
      <c r="CP106" s="9">
        <f t="shared" si="161"/>
        <v>0</v>
      </c>
      <c r="CQ106" s="9">
        <f t="shared" si="161"/>
        <v>0</v>
      </c>
      <c r="CR106" s="9">
        <f t="shared" si="161"/>
        <v>0</v>
      </c>
      <c r="CS106" s="9">
        <f t="shared" si="161"/>
        <v>0</v>
      </c>
      <c r="CT106" s="9">
        <f t="shared" si="161"/>
        <v>0</v>
      </c>
      <c r="CU106" s="9">
        <f t="shared" si="161"/>
        <v>0</v>
      </c>
    </row>
    <row r="107" spans="1:281">
      <c r="A107" t="s">
        <v>280</v>
      </c>
      <c r="D107" s="402">
        <f t="shared" ref="D107:AI107" si="162">SUMIF($D$2:$JU$2,D$102,$D100:$JU100)</f>
        <v>0</v>
      </c>
      <c r="E107" s="402">
        <f t="shared" si="162"/>
        <v>0</v>
      </c>
      <c r="F107" s="402">
        <f t="shared" si="162"/>
        <v>0</v>
      </c>
      <c r="G107" s="402">
        <f t="shared" si="162"/>
        <v>0</v>
      </c>
      <c r="H107" s="402">
        <f t="shared" si="162"/>
        <v>0</v>
      </c>
      <c r="I107" s="402">
        <f t="shared" si="162"/>
        <v>0</v>
      </c>
      <c r="J107" s="402">
        <f t="shared" si="162"/>
        <v>0</v>
      </c>
      <c r="K107" s="402">
        <f t="shared" si="162"/>
        <v>0</v>
      </c>
      <c r="L107" s="402">
        <f t="shared" si="162"/>
        <v>0</v>
      </c>
      <c r="M107" s="402">
        <f t="shared" si="162"/>
        <v>0</v>
      </c>
      <c r="N107" s="402">
        <f t="shared" si="162"/>
        <v>0</v>
      </c>
      <c r="O107" s="402">
        <f t="shared" si="162"/>
        <v>0</v>
      </c>
      <c r="P107" s="402">
        <f t="shared" si="162"/>
        <v>0</v>
      </c>
      <c r="Q107" s="402">
        <f t="shared" si="162"/>
        <v>0</v>
      </c>
      <c r="R107" s="402">
        <f t="shared" si="162"/>
        <v>0</v>
      </c>
      <c r="S107" s="402">
        <f t="shared" si="162"/>
        <v>0</v>
      </c>
      <c r="T107" s="402">
        <f t="shared" si="162"/>
        <v>0</v>
      </c>
      <c r="U107" s="402">
        <f t="shared" si="162"/>
        <v>0</v>
      </c>
      <c r="V107" s="402">
        <f t="shared" si="162"/>
        <v>0</v>
      </c>
      <c r="W107" s="402">
        <f t="shared" si="162"/>
        <v>0</v>
      </c>
      <c r="X107" s="402">
        <f t="shared" si="162"/>
        <v>0</v>
      </c>
      <c r="Y107" s="402">
        <f t="shared" si="162"/>
        <v>0</v>
      </c>
      <c r="Z107" s="402">
        <f t="shared" si="162"/>
        <v>0</v>
      </c>
      <c r="AA107" s="402">
        <f t="shared" si="162"/>
        <v>0</v>
      </c>
      <c r="AB107" s="402">
        <f t="shared" si="162"/>
        <v>0</v>
      </c>
      <c r="AC107" s="402">
        <f t="shared" si="162"/>
        <v>0</v>
      </c>
      <c r="AD107" s="402">
        <f t="shared" si="162"/>
        <v>0</v>
      </c>
      <c r="AE107" s="402">
        <f t="shared" si="162"/>
        <v>0</v>
      </c>
      <c r="AF107" s="402">
        <f t="shared" si="162"/>
        <v>0</v>
      </c>
      <c r="AG107" s="402">
        <f t="shared" si="162"/>
        <v>0</v>
      </c>
      <c r="AH107" s="402">
        <f t="shared" si="162"/>
        <v>0</v>
      </c>
      <c r="AI107" s="402">
        <f t="shared" si="162"/>
        <v>0</v>
      </c>
      <c r="AJ107" s="402">
        <f t="shared" ref="AJ107:BO107" si="163">SUMIF($D$2:$JU$2,AJ$102,$D100:$JU100)</f>
        <v>0</v>
      </c>
      <c r="AK107" s="402">
        <f t="shared" si="163"/>
        <v>0</v>
      </c>
      <c r="AL107" s="402">
        <f t="shared" si="163"/>
        <v>0</v>
      </c>
      <c r="AM107" s="402">
        <f t="shared" si="163"/>
        <v>0</v>
      </c>
      <c r="AN107" s="402">
        <f t="shared" si="163"/>
        <v>0</v>
      </c>
      <c r="AO107" s="402">
        <f t="shared" si="163"/>
        <v>0</v>
      </c>
      <c r="AP107" s="402">
        <f t="shared" si="163"/>
        <v>0</v>
      </c>
      <c r="AQ107" s="402">
        <f t="shared" si="163"/>
        <v>0</v>
      </c>
      <c r="AR107" s="402">
        <f t="shared" si="163"/>
        <v>0</v>
      </c>
      <c r="AS107" s="402">
        <f t="shared" si="163"/>
        <v>0</v>
      </c>
      <c r="AT107" s="402">
        <f t="shared" si="163"/>
        <v>0</v>
      </c>
      <c r="AU107" s="402">
        <f t="shared" si="163"/>
        <v>0</v>
      </c>
      <c r="AV107" s="402">
        <f t="shared" si="163"/>
        <v>0</v>
      </c>
      <c r="AW107" s="402">
        <f t="shared" si="163"/>
        <v>0</v>
      </c>
      <c r="AX107" s="402">
        <f t="shared" si="163"/>
        <v>0</v>
      </c>
      <c r="AY107" s="402">
        <f t="shared" si="163"/>
        <v>0</v>
      </c>
      <c r="AZ107" s="402">
        <f t="shared" si="163"/>
        <v>0</v>
      </c>
      <c r="BA107" s="402">
        <f t="shared" si="163"/>
        <v>0</v>
      </c>
      <c r="BB107" s="402">
        <f t="shared" si="163"/>
        <v>0</v>
      </c>
      <c r="BC107" s="402">
        <f t="shared" si="163"/>
        <v>0</v>
      </c>
      <c r="BD107" s="402">
        <f t="shared" si="163"/>
        <v>0</v>
      </c>
      <c r="BE107" s="402">
        <f t="shared" si="163"/>
        <v>0</v>
      </c>
      <c r="BF107" s="402">
        <f t="shared" si="163"/>
        <v>0</v>
      </c>
      <c r="BG107" s="402">
        <f t="shared" si="163"/>
        <v>0</v>
      </c>
      <c r="BH107" s="402">
        <f t="shared" si="163"/>
        <v>0</v>
      </c>
      <c r="BI107" s="402">
        <f t="shared" si="163"/>
        <v>0</v>
      </c>
      <c r="BJ107" s="402">
        <f t="shared" si="163"/>
        <v>0</v>
      </c>
      <c r="BK107" s="402">
        <f t="shared" si="163"/>
        <v>0</v>
      </c>
      <c r="BL107" s="402">
        <f t="shared" si="163"/>
        <v>0</v>
      </c>
      <c r="BM107" s="402">
        <f t="shared" si="163"/>
        <v>0</v>
      </c>
      <c r="BN107" s="402">
        <f t="shared" si="163"/>
        <v>0</v>
      </c>
      <c r="BO107" s="402">
        <f t="shared" si="163"/>
        <v>0</v>
      </c>
      <c r="BP107" s="402">
        <f t="shared" ref="BP107:CU107" si="164">SUMIF($D$2:$JU$2,BP$102,$D100:$JU100)</f>
        <v>0</v>
      </c>
      <c r="BQ107" s="402">
        <f t="shared" si="164"/>
        <v>0</v>
      </c>
      <c r="BR107" s="402">
        <f t="shared" si="164"/>
        <v>0</v>
      </c>
      <c r="BS107" s="402">
        <f t="shared" si="164"/>
        <v>0</v>
      </c>
      <c r="BT107" s="402">
        <f t="shared" si="164"/>
        <v>0</v>
      </c>
      <c r="BU107" s="402">
        <f t="shared" si="164"/>
        <v>0</v>
      </c>
      <c r="BV107" s="402">
        <f t="shared" si="164"/>
        <v>0</v>
      </c>
      <c r="BW107" s="402">
        <f t="shared" si="164"/>
        <v>0</v>
      </c>
      <c r="BX107" s="402">
        <f t="shared" si="164"/>
        <v>0</v>
      </c>
      <c r="BY107" s="402">
        <f t="shared" si="164"/>
        <v>0</v>
      </c>
      <c r="BZ107" s="402">
        <f t="shared" si="164"/>
        <v>0</v>
      </c>
      <c r="CA107" s="402">
        <f t="shared" si="164"/>
        <v>0</v>
      </c>
      <c r="CB107" s="402">
        <f t="shared" si="164"/>
        <v>0</v>
      </c>
      <c r="CC107" s="402">
        <f t="shared" si="164"/>
        <v>0</v>
      </c>
      <c r="CD107" s="402">
        <f t="shared" si="164"/>
        <v>0</v>
      </c>
      <c r="CE107" s="402">
        <f t="shared" si="164"/>
        <v>0</v>
      </c>
      <c r="CF107" s="402">
        <f t="shared" si="164"/>
        <v>0</v>
      </c>
      <c r="CG107" s="402">
        <f t="shared" si="164"/>
        <v>0</v>
      </c>
      <c r="CH107" s="402">
        <f t="shared" si="164"/>
        <v>0</v>
      </c>
      <c r="CI107" s="402">
        <f t="shared" si="164"/>
        <v>0</v>
      </c>
      <c r="CJ107" s="402">
        <f t="shared" si="164"/>
        <v>0</v>
      </c>
      <c r="CK107" s="402">
        <f t="shared" si="164"/>
        <v>0</v>
      </c>
      <c r="CL107" s="402">
        <f t="shared" si="164"/>
        <v>0</v>
      </c>
      <c r="CM107" s="402">
        <f t="shared" si="164"/>
        <v>0</v>
      </c>
      <c r="CN107" s="402">
        <f t="shared" si="164"/>
        <v>0</v>
      </c>
      <c r="CO107" s="402">
        <f t="shared" si="164"/>
        <v>0</v>
      </c>
      <c r="CP107" s="402">
        <f t="shared" si="164"/>
        <v>0</v>
      </c>
      <c r="CQ107" s="402">
        <f t="shared" si="164"/>
        <v>0</v>
      </c>
      <c r="CR107" s="402">
        <f t="shared" si="164"/>
        <v>0</v>
      </c>
      <c r="CS107" s="402">
        <f t="shared" si="164"/>
        <v>0</v>
      </c>
      <c r="CT107" s="402">
        <f t="shared" si="164"/>
        <v>0</v>
      </c>
      <c r="CU107" s="402">
        <f t="shared" si="164"/>
        <v>0</v>
      </c>
    </row>
    <row r="109" spans="1:281">
      <c r="A109" s="1" t="s">
        <v>255</v>
      </c>
      <c r="D109" s="419">
        <f>D3</f>
        <v>43190</v>
      </c>
      <c r="E109" s="419">
        <f t="shared" ref="E109:AA109" si="165">EOMONTH(D109,12)</f>
        <v>43555</v>
      </c>
      <c r="F109" s="419">
        <f t="shared" si="165"/>
        <v>43921</v>
      </c>
      <c r="G109" s="419">
        <f t="shared" si="165"/>
        <v>44286</v>
      </c>
      <c r="H109" s="419">
        <f t="shared" si="165"/>
        <v>44651</v>
      </c>
      <c r="I109" s="419">
        <f t="shared" si="165"/>
        <v>45016</v>
      </c>
      <c r="J109" s="419">
        <f t="shared" si="165"/>
        <v>45382</v>
      </c>
      <c r="K109" s="419">
        <f t="shared" si="165"/>
        <v>45747</v>
      </c>
      <c r="L109" s="419">
        <f t="shared" si="165"/>
        <v>46112</v>
      </c>
      <c r="M109" s="419">
        <f t="shared" si="165"/>
        <v>46477</v>
      </c>
      <c r="N109" s="419">
        <f t="shared" si="165"/>
        <v>46843</v>
      </c>
      <c r="O109" s="419">
        <f t="shared" si="165"/>
        <v>47208</v>
      </c>
      <c r="P109" s="419">
        <f t="shared" si="165"/>
        <v>47573</v>
      </c>
      <c r="Q109" s="419">
        <f t="shared" si="165"/>
        <v>47938</v>
      </c>
      <c r="R109" s="419">
        <f t="shared" si="165"/>
        <v>48304</v>
      </c>
      <c r="S109" s="419">
        <f t="shared" si="165"/>
        <v>48669</v>
      </c>
      <c r="T109" s="419">
        <f t="shared" si="165"/>
        <v>49034</v>
      </c>
      <c r="U109" s="419">
        <f t="shared" si="165"/>
        <v>49399</v>
      </c>
      <c r="V109" s="419">
        <f t="shared" si="165"/>
        <v>49765</v>
      </c>
      <c r="W109" s="419">
        <f t="shared" si="165"/>
        <v>50130</v>
      </c>
      <c r="X109" s="419">
        <f t="shared" si="165"/>
        <v>50495</v>
      </c>
      <c r="Y109" s="419">
        <f t="shared" si="165"/>
        <v>50860</v>
      </c>
      <c r="Z109" s="419">
        <f t="shared" si="165"/>
        <v>51226</v>
      </c>
      <c r="AA109" s="419">
        <f t="shared" si="165"/>
        <v>51591</v>
      </c>
    </row>
    <row r="110" spans="1:281">
      <c r="A110" t="s">
        <v>249</v>
      </c>
      <c r="D110" s="9">
        <f>D103</f>
        <v>0</v>
      </c>
      <c r="E110" s="9">
        <f>D113</f>
        <v>0</v>
      </c>
      <c r="F110" s="9">
        <f t="shared" ref="F110:K110" si="166">E113</f>
        <v>0</v>
      </c>
      <c r="G110" s="9">
        <f t="shared" si="166"/>
        <v>0</v>
      </c>
      <c r="H110" s="9">
        <f t="shared" si="166"/>
        <v>0</v>
      </c>
      <c r="I110" s="9">
        <f t="shared" si="166"/>
        <v>0</v>
      </c>
      <c r="J110" s="9">
        <f t="shared" si="166"/>
        <v>0</v>
      </c>
      <c r="K110" s="9">
        <f t="shared" si="166"/>
        <v>0</v>
      </c>
      <c r="L110" s="9">
        <f t="shared" ref="L110:AA110" si="167">K113</f>
        <v>0</v>
      </c>
      <c r="M110" s="9">
        <f t="shared" si="167"/>
        <v>0</v>
      </c>
      <c r="N110" s="9">
        <f t="shared" si="167"/>
        <v>0</v>
      </c>
      <c r="O110" s="9">
        <f t="shared" si="167"/>
        <v>0</v>
      </c>
      <c r="P110" s="9">
        <f t="shared" si="167"/>
        <v>0</v>
      </c>
      <c r="Q110" s="9">
        <f t="shared" si="167"/>
        <v>0</v>
      </c>
      <c r="R110" s="9">
        <f t="shared" si="167"/>
        <v>0</v>
      </c>
      <c r="S110" s="9">
        <f t="shared" si="167"/>
        <v>0</v>
      </c>
      <c r="T110" s="9">
        <f t="shared" si="167"/>
        <v>0</v>
      </c>
      <c r="U110" s="9">
        <f t="shared" si="167"/>
        <v>0</v>
      </c>
      <c r="V110" s="9">
        <f t="shared" si="167"/>
        <v>0</v>
      </c>
      <c r="W110" s="9">
        <f t="shared" si="167"/>
        <v>0</v>
      </c>
      <c r="X110" s="9">
        <f t="shared" si="167"/>
        <v>0</v>
      </c>
      <c r="Y110" s="9">
        <f t="shared" si="167"/>
        <v>0</v>
      </c>
      <c r="Z110" s="9">
        <f t="shared" si="167"/>
        <v>0</v>
      </c>
      <c r="AA110" s="9">
        <f t="shared" si="167"/>
        <v>0</v>
      </c>
    </row>
    <row r="111" spans="1:281">
      <c r="A111" t="s">
        <v>188</v>
      </c>
      <c r="D111" s="13">
        <f>SUMIF($D$3:$JU$3,D$109,$D97:$JU97)</f>
        <v>0</v>
      </c>
      <c r="E111" s="13">
        <f t="shared" ref="E111:AA111" si="168">SUMIF($3:$3,E109,$104:$104)</f>
        <v>0</v>
      </c>
      <c r="F111" s="13">
        <f t="shared" si="168"/>
        <v>0</v>
      </c>
      <c r="G111" s="13">
        <f t="shared" si="168"/>
        <v>0</v>
      </c>
      <c r="H111" s="13">
        <f t="shared" si="168"/>
        <v>0</v>
      </c>
      <c r="I111" s="13">
        <f t="shared" si="168"/>
        <v>0</v>
      </c>
      <c r="J111" s="13">
        <f t="shared" si="168"/>
        <v>0</v>
      </c>
      <c r="K111" s="13">
        <f t="shared" si="168"/>
        <v>0</v>
      </c>
      <c r="L111" s="13">
        <f t="shared" si="168"/>
        <v>0</v>
      </c>
      <c r="M111" s="13">
        <f t="shared" si="168"/>
        <v>0</v>
      </c>
      <c r="N111" s="13">
        <f t="shared" si="168"/>
        <v>0</v>
      </c>
      <c r="O111" s="13">
        <f t="shared" si="168"/>
        <v>0</v>
      </c>
      <c r="P111" s="13">
        <f t="shared" si="168"/>
        <v>0</v>
      </c>
      <c r="Q111" s="13">
        <f t="shared" si="168"/>
        <v>0</v>
      </c>
      <c r="R111" s="13">
        <f t="shared" si="168"/>
        <v>0</v>
      </c>
      <c r="S111" s="13">
        <f t="shared" si="168"/>
        <v>0</v>
      </c>
      <c r="T111" s="13">
        <f t="shared" si="168"/>
        <v>0</v>
      </c>
      <c r="U111" s="13">
        <f t="shared" si="168"/>
        <v>0</v>
      </c>
      <c r="V111" s="13">
        <f t="shared" si="168"/>
        <v>0</v>
      </c>
      <c r="W111" s="13">
        <f t="shared" si="168"/>
        <v>0</v>
      </c>
      <c r="X111" s="13">
        <f t="shared" si="168"/>
        <v>0</v>
      </c>
      <c r="Y111" s="13">
        <f t="shared" si="168"/>
        <v>0</v>
      </c>
      <c r="Z111" s="13">
        <f t="shared" si="168"/>
        <v>0</v>
      </c>
      <c r="AA111" s="13">
        <f t="shared" si="168"/>
        <v>0</v>
      </c>
    </row>
    <row r="112" spans="1:281">
      <c r="A112" t="s">
        <v>250</v>
      </c>
      <c r="D112" s="13">
        <f>SUMIF($D$3:$JU$3,D$109,$D98:$JU98)</f>
        <v>0</v>
      </c>
      <c r="E112" s="13">
        <f t="shared" ref="E112:AA112" si="169">SUMIF($D$3:$JU$3,E$109,$D98:$JU98)</f>
        <v>0</v>
      </c>
      <c r="F112" s="13">
        <f t="shared" si="169"/>
        <v>0</v>
      </c>
      <c r="G112" s="13">
        <f t="shared" si="169"/>
        <v>0</v>
      </c>
      <c r="H112" s="13">
        <f t="shared" si="169"/>
        <v>0</v>
      </c>
      <c r="I112" s="13">
        <f t="shared" si="169"/>
        <v>0</v>
      </c>
      <c r="J112" s="13">
        <f t="shared" si="169"/>
        <v>0</v>
      </c>
      <c r="K112" s="13">
        <f t="shared" si="169"/>
        <v>0</v>
      </c>
      <c r="L112" s="13">
        <f t="shared" si="169"/>
        <v>0</v>
      </c>
      <c r="M112" s="13">
        <f t="shared" si="169"/>
        <v>0</v>
      </c>
      <c r="N112" s="13">
        <f t="shared" si="169"/>
        <v>0</v>
      </c>
      <c r="O112" s="13">
        <f t="shared" si="169"/>
        <v>0</v>
      </c>
      <c r="P112" s="13">
        <f t="shared" si="169"/>
        <v>0</v>
      </c>
      <c r="Q112" s="13">
        <f t="shared" si="169"/>
        <v>0</v>
      </c>
      <c r="R112" s="13">
        <f t="shared" si="169"/>
        <v>0</v>
      </c>
      <c r="S112" s="13">
        <f t="shared" si="169"/>
        <v>0</v>
      </c>
      <c r="T112" s="13">
        <f t="shared" si="169"/>
        <v>0</v>
      </c>
      <c r="U112" s="13">
        <f t="shared" si="169"/>
        <v>0</v>
      </c>
      <c r="V112" s="13">
        <f t="shared" si="169"/>
        <v>0</v>
      </c>
      <c r="W112" s="13">
        <f t="shared" si="169"/>
        <v>0</v>
      </c>
      <c r="X112" s="13">
        <f t="shared" si="169"/>
        <v>0</v>
      </c>
      <c r="Y112" s="13">
        <f t="shared" si="169"/>
        <v>0</v>
      </c>
      <c r="Z112" s="13">
        <f t="shared" si="169"/>
        <v>0</v>
      </c>
      <c r="AA112" s="13">
        <f t="shared" si="169"/>
        <v>0</v>
      </c>
    </row>
    <row r="113" spans="1:27">
      <c r="A113" t="s">
        <v>251</v>
      </c>
      <c r="D113" s="13">
        <f>D110+D111-D112</f>
        <v>0</v>
      </c>
      <c r="E113" s="13">
        <f t="shared" ref="E113:K113" si="170">E110+E111-E112</f>
        <v>0</v>
      </c>
      <c r="F113" s="13">
        <f t="shared" si="170"/>
        <v>0</v>
      </c>
      <c r="G113" s="13">
        <f t="shared" si="170"/>
        <v>0</v>
      </c>
      <c r="H113" s="13">
        <f t="shared" si="170"/>
        <v>0</v>
      </c>
      <c r="I113" s="13">
        <f t="shared" si="170"/>
        <v>0</v>
      </c>
      <c r="J113" s="13">
        <f t="shared" si="170"/>
        <v>0</v>
      </c>
      <c r="K113" s="13">
        <f t="shared" si="170"/>
        <v>0</v>
      </c>
      <c r="L113" s="13">
        <f t="shared" ref="L113:AA113" si="171">L110+L111-L112</f>
        <v>0</v>
      </c>
      <c r="M113" s="13">
        <f t="shared" si="171"/>
        <v>0</v>
      </c>
      <c r="N113" s="13">
        <f t="shared" si="171"/>
        <v>0</v>
      </c>
      <c r="O113" s="13">
        <f t="shared" si="171"/>
        <v>0</v>
      </c>
      <c r="P113" s="13">
        <f t="shared" si="171"/>
        <v>0</v>
      </c>
      <c r="Q113" s="13">
        <f t="shared" si="171"/>
        <v>0</v>
      </c>
      <c r="R113" s="13">
        <f t="shared" si="171"/>
        <v>0</v>
      </c>
      <c r="S113" s="13">
        <f t="shared" si="171"/>
        <v>0</v>
      </c>
      <c r="T113" s="13">
        <f t="shared" si="171"/>
        <v>0</v>
      </c>
      <c r="U113" s="13">
        <f t="shared" si="171"/>
        <v>0</v>
      </c>
      <c r="V113" s="13">
        <f t="shared" si="171"/>
        <v>0</v>
      </c>
      <c r="W113" s="13">
        <f t="shared" si="171"/>
        <v>0</v>
      </c>
      <c r="X113" s="13">
        <f t="shared" si="171"/>
        <v>0</v>
      </c>
      <c r="Y113" s="13">
        <f t="shared" si="171"/>
        <v>0</v>
      </c>
      <c r="Z113" s="13">
        <f t="shared" si="171"/>
        <v>0</v>
      </c>
      <c r="AA113" s="13">
        <f t="shared" si="171"/>
        <v>0</v>
      </c>
    </row>
    <row r="114" spans="1:27">
      <c r="A114" t="s">
        <v>256</v>
      </c>
      <c r="D114" s="13">
        <f t="shared" ref="D114:AA114" si="172">SUMIF($D$3:$JU$3,D$109,$D100:$JU100)</f>
        <v>0</v>
      </c>
      <c r="E114" s="13">
        <f t="shared" si="172"/>
        <v>0</v>
      </c>
      <c r="F114" s="13">
        <f t="shared" si="172"/>
        <v>0</v>
      </c>
      <c r="G114" s="13">
        <f t="shared" si="172"/>
        <v>0</v>
      </c>
      <c r="H114" s="13">
        <f t="shared" si="172"/>
        <v>0</v>
      </c>
      <c r="I114" s="13">
        <f t="shared" si="172"/>
        <v>0</v>
      </c>
      <c r="J114" s="13">
        <f t="shared" si="172"/>
        <v>0</v>
      </c>
      <c r="K114" s="13">
        <f t="shared" si="172"/>
        <v>0</v>
      </c>
      <c r="L114" s="13">
        <f t="shared" si="172"/>
        <v>0</v>
      </c>
      <c r="M114" s="13">
        <f t="shared" si="172"/>
        <v>0</v>
      </c>
      <c r="N114" s="13">
        <f t="shared" si="172"/>
        <v>0</v>
      </c>
      <c r="O114" s="13">
        <f t="shared" si="172"/>
        <v>0</v>
      </c>
      <c r="P114" s="13">
        <f t="shared" si="172"/>
        <v>0</v>
      </c>
      <c r="Q114" s="13">
        <f t="shared" si="172"/>
        <v>0</v>
      </c>
      <c r="R114" s="13">
        <f t="shared" si="172"/>
        <v>0</v>
      </c>
      <c r="S114" s="13">
        <f t="shared" si="172"/>
        <v>0</v>
      </c>
      <c r="T114" s="13">
        <f t="shared" si="172"/>
        <v>0</v>
      </c>
      <c r="U114" s="13">
        <f t="shared" si="172"/>
        <v>0</v>
      </c>
      <c r="V114" s="13">
        <f t="shared" si="172"/>
        <v>0</v>
      </c>
      <c r="W114" s="13">
        <f t="shared" si="172"/>
        <v>0</v>
      </c>
      <c r="X114" s="13">
        <f t="shared" si="172"/>
        <v>0</v>
      </c>
      <c r="Y114" s="13">
        <f t="shared" si="172"/>
        <v>0</v>
      </c>
      <c r="Z114" s="13">
        <f t="shared" si="172"/>
        <v>0</v>
      </c>
      <c r="AA114" s="13">
        <f t="shared" si="172"/>
        <v>0</v>
      </c>
    </row>
  </sheetData>
  <pageMargins left="0.69930555555555596" right="0.69930555555555596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F113"/>
  <sheetViews>
    <sheetView workbookViewId="0">
      <pane xSplit="2" ySplit="3" topLeftCell="U4" activePane="bottomRight" state="frozen"/>
      <selection pane="topRight"/>
      <selection pane="bottomLeft"/>
      <selection pane="bottomRight" activeCell="AA4" sqref="AA4"/>
    </sheetView>
  </sheetViews>
  <sheetFormatPr defaultColWidth="9.109375" defaultRowHeight="14.4"/>
  <cols>
    <col min="1" max="1" width="23" customWidth="1"/>
    <col min="2" max="2" width="16.33203125" customWidth="1"/>
    <col min="3" max="3" width="10.6640625" customWidth="1"/>
    <col min="4" max="4" width="9.33203125" customWidth="1"/>
    <col min="5" max="5" width="10.5546875" customWidth="1"/>
    <col min="6" max="6" width="9.33203125" customWidth="1"/>
    <col min="7" max="7" width="9.44140625" customWidth="1"/>
    <col min="8" max="8" width="9.5546875" customWidth="1"/>
    <col min="9" max="9" width="10.6640625" customWidth="1"/>
    <col min="10" max="10" width="9.33203125" customWidth="1"/>
    <col min="11" max="11" width="10.6640625" customWidth="1"/>
    <col min="12" max="12" width="9.5546875" customWidth="1"/>
    <col min="13" max="13" width="10.6640625" customWidth="1"/>
    <col min="14" max="14" width="9.33203125" customWidth="1"/>
    <col min="15" max="15" width="9.44140625" customWidth="1"/>
    <col min="16" max="16" width="9.5546875" customWidth="1"/>
    <col min="17" max="17" width="10.6640625" customWidth="1"/>
    <col min="18" max="18" width="9.33203125" customWidth="1"/>
    <col min="19" max="19" width="9.5546875" customWidth="1"/>
    <col min="20" max="20" width="9.33203125" customWidth="1"/>
    <col min="21" max="21" width="10" customWidth="1"/>
    <col min="22" max="22" width="9.44140625" customWidth="1"/>
    <col min="23" max="24" width="9.33203125" customWidth="1"/>
    <col min="25" max="25" width="9.5546875" customWidth="1"/>
    <col min="26" max="26" width="9.33203125" customWidth="1"/>
    <col min="27" max="27" width="13.109375" customWidth="1"/>
    <col min="28" max="28" width="9.5546875" customWidth="1"/>
    <col min="30" max="32" width="9.5546875" customWidth="1"/>
  </cols>
  <sheetData>
    <row r="1" spans="1:28">
      <c r="A1" s="815" t="s">
        <v>320</v>
      </c>
      <c r="B1" s="357"/>
      <c r="C1" s="815" t="s">
        <v>25</v>
      </c>
      <c r="D1" s="815"/>
      <c r="E1" s="815"/>
      <c r="F1" s="815"/>
      <c r="G1" s="815"/>
      <c r="H1" s="815"/>
      <c r="I1" s="815"/>
      <c r="J1" s="815"/>
      <c r="K1" s="815" t="s">
        <v>26</v>
      </c>
      <c r="L1" s="815"/>
      <c r="M1" s="815"/>
      <c r="N1" s="815"/>
      <c r="O1" s="815"/>
      <c r="P1" s="815"/>
      <c r="Q1" s="815"/>
      <c r="R1" s="815"/>
      <c r="S1" s="815"/>
      <c r="T1" s="815"/>
      <c r="U1" s="815" t="s">
        <v>321</v>
      </c>
      <c r="V1" s="815"/>
      <c r="W1" s="815"/>
      <c r="X1" s="815"/>
      <c r="Y1" s="815"/>
      <c r="Z1" s="815"/>
    </row>
    <row r="2" spans="1:28">
      <c r="A2" s="815"/>
      <c r="B2" s="357"/>
      <c r="C2" s="815" t="s">
        <v>322</v>
      </c>
      <c r="D2" s="815"/>
      <c r="E2" s="815" t="s">
        <v>323</v>
      </c>
      <c r="F2" s="815"/>
      <c r="G2" s="815" t="s">
        <v>324</v>
      </c>
      <c r="H2" s="815"/>
      <c r="I2" s="815" t="s">
        <v>325</v>
      </c>
      <c r="J2" s="815"/>
      <c r="K2" s="815" t="s">
        <v>322</v>
      </c>
      <c r="L2" s="815"/>
      <c r="M2" s="815" t="s">
        <v>323</v>
      </c>
      <c r="N2" s="815"/>
      <c r="O2" s="815" t="s">
        <v>324</v>
      </c>
      <c r="P2" s="815"/>
      <c r="Q2" s="815" t="s">
        <v>325</v>
      </c>
      <c r="R2" s="815"/>
      <c r="S2" s="815" t="s">
        <v>326</v>
      </c>
      <c r="T2" s="815"/>
      <c r="U2" s="815" t="s">
        <v>327</v>
      </c>
      <c r="V2" s="815"/>
      <c r="W2" s="815" t="s">
        <v>328</v>
      </c>
      <c r="X2" s="815"/>
      <c r="Y2" s="815" t="s">
        <v>329</v>
      </c>
      <c r="Z2" s="815"/>
    </row>
    <row r="3" spans="1:28">
      <c r="A3" s="815"/>
      <c r="B3" s="357"/>
      <c r="C3" s="357" t="s">
        <v>330</v>
      </c>
      <c r="D3" s="358" t="s">
        <v>331</v>
      </c>
      <c r="E3" s="357" t="s">
        <v>330</v>
      </c>
      <c r="F3" s="358" t="s">
        <v>331</v>
      </c>
      <c r="G3" s="357" t="s">
        <v>330</v>
      </c>
      <c r="H3" s="358" t="s">
        <v>331</v>
      </c>
      <c r="I3" s="357" t="s">
        <v>330</v>
      </c>
      <c r="J3" s="358" t="s">
        <v>331</v>
      </c>
      <c r="K3" s="358" t="s">
        <v>330</v>
      </c>
      <c r="L3" s="358" t="s">
        <v>331</v>
      </c>
      <c r="M3" s="358" t="s">
        <v>330</v>
      </c>
      <c r="N3" s="358" t="s">
        <v>331</v>
      </c>
      <c r="O3" s="358" t="s">
        <v>330</v>
      </c>
      <c r="P3" s="358" t="s">
        <v>331</v>
      </c>
      <c r="Q3" s="358" t="s">
        <v>330</v>
      </c>
      <c r="R3" s="358" t="s">
        <v>331</v>
      </c>
      <c r="S3" s="358" t="s">
        <v>330</v>
      </c>
      <c r="T3" s="358" t="s">
        <v>331</v>
      </c>
      <c r="U3" s="358" t="s">
        <v>330</v>
      </c>
      <c r="V3" s="358" t="s">
        <v>331</v>
      </c>
      <c r="W3" s="358" t="s">
        <v>330</v>
      </c>
      <c r="X3" s="358" t="s">
        <v>331</v>
      </c>
      <c r="Y3" s="358" t="s">
        <v>330</v>
      </c>
      <c r="Z3" s="358" t="s">
        <v>331</v>
      </c>
      <c r="AA3" s="62">
        <f>SUM(AA4:AA7)</f>
        <v>412.34000000000003</v>
      </c>
    </row>
    <row r="4" spans="1:28">
      <c r="A4" s="559" t="s">
        <v>332</v>
      </c>
      <c r="B4" s="359"/>
      <c r="C4" s="360">
        <v>233.7</v>
      </c>
      <c r="D4" s="360">
        <v>8.6999999999999993</v>
      </c>
      <c r="E4" s="360">
        <v>33.57</v>
      </c>
      <c r="F4" s="360">
        <v>1.25</v>
      </c>
      <c r="G4" s="360">
        <v>94.14</v>
      </c>
      <c r="H4" s="360">
        <v>3.48</v>
      </c>
      <c r="I4" s="360">
        <v>21.59</v>
      </c>
      <c r="J4" s="360">
        <v>0.9</v>
      </c>
      <c r="K4" s="360">
        <v>261.62</v>
      </c>
      <c r="L4" s="360">
        <v>8.6999999999999993</v>
      </c>
      <c r="M4" s="360">
        <v>37.58</v>
      </c>
      <c r="N4" s="360">
        <v>1.25</v>
      </c>
      <c r="O4" s="360">
        <v>104.05</v>
      </c>
      <c r="P4" s="360">
        <v>3.48</v>
      </c>
      <c r="Q4" s="360">
        <v>23.86</v>
      </c>
      <c r="R4" s="360">
        <v>0.9</v>
      </c>
      <c r="S4" s="360">
        <v>292.25</v>
      </c>
      <c r="T4" s="360">
        <v>10.52</v>
      </c>
      <c r="U4" s="374">
        <f t="shared" ref="U4:V10" si="0">SUM(S4,O4,M4,Q4,K4,G4,E4,I4,C4)</f>
        <v>1102.3600000000001</v>
      </c>
      <c r="V4" s="374">
        <f t="shared" si="0"/>
        <v>39.179999999999993</v>
      </c>
      <c r="W4" s="360">
        <v>300</v>
      </c>
      <c r="X4" s="360">
        <v>3.8</v>
      </c>
      <c r="Y4" s="360">
        <v>2132.9699999999998</v>
      </c>
      <c r="Z4" s="360">
        <f>SUM(X4,V4)</f>
        <v>42.97999999999999</v>
      </c>
      <c r="AA4" s="9">
        <f>X4+W4</f>
        <v>303.8</v>
      </c>
      <c r="AB4" s="9">
        <f>AA4+V4+U4</f>
        <v>1445.3400000000001</v>
      </c>
    </row>
    <row r="5" spans="1:28">
      <c r="A5" s="359" t="s">
        <v>333</v>
      </c>
      <c r="B5" s="359"/>
      <c r="C5" s="360">
        <v>42.6</v>
      </c>
      <c r="D5" s="360">
        <v>1.3</v>
      </c>
      <c r="E5" s="360">
        <v>17.04</v>
      </c>
      <c r="F5" s="360">
        <v>0.52</v>
      </c>
      <c r="G5" s="360">
        <v>20.73</v>
      </c>
      <c r="H5" s="360">
        <v>0.64</v>
      </c>
      <c r="I5" s="360">
        <v>0</v>
      </c>
      <c r="J5" s="360">
        <v>0</v>
      </c>
      <c r="K5" s="360">
        <v>47.46</v>
      </c>
      <c r="L5" s="360">
        <v>1.45</v>
      </c>
      <c r="M5" s="360">
        <v>18.98</v>
      </c>
      <c r="N5" s="360">
        <v>0.57999999999999996</v>
      </c>
      <c r="O5" s="360">
        <v>22.91</v>
      </c>
      <c r="P5" s="360">
        <v>0.71</v>
      </c>
      <c r="Q5" s="360">
        <v>0</v>
      </c>
      <c r="R5" s="360">
        <v>0</v>
      </c>
      <c r="S5" s="360">
        <v>41.02</v>
      </c>
      <c r="T5" s="360">
        <v>1.35</v>
      </c>
      <c r="U5" s="374">
        <f t="shared" si="0"/>
        <v>210.73999999999998</v>
      </c>
      <c r="V5" s="374">
        <f t="shared" si="0"/>
        <v>6.55</v>
      </c>
      <c r="W5" s="360">
        <v>33</v>
      </c>
      <c r="X5" s="360">
        <v>0.81</v>
      </c>
      <c r="Y5" s="360">
        <v>0</v>
      </c>
      <c r="Z5" s="360">
        <v>0</v>
      </c>
      <c r="AA5" s="9">
        <f t="shared" ref="AA5:AA23" si="1">X5+W5</f>
        <v>33.81</v>
      </c>
      <c r="AB5" s="9">
        <f t="shared" ref="AB5:AB23" si="2">AA5+V5+U5</f>
        <v>251.09999999999997</v>
      </c>
    </row>
    <row r="6" spans="1:28">
      <c r="A6" s="359" t="s">
        <v>334</v>
      </c>
      <c r="B6" s="359"/>
      <c r="C6" s="360">
        <v>39.020000000000003</v>
      </c>
      <c r="D6" s="360">
        <v>1.34</v>
      </c>
      <c r="E6" s="360">
        <v>6.36</v>
      </c>
      <c r="F6" s="360">
        <v>0.24</v>
      </c>
      <c r="G6" s="360">
        <v>10.77</v>
      </c>
      <c r="H6" s="360">
        <v>0.36</v>
      </c>
      <c r="I6" s="360">
        <v>3.58</v>
      </c>
      <c r="J6" s="360">
        <v>0.13</v>
      </c>
      <c r="K6" s="360">
        <v>43.5</v>
      </c>
      <c r="L6" s="360">
        <v>1.49</v>
      </c>
      <c r="M6" s="360">
        <v>7.12</v>
      </c>
      <c r="N6" s="360">
        <v>0.25</v>
      </c>
      <c r="O6" s="360">
        <v>11.93</v>
      </c>
      <c r="P6" s="360">
        <v>0.4</v>
      </c>
      <c r="Q6" s="360">
        <v>3.98</v>
      </c>
      <c r="R6" s="360">
        <v>0.15</v>
      </c>
      <c r="S6" s="360">
        <v>30.09</v>
      </c>
      <c r="T6" s="360">
        <v>1.1100000000000001</v>
      </c>
      <c r="U6" s="374">
        <f t="shared" si="0"/>
        <v>156.35</v>
      </c>
      <c r="V6" s="374">
        <f t="shared" si="0"/>
        <v>5.47</v>
      </c>
      <c r="W6" s="360">
        <v>25</v>
      </c>
      <c r="X6" s="360">
        <v>0.93</v>
      </c>
      <c r="Y6" s="360">
        <v>0</v>
      </c>
      <c r="Z6" s="360">
        <v>0</v>
      </c>
      <c r="AA6" s="9">
        <f t="shared" si="1"/>
        <v>25.93</v>
      </c>
      <c r="AB6" s="9">
        <f t="shared" si="2"/>
        <v>187.75</v>
      </c>
    </row>
    <row r="7" spans="1:28">
      <c r="A7" s="359" t="s">
        <v>335</v>
      </c>
      <c r="B7" s="359"/>
      <c r="C7" s="360">
        <v>63.9</v>
      </c>
      <c r="D7" s="360">
        <v>1.67</v>
      </c>
      <c r="E7" s="360">
        <v>5.53</v>
      </c>
      <c r="F7" s="360">
        <v>0.25</v>
      </c>
      <c r="G7" s="360">
        <v>24.16</v>
      </c>
      <c r="H7" s="360">
        <v>0.81</v>
      </c>
      <c r="I7" s="360">
        <v>21.58</v>
      </c>
      <c r="J7" s="360">
        <v>0.83</v>
      </c>
      <c r="K7" s="360">
        <v>71.2</v>
      </c>
      <c r="L7" s="360">
        <v>1.87</v>
      </c>
      <c r="M7" s="360">
        <v>6.17</v>
      </c>
      <c r="N7" s="360">
        <v>0.284769230769231</v>
      </c>
      <c r="O7" s="360">
        <v>26.72</v>
      </c>
      <c r="P7" s="360">
        <v>1.89</v>
      </c>
      <c r="Q7" s="360">
        <v>23.86</v>
      </c>
      <c r="R7" s="360">
        <v>0.91</v>
      </c>
      <c r="S7" s="360">
        <v>60.16</v>
      </c>
      <c r="T7" s="360">
        <v>2.6</v>
      </c>
      <c r="U7" s="374">
        <f t="shared" si="0"/>
        <v>303.27999999999997</v>
      </c>
      <c r="V7" s="374">
        <f t="shared" si="0"/>
        <v>11.114769230769232</v>
      </c>
      <c r="W7" s="360">
        <v>48.2</v>
      </c>
      <c r="X7" s="360">
        <v>0.6</v>
      </c>
      <c r="Y7" s="360">
        <v>0</v>
      </c>
      <c r="Z7" s="360">
        <v>0</v>
      </c>
      <c r="AA7" s="9">
        <f t="shared" si="1"/>
        <v>48.800000000000004</v>
      </c>
      <c r="AB7" s="9">
        <f t="shared" si="2"/>
        <v>363.19476923076923</v>
      </c>
    </row>
    <row r="8" spans="1:28">
      <c r="A8" s="563" t="s">
        <v>1329</v>
      </c>
      <c r="B8" s="359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360"/>
      <c r="T8" s="360"/>
      <c r="U8" s="374"/>
      <c r="V8" s="374"/>
      <c r="W8" s="360"/>
      <c r="X8" s="360"/>
      <c r="Y8" s="360"/>
      <c r="Z8" s="360"/>
      <c r="AA8" s="9"/>
      <c r="AB8" s="9"/>
    </row>
    <row r="9" spans="1:28">
      <c r="A9" s="559" t="s">
        <v>336</v>
      </c>
      <c r="B9" s="359"/>
      <c r="C9" s="360">
        <v>151.89097960000001</v>
      </c>
      <c r="D9" s="360">
        <v>15.775692845573399</v>
      </c>
      <c r="E9" s="360">
        <v>25.173431900000001</v>
      </c>
      <c r="F9" s="360">
        <v>2.62108034785639</v>
      </c>
      <c r="G9" s="360">
        <v>56.056568599999999</v>
      </c>
      <c r="H9" s="360">
        <v>5.6120870591766003</v>
      </c>
      <c r="I9" s="360"/>
      <c r="J9" s="360"/>
      <c r="K9" s="360">
        <v>171.06424519999999</v>
      </c>
      <c r="L9" s="360">
        <v>17.695677256631701</v>
      </c>
      <c r="M9" s="360">
        <v>28.367817500000001</v>
      </c>
      <c r="N9" s="360">
        <v>2.9262889472873201</v>
      </c>
      <c r="O9" s="360">
        <v>62.565277700000003</v>
      </c>
      <c r="P9" s="360">
        <v>6.2834456924738298</v>
      </c>
      <c r="Q9" s="360">
        <v>0</v>
      </c>
      <c r="R9" s="360">
        <v>0</v>
      </c>
      <c r="S9" s="360">
        <v>106.5589006</v>
      </c>
      <c r="T9" s="360">
        <v>11.005473753159601</v>
      </c>
      <c r="U9" s="374">
        <f t="shared" ref="U9:U22" si="3">SUM(S9,O9,M9,Q9,K9,G9,E9,I9,C9)</f>
        <v>601.6772211</v>
      </c>
      <c r="V9" s="374">
        <f t="shared" si="0"/>
        <v>61.919745902158851</v>
      </c>
      <c r="W9" s="360"/>
      <c r="X9" s="360"/>
      <c r="Y9" s="360">
        <v>639.42999999999995</v>
      </c>
      <c r="Z9" s="360">
        <f t="shared" ref="Z9:Z22" si="4">SUM(X9,V9)</f>
        <v>61.919745902158851</v>
      </c>
      <c r="AA9" s="9">
        <f t="shared" si="1"/>
        <v>0</v>
      </c>
      <c r="AB9" s="9">
        <f t="shared" si="2"/>
        <v>663.59696700215886</v>
      </c>
    </row>
    <row r="10" spans="1:28">
      <c r="A10" s="559" t="s">
        <v>337</v>
      </c>
      <c r="B10" s="359"/>
      <c r="C10" s="360">
        <f>130.4672592-D10</f>
        <v>127.46000000000001</v>
      </c>
      <c r="D10" s="360">
        <v>3.0072592</v>
      </c>
      <c r="E10" s="360">
        <f>21.6157626-F10</f>
        <v>21.22</v>
      </c>
      <c r="F10" s="360">
        <v>0.39576260000000002</v>
      </c>
      <c r="G10" s="360">
        <f>53.5072171-H10</f>
        <v>52.28</v>
      </c>
      <c r="H10" s="360">
        <v>1.2272171000000001</v>
      </c>
      <c r="I10" s="360">
        <v>0</v>
      </c>
      <c r="J10" s="360">
        <v>0</v>
      </c>
      <c r="K10" s="360">
        <f>145.9387911-L10</f>
        <v>142.70000000000002</v>
      </c>
      <c r="L10" s="360">
        <v>3.2387910999999998</v>
      </c>
      <c r="M10" s="360">
        <f>24.3333071-N10</f>
        <v>23.779999999999998</v>
      </c>
      <c r="N10" s="360">
        <v>0.55330710000000005</v>
      </c>
      <c r="O10" s="360">
        <f>58.9494536-P10</f>
        <v>57.6282742</v>
      </c>
      <c r="P10" s="360">
        <v>1.3211793999999999</v>
      </c>
      <c r="Q10" s="360">
        <v>0</v>
      </c>
      <c r="R10" s="360">
        <v>0</v>
      </c>
      <c r="S10" s="360">
        <f>107.9470941-T10</f>
        <v>105.5373058</v>
      </c>
      <c r="T10" s="360">
        <v>2.4097883000000002</v>
      </c>
      <c r="U10" s="374">
        <f t="shared" si="3"/>
        <v>530.60558000000003</v>
      </c>
      <c r="V10" s="374">
        <f t="shared" si="0"/>
        <v>12.153304800000001</v>
      </c>
      <c r="W10" s="375">
        <v>76.062527599999996</v>
      </c>
      <c r="X10" s="375">
        <v>0</v>
      </c>
      <c r="Y10" s="375">
        <v>625.4</v>
      </c>
      <c r="Z10" s="375">
        <f t="shared" si="4"/>
        <v>12.153304800000001</v>
      </c>
      <c r="AA10" s="9">
        <f t="shared" si="1"/>
        <v>76.062527599999996</v>
      </c>
      <c r="AB10" s="9">
        <f t="shared" si="2"/>
        <v>618.82141239999999</v>
      </c>
    </row>
    <row r="11" spans="1:28">
      <c r="A11" s="559" t="s">
        <v>338</v>
      </c>
      <c r="B11" s="359"/>
      <c r="C11" s="360">
        <v>106.22</v>
      </c>
      <c r="D11" s="360">
        <v>3.68</v>
      </c>
      <c r="E11" s="360"/>
      <c r="F11" s="360"/>
      <c r="G11" s="360">
        <v>17.71</v>
      </c>
      <c r="H11" s="360">
        <v>0.61</v>
      </c>
      <c r="I11" s="360">
        <v>0</v>
      </c>
      <c r="J11" s="360"/>
      <c r="K11" s="360">
        <v>118.92</v>
      </c>
      <c r="L11" s="360">
        <v>4.1100000000000003</v>
      </c>
      <c r="M11" s="360"/>
      <c r="N11" s="360"/>
      <c r="O11" s="360">
        <v>19.57</v>
      </c>
      <c r="P11" s="360">
        <v>0.7</v>
      </c>
      <c r="Q11" s="360">
        <v>0</v>
      </c>
      <c r="R11" s="360"/>
      <c r="S11" s="360">
        <v>65.83</v>
      </c>
      <c r="T11" s="360">
        <v>2.2200000000000002</v>
      </c>
      <c r="U11" s="374">
        <f t="shared" si="3"/>
        <v>328.25</v>
      </c>
      <c r="V11" s="374">
        <f t="shared" ref="V11:V22" si="5">SUM(T11,P11,N11,R11,L11,H11,F11,J11,D11)</f>
        <v>11.32</v>
      </c>
      <c r="W11" s="360">
        <v>52.14</v>
      </c>
      <c r="X11" s="360">
        <v>1.67</v>
      </c>
      <c r="Y11" s="360">
        <v>386.54</v>
      </c>
      <c r="Z11" s="360">
        <f t="shared" si="4"/>
        <v>12.99</v>
      </c>
      <c r="AA11" s="9">
        <f t="shared" si="1"/>
        <v>53.81</v>
      </c>
      <c r="AB11" s="9">
        <f t="shared" si="2"/>
        <v>393.38</v>
      </c>
    </row>
    <row r="12" spans="1:28">
      <c r="A12" s="559" t="s">
        <v>339</v>
      </c>
      <c r="B12" s="359"/>
      <c r="C12" s="360">
        <v>109.93</v>
      </c>
      <c r="D12" s="360">
        <v>1.01</v>
      </c>
      <c r="E12" s="360">
        <v>18.02</v>
      </c>
      <c r="F12" s="360">
        <v>0.12</v>
      </c>
      <c r="G12" s="360">
        <v>44.97</v>
      </c>
      <c r="H12" s="360">
        <v>0.5</v>
      </c>
      <c r="I12" s="360">
        <v>0</v>
      </c>
      <c r="J12" s="360"/>
      <c r="K12" s="360">
        <v>121.96</v>
      </c>
      <c r="L12" s="360">
        <v>1.36</v>
      </c>
      <c r="M12" s="360">
        <v>20</v>
      </c>
      <c r="N12" s="360">
        <v>0.22</v>
      </c>
      <c r="O12" s="360">
        <v>48.21</v>
      </c>
      <c r="P12" s="360">
        <v>0.53</v>
      </c>
      <c r="Q12" s="360">
        <v>0</v>
      </c>
      <c r="R12" s="360"/>
      <c r="S12" s="360">
        <v>92.83</v>
      </c>
      <c r="T12" s="360">
        <v>1.01</v>
      </c>
      <c r="U12" s="374">
        <f t="shared" si="3"/>
        <v>455.92</v>
      </c>
      <c r="V12" s="374">
        <f t="shared" si="5"/>
        <v>4.75</v>
      </c>
      <c r="W12" s="360">
        <v>69.901258999999996</v>
      </c>
      <c r="X12" s="360"/>
      <c r="Y12" s="360">
        <v>557.02</v>
      </c>
      <c r="Z12" s="360">
        <f t="shared" si="4"/>
        <v>4.75</v>
      </c>
      <c r="AA12" s="9">
        <f t="shared" si="1"/>
        <v>69.901258999999996</v>
      </c>
      <c r="AB12" s="9">
        <f t="shared" si="2"/>
        <v>530.57125900000005</v>
      </c>
    </row>
    <row r="13" spans="1:28">
      <c r="A13" s="560" t="s">
        <v>340</v>
      </c>
      <c r="B13" s="361"/>
      <c r="C13" s="360">
        <v>42.49</v>
      </c>
      <c r="D13" s="360">
        <v>0.95207379999999997</v>
      </c>
      <c r="E13" s="360">
        <v>7.23</v>
      </c>
      <c r="F13" s="360">
        <v>0.16068750000000001</v>
      </c>
      <c r="G13" s="360">
        <v>17.71</v>
      </c>
      <c r="H13" s="360">
        <v>0.39492539999999998</v>
      </c>
      <c r="I13" s="360">
        <v>0</v>
      </c>
      <c r="J13" s="360"/>
      <c r="K13" s="360">
        <v>47.57</v>
      </c>
      <c r="L13" s="360">
        <v>1.0559232999999999</v>
      </c>
      <c r="M13" s="360">
        <v>8.09</v>
      </c>
      <c r="N13" s="360">
        <v>0.18097460000000001</v>
      </c>
      <c r="O13" s="360">
        <v>19.57</v>
      </c>
      <c r="P13" s="360">
        <v>0.43759749999999997</v>
      </c>
      <c r="Q13" s="360">
        <v>0</v>
      </c>
      <c r="R13" s="360"/>
      <c r="S13" s="360">
        <v>35.411999999999999</v>
      </c>
      <c r="T13" s="360">
        <v>0.78327460000000004</v>
      </c>
      <c r="U13" s="376">
        <f t="shared" si="3"/>
        <v>178.072</v>
      </c>
      <c r="V13" s="376">
        <f t="shared" si="5"/>
        <v>3.9654566999999998</v>
      </c>
      <c r="W13" s="360">
        <f>198353259/Cr</f>
        <v>19.835325900000001</v>
      </c>
      <c r="X13" s="360">
        <f>1168457/Cr</f>
        <v>0.1168457</v>
      </c>
      <c r="Y13" s="360">
        <v>205.39</v>
      </c>
      <c r="Z13" s="376">
        <f t="shared" si="4"/>
        <v>4.0823023999999997</v>
      </c>
      <c r="AA13" s="9">
        <f t="shared" si="1"/>
        <v>19.9521716</v>
      </c>
      <c r="AB13" s="9">
        <f t="shared" si="2"/>
        <v>201.98962829999999</v>
      </c>
    </row>
    <row r="14" spans="1:28">
      <c r="A14" s="561" t="s">
        <v>341</v>
      </c>
      <c r="B14" s="21"/>
      <c r="C14" s="360">
        <v>42.49</v>
      </c>
      <c r="D14" s="360">
        <v>1.46</v>
      </c>
      <c r="E14" s="360">
        <v>6.6</v>
      </c>
      <c r="F14" s="360">
        <v>0.23</v>
      </c>
      <c r="G14" s="360">
        <v>15.12</v>
      </c>
      <c r="H14" s="360">
        <v>0.52</v>
      </c>
      <c r="I14" s="360">
        <v>0</v>
      </c>
      <c r="J14" s="360">
        <v>0</v>
      </c>
      <c r="K14" s="360">
        <v>47.57</v>
      </c>
      <c r="L14" s="360">
        <v>1.64</v>
      </c>
      <c r="M14" s="360">
        <v>7.4</v>
      </c>
      <c r="N14" s="360">
        <v>0.25</v>
      </c>
      <c r="O14" s="360">
        <v>16.71</v>
      </c>
      <c r="P14" s="360">
        <v>0.56999999999999995</v>
      </c>
      <c r="Q14" s="360">
        <v>0</v>
      </c>
      <c r="R14" s="360">
        <v>0</v>
      </c>
      <c r="S14" s="360">
        <v>33.75</v>
      </c>
      <c r="T14" s="360">
        <v>1.1499999999999999</v>
      </c>
      <c r="U14" s="376">
        <f t="shared" si="3"/>
        <v>169.64000000000001</v>
      </c>
      <c r="V14" s="376">
        <f t="shared" si="5"/>
        <v>5.8199999999999994</v>
      </c>
      <c r="W14" s="360">
        <v>9.6300000000000008</v>
      </c>
      <c r="X14" s="360"/>
      <c r="Y14" s="360">
        <v>245.16</v>
      </c>
      <c r="Z14" s="376">
        <f t="shared" si="4"/>
        <v>5.8199999999999994</v>
      </c>
      <c r="AA14" s="9">
        <f t="shared" si="1"/>
        <v>9.6300000000000008</v>
      </c>
      <c r="AB14" s="9">
        <f t="shared" si="2"/>
        <v>185.09</v>
      </c>
    </row>
    <row r="15" spans="1:28">
      <c r="A15" s="559" t="s">
        <v>1325</v>
      </c>
      <c r="B15" s="359"/>
      <c r="C15" s="360">
        <v>17.299790748898701</v>
      </c>
      <c r="D15" s="360">
        <v>0.47164096916299503</v>
      </c>
      <c r="E15" s="360">
        <v>20.459385474860301</v>
      </c>
      <c r="F15" s="360">
        <v>0.62312849162011097</v>
      </c>
      <c r="G15" s="360">
        <v>12.958</v>
      </c>
      <c r="H15" s="360">
        <v>0.41799999999999998</v>
      </c>
      <c r="I15" s="360">
        <v>0</v>
      </c>
      <c r="J15" s="360">
        <v>0</v>
      </c>
      <c r="K15" s="360">
        <v>19.380209251101299</v>
      </c>
      <c r="L15" s="360">
        <v>0.52835903083700397</v>
      </c>
      <c r="M15" s="360">
        <v>22.880614525139698</v>
      </c>
      <c r="N15" s="360">
        <v>0.69687150837988798</v>
      </c>
      <c r="O15" s="360">
        <v>14.321999999999999</v>
      </c>
      <c r="P15" s="360">
        <v>0.46200000000000002</v>
      </c>
      <c r="Q15" s="360">
        <v>0</v>
      </c>
      <c r="R15" s="360">
        <v>0</v>
      </c>
      <c r="S15" s="360">
        <v>25.17</v>
      </c>
      <c r="T15" s="360">
        <v>0.83</v>
      </c>
      <c r="U15" s="376">
        <f t="shared" si="3"/>
        <v>132.47</v>
      </c>
      <c r="V15" s="376">
        <f t="shared" si="5"/>
        <v>4.0299999999999985</v>
      </c>
      <c r="W15" s="360">
        <v>19.13</v>
      </c>
      <c r="X15" s="360">
        <v>0.2</v>
      </c>
      <c r="Y15" s="360">
        <v>191.81</v>
      </c>
      <c r="Z15" s="376">
        <f t="shared" si="4"/>
        <v>4.2299999999999986</v>
      </c>
      <c r="AA15" s="9">
        <f t="shared" si="1"/>
        <v>19.329999999999998</v>
      </c>
      <c r="AB15" s="9">
        <f t="shared" si="2"/>
        <v>155.82999999999998</v>
      </c>
    </row>
    <row r="16" spans="1:28">
      <c r="A16" s="559" t="s">
        <v>356</v>
      </c>
      <c r="B16" s="359"/>
      <c r="C16" s="360">
        <v>38.67</v>
      </c>
      <c r="D16" s="360">
        <v>1.39</v>
      </c>
      <c r="E16" s="360">
        <v>6.3799999999999901</v>
      </c>
      <c r="F16" s="360">
        <v>0.23</v>
      </c>
      <c r="G16" s="360">
        <v>7.7709999999999999</v>
      </c>
      <c r="H16" s="360">
        <v>0.28000000000000003</v>
      </c>
      <c r="I16" s="360">
        <v>3.8765982404692099</v>
      </c>
      <c r="J16" s="360">
        <v>0.16</v>
      </c>
      <c r="K16" s="360">
        <v>43.29</v>
      </c>
      <c r="L16" s="360">
        <v>1.39</v>
      </c>
      <c r="M16" s="360">
        <v>7.1399999999999899</v>
      </c>
      <c r="N16" s="360">
        <v>0.23</v>
      </c>
      <c r="O16" s="360">
        <v>8.5890000000000004</v>
      </c>
      <c r="P16" s="360">
        <v>0.28000000000000003</v>
      </c>
      <c r="Q16" s="360">
        <v>4.2834017595307898</v>
      </c>
      <c r="R16" s="360">
        <v>0.16</v>
      </c>
      <c r="S16" s="360">
        <v>28.41</v>
      </c>
      <c r="T16" s="360">
        <v>0.96</v>
      </c>
      <c r="U16" s="376">
        <f t="shared" si="3"/>
        <v>148.41</v>
      </c>
      <c r="V16" s="376">
        <f t="shared" si="5"/>
        <v>5.08</v>
      </c>
      <c r="W16" s="360">
        <v>23.84</v>
      </c>
      <c r="X16" s="360">
        <v>0.26</v>
      </c>
      <c r="Y16" s="360">
        <v>207.83</v>
      </c>
      <c r="Z16" s="376">
        <f t="shared" si="4"/>
        <v>5.34</v>
      </c>
      <c r="AA16" s="9">
        <f t="shared" si="1"/>
        <v>24.1</v>
      </c>
      <c r="AB16" s="9">
        <f t="shared" si="2"/>
        <v>177.59</v>
      </c>
    </row>
    <row r="17" spans="1:32">
      <c r="A17" s="559" t="s">
        <v>344</v>
      </c>
      <c r="B17" s="359"/>
      <c r="C17" s="360">
        <v>107.423078084747</v>
      </c>
      <c r="D17" s="360">
        <v>9.7708812294572205</v>
      </c>
      <c r="E17" s="360">
        <v>0</v>
      </c>
      <c r="F17" s="360">
        <v>0</v>
      </c>
      <c r="G17" s="360">
        <v>14.0695</v>
      </c>
      <c r="H17" s="360">
        <v>1.2825</v>
      </c>
      <c r="I17" s="360">
        <v>21.946077292645601</v>
      </c>
      <c r="J17" s="360">
        <v>2.1756067965436601</v>
      </c>
      <c r="K17" s="360">
        <v>120.26692191525299</v>
      </c>
      <c r="L17" s="360">
        <v>10.9391187705428</v>
      </c>
      <c r="M17" s="360">
        <v>0</v>
      </c>
      <c r="N17" s="360">
        <v>0</v>
      </c>
      <c r="O17" s="360">
        <v>15.5505</v>
      </c>
      <c r="P17" s="360">
        <v>1.4175</v>
      </c>
      <c r="Q17" s="360">
        <v>24.253922707354398</v>
      </c>
      <c r="R17" s="360">
        <v>2.4043932034563502</v>
      </c>
      <c r="S17" s="360">
        <v>41</v>
      </c>
      <c r="T17" s="360">
        <v>3.65</v>
      </c>
      <c r="U17" s="376">
        <f t="shared" si="3"/>
        <v>344.51</v>
      </c>
      <c r="V17" s="376">
        <f t="shared" si="5"/>
        <v>31.640000000000033</v>
      </c>
      <c r="W17" s="360"/>
      <c r="X17" s="360"/>
      <c r="Y17" s="360">
        <v>415.31</v>
      </c>
      <c r="Z17" s="376">
        <f t="shared" si="4"/>
        <v>31.640000000000033</v>
      </c>
      <c r="AA17" s="9">
        <f t="shared" si="1"/>
        <v>0</v>
      </c>
      <c r="AB17" s="9">
        <f t="shared" si="2"/>
        <v>376.15000000000003</v>
      </c>
    </row>
    <row r="18" spans="1:32">
      <c r="A18" s="559" t="s">
        <v>345</v>
      </c>
      <c r="B18" s="359"/>
      <c r="C18" s="360">
        <v>63.650914070017002</v>
      </c>
      <c r="D18" s="360">
        <v>2.2744467470949599</v>
      </c>
      <c r="E18" s="360">
        <v>10.5917051509769</v>
      </c>
      <c r="F18" s="360">
        <v>0.36273996447602103</v>
      </c>
      <c r="G18" s="360">
        <v>26.329249999999998</v>
      </c>
      <c r="H18" s="360">
        <v>0.92876749999999997</v>
      </c>
      <c r="I18" s="360">
        <v>0</v>
      </c>
      <c r="J18" s="360">
        <v>0</v>
      </c>
      <c r="K18" s="360">
        <v>71.249085929982897</v>
      </c>
      <c r="L18" s="360">
        <v>2.5459532529050399</v>
      </c>
      <c r="M18" s="360">
        <v>11.8682948490231</v>
      </c>
      <c r="N18" s="360">
        <v>0.40646003552397902</v>
      </c>
      <c r="O18" s="360">
        <v>29.100750000000001</v>
      </c>
      <c r="P18" s="360">
        <v>1.0265325000000001</v>
      </c>
      <c r="Q18" s="360">
        <v>0</v>
      </c>
      <c r="R18" s="360">
        <v>0</v>
      </c>
      <c r="S18" s="360">
        <v>38.251399999999997</v>
      </c>
      <c r="T18" s="360">
        <v>1.3339000000000001</v>
      </c>
      <c r="U18" s="376">
        <f t="shared" si="3"/>
        <v>251.0413999999999</v>
      </c>
      <c r="V18" s="376">
        <f t="shared" si="5"/>
        <v>8.8788</v>
      </c>
      <c r="W18" s="360"/>
      <c r="X18" s="360"/>
      <c r="Y18" s="360">
        <v>264.83999999999997</v>
      </c>
      <c r="Z18" s="376">
        <f t="shared" si="4"/>
        <v>8.8788</v>
      </c>
      <c r="AA18" s="9">
        <f t="shared" si="1"/>
        <v>0</v>
      </c>
      <c r="AB18" s="9">
        <f t="shared" si="2"/>
        <v>259.92019999999991</v>
      </c>
    </row>
    <row r="19" spans="1:32">
      <c r="A19" s="559" t="s">
        <v>346</v>
      </c>
      <c r="B19" s="359"/>
      <c r="C19" s="360">
        <v>42.5294509516837</v>
      </c>
      <c r="D19" s="360">
        <v>1.72</v>
      </c>
      <c r="E19" s="360">
        <v>7.1397485207100502</v>
      </c>
      <c r="F19" s="360">
        <v>0.28999999999999998</v>
      </c>
      <c r="G19" s="360">
        <v>17.271000000000001</v>
      </c>
      <c r="H19" s="360">
        <v>0.62</v>
      </c>
      <c r="I19" s="360">
        <v>0</v>
      </c>
      <c r="J19" s="360">
        <v>0</v>
      </c>
      <c r="K19" s="360">
        <v>47.610549048316301</v>
      </c>
      <c r="L19" s="360">
        <v>1.71</v>
      </c>
      <c r="M19" s="360">
        <v>7.9902514792899302</v>
      </c>
      <c r="N19" s="360">
        <v>0.28000000000000003</v>
      </c>
      <c r="O19" s="360">
        <v>19.088999999999999</v>
      </c>
      <c r="P19" s="360">
        <v>0.61</v>
      </c>
      <c r="Q19" s="360">
        <v>0</v>
      </c>
      <c r="R19" s="360">
        <v>0</v>
      </c>
      <c r="S19" s="360">
        <v>21.8</v>
      </c>
      <c r="T19" s="360">
        <v>0.74</v>
      </c>
      <c r="U19" s="376">
        <f t="shared" si="3"/>
        <v>163.43</v>
      </c>
      <c r="V19" s="376">
        <f t="shared" si="5"/>
        <v>5.97</v>
      </c>
      <c r="W19" s="360">
        <v>20</v>
      </c>
      <c r="X19" s="360">
        <v>0.21</v>
      </c>
      <c r="Y19" s="360">
        <v>176.38</v>
      </c>
      <c r="Z19" s="376">
        <f t="shared" si="4"/>
        <v>6.18</v>
      </c>
      <c r="AA19" s="9">
        <f t="shared" si="1"/>
        <v>20.21</v>
      </c>
      <c r="AB19" s="9">
        <f t="shared" si="2"/>
        <v>189.61</v>
      </c>
    </row>
    <row r="20" spans="1:32">
      <c r="A20" s="559" t="s">
        <v>347</v>
      </c>
      <c r="B20" s="359"/>
      <c r="C20" s="360">
        <v>42.48</v>
      </c>
      <c r="D20" s="360">
        <v>0.98780000000000001</v>
      </c>
      <c r="E20" s="360">
        <v>0</v>
      </c>
      <c r="F20" s="360">
        <v>0</v>
      </c>
      <c r="G20" s="360">
        <v>15.114699999999999</v>
      </c>
      <c r="H20" s="360">
        <v>0.35410000000000003</v>
      </c>
      <c r="I20" s="360">
        <v>0</v>
      </c>
      <c r="J20" s="360">
        <v>0</v>
      </c>
      <c r="K20" s="360">
        <v>47.56</v>
      </c>
      <c r="L20" s="360">
        <v>1.1204000000000001</v>
      </c>
      <c r="M20" s="360">
        <v>0</v>
      </c>
      <c r="N20" s="360">
        <v>0</v>
      </c>
      <c r="O20" s="360">
        <v>16.706</v>
      </c>
      <c r="P20" s="360">
        <v>0.38840000000000002</v>
      </c>
      <c r="Q20" s="360">
        <v>0</v>
      </c>
      <c r="R20" s="360">
        <v>0</v>
      </c>
      <c r="S20" s="360">
        <v>14.976000000000001</v>
      </c>
      <c r="T20" s="360">
        <v>0.33729999999999999</v>
      </c>
      <c r="U20" s="376">
        <f t="shared" si="3"/>
        <v>136.83670000000001</v>
      </c>
      <c r="V20" s="376">
        <f t="shared" si="5"/>
        <v>3.1880000000000002</v>
      </c>
      <c r="W20" s="360">
        <v>23.2454</v>
      </c>
      <c r="X20" s="360"/>
      <c r="Y20" s="360">
        <v>200.76</v>
      </c>
      <c r="Z20" s="376">
        <f t="shared" si="4"/>
        <v>3.1880000000000002</v>
      </c>
      <c r="AA20" s="9">
        <f t="shared" si="1"/>
        <v>23.2454</v>
      </c>
      <c r="AB20" s="9">
        <f t="shared" si="2"/>
        <v>163.27010000000001</v>
      </c>
    </row>
    <row r="21" spans="1:32">
      <c r="A21" s="559" t="s">
        <v>348</v>
      </c>
      <c r="B21" s="359"/>
      <c r="C21" s="39">
        <v>250</v>
      </c>
      <c r="D21" s="39">
        <f>93.3862322</f>
        <v>93.386232199999995</v>
      </c>
      <c r="E21" s="360">
        <v>0</v>
      </c>
      <c r="F21" s="360">
        <v>0</v>
      </c>
      <c r="G21" s="360">
        <v>0</v>
      </c>
      <c r="H21" s="360">
        <v>0</v>
      </c>
      <c r="I21" s="360">
        <v>0</v>
      </c>
      <c r="J21" s="360">
        <v>0</v>
      </c>
      <c r="K21" s="360"/>
      <c r="L21" s="360"/>
      <c r="M21" s="360">
        <v>0</v>
      </c>
      <c r="N21" s="360">
        <v>0</v>
      </c>
      <c r="O21" s="360">
        <v>0</v>
      </c>
      <c r="P21" s="360">
        <v>0</v>
      </c>
      <c r="Q21" s="360">
        <v>0</v>
      </c>
      <c r="R21" s="360">
        <v>0</v>
      </c>
      <c r="S21" s="360">
        <v>0</v>
      </c>
      <c r="T21" s="360">
        <v>0</v>
      </c>
      <c r="U21" s="376">
        <f t="shared" si="3"/>
        <v>250</v>
      </c>
      <c r="V21" s="376">
        <f t="shared" si="5"/>
        <v>93.386232199999995</v>
      </c>
      <c r="W21" s="360"/>
      <c r="X21" s="360"/>
      <c r="Y21" s="360">
        <v>494.15</v>
      </c>
      <c r="Z21" s="376">
        <f t="shared" si="4"/>
        <v>93.386232199999995</v>
      </c>
      <c r="AA21" s="9">
        <f t="shared" si="1"/>
        <v>0</v>
      </c>
      <c r="AB21" s="9">
        <f t="shared" si="2"/>
        <v>343.38623219999999</v>
      </c>
    </row>
    <row r="22" spans="1:32">
      <c r="A22" s="559" t="s">
        <v>1326</v>
      </c>
      <c r="B22" s="359"/>
      <c r="C22" s="360">
        <v>0</v>
      </c>
      <c r="D22" s="360">
        <v>0</v>
      </c>
      <c r="E22" s="360">
        <v>42.494</v>
      </c>
      <c r="F22" s="360">
        <v>1.6672769000000001</v>
      </c>
      <c r="G22" s="360">
        <v>86.361999999999995</v>
      </c>
      <c r="H22" s="360">
        <v>3.3354615000000001</v>
      </c>
      <c r="I22" s="360">
        <v>0</v>
      </c>
      <c r="J22" s="360">
        <v>0</v>
      </c>
      <c r="K22" s="360">
        <v>0</v>
      </c>
      <c r="L22" s="360">
        <v>0</v>
      </c>
      <c r="M22" s="360">
        <v>48.5801315</v>
      </c>
      <c r="N22" s="360">
        <v>1.8585217999999999</v>
      </c>
      <c r="O22" s="360">
        <v>95.453999999999994</v>
      </c>
      <c r="P22" s="360">
        <v>3.6901299999999999</v>
      </c>
      <c r="Q22" s="360">
        <v>0</v>
      </c>
      <c r="R22" s="360">
        <v>0</v>
      </c>
      <c r="S22" s="360">
        <v>68.099000000000004</v>
      </c>
      <c r="T22" s="360">
        <v>2.5942395999999999</v>
      </c>
      <c r="U22" s="376">
        <f t="shared" si="3"/>
        <v>340.98913149999998</v>
      </c>
      <c r="V22" s="376">
        <f t="shared" si="5"/>
        <v>13.145629800000002</v>
      </c>
      <c r="W22" s="360">
        <v>0</v>
      </c>
      <c r="X22" s="360">
        <v>0</v>
      </c>
      <c r="Y22" s="360">
        <v>439.79</v>
      </c>
      <c r="Z22" s="376">
        <f t="shared" si="4"/>
        <v>13.145629800000002</v>
      </c>
      <c r="AA22" s="9">
        <f t="shared" si="1"/>
        <v>0</v>
      </c>
      <c r="AB22" s="9">
        <f t="shared" si="2"/>
        <v>354.13476129999998</v>
      </c>
      <c r="AD22" s="62"/>
      <c r="AE22" s="62"/>
    </row>
    <row r="23" spans="1:32">
      <c r="A23" s="362" t="s">
        <v>33</v>
      </c>
      <c r="B23" s="363">
        <f>SUM(D23,F23,H23,J23,L23,N23,P23,R23,T23)-SUM(D21,D17,H17,J17,L21,L17,P17,R17,T17)</f>
        <v>202.53570643292801</v>
      </c>
      <c r="C23" s="364">
        <f>SUM(C4:C22)</f>
        <v>1521.7542134553464</v>
      </c>
      <c r="D23" s="364">
        <f t="shared" ref="D23:Z23" si="6">SUM(D4:D22)</f>
        <v>148.89602699128858</v>
      </c>
      <c r="E23" s="364">
        <f t="shared" si="6"/>
        <v>227.80827104654725</v>
      </c>
      <c r="F23" s="364">
        <f t="shared" si="6"/>
        <v>8.9606758039525225</v>
      </c>
      <c r="G23" s="364">
        <f t="shared" si="6"/>
        <v>533.52201860000002</v>
      </c>
      <c r="H23" s="364">
        <f t="shared" si="6"/>
        <v>21.373058559176599</v>
      </c>
      <c r="I23" s="364">
        <f t="shared" si="6"/>
        <v>72.572675533114804</v>
      </c>
      <c r="J23" s="364">
        <f t="shared" si="6"/>
        <v>4.1956067965436601</v>
      </c>
      <c r="K23" s="364">
        <f t="shared" si="6"/>
        <v>1422.9210113446534</v>
      </c>
      <c r="L23" s="364">
        <f t="shared" si="6"/>
        <v>60.844222710916526</v>
      </c>
      <c r="M23" s="364">
        <f t="shared" si="6"/>
        <v>255.9471098534527</v>
      </c>
      <c r="N23" s="364">
        <f t="shared" si="6"/>
        <v>9.9671932219604198</v>
      </c>
      <c r="O23" s="364">
        <f t="shared" si="6"/>
        <v>588.67480189999992</v>
      </c>
      <c r="P23" s="364">
        <f t="shared" si="6"/>
        <v>24.196785092473831</v>
      </c>
      <c r="Q23" s="364">
        <f t="shared" si="6"/>
        <v>80.237324466885184</v>
      </c>
      <c r="R23" s="364">
        <f t="shared" si="6"/>
        <v>4.5243932034563503</v>
      </c>
      <c r="S23" s="364">
        <f t="shared" si="6"/>
        <v>1101.1446063999999</v>
      </c>
      <c r="T23" s="364">
        <f t="shared" si="6"/>
        <v>44.603976253159594</v>
      </c>
      <c r="U23" s="364">
        <f t="shared" si="6"/>
        <v>5804.5820326000012</v>
      </c>
      <c r="V23" s="364">
        <f t="shared" si="6"/>
        <v>327.5619386329281</v>
      </c>
      <c r="W23" s="364">
        <f t="shared" si="6"/>
        <v>719.98451250000005</v>
      </c>
      <c r="X23" s="364">
        <f t="shared" si="6"/>
        <v>8.5968456999999994</v>
      </c>
      <c r="Y23" s="364">
        <f t="shared" si="6"/>
        <v>7182.7800000000007</v>
      </c>
      <c r="Z23" s="364">
        <f t="shared" si="6"/>
        <v>310.68401510215887</v>
      </c>
      <c r="AA23" s="9">
        <f t="shared" si="1"/>
        <v>728.58135820000007</v>
      </c>
      <c r="AB23" s="9">
        <f t="shared" si="2"/>
        <v>6860.7253294329294</v>
      </c>
      <c r="AD23" s="9">
        <f>U23+V23</f>
        <v>6132.1439712329293</v>
      </c>
      <c r="AE23" s="9">
        <f>SUM(R23,Q23,I23,J23)</f>
        <v>161.53</v>
      </c>
      <c r="AF23" s="9">
        <f>AD23-AE23</f>
        <v>5970.6139712329295</v>
      </c>
    </row>
    <row r="24" spans="1:32" s="356" customFormat="1"/>
    <row r="25" spans="1:32">
      <c r="A25" s="46" t="s">
        <v>350</v>
      </c>
    </row>
    <row r="26" spans="1:32">
      <c r="A26" t="str">
        <f>A4</f>
        <v>State Bank of India</v>
      </c>
      <c r="C26" s="365">
        <f>12.85%</f>
        <v>0.1285</v>
      </c>
      <c r="D26" s="366"/>
      <c r="E26" s="367">
        <v>0.1285</v>
      </c>
      <c r="F26" s="366"/>
      <c r="G26" s="367">
        <v>0.1285</v>
      </c>
      <c r="H26" s="366"/>
      <c r="I26" s="367">
        <v>0.14549999999999999</v>
      </c>
      <c r="J26" s="366"/>
      <c r="K26" s="367">
        <v>0.1285</v>
      </c>
      <c r="L26" s="366"/>
      <c r="M26" s="367">
        <v>0.1285</v>
      </c>
      <c r="N26" s="366"/>
      <c r="O26" s="367">
        <v>0.1285</v>
      </c>
      <c r="P26" s="366"/>
      <c r="Q26" s="367">
        <v>0.14549999999999999</v>
      </c>
      <c r="R26" s="366"/>
      <c r="S26" s="367">
        <v>0.1285</v>
      </c>
      <c r="T26" s="366"/>
      <c r="W26" s="367">
        <v>0.1255</v>
      </c>
    </row>
    <row r="27" spans="1:32">
      <c r="A27" t="str">
        <f>A5</f>
        <v>State Bank of Hyderabad</v>
      </c>
      <c r="C27" s="367">
        <v>0.1285</v>
      </c>
      <c r="D27" s="366"/>
      <c r="E27" s="367">
        <v>0.1285</v>
      </c>
      <c r="F27" s="366"/>
      <c r="G27" s="367">
        <v>0.1285</v>
      </c>
      <c r="H27" s="366"/>
      <c r="I27" s="366"/>
      <c r="J27" s="366"/>
      <c r="K27" s="367">
        <v>0.1285</v>
      </c>
      <c r="L27" s="366"/>
      <c r="M27" s="367">
        <v>0.1285</v>
      </c>
      <c r="N27" s="366"/>
      <c r="O27" s="367">
        <v>0.1285</v>
      </c>
      <c r="P27" s="366"/>
      <c r="Q27" s="367"/>
      <c r="R27" s="366"/>
      <c r="S27" s="367">
        <v>0.1285</v>
      </c>
      <c r="T27" s="366"/>
      <c r="W27" s="367">
        <v>0.1255</v>
      </c>
    </row>
    <row r="28" spans="1:32">
      <c r="A28" t="str">
        <f>A6</f>
        <v>State Bank of Mysore</v>
      </c>
      <c r="C28" s="367">
        <v>0.1295</v>
      </c>
      <c r="D28" s="366"/>
      <c r="E28" s="367">
        <v>0.1295</v>
      </c>
      <c r="F28" s="366"/>
      <c r="G28" s="367">
        <v>0.1295</v>
      </c>
      <c r="H28" s="366"/>
      <c r="I28" s="367">
        <v>0.14649999999999999</v>
      </c>
      <c r="J28" s="366"/>
      <c r="K28" s="367">
        <v>0.1295</v>
      </c>
      <c r="L28" s="366"/>
      <c r="M28" s="367">
        <v>0.1295</v>
      </c>
      <c r="N28" s="366"/>
      <c r="O28" s="367">
        <v>0.1295</v>
      </c>
      <c r="P28" s="366"/>
      <c r="Q28" s="367">
        <v>0.14649999999999999</v>
      </c>
      <c r="R28" s="366"/>
      <c r="S28" s="367">
        <v>0.1295</v>
      </c>
      <c r="T28" s="366"/>
      <c r="W28" s="367">
        <v>0.14649999999999999</v>
      </c>
    </row>
    <row r="29" spans="1:32">
      <c r="A29" t="str">
        <f>A7</f>
        <v>State Bank of Patiala</v>
      </c>
      <c r="C29" s="365">
        <f>12.85%</f>
        <v>0.1285</v>
      </c>
      <c r="D29" s="366"/>
      <c r="E29" s="367">
        <v>0.1285</v>
      </c>
      <c r="F29" s="366"/>
      <c r="G29" s="367">
        <v>0.1285</v>
      </c>
      <c r="H29" s="366"/>
      <c r="I29" s="367">
        <v>0.14549999999999999</v>
      </c>
      <c r="J29" s="366"/>
      <c r="K29" s="367">
        <v>0.1285</v>
      </c>
      <c r="L29" s="366"/>
      <c r="M29" s="367">
        <v>0.1285</v>
      </c>
      <c r="N29" s="366"/>
      <c r="O29" s="367">
        <v>0.1285</v>
      </c>
      <c r="P29" s="366"/>
      <c r="Q29" s="367">
        <v>0.14549999999999999</v>
      </c>
      <c r="R29" s="366"/>
      <c r="S29" s="367">
        <v>0.1285</v>
      </c>
      <c r="T29" s="366"/>
      <c r="W29" s="367">
        <v>0.1305</v>
      </c>
    </row>
    <row r="30" spans="1:32">
      <c r="A30" t="str">
        <f t="shared" ref="A30:A43" si="7">A9</f>
        <v>Punjab National Bank</v>
      </c>
      <c r="C30" s="367">
        <v>0.1285</v>
      </c>
      <c r="D30" s="366"/>
      <c r="E30" s="367">
        <v>0.1285</v>
      </c>
      <c r="F30" s="366"/>
      <c r="G30" s="367">
        <v>0.1285</v>
      </c>
      <c r="H30" s="366"/>
      <c r="I30" s="366"/>
      <c r="J30" s="366"/>
      <c r="K30" s="367">
        <v>0.1285</v>
      </c>
      <c r="L30" s="366"/>
      <c r="M30" s="367">
        <v>0.1285</v>
      </c>
      <c r="N30" s="366"/>
      <c r="O30" s="367">
        <v>0.1285</v>
      </c>
      <c r="P30" s="366"/>
      <c r="Q30" s="367"/>
      <c r="R30" s="366"/>
      <c r="S30" s="367">
        <v>0.1285</v>
      </c>
      <c r="T30" s="366"/>
    </row>
    <row r="31" spans="1:32">
      <c r="A31" t="str">
        <f t="shared" si="7"/>
        <v>Central Bank of India</v>
      </c>
      <c r="C31" s="365">
        <f>12.85%</f>
        <v>0.1285</v>
      </c>
      <c r="D31" s="366"/>
      <c r="E31" s="367">
        <v>0.1285</v>
      </c>
      <c r="F31" s="366"/>
      <c r="G31" s="367">
        <v>0.1285</v>
      </c>
      <c r="H31" s="366"/>
      <c r="I31" s="367">
        <v>0.14549999999999999</v>
      </c>
      <c r="J31" s="366"/>
      <c r="K31" s="367">
        <v>0.1285</v>
      </c>
      <c r="L31" s="366"/>
      <c r="M31" s="367">
        <v>0.1285</v>
      </c>
      <c r="N31" s="366"/>
      <c r="O31" s="367">
        <v>0.1285</v>
      </c>
      <c r="P31" s="366"/>
      <c r="Q31" s="367">
        <v>0.14549999999999999</v>
      </c>
      <c r="R31" s="366"/>
      <c r="S31" s="367">
        <v>0.1285</v>
      </c>
      <c r="T31" s="366"/>
      <c r="W31" s="367">
        <v>0.1255</v>
      </c>
    </row>
    <row r="32" spans="1:32">
      <c r="A32" t="str">
        <f t="shared" si="7"/>
        <v>Indian Bank</v>
      </c>
      <c r="C32" s="367">
        <v>0.13100000000000001</v>
      </c>
      <c r="D32" s="366"/>
      <c r="E32" s="368"/>
      <c r="F32" s="366"/>
      <c r="G32" s="368">
        <v>0.13600000000000001</v>
      </c>
      <c r="H32" s="366"/>
      <c r="I32" s="366"/>
      <c r="J32" s="366"/>
      <c r="K32" s="367">
        <v>0.13100000000000001</v>
      </c>
      <c r="L32" s="366"/>
      <c r="M32" s="368"/>
      <c r="N32" s="366"/>
      <c r="O32" s="368">
        <v>0.13600000000000001</v>
      </c>
      <c r="P32" s="366"/>
      <c r="Q32" s="366"/>
      <c r="R32" s="366"/>
      <c r="S32" s="368">
        <v>0.13600000000000001</v>
      </c>
      <c r="T32" s="366"/>
      <c r="W32" s="367">
        <v>0.128</v>
      </c>
    </row>
    <row r="33" spans="1:23">
      <c r="A33" t="str">
        <f t="shared" si="7"/>
        <v>Indian Overseas Bank</v>
      </c>
      <c r="C33" s="365">
        <v>0.13250000000000001</v>
      </c>
      <c r="D33" s="366"/>
      <c r="E33" s="365">
        <v>0.13250000000000001</v>
      </c>
      <c r="F33" s="366"/>
      <c r="G33" s="365">
        <v>0.13250000000000001</v>
      </c>
      <c r="H33" s="366"/>
      <c r="I33" s="367"/>
      <c r="J33" s="366"/>
      <c r="K33" s="365">
        <v>0.13250000000000001</v>
      </c>
      <c r="L33" s="366"/>
      <c r="M33" s="365">
        <v>0.13250000000000001</v>
      </c>
      <c r="N33" s="366"/>
      <c r="O33" s="365">
        <v>0.13250000000000001</v>
      </c>
      <c r="P33" s="366"/>
      <c r="Q33" s="367"/>
      <c r="R33" s="366"/>
      <c r="S33" s="365">
        <v>0.13250000000000001</v>
      </c>
      <c r="T33" s="366"/>
      <c r="W33" s="365">
        <v>0.13250000000000001</v>
      </c>
    </row>
    <row r="34" spans="1:23">
      <c r="A34" t="str">
        <f t="shared" si="7"/>
        <v>Bank of Baroda</v>
      </c>
      <c r="C34" s="365">
        <f>12.85%</f>
        <v>0.1285</v>
      </c>
      <c r="D34" s="366"/>
      <c r="E34" s="367">
        <v>0.1285</v>
      </c>
      <c r="F34" s="366"/>
      <c r="G34" s="367">
        <v>0.1285</v>
      </c>
      <c r="H34" s="366"/>
      <c r="I34" s="367">
        <v>0.14549999999999999</v>
      </c>
      <c r="J34" s="366"/>
      <c r="K34" s="367">
        <v>0.1285</v>
      </c>
      <c r="L34" s="366"/>
      <c r="M34" s="367">
        <v>0.1285</v>
      </c>
      <c r="N34" s="366"/>
      <c r="O34" s="367">
        <v>0.1285</v>
      </c>
      <c r="P34" s="366"/>
      <c r="Q34" s="367">
        <v>0.14549999999999999</v>
      </c>
      <c r="R34" s="366"/>
      <c r="S34" s="367">
        <v>0.1285</v>
      </c>
      <c r="T34" s="366"/>
      <c r="W34" s="367">
        <v>0.1285</v>
      </c>
    </row>
    <row r="35" spans="1:23">
      <c r="A35" t="str">
        <f t="shared" si="7"/>
        <v>Corporation Bank</v>
      </c>
      <c r="C35" s="367">
        <v>0.1305</v>
      </c>
      <c r="D35" s="366"/>
      <c r="E35" s="367">
        <v>0.1305</v>
      </c>
      <c r="F35" s="366"/>
      <c r="G35" s="367">
        <v>0.1305</v>
      </c>
      <c r="H35" s="366"/>
      <c r="I35" s="367"/>
      <c r="J35" s="366"/>
      <c r="K35" s="367">
        <v>0.1305</v>
      </c>
      <c r="L35" s="366"/>
      <c r="M35" s="367">
        <v>0.1305</v>
      </c>
      <c r="N35" s="366"/>
      <c r="O35" s="367">
        <v>0.1305</v>
      </c>
      <c r="P35" s="366"/>
      <c r="Q35" s="367"/>
      <c r="R35" s="366"/>
      <c r="S35" s="367">
        <v>0.1305</v>
      </c>
      <c r="T35" s="366"/>
      <c r="W35" s="367">
        <v>0.1275</v>
      </c>
    </row>
    <row r="36" spans="1:23">
      <c r="A36" t="str">
        <f t="shared" si="7"/>
        <v>TM Bank</v>
      </c>
      <c r="C36" s="367">
        <v>0.1285</v>
      </c>
      <c r="D36" s="366"/>
      <c r="E36" s="367">
        <v>0.1285</v>
      </c>
      <c r="F36" s="366"/>
      <c r="G36" s="367">
        <v>0.1285</v>
      </c>
      <c r="H36" s="366"/>
      <c r="I36" s="366"/>
      <c r="J36" s="366"/>
      <c r="K36" s="367">
        <v>0.1285</v>
      </c>
      <c r="L36" s="366"/>
      <c r="M36" s="367">
        <v>0.1285</v>
      </c>
      <c r="N36" s="366"/>
      <c r="O36" s="367">
        <v>0.1285</v>
      </c>
      <c r="P36" s="366"/>
      <c r="Q36" s="367"/>
      <c r="R36" s="366"/>
      <c r="S36" s="367">
        <v>0.1285</v>
      </c>
      <c r="T36" s="366"/>
    </row>
    <row r="37" spans="1:23">
      <c r="A37" t="str">
        <f t="shared" si="7"/>
        <v>J&amp;K Bank</v>
      </c>
      <c r="C37" s="365">
        <f>12.85%</f>
        <v>0.1285</v>
      </c>
      <c r="D37" s="366"/>
      <c r="E37" s="367">
        <v>0.1285</v>
      </c>
      <c r="F37" s="366"/>
      <c r="G37" s="367">
        <v>0.1285</v>
      </c>
      <c r="H37" s="366"/>
      <c r="I37" s="367">
        <v>0.14549999999999999</v>
      </c>
      <c r="J37" s="366"/>
      <c r="K37" s="367">
        <v>0.1285</v>
      </c>
      <c r="L37" s="366"/>
      <c r="M37" s="367">
        <v>0.1285</v>
      </c>
      <c r="N37" s="366"/>
      <c r="O37" s="367">
        <v>0.1285</v>
      </c>
      <c r="P37" s="366"/>
      <c r="Q37" s="367">
        <v>0.14549999999999999</v>
      </c>
      <c r="R37" s="366"/>
      <c r="S37" s="367">
        <v>0.1285</v>
      </c>
      <c r="T37" s="366"/>
      <c r="W37" s="367">
        <v>0.1285</v>
      </c>
    </row>
    <row r="38" spans="1:23">
      <c r="A38" t="str">
        <f t="shared" si="7"/>
        <v>UCO Bank</v>
      </c>
      <c r="C38" s="367">
        <v>0.13350000000000001</v>
      </c>
      <c r="D38" s="366"/>
      <c r="E38" s="367">
        <v>0.13350000000000001</v>
      </c>
      <c r="F38" s="366"/>
      <c r="G38" s="367">
        <v>0.13350000000000001</v>
      </c>
      <c r="H38" s="366"/>
      <c r="I38" s="367">
        <v>0.14699999999999999</v>
      </c>
      <c r="J38" s="366"/>
      <c r="K38" s="367">
        <v>0.13350000000000001</v>
      </c>
      <c r="L38" s="366"/>
      <c r="M38" s="367">
        <v>0.13350000000000001</v>
      </c>
      <c r="N38" s="366"/>
      <c r="O38" s="367">
        <v>0.13350000000000001</v>
      </c>
      <c r="P38" s="366"/>
      <c r="Q38" s="367">
        <v>0.14699999999999999</v>
      </c>
      <c r="R38" s="366"/>
      <c r="S38" s="367">
        <v>0.13350000000000001</v>
      </c>
      <c r="T38" s="366"/>
    </row>
    <row r="39" spans="1:23">
      <c r="A39" t="str">
        <f t="shared" si="7"/>
        <v>Bank of India</v>
      </c>
      <c r="C39" s="367">
        <v>0.13300000000000001</v>
      </c>
      <c r="D39" s="366"/>
      <c r="E39" s="367">
        <v>0.13300000000000001</v>
      </c>
      <c r="F39" s="366"/>
      <c r="G39" s="367">
        <v>0.13300000000000001</v>
      </c>
      <c r="H39" s="366"/>
      <c r="I39" s="367"/>
      <c r="J39" s="366"/>
      <c r="K39" s="367">
        <v>0.13300000000000001</v>
      </c>
      <c r="L39" s="366"/>
      <c r="M39" s="367">
        <v>0.13300000000000001</v>
      </c>
      <c r="N39" s="366"/>
      <c r="O39" s="367">
        <v>0.13300000000000001</v>
      </c>
      <c r="P39" s="366"/>
      <c r="Q39" s="367"/>
      <c r="R39" s="366"/>
      <c r="S39" s="367">
        <v>0.13300000000000001</v>
      </c>
      <c r="T39" s="366"/>
    </row>
    <row r="40" spans="1:23">
      <c r="A40" t="str">
        <f t="shared" si="7"/>
        <v>Andhra Bank</v>
      </c>
      <c r="C40" s="367">
        <v>0.14099999999999999</v>
      </c>
      <c r="D40" s="367"/>
      <c r="E40" s="367">
        <v>0.14099999999999999</v>
      </c>
      <c r="F40" s="367"/>
      <c r="G40" s="367">
        <v>0.1285</v>
      </c>
      <c r="H40" s="367"/>
      <c r="I40" s="367"/>
      <c r="J40" s="367"/>
      <c r="K40" s="367">
        <v>0.14099999999999999</v>
      </c>
      <c r="L40" s="367"/>
      <c r="M40" s="367">
        <v>0.14099999999999999</v>
      </c>
      <c r="N40" s="367"/>
      <c r="O40" s="367">
        <v>0.1285</v>
      </c>
      <c r="P40" s="367"/>
      <c r="Q40" s="367"/>
      <c r="R40" s="367"/>
      <c r="S40" s="367">
        <v>0.1285</v>
      </c>
      <c r="T40" s="366"/>
      <c r="W40" s="367">
        <v>0.1255</v>
      </c>
    </row>
    <row r="41" spans="1:23">
      <c r="A41" t="str">
        <f t="shared" si="7"/>
        <v>Canara Bank</v>
      </c>
      <c r="C41" s="365">
        <v>0.129</v>
      </c>
      <c r="D41" s="366"/>
      <c r="E41" s="367"/>
      <c r="F41" s="366"/>
      <c r="G41" s="367">
        <v>0.13250000000000001</v>
      </c>
      <c r="H41" s="366"/>
      <c r="I41" s="367"/>
      <c r="J41" s="366"/>
      <c r="K41" s="367">
        <v>0.13400000000000001</v>
      </c>
      <c r="L41" s="366"/>
      <c r="M41" s="367"/>
      <c r="N41" s="366"/>
      <c r="O41" s="367">
        <v>0.13250000000000001</v>
      </c>
      <c r="P41" s="366"/>
      <c r="Q41" s="367"/>
      <c r="R41" s="366"/>
      <c r="S41" s="367">
        <v>0.13250000000000001</v>
      </c>
      <c r="T41" s="366"/>
      <c r="W41" s="367">
        <v>0.1565</v>
      </c>
    </row>
    <row r="42" spans="1:23">
      <c r="A42" t="str">
        <f t="shared" si="7"/>
        <v>HUDCO</v>
      </c>
      <c r="C42" s="365">
        <f>12.85%</f>
        <v>0.1285</v>
      </c>
      <c r="D42" s="367"/>
      <c r="E42" s="367"/>
      <c r="F42" s="367"/>
      <c r="G42" s="367"/>
      <c r="H42" s="367"/>
      <c r="I42" s="367"/>
      <c r="J42" s="367"/>
      <c r="K42" s="365">
        <f>12.85%</f>
        <v>0.1285</v>
      </c>
      <c r="L42" s="367"/>
      <c r="M42" s="367"/>
      <c r="N42" s="367"/>
      <c r="O42" s="367"/>
      <c r="P42" s="367"/>
      <c r="Q42" s="367"/>
      <c r="R42" s="367"/>
      <c r="S42" s="367"/>
      <c r="T42" s="366"/>
    </row>
    <row r="43" spans="1:23">
      <c r="A43" t="str">
        <f t="shared" si="7"/>
        <v>IFCI Ltd</v>
      </c>
      <c r="C43" s="367"/>
      <c r="D43" s="367"/>
      <c r="E43" s="367">
        <v>0.13900000000000001</v>
      </c>
      <c r="F43" s="367"/>
      <c r="G43" s="367">
        <v>0.13900000000000001</v>
      </c>
      <c r="H43" s="367"/>
      <c r="I43" s="367"/>
      <c r="J43" s="367"/>
      <c r="K43" s="367"/>
      <c r="L43" s="367"/>
      <c r="M43" s="367">
        <v>0.13900000000000001</v>
      </c>
      <c r="N43" s="367"/>
      <c r="O43" s="367">
        <v>0.13900000000000001</v>
      </c>
      <c r="P43" s="367"/>
      <c r="Q43" s="367"/>
      <c r="R43" s="367"/>
      <c r="S43" s="367">
        <v>0.13900000000000001</v>
      </c>
      <c r="T43" s="366"/>
    </row>
    <row r="44" spans="1:23">
      <c r="C44" s="367"/>
      <c r="D44" s="367"/>
      <c r="E44" s="367"/>
      <c r="F44" s="367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6"/>
    </row>
    <row r="45" spans="1:23">
      <c r="A45" s="816" t="s">
        <v>351</v>
      </c>
      <c r="B45" s="3" t="s">
        <v>352</v>
      </c>
      <c r="C45" s="39">
        <v>227.69</v>
      </c>
      <c r="D45" s="360">
        <v>20.71</v>
      </c>
      <c r="E45" s="360"/>
      <c r="F45" s="366"/>
      <c r="G45" s="360">
        <v>29.62</v>
      </c>
      <c r="H45" s="360">
        <v>2.7</v>
      </c>
      <c r="I45" s="360">
        <v>46.2</v>
      </c>
      <c r="J45" s="360">
        <v>4.58</v>
      </c>
      <c r="K45" s="39"/>
      <c r="L45" s="366"/>
      <c r="M45" s="39"/>
      <c r="N45" s="366"/>
      <c r="O45" s="39"/>
      <c r="P45" s="366"/>
      <c r="Q45" s="39"/>
      <c r="R45" s="366"/>
      <c r="S45" s="39">
        <v>41</v>
      </c>
      <c r="T45" s="360">
        <v>3.65</v>
      </c>
    </row>
    <row r="46" spans="1:23">
      <c r="A46" s="816"/>
      <c r="B46" s="3" t="s">
        <v>353</v>
      </c>
      <c r="C46" s="369" t="e">
        <f>SUM(#REF!)/SUM(#REF!,#REF!)</f>
        <v>#REF!</v>
      </c>
      <c r="D46" s="370" t="e">
        <f>C46</f>
        <v>#REF!</v>
      </c>
      <c r="E46" s="369"/>
      <c r="F46" s="21"/>
      <c r="G46" s="369" t="e">
        <f>SUM(#REF!)/SUM(#REF!,#REF!)</f>
        <v>#REF!</v>
      </c>
      <c r="H46" s="370" t="e">
        <f>G46</f>
        <v>#REF!</v>
      </c>
      <c r="I46" s="369" t="e">
        <f>SUM(#REF!)/SUM(#REF!,#REF!)</f>
        <v>#REF!</v>
      </c>
      <c r="J46" s="370" t="e">
        <f>I46</f>
        <v>#REF!</v>
      </c>
      <c r="K46" s="369" t="e">
        <f>SUM(#REF!)/SUM(#REF!,#REF!)</f>
        <v>#REF!</v>
      </c>
      <c r="L46" s="370" t="e">
        <f>K46</f>
        <v>#REF!</v>
      </c>
      <c r="M46" s="369"/>
      <c r="N46" s="21"/>
      <c r="O46" s="369" t="e">
        <f>SUM(#REF!)/SUM(#REF!,#REF!)</f>
        <v>#REF!</v>
      </c>
      <c r="P46" s="370" t="e">
        <f>O46</f>
        <v>#REF!</v>
      </c>
      <c r="Q46" s="369" t="e">
        <f>SUM(#REF!)/SUM(#REF!,#REF!)</f>
        <v>#REF!</v>
      </c>
      <c r="R46" s="370" t="e">
        <f>Q46</f>
        <v>#REF!</v>
      </c>
      <c r="S46" s="369">
        <v>1</v>
      </c>
      <c r="T46" s="79">
        <f>S46</f>
        <v>1</v>
      </c>
    </row>
    <row r="47" spans="1:23">
      <c r="A47" s="816"/>
      <c r="B47" s="3" t="s">
        <v>354</v>
      </c>
      <c r="C47" s="9" t="e">
        <f>C45*C$46</f>
        <v>#REF!</v>
      </c>
      <c r="D47" s="9" t="e">
        <f t="shared" ref="D47:J47" si="8">D45*D$46</f>
        <v>#REF!</v>
      </c>
      <c r="E47" s="9">
        <f t="shared" si="8"/>
        <v>0</v>
      </c>
      <c r="F47" s="9">
        <f t="shared" si="8"/>
        <v>0</v>
      </c>
      <c r="G47" s="9" t="e">
        <f t="shared" si="8"/>
        <v>#REF!</v>
      </c>
      <c r="H47" s="9" t="e">
        <f t="shared" si="8"/>
        <v>#REF!</v>
      </c>
      <c r="I47" s="9" t="e">
        <f t="shared" si="8"/>
        <v>#REF!</v>
      </c>
      <c r="J47" s="9" t="e">
        <f t="shared" si="8"/>
        <v>#REF!</v>
      </c>
      <c r="K47" s="9" t="e">
        <f>C45*K$46</f>
        <v>#REF!</v>
      </c>
      <c r="L47" s="9" t="e">
        <f t="shared" ref="L47:R47" si="9">D45*L$46</f>
        <v>#REF!</v>
      </c>
      <c r="M47" s="9">
        <f t="shared" si="9"/>
        <v>0</v>
      </c>
      <c r="N47" s="9">
        <f t="shared" si="9"/>
        <v>0</v>
      </c>
      <c r="O47" s="9" t="e">
        <f t="shared" si="9"/>
        <v>#REF!</v>
      </c>
      <c r="P47" s="9" t="e">
        <f t="shared" si="9"/>
        <v>#REF!</v>
      </c>
      <c r="Q47" s="9" t="e">
        <f t="shared" si="9"/>
        <v>#REF!</v>
      </c>
      <c r="R47" s="9" t="e">
        <f t="shared" si="9"/>
        <v>#REF!</v>
      </c>
      <c r="S47" s="9">
        <f>S45*S$46</f>
        <v>41</v>
      </c>
      <c r="T47" s="9">
        <f>T45*T$46</f>
        <v>3.65</v>
      </c>
    </row>
    <row r="48" spans="1:23">
      <c r="A48" s="816" t="s">
        <v>355</v>
      </c>
      <c r="B48" s="3" t="s">
        <v>352</v>
      </c>
      <c r="C48" s="39">
        <v>134.9</v>
      </c>
      <c r="D48" s="360">
        <v>4.8204000000000002</v>
      </c>
      <c r="E48" s="360">
        <v>22.46</v>
      </c>
      <c r="F48" s="360">
        <v>0.76919999999999999</v>
      </c>
      <c r="G48" s="360">
        <v>55.43</v>
      </c>
      <c r="H48" s="360">
        <v>1.9553</v>
      </c>
      <c r="I48" s="360">
        <v>0</v>
      </c>
      <c r="J48" s="366"/>
      <c r="K48" s="39"/>
      <c r="L48" s="366"/>
      <c r="M48" s="39"/>
      <c r="N48" s="366"/>
      <c r="O48" s="39"/>
      <c r="P48" s="366"/>
      <c r="Q48" s="39"/>
      <c r="R48" s="366"/>
      <c r="S48" s="39">
        <v>38.251399999999997</v>
      </c>
      <c r="T48" s="360">
        <v>1.3339000000000001</v>
      </c>
    </row>
    <row r="49" spans="1:22">
      <c r="A49" s="816"/>
      <c r="B49" s="3" t="s">
        <v>353</v>
      </c>
      <c r="C49" s="369" t="e">
        <f>SUM(#REF!)/SUM(#REF!,#REF!)</f>
        <v>#REF!</v>
      </c>
      <c r="D49" s="370" t="e">
        <f>C49</f>
        <v>#REF!</v>
      </c>
      <c r="E49" s="369" t="e">
        <f>SUM(#REF!)/SUM(#REF!,#REF!)</f>
        <v>#REF!</v>
      </c>
      <c r="F49" s="370" t="e">
        <f>E49</f>
        <v>#REF!</v>
      </c>
      <c r="G49" s="369" t="e">
        <f>SUM(#REF!)/SUM(#REF!,#REF!)</f>
        <v>#REF!</v>
      </c>
      <c r="H49" s="370" t="e">
        <f>G49</f>
        <v>#REF!</v>
      </c>
      <c r="I49" s="369"/>
      <c r="J49" s="21"/>
      <c r="K49" s="369" t="e">
        <f>SUM(#REF!)/SUM(#REF!,#REF!)</f>
        <v>#REF!</v>
      </c>
      <c r="L49" s="370" t="e">
        <f>K49</f>
        <v>#REF!</v>
      </c>
      <c r="M49" s="369" t="e">
        <f>SUM(#REF!)/SUM(#REF!,#REF!)</f>
        <v>#REF!</v>
      </c>
      <c r="N49" s="370" t="e">
        <f>M49</f>
        <v>#REF!</v>
      </c>
      <c r="O49" s="369" t="e">
        <f>SUM(#REF!)/SUM(#REF!,#REF!)</f>
        <v>#REF!</v>
      </c>
      <c r="P49" s="370" t="e">
        <f>O49</f>
        <v>#REF!</v>
      </c>
      <c r="Q49" s="369"/>
      <c r="R49" s="21"/>
      <c r="S49" s="369">
        <f>100%</f>
        <v>1</v>
      </c>
      <c r="T49" s="79">
        <f>S49</f>
        <v>1</v>
      </c>
    </row>
    <row r="50" spans="1:22">
      <c r="A50" s="816"/>
      <c r="B50" s="3" t="s">
        <v>354</v>
      </c>
      <c r="C50" s="9" t="e">
        <f t="shared" ref="C50:J50" si="10">C48*C$49</f>
        <v>#REF!</v>
      </c>
      <c r="D50" s="9" t="e">
        <f t="shared" si="10"/>
        <v>#REF!</v>
      </c>
      <c r="E50" s="9" t="e">
        <f t="shared" si="10"/>
        <v>#REF!</v>
      </c>
      <c r="F50" s="9" t="e">
        <f t="shared" si="10"/>
        <v>#REF!</v>
      </c>
      <c r="G50" s="9" t="e">
        <f t="shared" si="10"/>
        <v>#REF!</v>
      </c>
      <c r="H50" s="9" t="e">
        <f t="shared" si="10"/>
        <v>#REF!</v>
      </c>
      <c r="I50" s="9">
        <f t="shared" si="10"/>
        <v>0</v>
      </c>
      <c r="J50" s="9">
        <f t="shared" si="10"/>
        <v>0</v>
      </c>
      <c r="K50" s="9" t="e">
        <f t="shared" ref="K50:R50" si="11">C48*K$49</f>
        <v>#REF!</v>
      </c>
      <c r="L50" s="9" t="e">
        <f t="shared" si="11"/>
        <v>#REF!</v>
      </c>
      <c r="M50" s="9" t="e">
        <f t="shared" si="11"/>
        <v>#REF!</v>
      </c>
      <c r="N50" s="9" t="e">
        <f t="shared" si="11"/>
        <v>#REF!</v>
      </c>
      <c r="O50" s="9" t="e">
        <f t="shared" si="11"/>
        <v>#REF!</v>
      </c>
      <c r="P50" s="9" t="e">
        <f t="shared" si="11"/>
        <v>#REF!</v>
      </c>
      <c r="Q50" s="9">
        <f t="shared" si="11"/>
        <v>0</v>
      </c>
      <c r="R50" s="9">
        <f t="shared" si="11"/>
        <v>0</v>
      </c>
      <c r="S50" s="9">
        <f>S48*S$49</f>
        <v>38.251399999999997</v>
      </c>
      <c r="T50" s="9">
        <f>T48*T$49</f>
        <v>1.3339000000000001</v>
      </c>
    </row>
    <row r="51" spans="1:22">
      <c r="A51" s="816" t="s">
        <v>348</v>
      </c>
      <c r="B51" s="3" t="s">
        <v>352</v>
      </c>
      <c r="C51" s="39">
        <v>250</v>
      </c>
      <c r="D51" s="39">
        <f>93.3862322</f>
        <v>93.386232199999995</v>
      </c>
      <c r="M51" s="9"/>
      <c r="O51" s="9"/>
      <c r="Q51" s="9"/>
      <c r="S51" s="9"/>
    </row>
    <row r="52" spans="1:22">
      <c r="A52" s="816"/>
      <c r="B52" s="3" t="s">
        <v>353</v>
      </c>
      <c r="C52" s="77" t="e">
        <f>SUM(#REF!)/SUM(#REF!,#REF!)</f>
        <v>#REF!</v>
      </c>
      <c r="D52" s="79" t="e">
        <f>C52</f>
        <v>#REF!</v>
      </c>
      <c r="E52" s="9"/>
      <c r="G52" s="9"/>
      <c r="I52" s="9"/>
      <c r="K52" s="77" t="e">
        <f>SUM(#REF!)/SUM(#REF!,#REF!)</f>
        <v>#REF!</v>
      </c>
      <c r="L52" s="79" t="e">
        <f>K52</f>
        <v>#REF!</v>
      </c>
    </row>
    <row r="53" spans="1:22">
      <c r="A53" s="816"/>
      <c r="B53" s="3" t="s">
        <v>354</v>
      </c>
      <c r="C53" s="9" t="e">
        <f>C51*C$52</f>
        <v>#REF!</v>
      </c>
      <c r="D53" s="9" t="e">
        <f>D51*D$52</f>
        <v>#REF!</v>
      </c>
      <c r="E53" s="9"/>
      <c r="G53" s="9"/>
      <c r="I53" s="9"/>
      <c r="K53" s="9" t="e">
        <f>C51*K$52</f>
        <v>#REF!</v>
      </c>
      <c r="L53" s="9" t="e">
        <f>D51*L$52</f>
        <v>#REF!</v>
      </c>
      <c r="M53" s="9"/>
      <c r="O53" s="9"/>
      <c r="Q53" s="9"/>
      <c r="S53" s="9"/>
    </row>
    <row r="54" spans="1:22">
      <c r="A54" s="816" t="s">
        <v>342</v>
      </c>
      <c r="B54" s="3"/>
      <c r="C54" s="371">
        <v>18.34</v>
      </c>
      <c r="D54" s="371">
        <v>0.5</v>
      </c>
      <c r="E54" s="371">
        <v>21.67</v>
      </c>
      <c r="F54" s="371">
        <v>0.66</v>
      </c>
      <c r="G54" s="371">
        <v>13.64</v>
      </c>
      <c r="H54" s="371">
        <v>0.44</v>
      </c>
      <c r="I54" s="371">
        <v>0</v>
      </c>
      <c r="J54" s="371">
        <v>0</v>
      </c>
      <c r="K54" s="371">
        <v>18.34</v>
      </c>
      <c r="L54" s="371">
        <v>0.5</v>
      </c>
      <c r="M54" s="371">
        <v>21.67</v>
      </c>
      <c r="N54" s="371">
        <v>0.66</v>
      </c>
      <c r="O54" s="371">
        <v>13.64</v>
      </c>
      <c r="P54" s="371">
        <v>0.44</v>
      </c>
      <c r="Q54" s="371">
        <v>0</v>
      </c>
      <c r="R54" s="371">
        <v>0</v>
      </c>
      <c r="S54" s="371">
        <v>25.17</v>
      </c>
      <c r="T54" s="371">
        <v>0.83</v>
      </c>
    </row>
    <row r="55" spans="1:22">
      <c r="A55" s="816"/>
      <c r="B55" s="3" t="s">
        <v>352</v>
      </c>
      <c r="C55" s="9">
        <f t="shared" ref="C55:I55" si="12">C54+K54</f>
        <v>36.68</v>
      </c>
      <c r="D55" s="9">
        <f t="shared" si="12"/>
        <v>1</v>
      </c>
      <c r="E55" s="9">
        <f t="shared" si="12"/>
        <v>43.34</v>
      </c>
      <c r="F55" s="9">
        <f t="shared" si="12"/>
        <v>1.32</v>
      </c>
      <c r="G55" s="9">
        <f t="shared" si="12"/>
        <v>27.28</v>
      </c>
      <c r="H55" s="9">
        <f t="shared" si="12"/>
        <v>0.88</v>
      </c>
      <c r="I55" s="9">
        <f t="shared" si="12"/>
        <v>0</v>
      </c>
      <c r="S55" s="9">
        <f>S54</f>
        <v>25.17</v>
      </c>
    </row>
    <row r="56" spans="1:22">
      <c r="A56" s="816"/>
      <c r="B56" s="3" t="s">
        <v>353</v>
      </c>
      <c r="C56" s="77" t="e">
        <f>SUM(#REF!)/SUM(#REF!,#REF!)</f>
        <v>#REF!</v>
      </c>
      <c r="D56" s="79" t="e">
        <f>C56</f>
        <v>#REF!</v>
      </c>
      <c r="E56" s="369" t="e">
        <f>SUM(#REF!)/SUM(#REF!,#REF!)</f>
        <v>#REF!</v>
      </c>
      <c r="F56" s="79" t="e">
        <f>E56</f>
        <v>#REF!</v>
      </c>
      <c r="G56" s="369" t="e">
        <f>SUM(#REF!)/SUM(#REF!,#REF!)</f>
        <v>#REF!</v>
      </c>
      <c r="H56" s="79" t="e">
        <f>G56</f>
        <v>#REF!</v>
      </c>
      <c r="I56" s="373"/>
      <c r="K56" s="77" t="e">
        <f>SUM(#REF!)/SUM(#REF!,#REF!)</f>
        <v>#REF!</v>
      </c>
      <c r="L56" s="79" t="e">
        <f>K56</f>
        <v>#REF!</v>
      </c>
      <c r="M56" s="369" t="e">
        <f>SUM(#REF!)/SUM(#REF!,#REF!)</f>
        <v>#REF!</v>
      </c>
      <c r="N56" s="79" t="e">
        <f>M56</f>
        <v>#REF!</v>
      </c>
      <c r="O56" s="369" t="e">
        <f>SUM(#REF!)/SUM(#REF!,#REF!)</f>
        <v>#REF!</v>
      </c>
      <c r="P56" s="79" t="e">
        <f>O56</f>
        <v>#REF!</v>
      </c>
      <c r="Q56" s="77"/>
      <c r="S56" s="369">
        <f>100%</f>
        <v>1</v>
      </c>
    </row>
    <row r="57" spans="1:22">
      <c r="A57" s="816"/>
      <c r="B57" s="3" t="s">
        <v>354</v>
      </c>
      <c r="C57" s="9" t="e">
        <f t="shared" ref="C57:H57" si="13">C55*C$56</f>
        <v>#REF!</v>
      </c>
      <c r="D57" s="9" t="e">
        <f t="shared" si="13"/>
        <v>#REF!</v>
      </c>
      <c r="E57" s="9" t="e">
        <f t="shared" si="13"/>
        <v>#REF!</v>
      </c>
      <c r="F57" s="9" t="e">
        <f t="shared" si="13"/>
        <v>#REF!</v>
      </c>
      <c r="G57" s="9" t="e">
        <f t="shared" si="13"/>
        <v>#REF!</v>
      </c>
      <c r="H57" s="9" t="e">
        <f t="shared" si="13"/>
        <v>#REF!</v>
      </c>
      <c r="I57" s="9">
        <f>I54</f>
        <v>0</v>
      </c>
      <c r="J57" s="9">
        <f>J54</f>
        <v>0</v>
      </c>
      <c r="K57" s="9" t="e">
        <f t="shared" ref="K57:P57" si="14">C55*K$56</f>
        <v>#REF!</v>
      </c>
      <c r="L57" s="9" t="e">
        <f t="shared" si="14"/>
        <v>#REF!</v>
      </c>
      <c r="M57" s="9" t="e">
        <f t="shared" si="14"/>
        <v>#REF!</v>
      </c>
      <c r="N57" s="9" t="e">
        <f t="shared" si="14"/>
        <v>#REF!</v>
      </c>
      <c r="O57" s="9" t="e">
        <f t="shared" si="14"/>
        <v>#REF!</v>
      </c>
      <c r="P57" s="9" t="e">
        <f t="shared" si="14"/>
        <v>#REF!</v>
      </c>
      <c r="Q57" s="9" t="e">
        <f>I55*Q$60</f>
        <v>#REF!</v>
      </c>
      <c r="R57" s="9">
        <f>R54</f>
        <v>0</v>
      </c>
      <c r="S57" s="9">
        <f>S55*S$60</f>
        <v>25.17</v>
      </c>
      <c r="T57" s="9">
        <f>T54</f>
        <v>0.83</v>
      </c>
    </row>
    <row r="58" spans="1:22">
      <c r="A58" s="816" t="s">
        <v>356</v>
      </c>
      <c r="B58" s="3"/>
      <c r="C58" s="360">
        <v>40.98</v>
      </c>
      <c r="D58" s="360">
        <v>1.39</v>
      </c>
      <c r="E58" s="360">
        <v>6.76</v>
      </c>
      <c r="F58" s="360">
        <v>0.23</v>
      </c>
      <c r="G58" s="360">
        <v>8.18</v>
      </c>
      <c r="H58" s="360">
        <v>0.28000000000000003</v>
      </c>
      <c r="I58" s="360">
        <v>4.08</v>
      </c>
      <c r="J58" s="360">
        <v>0.16</v>
      </c>
      <c r="K58" s="360">
        <v>40.98</v>
      </c>
      <c r="L58" s="360">
        <v>1.39</v>
      </c>
      <c r="M58" s="360">
        <v>6.76</v>
      </c>
      <c r="N58" s="360">
        <v>0.23</v>
      </c>
      <c r="O58" s="360">
        <v>8.18</v>
      </c>
      <c r="P58" s="360">
        <v>0.28000000000000003</v>
      </c>
      <c r="Q58" s="360">
        <v>4.08</v>
      </c>
      <c r="R58" s="360">
        <v>0.16</v>
      </c>
      <c r="S58" s="360">
        <v>28.41</v>
      </c>
      <c r="T58" s="360">
        <v>0.96</v>
      </c>
      <c r="U58" s="376"/>
      <c r="V58" s="376"/>
    </row>
    <row r="59" spans="1:22">
      <c r="A59" s="816"/>
      <c r="B59" s="3" t="s">
        <v>352</v>
      </c>
      <c r="C59" s="9">
        <f>C58+K58</f>
        <v>81.96</v>
      </c>
      <c r="E59" s="9">
        <f>E58+M58</f>
        <v>13.52</v>
      </c>
      <c r="G59" s="9">
        <f>G58+O58</f>
        <v>16.36</v>
      </c>
      <c r="I59" s="9">
        <f>I58+Q58</f>
        <v>8.16</v>
      </c>
      <c r="S59" s="9">
        <f>S58</f>
        <v>28.41</v>
      </c>
    </row>
    <row r="60" spans="1:22">
      <c r="A60" s="816"/>
      <c r="B60" s="3" t="s">
        <v>353</v>
      </c>
      <c r="C60" s="77" t="e">
        <f>SUM(#REF!)/SUM(#REF!,#REF!)</f>
        <v>#REF!</v>
      </c>
      <c r="E60" s="369" t="e">
        <f>SUM(#REF!)/SUM(#REF!,#REF!)</f>
        <v>#REF!</v>
      </c>
      <c r="G60" s="369" t="e">
        <f>SUM(#REF!)/SUM(#REF!,#REF!)</f>
        <v>#REF!</v>
      </c>
      <c r="I60" s="77" t="e">
        <f>SUM(#REF!)/SUM(#REF!,#REF!)</f>
        <v>#REF!</v>
      </c>
      <c r="K60" s="77" t="e">
        <f>SUM(#REF!)/SUM(#REF!,#REF!)</f>
        <v>#REF!</v>
      </c>
      <c r="M60" s="369" t="e">
        <f>SUM(#REF!)/SUM(#REF!,#REF!)</f>
        <v>#REF!</v>
      </c>
      <c r="O60" s="369" t="e">
        <f>SUM(#REF!)/SUM(#REF!,#REF!)</f>
        <v>#REF!</v>
      </c>
      <c r="Q60" s="77" t="e">
        <f>SUM(#REF!)/SUM(#REF!,#REF!)</f>
        <v>#REF!</v>
      </c>
      <c r="S60" s="365">
        <f>100%</f>
        <v>1</v>
      </c>
    </row>
    <row r="61" spans="1:22">
      <c r="A61" s="816"/>
      <c r="B61" s="3" t="s">
        <v>354</v>
      </c>
      <c r="C61" s="9" t="e">
        <f>C59*C$60</f>
        <v>#REF!</v>
      </c>
      <c r="D61" s="9">
        <f>D58</f>
        <v>1.39</v>
      </c>
      <c r="E61" s="9" t="e">
        <f>E59*E$60</f>
        <v>#REF!</v>
      </c>
      <c r="F61" s="9">
        <f>F58</f>
        <v>0.23</v>
      </c>
      <c r="G61" s="9" t="e">
        <f>G59*G$60</f>
        <v>#REF!</v>
      </c>
      <c r="H61" s="9">
        <f>H58</f>
        <v>0.28000000000000003</v>
      </c>
      <c r="I61" s="9" t="e">
        <f>I59*I$60</f>
        <v>#REF!</v>
      </c>
      <c r="J61" s="9">
        <f>J58</f>
        <v>0.16</v>
      </c>
      <c r="K61" s="9" t="e">
        <f>C59*K$60</f>
        <v>#REF!</v>
      </c>
      <c r="L61" s="9">
        <f>L58</f>
        <v>1.39</v>
      </c>
      <c r="M61" s="9" t="e">
        <f>E59*M$60</f>
        <v>#REF!</v>
      </c>
      <c r="N61" s="9">
        <f>N58</f>
        <v>0.23</v>
      </c>
      <c r="O61" s="9" t="e">
        <f>G59*O$60</f>
        <v>#REF!</v>
      </c>
      <c r="P61" s="9">
        <f>P58</f>
        <v>0.28000000000000003</v>
      </c>
      <c r="Q61" s="9" t="e">
        <f>I59*Q$60</f>
        <v>#REF!</v>
      </c>
      <c r="R61" s="9">
        <f>R58</f>
        <v>0.16</v>
      </c>
      <c r="S61" s="9">
        <f>S59*S$60</f>
        <v>28.41</v>
      </c>
      <c r="T61" s="9">
        <f>T58</f>
        <v>0.96</v>
      </c>
    </row>
    <row r="62" spans="1:22">
      <c r="A62" s="816" t="s">
        <v>346</v>
      </c>
      <c r="B62" s="3"/>
      <c r="C62" s="360">
        <v>45.07</v>
      </c>
      <c r="D62" s="360">
        <v>1.72</v>
      </c>
      <c r="E62" s="360">
        <v>7.57</v>
      </c>
      <c r="F62" s="360">
        <v>0.28999999999999998</v>
      </c>
      <c r="G62" s="360">
        <v>18.18</v>
      </c>
      <c r="H62" s="360">
        <v>0.62</v>
      </c>
      <c r="I62" s="360">
        <v>0</v>
      </c>
      <c r="J62" s="360">
        <v>0</v>
      </c>
      <c r="K62" s="360">
        <v>45.07</v>
      </c>
      <c r="L62" s="360">
        <v>1.71</v>
      </c>
      <c r="M62" s="360">
        <v>7.56</v>
      </c>
      <c r="N62" s="360">
        <v>0.28000000000000003</v>
      </c>
      <c r="O62" s="360">
        <v>18.18</v>
      </c>
      <c r="P62" s="360">
        <v>0.61</v>
      </c>
      <c r="Q62" s="360">
        <v>0</v>
      </c>
      <c r="R62" s="360">
        <v>0</v>
      </c>
      <c r="S62" s="360">
        <v>21.8</v>
      </c>
      <c r="T62" s="360">
        <v>0.74</v>
      </c>
    </row>
    <row r="63" spans="1:22">
      <c r="A63" s="816"/>
      <c r="B63" s="3" t="s">
        <v>352</v>
      </c>
      <c r="C63" s="9">
        <f>C62+K62</f>
        <v>90.14</v>
      </c>
      <c r="E63" s="9">
        <f>E62+M62</f>
        <v>15.129999999999999</v>
      </c>
      <c r="G63" s="9">
        <f>G62+O62</f>
        <v>36.36</v>
      </c>
      <c r="I63" s="9">
        <f>I62+Q62</f>
        <v>0</v>
      </c>
      <c r="S63" s="9">
        <f>S62</f>
        <v>21.8</v>
      </c>
    </row>
    <row r="64" spans="1:22">
      <c r="A64" s="816"/>
      <c r="B64" s="3" t="s">
        <v>353</v>
      </c>
      <c r="C64" s="372" t="e">
        <f>SUM(#REF!)/SUM(#REF!,#REF!)</f>
        <v>#REF!</v>
      </c>
      <c r="E64" s="372" t="e">
        <f>SUM(#REF!)/SUM(#REF!,#REF!)</f>
        <v>#REF!</v>
      </c>
      <c r="G64" s="372" t="e">
        <f>SUM(#REF!)/SUM(#REF!,#REF!)</f>
        <v>#REF!</v>
      </c>
      <c r="K64" s="372" t="e">
        <f>SUM(#REF!)/SUM(#REF!,#REF!)</f>
        <v>#REF!</v>
      </c>
      <c r="M64" s="372" t="e">
        <f>SUM(#REF!)/SUM(#REF!,#REF!)</f>
        <v>#REF!</v>
      </c>
      <c r="O64" s="372" t="e">
        <f>SUM(#REF!)/SUM(#REF!,#REF!)</f>
        <v>#REF!</v>
      </c>
      <c r="S64" s="365">
        <f>100%</f>
        <v>1</v>
      </c>
    </row>
    <row r="65" spans="1:30">
      <c r="A65" s="816"/>
      <c r="B65" s="3" t="s">
        <v>354</v>
      </c>
      <c r="C65" s="9" t="e">
        <f>C63*C$60</f>
        <v>#REF!</v>
      </c>
      <c r="D65" s="9">
        <f>D62</f>
        <v>1.72</v>
      </c>
      <c r="E65" s="9" t="e">
        <f>E63*E$60</f>
        <v>#REF!</v>
      </c>
      <c r="F65" s="9">
        <f>F62</f>
        <v>0.28999999999999998</v>
      </c>
      <c r="G65" s="9" t="e">
        <f>G63*G$60</f>
        <v>#REF!</v>
      </c>
      <c r="H65" s="9">
        <f>H62</f>
        <v>0.62</v>
      </c>
      <c r="I65" s="9" t="e">
        <f>I63*I$60</f>
        <v>#REF!</v>
      </c>
      <c r="J65" s="9">
        <f>J62</f>
        <v>0</v>
      </c>
      <c r="K65" s="9" t="e">
        <f>C63*K$60</f>
        <v>#REF!</v>
      </c>
      <c r="L65" s="9">
        <f>L62</f>
        <v>1.71</v>
      </c>
      <c r="M65" s="9" t="e">
        <f>E63*M$60</f>
        <v>#REF!</v>
      </c>
      <c r="N65" s="9">
        <f>N62</f>
        <v>0.28000000000000003</v>
      </c>
      <c r="O65" s="9" t="e">
        <f>G63*O$60</f>
        <v>#REF!</v>
      </c>
      <c r="P65" s="9">
        <f>P62</f>
        <v>0.61</v>
      </c>
      <c r="Q65" s="9" t="e">
        <f>I63*Q$60</f>
        <v>#REF!</v>
      </c>
      <c r="R65" s="9">
        <f>R62</f>
        <v>0</v>
      </c>
      <c r="S65" s="9">
        <f>S63*S$60</f>
        <v>21.8</v>
      </c>
      <c r="T65" s="9">
        <f>T62</f>
        <v>0.74</v>
      </c>
    </row>
    <row r="67" spans="1:30">
      <c r="F67" s="813">
        <v>42735</v>
      </c>
      <c r="G67" s="814"/>
      <c r="H67" s="814" t="s">
        <v>357</v>
      </c>
      <c r="I67" s="814"/>
      <c r="J67" s="813">
        <v>42766</v>
      </c>
      <c r="K67" s="814"/>
      <c r="L67" s="814" t="s">
        <v>358</v>
      </c>
      <c r="M67" s="814"/>
      <c r="N67" s="813">
        <v>42794</v>
      </c>
      <c r="O67" s="814"/>
      <c r="P67" s="814" t="s">
        <v>359</v>
      </c>
      <c r="Q67" s="814"/>
      <c r="R67" s="813">
        <v>42825</v>
      </c>
      <c r="S67" s="814"/>
      <c r="T67" s="814" t="s">
        <v>360</v>
      </c>
      <c r="U67" s="814"/>
      <c r="V67" s="813">
        <v>42855</v>
      </c>
      <c r="W67" s="814"/>
      <c r="X67" s="814" t="s">
        <v>361</v>
      </c>
      <c r="Y67" s="814"/>
      <c r="Z67" s="813">
        <v>42886</v>
      </c>
      <c r="AA67" s="814"/>
      <c r="AB67" s="814" t="s">
        <v>362</v>
      </c>
      <c r="AC67" s="814"/>
      <c r="AD67" s="366" t="s">
        <v>33</v>
      </c>
    </row>
    <row r="68" spans="1:30">
      <c r="B68" s="371">
        <v>365</v>
      </c>
      <c r="E68" s="377">
        <f>DATE(2016,12,30)</f>
        <v>42734</v>
      </c>
      <c r="F68" s="378">
        <f>F67-E68</f>
        <v>1</v>
      </c>
      <c r="G68" s="379">
        <f>F68</f>
        <v>1</v>
      </c>
      <c r="H68" s="366"/>
      <c r="I68" s="366"/>
      <c r="J68" s="378">
        <f>J67-F67</f>
        <v>31</v>
      </c>
      <c r="K68" s="378">
        <f>J68</f>
        <v>31</v>
      </c>
      <c r="L68" s="366"/>
      <c r="M68" s="366"/>
      <c r="N68" s="378">
        <f>N67-J67</f>
        <v>28</v>
      </c>
      <c r="O68" s="378">
        <f>N68</f>
        <v>28</v>
      </c>
      <c r="P68" s="366"/>
      <c r="Q68" s="366"/>
      <c r="R68" s="378">
        <f>R67-N67</f>
        <v>31</v>
      </c>
      <c r="S68" s="378">
        <f>R68</f>
        <v>31</v>
      </c>
      <c r="T68" s="366"/>
      <c r="U68" s="366"/>
      <c r="V68" s="378">
        <f>V67-R67</f>
        <v>30</v>
      </c>
      <c r="W68" s="378">
        <f>V68</f>
        <v>30</v>
      </c>
      <c r="X68" s="366"/>
      <c r="Y68" s="366"/>
      <c r="Z68" s="378">
        <f>Z67-V67</f>
        <v>31</v>
      </c>
      <c r="AA68" s="378">
        <f>Z68</f>
        <v>31</v>
      </c>
      <c r="AB68" s="366"/>
      <c r="AC68" s="366"/>
      <c r="AD68" s="366"/>
    </row>
    <row r="69" spans="1:30">
      <c r="A69" s="380" t="str">
        <f t="shared" ref="A69:A86" si="15">A26</f>
        <v>State Bank of India</v>
      </c>
      <c r="B69" s="381">
        <f>Os!C26</f>
        <v>0.1285</v>
      </c>
      <c r="C69" s="382">
        <f>SUM(C4:H4,K4:P4,S4:T4)</f>
        <v>1094.29</v>
      </c>
      <c r="D69" s="381">
        <f>Os!I26</f>
        <v>0.14549999999999999</v>
      </c>
      <c r="E69" s="9">
        <f>SUM(I4:J4,Q4:R4)</f>
        <v>47.249999999999993</v>
      </c>
      <c r="F69" s="62">
        <f t="shared" ref="F69:F86" si="16">C69*F$68*$B69/$B$68</f>
        <v>0.38525004109589039</v>
      </c>
      <c r="G69" s="62">
        <f>E69*G$68*$D69/$B$68</f>
        <v>1.8835273972602734E-2</v>
      </c>
      <c r="H69" s="9">
        <f>C69+F69</f>
        <v>1094.6752500410958</v>
      </c>
      <c r="I69" s="9">
        <f>G69+E69</f>
        <v>47.268835273972599</v>
      </c>
      <c r="J69" s="62">
        <f>H69*J$68*$B69/$B$68</f>
        <v>11.946955776818369</v>
      </c>
      <c r="K69" s="62">
        <f>I69*K$68*$D69/$B$68</f>
        <v>0.58412625069384494</v>
      </c>
      <c r="L69" s="9">
        <f>H69+J69</f>
        <v>1106.6222058179142</v>
      </c>
      <c r="M69" s="9">
        <f>I69+K69</f>
        <v>47.852961524666441</v>
      </c>
      <c r="N69" s="62">
        <f>L69*N$68*$B69/$B$68</f>
        <v>10.908566291870837</v>
      </c>
      <c r="O69" s="62">
        <f>M69*O$68*$D69/$B$68</f>
        <v>0.53411771301778377</v>
      </c>
      <c r="P69" s="9">
        <f>N69+L69</f>
        <v>1117.5307721097849</v>
      </c>
      <c r="Q69" s="9">
        <f>O69+M69</f>
        <v>48.387079237684226</v>
      </c>
      <c r="R69" s="62">
        <f>P69*R$68*$B69/$B$68</f>
        <v>12.196394056710488</v>
      </c>
      <c r="S69" s="62">
        <f>Q69*S$68*$D69/$B$68</f>
        <v>0.59794498877143754</v>
      </c>
      <c r="T69" s="9">
        <f>R69+P69</f>
        <v>1129.7271661664954</v>
      </c>
      <c r="U69" s="9">
        <f>S69+Q69</f>
        <v>48.985024226455664</v>
      </c>
      <c r="V69" s="62">
        <f>T69*V$68*$B69/$B$68</f>
        <v>11.931775960470794</v>
      </c>
      <c r="W69" s="62">
        <f>U69*W$68*$D69/$B$68</f>
        <v>0.58580720753007942</v>
      </c>
      <c r="X69" s="9">
        <f>V69+T69</f>
        <v>1141.6589421269662</v>
      </c>
      <c r="Y69" s="9">
        <f>W69+U69</f>
        <v>49.570831433985745</v>
      </c>
      <c r="Z69" s="62">
        <f>X69*Z$68*$B69/$B$68</f>
        <v>12.459721632774713</v>
      </c>
      <c r="AA69" s="62">
        <f>Y69*AA$68*$D69/$B$68</f>
        <v>0.61257324707669225</v>
      </c>
      <c r="AB69" s="9">
        <f>Z69+X69</f>
        <v>1154.1186637597409</v>
      </c>
      <c r="AC69" s="9">
        <f>AA69+Y69</f>
        <v>50.183404681062434</v>
      </c>
      <c r="AD69" s="9">
        <f>AC69+AB69</f>
        <v>1204.3020684408034</v>
      </c>
    </row>
    <row r="70" spans="1:30">
      <c r="A70" s="380" t="str">
        <f t="shared" si="15"/>
        <v>State Bank of Hyderabad</v>
      </c>
      <c r="B70" s="381">
        <f>Os!C27</f>
        <v>0.1285</v>
      </c>
      <c r="C70" s="382">
        <f>SUM(C5:H5,K5:P5,S5:T5)</f>
        <v>217.29</v>
      </c>
      <c r="D70" s="381">
        <f>Os!I27</f>
        <v>0</v>
      </c>
      <c r="E70" s="9">
        <f>SUM(I5:J5,Q5:R5)</f>
        <v>0</v>
      </c>
      <c r="F70" s="62">
        <f t="shared" si="16"/>
        <v>7.6497986301369864E-2</v>
      </c>
      <c r="G70" s="62">
        <f t="shared" ref="G70:G86" si="17">E70*G$68*$D70/$B$68</f>
        <v>0</v>
      </c>
      <c r="H70" s="9">
        <f t="shared" ref="H70:H86" si="18">C70+F70</f>
        <v>217.36649798630137</v>
      </c>
      <c r="I70" s="9">
        <f t="shared" ref="I70:I86" si="19">G70+E70</f>
        <v>0</v>
      </c>
      <c r="J70" s="62">
        <f t="shared" ref="J70:J86" si="20">H70*J$68*$B70/$B$68</f>
        <v>2.3722724513107711</v>
      </c>
      <c r="K70" s="62">
        <f t="shared" ref="K70:K86" si="21">I70*K$68*$D70/$B$68</f>
        <v>0</v>
      </c>
      <c r="L70" s="9">
        <f t="shared" ref="L70:L86" si="22">H70+J70</f>
        <v>219.73877043761215</v>
      </c>
      <c r="M70" s="9">
        <f t="shared" ref="M70:M86" si="23">I70+K70</f>
        <v>0</v>
      </c>
      <c r="N70" s="62">
        <f t="shared" ref="N70:N86" si="24">L70*N$68*$B70/$B$68</f>
        <v>2.1660824548891191</v>
      </c>
      <c r="O70" s="62">
        <f t="shared" ref="O70:O86" si="25">M70*O$68*$D70/$B$68</f>
        <v>0</v>
      </c>
      <c r="P70" s="9">
        <f t="shared" ref="P70:P86" si="26">N70+L70</f>
        <v>221.90485289250125</v>
      </c>
      <c r="Q70" s="9">
        <f t="shared" ref="Q70:Q86" si="27">O70+M70</f>
        <v>0</v>
      </c>
      <c r="R70" s="62">
        <f t="shared" ref="R70:R86" si="28">P70*R$68*$B70/$B$68</f>
        <v>2.4218026890336404</v>
      </c>
      <c r="S70" s="62">
        <f t="shared" ref="S70:S86" si="29">Q70*S$68*$D70/$B$68</f>
        <v>0</v>
      </c>
      <c r="T70" s="9">
        <f t="shared" ref="T70:T86" si="30">R70+P70</f>
        <v>224.32665558153491</v>
      </c>
      <c r="U70" s="9">
        <f t="shared" ref="U70:U86" si="31">S70+Q70</f>
        <v>0</v>
      </c>
      <c r="V70" s="62">
        <f t="shared" ref="V70:V86" si="32">T70*V$68*$B70/$B$68</f>
        <v>2.3692582390871704</v>
      </c>
      <c r="W70" s="62">
        <f t="shared" ref="W70:W86" si="33">U70*W$68*$D70/$B$68</f>
        <v>0</v>
      </c>
      <c r="X70" s="9">
        <f t="shared" ref="X70:X86" si="34">V70+T70</f>
        <v>226.69591382062208</v>
      </c>
      <c r="Y70" s="9">
        <f t="shared" ref="Y70:Y86" si="35">W70+U70</f>
        <v>0</v>
      </c>
      <c r="Z70" s="62">
        <f t="shared" ref="Z70:Z86" si="36">X70*Z$68*$B70/$B$68</f>
        <v>2.4740908841217757</v>
      </c>
      <c r="AA70" s="62">
        <f t="shared" ref="AA70:AA86" si="37">Y70*AA$68*$D70/$B$68</f>
        <v>0</v>
      </c>
      <c r="AB70" s="9">
        <f t="shared" ref="AB70:AB86" si="38">Z70+X70</f>
        <v>229.17000470474386</v>
      </c>
      <c r="AC70" s="9">
        <f t="shared" ref="AC70:AC86" si="39">AA70+Y70</f>
        <v>0</v>
      </c>
      <c r="AD70" s="9">
        <f t="shared" ref="AD70:AD86" si="40">AC70+AB70</f>
        <v>229.17000470474386</v>
      </c>
    </row>
    <row r="71" spans="1:30">
      <c r="A71" s="380" t="str">
        <f t="shared" si="15"/>
        <v>State Bank of Mysore</v>
      </c>
      <c r="B71" s="381">
        <f>Os!C28</f>
        <v>0.1295</v>
      </c>
      <c r="C71" s="382">
        <f>SUM(C6:H6,K6:P6,S6:T6)</f>
        <v>153.98000000000002</v>
      </c>
      <c r="D71" s="381">
        <f>Os!I28</f>
        <v>0.14649999999999999</v>
      </c>
      <c r="E71" s="9">
        <f>SUM(I6:J6,Q6:R6)</f>
        <v>7.84</v>
      </c>
      <c r="F71" s="62">
        <f t="shared" si="16"/>
        <v>5.4631260273972609E-2</v>
      </c>
      <c r="G71" s="62">
        <f t="shared" si="17"/>
        <v>3.1467397260273966E-3</v>
      </c>
      <c r="H71" s="9">
        <f t="shared" si="18"/>
        <v>154.03463126027398</v>
      </c>
      <c r="I71" s="9">
        <f t="shared" si="19"/>
        <v>7.8431467397260271</v>
      </c>
      <c r="J71" s="62">
        <f t="shared" si="20"/>
        <v>1.6941699375188217</v>
      </c>
      <c r="K71" s="62">
        <f t="shared" si="21"/>
        <v>9.7588084708125342E-2</v>
      </c>
      <c r="L71" s="9">
        <f t="shared" si="22"/>
        <v>155.72880119779279</v>
      </c>
      <c r="M71" s="9">
        <f t="shared" si="23"/>
        <v>7.940734824434152</v>
      </c>
      <c r="N71" s="62">
        <f t="shared" si="24"/>
        <v>1.5470483099813608</v>
      </c>
      <c r="O71" s="62">
        <f t="shared" si="25"/>
        <v>8.9240806163914776E-2</v>
      </c>
      <c r="P71" s="9">
        <f t="shared" si="26"/>
        <v>157.27584950777415</v>
      </c>
      <c r="Q71" s="9">
        <f t="shared" si="27"/>
        <v>8.0299756305980665</v>
      </c>
      <c r="R71" s="62">
        <f t="shared" si="28"/>
        <v>1.729818898216327</v>
      </c>
      <c r="S71" s="62">
        <f t="shared" si="29"/>
        <v>9.9912696784551003E-2</v>
      </c>
      <c r="T71" s="9">
        <f t="shared" si="30"/>
        <v>159.00566840599049</v>
      </c>
      <c r="U71" s="9">
        <f t="shared" si="31"/>
        <v>8.1298883273826181</v>
      </c>
      <c r="V71" s="62">
        <f t="shared" si="32"/>
        <v>1.6924301965952686</v>
      </c>
      <c r="W71" s="62">
        <f t="shared" si="33"/>
        <v>9.7892764928346851E-2</v>
      </c>
      <c r="X71" s="9">
        <f t="shared" si="34"/>
        <v>160.69809860258576</v>
      </c>
      <c r="Y71" s="9">
        <f t="shared" si="35"/>
        <v>8.2277810923109644</v>
      </c>
      <c r="Z71" s="62">
        <f t="shared" si="36"/>
        <v>1.7674589502467961</v>
      </c>
      <c r="AA71" s="62">
        <f t="shared" si="37"/>
        <v>0.1023738844677541</v>
      </c>
      <c r="AB71" s="9">
        <f t="shared" si="38"/>
        <v>162.46555755283256</v>
      </c>
      <c r="AC71" s="9">
        <f t="shared" si="39"/>
        <v>8.3301549767787186</v>
      </c>
      <c r="AD71" s="9">
        <f t="shared" si="40"/>
        <v>170.79571252961128</v>
      </c>
    </row>
    <row r="72" spans="1:30">
      <c r="A72" s="380" t="str">
        <f t="shared" si="15"/>
        <v>State Bank of Patiala</v>
      </c>
      <c r="B72" s="381">
        <f>Os!C29</f>
        <v>0.1285</v>
      </c>
      <c r="C72" s="382">
        <f>SUM(C7:H7,K7:P7,S7:T7)</f>
        <v>267.21476923076921</v>
      </c>
      <c r="D72" s="381">
        <f>Os!I29</f>
        <v>0.14549999999999999</v>
      </c>
      <c r="E72" s="9">
        <f>SUM(I7:J7,Q7:R7)</f>
        <v>47.179999999999993</v>
      </c>
      <c r="F72" s="62">
        <f t="shared" si="16"/>
        <v>9.40742406743941E-2</v>
      </c>
      <c r="G72" s="62">
        <f t="shared" si="17"/>
        <v>1.8807369863013696E-2</v>
      </c>
      <c r="H72" s="9">
        <f t="shared" si="18"/>
        <v>267.30884347144359</v>
      </c>
      <c r="I72" s="9">
        <f t="shared" si="19"/>
        <v>47.198807369863005</v>
      </c>
      <c r="J72" s="62">
        <f t="shared" si="20"/>
        <v>2.9173281588177966</v>
      </c>
      <c r="K72" s="62">
        <f t="shared" si="21"/>
        <v>0.58326087847059471</v>
      </c>
      <c r="L72" s="9">
        <f t="shared" si="22"/>
        <v>270.22617163026138</v>
      </c>
      <c r="M72" s="9">
        <f t="shared" si="23"/>
        <v>47.782068248333601</v>
      </c>
      <c r="N72" s="62">
        <f t="shared" si="24"/>
        <v>2.6637637411662478</v>
      </c>
      <c r="O72" s="62">
        <f t="shared" si="25"/>
        <v>0.53332642751701675</v>
      </c>
      <c r="P72" s="9">
        <f t="shared" si="26"/>
        <v>272.88993537142761</v>
      </c>
      <c r="Q72" s="9">
        <f t="shared" si="27"/>
        <v>48.315394675850619</v>
      </c>
      <c r="R72" s="62">
        <f t="shared" si="28"/>
        <v>2.9782385138413203</v>
      </c>
      <c r="S72" s="62">
        <f t="shared" si="29"/>
        <v>0.59705914434362795</v>
      </c>
      <c r="T72" s="9">
        <f t="shared" si="30"/>
        <v>275.86817388526896</v>
      </c>
      <c r="U72" s="9">
        <f t="shared" si="31"/>
        <v>48.912453820194244</v>
      </c>
      <c r="V72" s="62">
        <f t="shared" si="32"/>
        <v>2.9136213981581145</v>
      </c>
      <c r="W72" s="62">
        <f t="shared" si="33"/>
        <v>0.58493934500040501</v>
      </c>
      <c r="X72" s="9">
        <f t="shared" si="34"/>
        <v>278.78179528342707</v>
      </c>
      <c r="Y72" s="9">
        <f t="shared" si="35"/>
        <v>49.497393165194651</v>
      </c>
      <c r="Z72" s="62">
        <f t="shared" si="36"/>
        <v>3.0425404972918679</v>
      </c>
      <c r="AA72" s="62">
        <f t="shared" si="37"/>
        <v>0.61166573115509715</v>
      </c>
      <c r="AB72" s="9">
        <f t="shared" si="38"/>
        <v>281.82433578071897</v>
      </c>
      <c r="AC72" s="9">
        <f t="shared" si="39"/>
        <v>50.109058896349751</v>
      </c>
      <c r="AD72" s="9">
        <f t="shared" si="40"/>
        <v>331.93339467706869</v>
      </c>
    </row>
    <row r="73" spans="1:30">
      <c r="A73" s="380" t="str">
        <f t="shared" si="15"/>
        <v>Punjab National Bank</v>
      </c>
      <c r="B73" s="381">
        <f>Os!C30</f>
        <v>0.1285</v>
      </c>
      <c r="C73" s="382">
        <f t="shared" ref="C73:C87" si="41">SUM(C9:H9,K9:P9,S9:T9)</f>
        <v>663.59696700215875</v>
      </c>
      <c r="D73" s="381">
        <f>Os!I30</f>
        <v>0</v>
      </c>
      <c r="E73" s="9">
        <f t="shared" ref="E73:E87" si="42">SUM(I9:J9,Q9:R9)</f>
        <v>0</v>
      </c>
      <c r="F73" s="62">
        <f t="shared" si="16"/>
        <v>0.23362249386240383</v>
      </c>
      <c r="G73" s="62">
        <f t="shared" si="17"/>
        <v>0</v>
      </c>
      <c r="H73" s="9">
        <f t="shared" si="18"/>
        <v>663.83058949602116</v>
      </c>
      <c r="I73" s="9">
        <f t="shared" si="19"/>
        <v>0</v>
      </c>
      <c r="J73" s="62">
        <f t="shared" si="20"/>
        <v>7.2448469952257541</v>
      </c>
      <c r="K73" s="62">
        <f t="shared" si="21"/>
        <v>0</v>
      </c>
      <c r="L73" s="9">
        <f t="shared" si="22"/>
        <v>671.07543649124693</v>
      </c>
      <c r="M73" s="9">
        <f t="shared" si="23"/>
        <v>0</v>
      </c>
      <c r="N73" s="62">
        <f t="shared" si="24"/>
        <v>6.6151490972479623</v>
      </c>
      <c r="O73" s="62">
        <f t="shared" si="25"/>
        <v>0</v>
      </c>
      <c r="P73" s="9">
        <f t="shared" si="26"/>
        <v>677.69058558849486</v>
      </c>
      <c r="Q73" s="9">
        <f t="shared" si="27"/>
        <v>0</v>
      </c>
      <c r="R73" s="62">
        <f t="shared" si="28"/>
        <v>7.3961108155938886</v>
      </c>
      <c r="S73" s="62">
        <f t="shared" si="29"/>
        <v>0</v>
      </c>
      <c r="T73" s="9">
        <f t="shared" si="30"/>
        <v>685.0866964040888</v>
      </c>
      <c r="U73" s="9">
        <f t="shared" si="31"/>
        <v>0</v>
      </c>
      <c r="V73" s="62">
        <f t="shared" si="32"/>
        <v>7.2356416839390754</v>
      </c>
      <c r="W73" s="62">
        <f t="shared" si="33"/>
        <v>0</v>
      </c>
      <c r="X73" s="9">
        <f t="shared" si="34"/>
        <v>692.32233808802789</v>
      </c>
      <c r="Y73" s="9">
        <f t="shared" si="35"/>
        <v>0</v>
      </c>
      <c r="Z73" s="62">
        <f t="shared" si="36"/>
        <v>7.5557973528045457</v>
      </c>
      <c r="AA73" s="62">
        <f t="shared" si="37"/>
        <v>0</v>
      </c>
      <c r="AB73" s="9">
        <f t="shared" si="38"/>
        <v>699.87813544083247</v>
      </c>
      <c r="AC73" s="9">
        <f t="shared" si="39"/>
        <v>0</v>
      </c>
      <c r="AD73" s="9">
        <f t="shared" si="40"/>
        <v>699.87813544083247</v>
      </c>
    </row>
    <row r="74" spans="1:30">
      <c r="A74" s="380" t="str">
        <f t="shared" si="15"/>
        <v>Central Bank of India</v>
      </c>
      <c r="B74" s="381">
        <f>Os!C31</f>
        <v>0.1285</v>
      </c>
      <c r="C74" s="382">
        <f t="shared" si="41"/>
        <v>542.75888479999992</v>
      </c>
      <c r="D74" s="381">
        <f>Os!I31</f>
        <v>0.14549999999999999</v>
      </c>
      <c r="E74" s="9">
        <f t="shared" si="42"/>
        <v>0</v>
      </c>
      <c r="F74" s="62">
        <f t="shared" si="16"/>
        <v>0.19108086766246574</v>
      </c>
      <c r="G74" s="62">
        <f t="shared" si="17"/>
        <v>0</v>
      </c>
      <c r="H74" s="9">
        <f t="shared" si="18"/>
        <v>542.94996566766235</v>
      </c>
      <c r="I74" s="9">
        <f t="shared" si="19"/>
        <v>0</v>
      </c>
      <c r="J74" s="62">
        <f t="shared" si="20"/>
        <v>5.9255922965400902</v>
      </c>
      <c r="K74" s="62">
        <f t="shared" si="21"/>
        <v>0</v>
      </c>
      <c r="L74" s="9">
        <f t="shared" si="22"/>
        <v>548.87555796420247</v>
      </c>
      <c r="M74" s="9">
        <f t="shared" si="23"/>
        <v>0</v>
      </c>
      <c r="N74" s="62">
        <f t="shared" si="24"/>
        <v>5.4105596097402753</v>
      </c>
      <c r="O74" s="62">
        <f t="shared" si="25"/>
        <v>0</v>
      </c>
      <c r="P74" s="9">
        <f t="shared" si="26"/>
        <v>554.28611757394276</v>
      </c>
      <c r="Q74" s="9">
        <f t="shared" si="27"/>
        <v>0</v>
      </c>
      <c r="R74" s="62">
        <f t="shared" si="28"/>
        <v>6.0493116420706876</v>
      </c>
      <c r="S74" s="62">
        <f t="shared" si="29"/>
        <v>0</v>
      </c>
      <c r="T74" s="9">
        <f t="shared" si="30"/>
        <v>560.33542921601349</v>
      </c>
      <c r="U74" s="9">
        <f t="shared" si="31"/>
        <v>0</v>
      </c>
      <c r="V74" s="62">
        <f t="shared" si="32"/>
        <v>5.9180632318568005</v>
      </c>
      <c r="W74" s="62">
        <f t="shared" si="33"/>
        <v>0</v>
      </c>
      <c r="X74" s="9">
        <f t="shared" si="34"/>
        <v>566.25349244787026</v>
      </c>
      <c r="Y74" s="9">
        <f t="shared" si="35"/>
        <v>0</v>
      </c>
      <c r="Z74" s="62">
        <f t="shared" si="36"/>
        <v>6.1799199648386054</v>
      </c>
      <c r="AA74" s="62">
        <f t="shared" si="37"/>
        <v>0</v>
      </c>
      <c r="AB74" s="9">
        <f t="shared" si="38"/>
        <v>572.43341241270889</v>
      </c>
      <c r="AC74" s="9">
        <f t="shared" si="39"/>
        <v>0</v>
      </c>
      <c r="AD74" s="9">
        <f t="shared" si="40"/>
        <v>572.43341241270889</v>
      </c>
    </row>
    <row r="75" spans="1:30">
      <c r="A75" s="380" t="str">
        <f t="shared" si="15"/>
        <v>Indian Bank</v>
      </c>
      <c r="B75" s="381">
        <f>Os!C32</f>
        <v>0.13100000000000001</v>
      </c>
      <c r="C75" s="382">
        <f t="shared" si="41"/>
        <v>339.57000000000005</v>
      </c>
      <c r="D75" s="381">
        <f>Os!I32</f>
        <v>0</v>
      </c>
      <c r="E75" s="9">
        <f t="shared" si="42"/>
        <v>0</v>
      </c>
      <c r="F75" s="62">
        <f t="shared" si="16"/>
        <v>0.12187306849315072</v>
      </c>
      <c r="G75" s="62">
        <f t="shared" si="17"/>
        <v>0</v>
      </c>
      <c r="H75" s="9">
        <f t="shared" si="18"/>
        <v>339.69187306849318</v>
      </c>
      <c r="I75" s="9">
        <f t="shared" si="19"/>
        <v>0</v>
      </c>
      <c r="J75" s="62">
        <f t="shared" si="20"/>
        <v>3.7794210863867144</v>
      </c>
      <c r="K75" s="62">
        <f t="shared" si="21"/>
        <v>0</v>
      </c>
      <c r="L75" s="9">
        <f t="shared" si="22"/>
        <v>343.4712941548799</v>
      </c>
      <c r="M75" s="9">
        <f t="shared" si="23"/>
        <v>0</v>
      </c>
      <c r="N75" s="62">
        <f t="shared" si="24"/>
        <v>3.4516512519454778</v>
      </c>
      <c r="O75" s="62">
        <f t="shared" si="25"/>
        <v>0</v>
      </c>
      <c r="P75" s="9">
        <f t="shared" si="26"/>
        <v>346.92294540682536</v>
      </c>
      <c r="Q75" s="9">
        <f t="shared" si="27"/>
        <v>0</v>
      </c>
      <c r="R75" s="62">
        <f t="shared" si="28"/>
        <v>3.8598741953345699</v>
      </c>
      <c r="S75" s="62">
        <f t="shared" si="29"/>
        <v>0</v>
      </c>
      <c r="T75" s="9">
        <f t="shared" si="30"/>
        <v>350.78281960215992</v>
      </c>
      <c r="U75" s="9">
        <f t="shared" si="31"/>
        <v>0</v>
      </c>
      <c r="V75" s="62">
        <f t="shared" si="32"/>
        <v>3.7769218658533932</v>
      </c>
      <c r="W75" s="62">
        <f t="shared" si="33"/>
        <v>0</v>
      </c>
      <c r="X75" s="9">
        <f t="shared" si="34"/>
        <v>354.55974146801333</v>
      </c>
      <c r="Y75" s="9">
        <f t="shared" si="35"/>
        <v>0</v>
      </c>
      <c r="Z75" s="62">
        <f t="shared" si="36"/>
        <v>3.9448413975386356</v>
      </c>
      <c r="AA75" s="62">
        <f t="shared" si="37"/>
        <v>0</v>
      </c>
      <c r="AB75" s="9">
        <f t="shared" si="38"/>
        <v>358.50458286555198</v>
      </c>
      <c r="AC75" s="9">
        <f t="shared" si="39"/>
        <v>0</v>
      </c>
      <c r="AD75" s="9">
        <f t="shared" si="40"/>
        <v>358.50458286555198</v>
      </c>
    </row>
    <row r="76" spans="1:30">
      <c r="A76" s="380" t="str">
        <f t="shared" si="15"/>
        <v>Indian Overseas Bank</v>
      </c>
      <c r="B76" s="381">
        <f>Os!C33</f>
        <v>0.13250000000000001</v>
      </c>
      <c r="C76" s="382">
        <f t="shared" si="41"/>
        <v>460.66999999999996</v>
      </c>
      <c r="D76" s="381">
        <f>Os!I33</f>
        <v>0</v>
      </c>
      <c r="E76" s="9">
        <f t="shared" si="42"/>
        <v>0</v>
      </c>
      <c r="F76" s="62">
        <f t="shared" si="16"/>
        <v>0.16722952054794521</v>
      </c>
      <c r="G76" s="62">
        <f t="shared" si="17"/>
        <v>0</v>
      </c>
      <c r="H76" s="9">
        <f t="shared" si="18"/>
        <v>460.83722952054791</v>
      </c>
      <c r="I76" s="9">
        <f t="shared" si="19"/>
        <v>0</v>
      </c>
      <c r="J76" s="62">
        <f t="shared" si="20"/>
        <v>5.1859970417963028</v>
      </c>
      <c r="K76" s="62">
        <f t="shared" si="21"/>
        <v>0</v>
      </c>
      <c r="L76" s="9">
        <f t="shared" si="22"/>
        <v>466.02322656234423</v>
      </c>
      <c r="M76" s="9">
        <f t="shared" si="23"/>
        <v>0</v>
      </c>
      <c r="N76" s="62">
        <f t="shared" si="24"/>
        <v>4.7368388234145122</v>
      </c>
      <c r="O76" s="62">
        <f t="shared" si="25"/>
        <v>0</v>
      </c>
      <c r="P76" s="9">
        <f t="shared" si="26"/>
        <v>470.76006538575876</v>
      </c>
      <c r="Q76" s="9">
        <f t="shared" si="27"/>
        <v>0</v>
      </c>
      <c r="R76" s="62">
        <f t="shared" si="28"/>
        <v>5.2976629275945317</v>
      </c>
      <c r="S76" s="62">
        <f t="shared" si="29"/>
        <v>0</v>
      </c>
      <c r="T76" s="9">
        <f t="shared" si="30"/>
        <v>476.05772831335332</v>
      </c>
      <c r="U76" s="9">
        <f t="shared" si="31"/>
        <v>0</v>
      </c>
      <c r="V76" s="62">
        <f t="shared" si="32"/>
        <v>5.1844643014947378</v>
      </c>
      <c r="W76" s="62">
        <f t="shared" si="33"/>
        <v>0</v>
      </c>
      <c r="X76" s="9">
        <f t="shared" si="34"/>
        <v>481.24219261484808</v>
      </c>
      <c r="Y76" s="9">
        <f t="shared" si="35"/>
        <v>0</v>
      </c>
      <c r="Z76" s="62">
        <f t="shared" si="36"/>
        <v>5.4156227566177773</v>
      </c>
      <c r="AA76" s="62">
        <f t="shared" si="37"/>
        <v>0</v>
      </c>
      <c r="AB76" s="9">
        <f t="shared" si="38"/>
        <v>486.65781537146586</v>
      </c>
      <c r="AC76" s="9">
        <f t="shared" si="39"/>
        <v>0</v>
      </c>
      <c r="AD76" s="9">
        <f t="shared" si="40"/>
        <v>486.65781537146586</v>
      </c>
    </row>
    <row r="77" spans="1:30">
      <c r="A77" s="380" t="str">
        <f t="shared" si="15"/>
        <v>Bank of Baroda</v>
      </c>
      <c r="B77" s="381">
        <f>Os!C34</f>
        <v>0.1285</v>
      </c>
      <c r="C77" s="382">
        <f t="shared" si="41"/>
        <v>182.03745670000004</v>
      </c>
      <c r="D77" s="381">
        <f>Os!I34</f>
        <v>0.14549999999999999</v>
      </c>
      <c r="E77" s="9">
        <f t="shared" si="42"/>
        <v>0</v>
      </c>
      <c r="F77" s="62">
        <f t="shared" si="16"/>
        <v>6.4087159413561662E-2</v>
      </c>
      <c r="G77" s="62">
        <f t="shared" si="17"/>
        <v>0</v>
      </c>
      <c r="H77" s="9">
        <f t="shared" si="18"/>
        <v>182.1015438594136</v>
      </c>
      <c r="I77" s="9">
        <f t="shared" si="19"/>
        <v>0</v>
      </c>
      <c r="J77" s="62">
        <f t="shared" si="20"/>
        <v>1.9874013697643127</v>
      </c>
      <c r="K77" s="62">
        <f t="shared" si="21"/>
        <v>0</v>
      </c>
      <c r="L77" s="9">
        <f t="shared" si="22"/>
        <v>184.08894522917791</v>
      </c>
      <c r="M77" s="9">
        <f t="shared" si="23"/>
        <v>0</v>
      </c>
      <c r="N77" s="62">
        <f t="shared" si="24"/>
        <v>1.8146630820125538</v>
      </c>
      <c r="O77" s="62">
        <f t="shared" si="25"/>
        <v>0</v>
      </c>
      <c r="P77" s="9">
        <f t="shared" si="26"/>
        <v>185.90360831119045</v>
      </c>
      <c r="Q77" s="9">
        <f t="shared" si="27"/>
        <v>0</v>
      </c>
      <c r="R77" s="62">
        <f t="shared" si="28"/>
        <v>2.0288959553633621</v>
      </c>
      <c r="S77" s="62">
        <f t="shared" si="29"/>
        <v>0</v>
      </c>
      <c r="T77" s="9">
        <f t="shared" si="30"/>
        <v>187.93250426655382</v>
      </c>
      <c r="U77" s="9">
        <f t="shared" si="31"/>
        <v>0</v>
      </c>
      <c r="V77" s="62">
        <f t="shared" si="32"/>
        <v>1.9848761751988084</v>
      </c>
      <c r="W77" s="62">
        <f t="shared" si="33"/>
        <v>0</v>
      </c>
      <c r="X77" s="9">
        <f t="shared" si="34"/>
        <v>189.91738044175264</v>
      </c>
      <c r="Y77" s="9">
        <f t="shared" si="35"/>
        <v>0</v>
      </c>
      <c r="Z77" s="62">
        <f t="shared" si="36"/>
        <v>2.0727010547663607</v>
      </c>
      <c r="AA77" s="62">
        <f t="shared" si="37"/>
        <v>0</v>
      </c>
      <c r="AB77" s="9">
        <f t="shared" si="38"/>
        <v>191.990081496519</v>
      </c>
      <c r="AC77" s="9">
        <f t="shared" si="39"/>
        <v>0</v>
      </c>
      <c r="AD77" s="9">
        <f t="shared" si="40"/>
        <v>191.990081496519</v>
      </c>
    </row>
    <row r="78" spans="1:30">
      <c r="A78" s="380" t="str">
        <f t="shared" si="15"/>
        <v>Corporation Bank</v>
      </c>
      <c r="B78" s="381">
        <f>Os!C35</f>
        <v>0.1305</v>
      </c>
      <c r="C78" s="382">
        <f t="shared" si="41"/>
        <v>175.46</v>
      </c>
      <c r="D78" s="381">
        <f>Os!I35</f>
        <v>0</v>
      </c>
      <c r="E78" s="9">
        <f t="shared" si="42"/>
        <v>0</v>
      </c>
      <c r="F78" s="62">
        <f t="shared" si="16"/>
        <v>6.2732958904109598E-2</v>
      </c>
      <c r="G78" s="62">
        <f t="shared" si="17"/>
        <v>0</v>
      </c>
      <c r="H78" s="9">
        <f t="shared" si="18"/>
        <v>175.52273295890413</v>
      </c>
      <c r="I78" s="9">
        <f t="shared" si="19"/>
        <v>0</v>
      </c>
      <c r="J78" s="62">
        <f t="shared" si="20"/>
        <v>1.9454170306445115</v>
      </c>
      <c r="K78" s="62">
        <f t="shared" si="21"/>
        <v>0</v>
      </c>
      <c r="L78" s="9">
        <f t="shared" si="22"/>
        <v>177.46814998954864</v>
      </c>
      <c r="M78" s="9">
        <f t="shared" si="23"/>
        <v>0</v>
      </c>
      <c r="N78" s="62">
        <f t="shared" si="24"/>
        <v>1.7766263563337281</v>
      </c>
      <c r="O78" s="62">
        <f t="shared" si="25"/>
        <v>0</v>
      </c>
      <c r="P78" s="9">
        <f t="shared" si="26"/>
        <v>179.24477634588237</v>
      </c>
      <c r="Q78" s="9">
        <f t="shared" si="27"/>
        <v>0</v>
      </c>
      <c r="R78" s="62">
        <f t="shared" si="28"/>
        <v>1.9866705279651156</v>
      </c>
      <c r="S78" s="62">
        <f t="shared" si="29"/>
        <v>0</v>
      </c>
      <c r="T78" s="9">
        <f t="shared" si="30"/>
        <v>181.23144687384749</v>
      </c>
      <c r="U78" s="9">
        <f t="shared" si="31"/>
        <v>0</v>
      </c>
      <c r="V78" s="62">
        <f t="shared" si="32"/>
        <v>1.943893464414008</v>
      </c>
      <c r="W78" s="62">
        <f t="shared" si="33"/>
        <v>0</v>
      </c>
      <c r="X78" s="9">
        <f t="shared" si="34"/>
        <v>183.17534033826149</v>
      </c>
      <c r="Y78" s="9">
        <f t="shared" si="35"/>
        <v>0</v>
      </c>
      <c r="Z78" s="62">
        <f t="shared" si="36"/>
        <v>2.0302351762696902</v>
      </c>
      <c r="AA78" s="62">
        <f t="shared" si="37"/>
        <v>0</v>
      </c>
      <c r="AB78" s="9">
        <f t="shared" si="38"/>
        <v>185.20557551453118</v>
      </c>
      <c r="AC78" s="9">
        <f t="shared" si="39"/>
        <v>0</v>
      </c>
      <c r="AD78" s="9">
        <f t="shared" si="40"/>
        <v>185.20557551453118</v>
      </c>
    </row>
    <row r="79" spans="1:30">
      <c r="A79" s="380" t="str">
        <f t="shared" si="15"/>
        <v>TM Bank</v>
      </c>
      <c r="B79" s="381">
        <f>Os!C36</f>
        <v>0.1285</v>
      </c>
      <c r="C79" s="382">
        <f t="shared" si="41"/>
        <v>136.50000000000003</v>
      </c>
      <c r="D79" s="381">
        <f>Os!I36</f>
        <v>0</v>
      </c>
      <c r="E79" s="9">
        <f t="shared" si="42"/>
        <v>0</v>
      </c>
      <c r="F79" s="62">
        <f t="shared" si="16"/>
        <v>4.8055479452054808E-2</v>
      </c>
      <c r="G79" s="62">
        <f t="shared" si="17"/>
        <v>0</v>
      </c>
      <c r="H79" s="9">
        <f t="shared" si="18"/>
        <v>136.54805547945207</v>
      </c>
      <c r="I79" s="9">
        <f t="shared" si="19"/>
        <v>0</v>
      </c>
      <c r="J79" s="62">
        <f t="shared" si="20"/>
        <v>1.4902443260339655</v>
      </c>
      <c r="K79" s="62">
        <f t="shared" si="21"/>
        <v>0</v>
      </c>
      <c r="L79" s="9">
        <f t="shared" si="22"/>
        <v>138.03829980548605</v>
      </c>
      <c r="M79" s="9">
        <f t="shared" si="23"/>
        <v>0</v>
      </c>
      <c r="N79" s="62">
        <f t="shared" si="24"/>
        <v>1.3607172676716133</v>
      </c>
      <c r="O79" s="62">
        <f t="shared" si="25"/>
        <v>0</v>
      </c>
      <c r="P79" s="9">
        <f t="shared" si="26"/>
        <v>139.39901707315767</v>
      </c>
      <c r="Q79" s="9">
        <f t="shared" si="27"/>
        <v>0</v>
      </c>
      <c r="R79" s="62">
        <f t="shared" si="28"/>
        <v>1.521358861673763</v>
      </c>
      <c r="S79" s="62">
        <f t="shared" si="29"/>
        <v>0</v>
      </c>
      <c r="T79" s="9">
        <f t="shared" si="30"/>
        <v>140.92037593483144</v>
      </c>
      <c r="U79" s="9">
        <f t="shared" si="31"/>
        <v>0</v>
      </c>
      <c r="V79" s="62">
        <f t="shared" si="32"/>
        <v>1.4883508198048636</v>
      </c>
      <c r="W79" s="62">
        <f t="shared" si="33"/>
        <v>0</v>
      </c>
      <c r="X79" s="9">
        <f t="shared" si="34"/>
        <v>142.40872675463629</v>
      </c>
      <c r="Y79" s="9">
        <f t="shared" si="35"/>
        <v>0</v>
      </c>
      <c r="Z79" s="62">
        <f t="shared" si="36"/>
        <v>1.5542059261016263</v>
      </c>
      <c r="AA79" s="62">
        <f t="shared" si="37"/>
        <v>0</v>
      </c>
      <c r="AB79" s="9">
        <f t="shared" si="38"/>
        <v>143.96293268073791</v>
      </c>
      <c r="AC79" s="9">
        <f t="shared" si="39"/>
        <v>0</v>
      </c>
      <c r="AD79" s="9">
        <f t="shared" si="40"/>
        <v>143.96293268073791</v>
      </c>
    </row>
    <row r="80" spans="1:30">
      <c r="A80" s="380" t="str">
        <f t="shared" si="15"/>
        <v>J&amp;K Bank</v>
      </c>
      <c r="B80" s="381">
        <f>Os!C37</f>
        <v>0.1285</v>
      </c>
      <c r="C80" s="382">
        <f t="shared" si="41"/>
        <v>145.01</v>
      </c>
      <c r="D80" s="381">
        <f>Os!I37</f>
        <v>0.14549999999999999</v>
      </c>
      <c r="E80" s="9">
        <f t="shared" si="42"/>
        <v>8.48</v>
      </c>
      <c r="F80" s="62">
        <f t="shared" si="16"/>
        <v>5.1051465753424653E-2</v>
      </c>
      <c r="G80" s="62">
        <f t="shared" si="17"/>
        <v>3.3803835616438359E-3</v>
      </c>
      <c r="H80" s="9">
        <f t="shared" si="18"/>
        <v>145.06105146575342</v>
      </c>
      <c r="I80" s="9">
        <f t="shared" si="19"/>
        <v>8.483380383561645</v>
      </c>
      <c r="J80" s="62">
        <f t="shared" si="20"/>
        <v>1.5831525986680239</v>
      </c>
      <c r="K80" s="62">
        <f t="shared" si="21"/>
        <v>0.10483366361658848</v>
      </c>
      <c r="L80" s="9">
        <f t="shared" si="22"/>
        <v>146.64420406442144</v>
      </c>
      <c r="M80" s="9">
        <f t="shared" si="23"/>
        <v>8.5882140471782336</v>
      </c>
      <c r="N80" s="62">
        <f t="shared" si="24"/>
        <v>1.4455502636268174</v>
      </c>
      <c r="O80" s="62">
        <f t="shared" si="25"/>
        <v>9.5858586378641433E-2</v>
      </c>
      <c r="P80" s="9">
        <f t="shared" si="26"/>
        <v>148.08975432804826</v>
      </c>
      <c r="Q80" s="9">
        <f t="shared" si="27"/>
        <v>8.684072633556875</v>
      </c>
      <c r="R80" s="62">
        <f t="shared" si="28"/>
        <v>1.6162069489473434</v>
      </c>
      <c r="S80" s="62">
        <f t="shared" si="29"/>
        <v>0.10731372496892681</v>
      </c>
      <c r="T80" s="9">
        <f t="shared" si="30"/>
        <v>149.70596127699559</v>
      </c>
      <c r="U80" s="9">
        <f t="shared" si="31"/>
        <v>8.7913863585258021</v>
      </c>
      <c r="V80" s="62">
        <f t="shared" si="32"/>
        <v>1.5811410430762141</v>
      </c>
      <c r="W80" s="62">
        <f t="shared" si="33"/>
        <v>0.10513534645195924</v>
      </c>
      <c r="X80" s="9">
        <f t="shared" si="34"/>
        <v>151.2871023200718</v>
      </c>
      <c r="Y80" s="9">
        <f t="shared" si="35"/>
        <v>8.8965217049777614</v>
      </c>
      <c r="Z80" s="62">
        <f t="shared" si="36"/>
        <v>1.6511018413479617</v>
      </c>
      <c r="AA80" s="62">
        <f t="shared" si="37"/>
        <v>0.10993907164466354</v>
      </c>
      <c r="AB80" s="9">
        <f t="shared" si="38"/>
        <v>152.93820416141975</v>
      </c>
      <c r="AC80" s="9">
        <f t="shared" si="39"/>
        <v>9.0064607766224256</v>
      </c>
      <c r="AD80" s="9">
        <f t="shared" si="40"/>
        <v>161.94466493804217</v>
      </c>
    </row>
    <row r="81" spans="1:30">
      <c r="A81" s="380" t="str">
        <f t="shared" si="15"/>
        <v>UCO Bank</v>
      </c>
      <c r="B81" s="381">
        <f>Os!C38</f>
        <v>0.13350000000000001</v>
      </c>
      <c r="C81" s="382">
        <f t="shared" si="41"/>
        <v>325.37</v>
      </c>
      <c r="D81" s="381">
        <f>Os!I38</f>
        <v>0.14699999999999999</v>
      </c>
      <c r="E81" s="9">
        <f t="shared" si="42"/>
        <v>50.780000000000015</v>
      </c>
      <c r="F81" s="62">
        <f t="shared" si="16"/>
        <v>0.11900519178082192</v>
      </c>
      <c r="G81" s="62">
        <f t="shared" si="17"/>
        <v>2.0451123287671239E-2</v>
      </c>
      <c r="H81" s="9">
        <f t="shared" si="18"/>
        <v>325.48900519178085</v>
      </c>
      <c r="I81" s="9">
        <f t="shared" si="19"/>
        <v>50.800451123287687</v>
      </c>
      <c r="J81" s="62">
        <f t="shared" si="20"/>
        <v>3.6905102684553017</v>
      </c>
      <c r="K81" s="62">
        <f t="shared" si="21"/>
        <v>0.63424015279129309</v>
      </c>
      <c r="L81" s="9">
        <f t="shared" si="22"/>
        <v>329.17951546023613</v>
      </c>
      <c r="M81" s="9">
        <f t="shared" si="23"/>
        <v>51.434691276078979</v>
      </c>
      <c r="N81" s="62">
        <f t="shared" si="24"/>
        <v>3.3711589829872954</v>
      </c>
      <c r="O81" s="62">
        <f t="shared" si="25"/>
        <v>0.58001421723929059</v>
      </c>
      <c r="P81" s="9">
        <f t="shared" si="26"/>
        <v>332.55067444322344</v>
      </c>
      <c r="Q81" s="9">
        <f t="shared" si="27"/>
        <v>52.014705493318267</v>
      </c>
      <c r="R81" s="62">
        <f t="shared" si="28"/>
        <v>3.7705779895432339</v>
      </c>
      <c r="S81" s="62">
        <f t="shared" si="29"/>
        <v>0.64940003543301739</v>
      </c>
      <c r="T81" s="9">
        <f t="shared" si="30"/>
        <v>336.3212524327667</v>
      </c>
      <c r="U81" s="9">
        <f t="shared" si="31"/>
        <v>52.664105528751286</v>
      </c>
      <c r="V81" s="62">
        <f t="shared" si="32"/>
        <v>3.690319495871865</v>
      </c>
      <c r="W81" s="62">
        <f t="shared" si="33"/>
        <v>0.63629782296381687</v>
      </c>
      <c r="X81" s="9">
        <f t="shared" si="34"/>
        <v>340.01157192863855</v>
      </c>
      <c r="Y81" s="9">
        <f t="shared" si="35"/>
        <v>53.300403351715104</v>
      </c>
      <c r="Z81" s="62">
        <f t="shared" si="36"/>
        <v>3.8551723025388238</v>
      </c>
      <c r="AA81" s="62">
        <f t="shared" si="37"/>
        <v>0.66545188513360465</v>
      </c>
      <c r="AB81" s="9">
        <f t="shared" si="38"/>
        <v>343.86674423117739</v>
      </c>
      <c r="AC81" s="9">
        <f t="shared" si="39"/>
        <v>53.965855236848711</v>
      </c>
      <c r="AD81" s="9">
        <f t="shared" si="40"/>
        <v>397.8325994680261</v>
      </c>
    </row>
    <row r="82" spans="1:30">
      <c r="A82" s="380" t="str">
        <f t="shared" si="15"/>
        <v>Bank of India</v>
      </c>
      <c r="B82" s="381">
        <f>Os!C39</f>
        <v>0.13300000000000001</v>
      </c>
      <c r="C82" s="382">
        <f t="shared" si="41"/>
        <v>259.92019999999997</v>
      </c>
      <c r="D82" s="381">
        <f>Os!I39</f>
        <v>0</v>
      </c>
      <c r="E82" s="9">
        <f t="shared" si="42"/>
        <v>0</v>
      </c>
      <c r="F82" s="62">
        <f t="shared" si="16"/>
        <v>9.4710648219178073E-2</v>
      </c>
      <c r="G82" s="62">
        <f t="shared" si="17"/>
        <v>0</v>
      </c>
      <c r="H82" s="9">
        <f t="shared" si="18"/>
        <v>260.01491064821914</v>
      </c>
      <c r="I82" s="9">
        <f t="shared" si="19"/>
        <v>0</v>
      </c>
      <c r="J82" s="62">
        <f t="shared" si="20"/>
        <v>2.9370999358975554</v>
      </c>
      <c r="K82" s="62">
        <f t="shared" si="21"/>
        <v>0</v>
      </c>
      <c r="L82" s="9">
        <f t="shared" si="22"/>
        <v>262.95201058411669</v>
      </c>
      <c r="M82" s="9">
        <f t="shared" si="23"/>
        <v>0</v>
      </c>
      <c r="N82" s="62">
        <f t="shared" si="24"/>
        <v>2.6828309244253443</v>
      </c>
      <c r="O82" s="62">
        <f t="shared" si="25"/>
        <v>0</v>
      </c>
      <c r="P82" s="9">
        <f t="shared" si="26"/>
        <v>265.63484150854202</v>
      </c>
      <c r="Q82" s="9">
        <f t="shared" si="27"/>
        <v>0</v>
      </c>
      <c r="R82" s="62">
        <f t="shared" si="28"/>
        <v>3.0005820590129284</v>
      </c>
      <c r="S82" s="62">
        <f t="shared" si="29"/>
        <v>0</v>
      </c>
      <c r="T82" s="9">
        <f t="shared" si="30"/>
        <v>268.63542356755494</v>
      </c>
      <c r="U82" s="9">
        <f t="shared" si="31"/>
        <v>0</v>
      </c>
      <c r="V82" s="62">
        <f t="shared" si="32"/>
        <v>2.9365899726973814</v>
      </c>
      <c r="W82" s="62">
        <f t="shared" si="33"/>
        <v>0</v>
      </c>
      <c r="X82" s="9">
        <f t="shared" si="34"/>
        <v>271.57201354025233</v>
      </c>
      <c r="Y82" s="9">
        <f t="shared" si="35"/>
        <v>0</v>
      </c>
      <c r="Z82" s="62">
        <f t="shared" si="36"/>
        <v>3.0676477036341385</v>
      </c>
      <c r="AA82" s="62">
        <f t="shared" si="37"/>
        <v>0</v>
      </c>
      <c r="AB82" s="9">
        <f t="shared" si="38"/>
        <v>274.63966124388645</v>
      </c>
      <c r="AC82" s="9">
        <f t="shared" si="39"/>
        <v>0</v>
      </c>
      <c r="AD82" s="9">
        <f t="shared" si="40"/>
        <v>274.63966124388645</v>
      </c>
    </row>
    <row r="83" spans="1:30">
      <c r="A83" s="380" t="str">
        <f t="shared" si="15"/>
        <v>Andhra Bank</v>
      </c>
      <c r="B83" s="381">
        <f>Os!C40</f>
        <v>0.14099999999999999</v>
      </c>
      <c r="C83" s="382">
        <f t="shared" si="41"/>
        <v>169.4</v>
      </c>
      <c r="D83" s="381">
        <f>Os!I40</f>
        <v>0</v>
      </c>
      <c r="E83" s="9">
        <f t="shared" si="42"/>
        <v>0</v>
      </c>
      <c r="F83" s="62">
        <f t="shared" si="16"/>
        <v>6.5439452054794511E-2</v>
      </c>
      <c r="G83" s="62">
        <f t="shared" si="17"/>
        <v>0</v>
      </c>
      <c r="H83" s="9">
        <f t="shared" si="18"/>
        <v>169.4654394520548</v>
      </c>
      <c r="I83" s="9">
        <f t="shared" si="19"/>
        <v>0</v>
      </c>
      <c r="J83" s="62">
        <f t="shared" si="20"/>
        <v>2.0294066735477574</v>
      </c>
      <c r="K83" s="62">
        <f t="shared" si="21"/>
        <v>0</v>
      </c>
      <c r="L83" s="9">
        <f t="shared" si="22"/>
        <v>171.49484612560255</v>
      </c>
      <c r="M83" s="9">
        <f t="shared" si="23"/>
        <v>0</v>
      </c>
      <c r="N83" s="62">
        <f t="shared" si="24"/>
        <v>1.8549634315174761</v>
      </c>
      <c r="O83" s="62">
        <f t="shared" si="25"/>
        <v>0</v>
      </c>
      <c r="P83" s="9">
        <f t="shared" si="26"/>
        <v>173.34980955712004</v>
      </c>
      <c r="Q83" s="9">
        <f t="shared" si="27"/>
        <v>0</v>
      </c>
      <c r="R83" s="62">
        <f t="shared" si="28"/>
        <v>2.0759233358196481</v>
      </c>
      <c r="S83" s="62">
        <f t="shared" si="29"/>
        <v>0</v>
      </c>
      <c r="T83" s="9">
        <f t="shared" si="30"/>
        <v>175.42573289293969</v>
      </c>
      <c r="U83" s="9">
        <f t="shared" si="31"/>
        <v>0</v>
      </c>
      <c r="V83" s="62">
        <f t="shared" si="32"/>
        <v>2.0330160277729723</v>
      </c>
      <c r="W83" s="62">
        <f t="shared" si="33"/>
        <v>0</v>
      </c>
      <c r="X83" s="9">
        <f t="shared" si="34"/>
        <v>177.45874892071265</v>
      </c>
      <c r="Y83" s="9">
        <f t="shared" si="35"/>
        <v>0</v>
      </c>
      <c r="Z83" s="62">
        <f t="shared" si="36"/>
        <v>2.1251292918696847</v>
      </c>
      <c r="AA83" s="62">
        <f t="shared" si="37"/>
        <v>0</v>
      </c>
      <c r="AB83" s="9">
        <f t="shared" si="38"/>
        <v>179.58387821258233</v>
      </c>
      <c r="AC83" s="9">
        <f t="shared" si="39"/>
        <v>0</v>
      </c>
      <c r="AD83" s="9">
        <f t="shared" si="40"/>
        <v>179.58387821258233</v>
      </c>
    </row>
    <row r="84" spans="1:30">
      <c r="A84" s="380" t="str">
        <f t="shared" si="15"/>
        <v>Canara Bank</v>
      </c>
      <c r="B84" s="381">
        <f>Os!G41</f>
        <v>0.13250000000000001</v>
      </c>
      <c r="C84" s="382">
        <f t="shared" si="41"/>
        <v>140.02470000000002</v>
      </c>
      <c r="D84" s="381">
        <f>Os!I41</f>
        <v>0</v>
      </c>
      <c r="E84" s="9">
        <f t="shared" si="42"/>
        <v>0</v>
      </c>
      <c r="F84" s="62">
        <f t="shared" si="16"/>
        <v>5.0830884246575357E-2</v>
      </c>
      <c r="G84" s="62">
        <f t="shared" si="17"/>
        <v>0</v>
      </c>
      <c r="H84" s="9">
        <f t="shared" si="18"/>
        <v>140.0755308842466</v>
      </c>
      <c r="I84" s="9">
        <f t="shared" si="19"/>
        <v>0</v>
      </c>
      <c r="J84" s="62">
        <f t="shared" si="20"/>
        <v>1.5763294331699806</v>
      </c>
      <c r="K84" s="62">
        <f t="shared" si="21"/>
        <v>0</v>
      </c>
      <c r="L84" s="9">
        <f t="shared" si="22"/>
        <v>141.65186031741658</v>
      </c>
      <c r="M84" s="9">
        <f t="shared" si="23"/>
        <v>0</v>
      </c>
      <c r="N84" s="62">
        <f t="shared" si="24"/>
        <v>1.4398038404866178</v>
      </c>
      <c r="O84" s="62">
        <f t="shared" si="25"/>
        <v>0</v>
      </c>
      <c r="P84" s="9">
        <f t="shared" si="26"/>
        <v>143.09166415790318</v>
      </c>
      <c r="Q84" s="9">
        <f t="shared" si="27"/>
        <v>0</v>
      </c>
      <c r="R84" s="62">
        <f t="shared" si="28"/>
        <v>1.6102712617221571</v>
      </c>
      <c r="S84" s="62">
        <f t="shared" si="29"/>
        <v>0</v>
      </c>
      <c r="T84" s="9">
        <f t="shared" si="30"/>
        <v>144.70193541962533</v>
      </c>
      <c r="U84" s="9">
        <f t="shared" si="31"/>
        <v>0</v>
      </c>
      <c r="V84" s="62">
        <f t="shared" si="32"/>
        <v>1.5758635432685224</v>
      </c>
      <c r="W84" s="62">
        <f t="shared" si="33"/>
        <v>0</v>
      </c>
      <c r="X84" s="9">
        <f t="shared" si="34"/>
        <v>146.27779896289385</v>
      </c>
      <c r="Y84" s="9">
        <f t="shared" si="35"/>
        <v>0</v>
      </c>
      <c r="Z84" s="62">
        <f t="shared" si="36"/>
        <v>1.6461261896988673</v>
      </c>
      <c r="AA84" s="62">
        <f t="shared" si="37"/>
        <v>0</v>
      </c>
      <c r="AB84" s="9">
        <f t="shared" si="38"/>
        <v>147.92392515259272</v>
      </c>
      <c r="AC84" s="9">
        <f t="shared" si="39"/>
        <v>0</v>
      </c>
      <c r="AD84" s="9">
        <f t="shared" si="40"/>
        <v>147.92392515259272</v>
      </c>
    </row>
    <row r="85" spans="1:30">
      <c r="A85" s="380" t="str">
        <f t="shared" si="15"/>
        <v>HUDCO</v>
      </c>
      <c r="B85" s="381">
        <f>Os!C42</f>
        <v>0.1285</v>
      </c>
      <c r="C85" s="382">
        <f t="shared" si="41"/>
        <v>343.38623219999999</v>
      </c>
      <c r="D85" s="381">
        <f>Os!I42</f>
        <v>0</v>
      </c>
      <c r="E85" s="9">
        <f t="shared" si="42"/>
        <v>0</v>
      </c>
      <c r="F85" s="62">
        <f t="shared" si="16"/>
        <v>0.12089076941835616</v>
      </c>
      <c r="G85" s="62">
        <f t="shared" si="17"/>
        <v>0</v>
      </c>
      <c r="H85" s="9">
        <f t="shared" si="18"/>
        <v>343.50712296941833</v>
      </c>
      <c r="I85" s="9">
        <f t="shared" si="19"/>
        <v>0</v>
      </c>
      <c r="J85" s="62">
        <f t="shared" si="20"/>
        <v>3.7489332173936383</v>
      </c>
      <c r="K85" s="62">
        <f t="shared" si="21"/>
        <v>0</v>
      </c>
      <c r="L85" s="9">
        <f t="shared" si="22"/>
        <v>347.25605618681197</v>
      </c>
      <c r="M85" s="9">
        <f t="shared" si="23"/>
        <v>0</v>
      </c>
      <c r="N85" s="62">
        <f t="shared" si="24"/>
        <v>3.4230884661921901</v>
      </c>
      <c r="O85" s="62">
        <f t="shared" si="25"/>
        <v>0</v>
      </c>
      <c r="P85" s="9">
        <f t="shared" si="26"/>
        <v>350.67914465300419</v>
      </c>
      <c r="Q85" s="9">
        <f t="shared" si="27"/>
        <v>0</v>
      </c>
      <c r="R85" s="62">
        <f t="shared" si="28"/>
        <v>3.8272065006171019</v>
      </c>
      <c r="S85" s="62">
        <f t="shared" si="29"/>
        <v>0</v>
      </c>
      <c r="T85" s="9">
        <f t="shared" si="30"/>
        <v>354.50635115362127</v>
      </c>
      <c r="U85" s="9">
        <f t="shared" si="31"/>
        <v>0</v>
      </c>
      <c r="V85" s="62">
        <f t="shared" si="32"/>
        <v>3.7441698183485204</v>
      </c>
      <c r="W85" s="62">
        <f t="shared" si="33"/>
        <v>0</v>
      </c>
      <c r="X85" s="9">
        <f t="shared" si="34"/>
        <v>358.25052097196976</v>
      </c>
      <c r="Y85" s="9">
        <f t="shared" si="35"/>
        <v>0</v>
      </c>
      <c r="Z85" s="62">
        <f t="shared" si="36"/>
        <v>3.9098382199776482</v>
      </c>
      <c r="AA85" s="62">
        <f t="shared" si="37"/>
        <v>0</v>
      </c>
      <c r="AB85" s="9">
        <f t="shared" si="38"/>
        <v>362.16035919194741</v>
      </c>
      <c r="AC85" s="9">
        <f t="shared" si="39"/>
        <v>0</v>
      </c>
      <c r="AD85" s="9">
        <f t="shared" si="40"/>
        <v>362.16035919194741</v>
      </c>
    </row>
    <row r="86" spans="1:30">
      <c r="A86" s="380" t="str">
        <f t="shared" si="15"/>
        <v>IFCI Ltd</v>
      </c>
      <c r="B86" s="381">
        <f>Os!E43</f>
        <v>0.13900000000000001</v>
      </c>
      <c r="C86" s="382">
        <f t="shared" si="41"/>
        <v>354.13476129999998</v>
      </c>
      <c r="D86" s="381">
        <f>Os!I43</f>
        <v>0</v>
      </c>
      <c r="E86" s="9">
        <f t="shared" si="42"/>
        <v>0</v>
      </c>
      <c r="F86" s="62">
        <f t="shared" si="16"/>
        <v>0.13486227896082192</v>
      </c>
      <c r="G86" s="62">
        <f t="shared" si="17"/>
        <v>0</v>
      </c>
      <c r="H86" s="9">
        <f t="shared" si="18"/>
        <v>354.26962357896082</v>
      </c>
      <c r="I86" s="9">
        <f t="shared" si="19"/>
        <v>0</v>
      </c>
      <c r="J86" s="62">
        <f t="shared" si="20"/>
        <v>4.1823227616486092</v>
      </c>
      <c r="K86" s="62">
        <f t="shared" si="21"/>
        <v>0</v>
      </c>
      <c r="L86" s="9">
        <f t="shared" si="22"/>
        <v>358.45194634060942</v>
      </c>
      <c r="M86" s="9">
        <f t="shared" si="23"/>
        <v>0</v>
      </c>
      <c r="N86" s="62">
        <f t="shared" si="24"/>
        <v>3.8221780141305532</v>
      </c>
      <c r="O86" s="62">
        <f t="shared" si="25"/>
        <v>0</v>
      </c>
      <c r="P86" s="9">
        <f t="shared" si="26"/>
        <v>362.27412435473997</v>
      </c>
      <c r="Q86" s="9">
        <f t="shared" si="27"/>
        <v>0</v>
      </c>
      <c r="R86" s="62">
        <f t="shared" si="28"/>
        <v>4.2768197310810265</v>
      </c>
      <c r="S86" s="62">
        <f t="shared" si="29"/>
        <v>0</v>
      </c>
      <c r="T86" s="9">
        <f t="shared" si="30"/>
        <v>366.55094408582102</v>
      </c>
      <c r="U86" s="9">
        <f t="shared" si="31"/>
        <v>0</v>
      </c>
      <c r="V86" s="62">
        <f t="shared" si="32"/>
        <v>4.1877190050352704</v>
      </c>
      <c r="W86" s="62">
        <f t="shared" si="33"/>
        <v>0</v>
      </c>
      <c r="X86" s="9">
        <f t="shared" si="34"/>
        <v>370.73866309085628</v>
      </c>
      <c r="Y86" s="9">
        <f t="shared" si="35"/>
        <v>0</v>
      </c>
      <c r="Z86" s="62">
        <f t="shared" si="36"/>
        <v>4.3767476692013698</v>
      </c>
      <c r="AA86" s="62">
        <f t="shared" si="37"/>
        <v>0</v>
      </c>
      <c r="AB86" s="9">
        <f t="shared" si="38"/>
        <v>375.11541076005767</v>
      </c>
      <c r="AC86" s="9">
        <f t="shared" si="39"/>
        <v>0</v>
      </c>
      <c r="AD86" s="9">
        <f t="shared" si="40"/>
        <v>375.11541076005767</v>
      </c>
    </row>
    <row r="87" spans="1:30">
      <c r="A87" s="383" t="s">
        <v>33</v>
      </c>
      <c r="B87" s="380"/>
      <c r="C87" s="382">
        <f t="shared" si="41"/>
        <v>5970.6139712329286</v>
      </c>
      <c r="D87" s="9"/>
      <c r="E87" s="9">
        <f t="shared" si="42"/>
        <v>161.53</v>
      </c>
      <c r="H87" s="9">
        <f>SUM(H69:H86)</f>
        <v>5972.7498970000433</v>
      </c>
      <c r="I87" s="9">
        <f>SUM(I69:I86)</f>
        <v>161.59462089041097</v>
      </c>
      <c r="L87" s="9">
        <f>SUM(L69:L86)</f>
        <v>6038.9872983596806</v>
      </c>
      <c r="M87" s="9">
        <f>SUM(M69:M86)</f>
        <v>163.59866992069141</v>
      </c>
      <c r="P87" s="9">
        <f>SUM(P69:P86)</f>
        <v>6099.4785385693212</v>
      </c>
      <c r="Q87" s="9">
        <f>SUM(Q69:Q86)</f>
        <v>165.43122767100806</v>
      </c>
      <c r="T87" s="9">
        <f>SUM(T69:T86)</f>
        <v>6167.1222654794628</v>
      </c>
      <c r="U87" s="9">
        <f>SUM(U69:U86)</f>
        <v>167.48285826130962</v>
      </c>
      <c r="X87" s="9">
        <f>SUM(X69:X86)</f>
        <v>6233.3103817224064</v>
      </c>
      <c r="Y87" s="9">
        <f>SUM(Y69:Y86)</f>
        <v>169.49293074818422</v>
      </c>
      <c r="AB87" s="9">
        <f>SUM(AB69:AB86)</f>
        <v>6302.4392805340467</v>
      </c>
      <c r="AC87" s="9">
        <f>SUM(AC69:AC86)</f>
        <v>171.59493456766205</v>
      </c>
      <c r="AD87" s="9">
        <f>SUM(AD69:AD86)</f>
        <v>6474.0342151017103</v>
      </c>
    </row>
    <row r="90" spans="1:30">
      <c r="B90" t="s">
        <v>348</v>
      </c>
      <c r="C90">
        <v>1292742</v>
      </c>
      <c r="D90">
        <v>403720</v>
      </c>
      <c r="E90">
        <v>109449</v>
      </c>
      <c r="F90">
        <f>SUM(C90:E90)</f>
        <v>1805911</v>
      </c>
    </row>
    <row r="91" spans="1:30">
      <c r="C91">
        <v>670067</v>
      </c>
      <c r="D91">
        <v>232312</v>
      </c>
      <c r="E91">
        <v>58218</v>
      </c>
      <c r="F91">
        <f t="shared" ref="F91:F110" si="43">SUM(C91:E91)</f>
        <v>960597</v>
      </c>
    </row>
    <row r="92" spans="1:30">
      <c r="C92">
        <v>1340134</v>
      </c>
      <c r="D92">
        <v>462525</v>
      </c>
      <c r="E92">
        <v>116301</v>
      </c>
      <c r="F92">
        <f t="shared" si="43"/>
        <v>1918960</v>
      </c>
    </row>
    <row r="93" spans="1:30">
      <c r="C93">
        <v>845153</v>
      </c>
      <c r="D93">
        <v>291574</v>
      </c>
      <c r="E93">
        <v>73337</v>
      </c>
      <c r="F93">
        <f t="shared" si="43"/>
        <v>1210064</v>
      </c>
    </row>
    <row r="94" spans="1:30">
      <c r="C94">
        <v>233010</v>
      </c>
      <c r="D94">
        <v>80365</v>
      </c>
      <c r="E94">
        <v>20218</v>
      </c>
      <c r="F94">
        <f t="shared" si="43"/>
        <v>333593</v>
      </c>
    </row>
    <row r="95" spans="1:30">
      <c r="C95">
        <v>147441</v>
      </c>
      <c r="D95">
        <v>50895</v>
      </c>
      <c r="E95">
        <v>12796</v>
      </c>
      <c r="F95">
        <f t="shared" si="43"/>
        <v>211132</v>
      </c>
    </row>
    <row r="96" spans="1:30">
      <c r="C96">
        <v>789863</v>
      </c>
      <c r="D96">
        <v>272576</v>
      </c>
      <c r="E96">
        <v>68544</v>
      </c>
      <c r="F96">
        <f t="shared" si="43"/>
        <v>1130983</v>
      </c>
    </row>
    <row r="97" spans="3:6">
      <c r="C97">
        <v>789863</v>
      </c>
      <c r="D97">
        <v>272532</v>
      </c>
      <c r="E97">
        <v>68542</v>
      </c>
      <c r="F97">
        <f t="shared" si="43"/>
        <v>1130937</v>
      </c>
    </row>
    <row r="98" spans="3:6">
      <c r="C98">
        <v>789863</v>
      </c>
      <c r="D98">
        <v>272462</v>
      </c>
      <c r="E98">
        <v>68537</v>
      </c>
      <c r="F98">
        <f t="shared" si="43"/>
        <v>1130862</v>
      </c>
    </row>
    <row r="99" spans="3:6">
      <c r="C99">
        <v>394932</v>
      </c>
      <c r="D99">
        <v>136192</v>
      </c>
      <c r="E99">
        <v>34266</v>
      </c>
      <c r="F99">
        <f t="shared" si="43"/>
        <v>565390</v>
      </c>
    </row>
    <row r="100" spans="3:6">
      <c r="C100">
        <v>394932</v>
      </c>
      <c r="D100">
        <v>136260</v>
      </c>
      <c r="E100">
        <v>34270</v>
      </c>
      <c r="F100">
        <f t="shared" si="43"/>
        <v>565462</v>
      </c>
    </row>
    <row r="101" spans="3:6">
      <c r="C101">
        <v>394932</v>
      </c>
      <c r="D101">
        <v>136257</v>
      </c>
      <c r="E101">
        <v>34270</v>
      </c>
      <c r="F101">
        <f t="shared" si="43"/>
        <v>565459</v>
      </c>
    </row>
    <row r="102" spans="3:6">
      <c r="C102">
        <v>789863</v>
      </c>
      <c r="D102">
        <v>272509</v>
      </c>
      <c r="E102">
        <v>68540</v>
      </c>
      <c r="F102">
        <f t="shared" si="43"/>
        <v>1130912</v>
      </c>
    </row>
    <row r="103" spans="3:6">
      <c r="C103">
        <v>1316438</v>
      </c>
      <c r="D103">
        <v>459753</v>
      </c>
      <c r="E103">
        <v>114593</v>
      </c>
      <c r="F103">
        <f t="shared" si="43"/>
        <v>1890784</v>
      </c>
    </row>
    <row r="104" spans="3:6">
      <c r="C104">
        <v>1316438</v>
      </c>
      <c r="D104">
        <v>472450</v>
      </c>
      <c r="E104">
        <v>115412</v>
      </c>
      <c r="F104">
        <f t="shared" si="43"/>
        <v>1904300</v>
      </c>
    </row>
    <row r="105" spans="3:6">
      <c r="C105">
        <v>1316438</v>
      </c>
      <c r="D105">
        <v>472460</v>
      </c>
      <c r="E105">
        <v>115413</v>
      </c>
      <c r="F105">
        <f t="shared" si="43"/>
        <v>1904311</v>
      </c>
    </row>
    <row r="106" spans="3:6">
      <c r="C106">
        <v>6318904</v>
      </c>
      <c r="D106">
        <v>2268205</v>
      </c>
      <c r="E106">
        <v>554007</v>
      </c>
      <c r="F106">
        <f t="shared" si="43"/>
        <v>9141116</v>
      </c>
    </row>
    <row r="107" spans="3:6">
      <c r="C107">
        <v>6318904</v>
      </c>
      <c r="D107">
        <v>2276570</v>
      </c>
      <c r="E107">
        <v>554547</v>
      </c>
      <c r="F107">
        <f t="shared" si="43"/>
        <v>9150021</v>
      </c>
    </row>
    <row r="108" spans="3:6">
      <c r="C108">
        <v>2501233</v>
      </c>
      <c r="D108">
        <v>903536</v>
      </c>
      <c r="E108">
        <v>219662</v>
      </c>
      <c r="F108">
        <f t="shared" si="43"/>
        <v>3624431</v>
      </c>
    </row>
    <row r="109" spans="3:6">
      <c r="C109">
        <v>2501233</v>
      </c>
      <c r="D109">
        <v>904166</v>
      </c>
      <c r="E109">
        <v>219703</v>
      </c>
      <c r="F109">
        <f t="shared" si="43"/>
        <v>3625102</v>
      </c>
    </row>
    <row r="110" spans="3:6">
      <c r="C110">
        <v>2448575</v>
      </c>
      <c r="D110">
        <v>891674</v>
      </c>
      <c r="E110">
        <v>215500</v>
      </c>
      <c r="F110">
        <f t="shared" si="43"/>
        <v>3555749</v>
      </c>
    </row>
    <row r="111" spans="3:6">
      <c r="C111">
        <f>SUM(C90:C110)</f>
        <v>32910958</v>
      </c>
      <c r="D111">
        <f>SUM(D90:D110)</f>
        <v>11668993</v>
      </c>
      <c r="E111">
        <f>SUM(E90:E110)</f>
        <v>2876125</v>
      </c>
      <c r="F111">
        <f>SUM(F90:F110)</f>
        <v>47456076</v>
      </c>
    </row>
    <row r="112" spans="3:6">
      <c r="F112">
        <f>F111/31*30</f>
        <v>45925234.838709682</v>
      </c>
    </row>
    <row r="113" spans="6:6">
      <c r="F113">
        <f>F111-F112</f>
        <v>1530841.1612903178</v>
      </c>
    </row>
  </sheetData>
  <mergeCells count="34">
    <mergeCell ref="U1:Z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J67:K67"/>
    <mergeCell ref="L67:M67"/>
    <mergeCell ref="N67:O67"/>
    <mergeCell ref="C1:J1"/>
    <mergeCell ref="K1:T1"/>
    <mergeCell ref="Z67:AA67"/>
    <mergeCell ref="AB67:AC67"/>
    <mergeCell ref="A1:A3"/>
    <mergeCell ref="A45:A47"/>
    <mergeCell ref="A48:A50"/>
    <mergeCell ref="A51:A53"/>
    <mergeCell ref="A54:A57"/>
    <mergeCell ref="A58:A61"/>
    <mergeCell ref="A62:A65"/>
    <mergeCell ref="P67:Q67"/>
    <mergeCell ref="R67:S67"/>
    <mergeCell ref="T67:U67"/>
    <mergeCell ref="V67:W67"/>
    <mergeCell ref="X67:Y67"/>
    <mergeCell ref="F67:G67"/>
    <mergeCell ref="H67:I67"/>
  </mergeCells>
  <pageMargins left="0.69930555555555596" right="0.69930555555555596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VB1083"/>
  <sheetViews>
    <sheetView topLeftCell="B1" workbookViewId="0">
      <pane xSplit="3" ySplit="13" topLeftCell="E398" activePane="bottomRight" state="frozen"/>
      <selection pane="topRight"/>
      <selection pane="bottomLeft"/>
      <selection pane="bottomRight" activeCell="E8" sqref="E8"/>
    </sheetView>
  </sheetViews>
  <sheetFormatPr defaultColWidth="9" defaultRowHeight="12.75" customHeight="1"/>
  <cols>
    <col min="1" max="1" width="6" style="157" customWidth="1"/>
    <col min="2" max="2" width="8.44140625" style="159" customWidth="1"/>
    <col min="3" max="3" width="33.6640625" style="157" customWidth="1"/>
    <col min="4" max="4" width="23" style="157" customWidth="1"/>
    <col min="5" max="6" width="13.33203125" style="157" customWidth="1"/>
    <col min="7" max="11" width="14.44140625" style="157" customWidth="1"/>
    <col min="12" max="244" width="9.109375" style="157"/>
    <col min="245" max="245" width="6" style="157" customWidth="1"/>
    <col min="246" max="246" width="3.109375" style="157" customWidth="1"/>
    <col min="247" max="247" width="25" style="157" customWidth="1"/>
    <col min="248" max="248" width="52.88671875" style="157" customWidth="1"/>
    <col min="249" max="250" width="9" style="157" hidden="1" customWidth="1"/>
    <col min="251" max="251" width="28.44140625" style="157" customWidth="1"/>
    <col min="252" max="252" width="21.33203125" style="157" customWidth="1"/>
    <col min="253" max="256" width="23.44140625" style="157" customWidth="1"/>
    <col min="257" max="258" width="23.33203125" style="157" customWidth="1"/>
    <col min="259" max="260" width="22.33203125" style="157" customWidth="1"/>
    <col min="261" max="264" width="23.6640625" style="157" customWidth="1"/>
    <col min="265" max="500" width="9.109375" style="157"/>
    <col min="501" max="501" width="6" style="157" customWidth="1"/>
    <col min="502" max="502" width="3.109375" style="157" customWidth="1"/>
    <col min="503" max="503" width="25" style="157" customWidth="1"/>
    <col min="504" max="504" width="52.88671875" style="157" customWidth="1"/>
    <col min="505" max="506" width="9" style="157" hidden="1" customWidth="1"/>
    <col min="507" max="507" width="28.44140625" style="157" customWidth="1"/>
    <col min="508" max="508" width="21.33203125" style="157" customWidth="1"/>
    <col min="509" max="512" width="23.44140625" style="157" customWidth="1"/>
    <col min="513" max="514" width="23.33203125" style="157" customWidth="1"/>
    <col min="515" max="516" width="22.33203125" style="157" customWidth="1"/>
    <col min="517" max="520" width="23.6640625" style="157" customWidth="1"/>
    <col min="521" max="756" width="9.109375" style="157"/>
    <col min="757" max="757" width="6" style="157" customWidth="1"/>
    <col min="758" max="758" width="3.109375" style="157" customWidth="1"/>
    <col min="759" max="759" width="25" style="157" customWidth="1"/>
    <col min="760" max="760" width="52.88671875" style="157" customWidth="1"/>
    <col min="761" max="762" width="9" style="157" hidden="1" customWidth="1"/>
    <col min="763" max="763" width="28.44140625" style="157" customWidth="1"/>
    <col min="764" max="764" width="21.33203125" style="157" customWidth="1"/>
    <col min="765" max="768" width="23.44140625" style="157" customWidth="1"/>
    <col min="769" max="770" width="23.33203125" style="157" customWidth="1"/>
    <col min="771" max="772" width="22.33203125" style="157" customWidth="1"/>
    <col min="773" max="776" width="23.6640625" style="157" customWidth="1"/>
    <col min="777" max="1012" width="9.109375" style="157"/>
    <col min="1013" max="1013" width="6" style="157" customWidth="1"/>
    <col min="1014" max="1014" width="3.109375" style="157" customWidth="1"/>
    <col min="1015" max="1015" width="25" style="157" customWidth="1"/>
    <col min="1016" max="1016" width="52.88671875" style="157" customWidth="1"/>
    <col min="1017" max="1018" width="9" style="157" hidden="1" customWidth="1"/>
    <col min="1019" max="1019" width="28.44140625" style="157" customWidth="1"/>
    <col min="1020" max="1020" width="21.33203125" style="157" customWidth="1"/>
    <col min="1021" max="1024" width="23.44140625" style="157" customWidth="1"/>
    <col min="1025" max="1026" width="23.33203125" style="157" customWidth="1"/>
    <col min="1027" max="1028" width="22.33203125" style="157" customWidth="1"/>
    <col min="1029" max="1032" width="23.6640625" style="157" customWidth="1"/>
    <col min="1033" max="1268" width="9.109375" style="157"/>
    <col min="1269" max="1269" width="6" style="157" customWidth="1"/>
    <col min="1270" max="1270" width="3.109375" style="157" customWidth="1"/>
    <col min="1271" max="1271" width="25" style="157" customWidth="1"/>
    <col min="1272" max="1272" width="52.88671875" style="157" customWidth="1"/>
    <col min="1273" max="1274" width="9" style="157" hidden="1" customWidth="1"/>
    <col min="1275" max="1275" width="28.44140625" style="157" customWidth="1"/>
    <col min="1276" max="1276" width="21.33203125" style="157" customWidth="1"/>
    <col min="1277" max="1280" width="23.44140625" style="157" customWidth="1"/>
    <col min="1281" max="1282" width="23.33203125" style="157" customWidth="1"/>
    <col min="1283" max="1284" width="22.33203125" style="157" customWidth="1"/>
    <col min="1285" max="1288" width="23.6640625" style="157" customWidth="1"/>
    <col min="1289" max="1524" width="9.109375" style="157"/>
    <col min="1525" max="1525" width="6" style="157" customWidth="1"/>
    <col min="1526" max="1526" width="3.109375" style="157" customWidth="1"/>
    <col min="1527" max="1527" width="25" style="157" customWidth="1"/>
    <col min="1528" max="1528" width="52.88671875" style="157" customWidth="1"/>
    <col min="1529" max="1530" width="9" style="157" hidden="1" customWidth="1"/>
    <col min="1531" max="1531" width="28.44140625" style="157" customWidth="1"/>
    <col min="1532" max="1532" width="21.33203125" style="157" customWidth="1"/>
    <col min="1533" max="1536" width="23.44140625" style="157" customWidth="1"/>
    <col min="1537" max="1538" width="23.33203125" style="157" customWidth="1"/>
    <col min="1539" max="1540" width="22.33203125" style="157" customWidth="1"/>
    <col min="1541" max="1544" width="23.6640625" style="157" customWidth="1"/>
    <col min="1545" max="1780" width="9.109375" style="157"/>
    <col min="1781" max="1781" width="6" style="157" customWidth="1"/>
    <col min="1782" max="1782" width="3.109375" style="157" customWidth="1"/>
    <col min="1783" max="1783" width="25" style="157" customWidth="1"/>
    <col min="1784" max="1784" width="52.88671875" style="157" customWidth="1"/>
    <col min="1785" max="1786" width="9" style="157" hidden="1" customWidth="1"/>
    <col min="1787" max="1787" width="28.44140625" style="157" customWidth="1"/>
    <col min="1788" max="1788" width="21.33203125" style="157" customWidth="1"/>
    <col min="1789" max="1792" width="23.44140625" style="157" customWidth="1"/>
    <col min="1793" max="1794" width="23.33203125" style="157" customWidth="1"/>
    <col min="1795" max="1796" width="22.33203125" style="157" customWidth="1"/>
    <col min="1797" max="1800" width="23.6640625" style="157" customWidth="1"/>
    <col min="1801" max="2036" width="9.109375" style="157"/>
    <col min="2037" max="2037" width="6" style="157" customWidth="1"/>
    <col min="2038" max="2038" width="3.109375" style="157" customWidth="1"/>
    <col min="2039" max="2039" width="25" style="157" customWidth="1"/>
    <col min="2040" max="2040" width="52.88671875" style="157" customWidth="1"/>
    <col min="2041" max="2042" width="9" style="157" hidden="1" customWidth="1"/>
    <col min="2043" max="2043" width="28.44140625" style="157" customWidth="1"/>
    <col min="2044" max="2044" width="21.33203125" style="157" customWidth="1"/>
    <col min="2045" max="2048" width="23.44140625" style="157" customWidth="1"/>
    <col min="2049" max="2050" width="23.33203125" style="157" customWidth="1"/>
    <col min="2051" max="2052" width="22.33203125" style="157" customWidth="1"/>
    <col min="2053" max="2056" width="23.6640625" style="157" customWidth="1"/>
    <col min="2057" max="2292" width="9.109375" style="157"/>
    <col min="2293" max="2293" width="6" style="157" customWidth="1"/>
    <col min="2294" max="2294" width="3.109375" style="157" customWidth="1"/>
    <col min="2295" max="2295" width="25" style="157" customWidth="1"/>
    <col min="2296" max="2296" width="52.88671875" style="157" customWidth="1"/>
    <col min="2297" max="2298" width="9" style="157" hidden="1" customWidth="1"/>
    <col min="2299" max="2299" width="28.44140625" style="157" customWidth="1"/>
    <col min="2300" max="2300" width="21.33203125" style="157" customWidth="1"/>
    <col min="2301" max="2304" width="23.44140625" style="157" customWidth="1"/>
    <col min="2305" max="2306" width="23.33203125" style="157" customWidth="1"/>
    <col min="2307" max="2308" width="22.33203125" style="157" customWidth="1"/>
    <col min="2309" max="2312" width="23.6640625" style="157" customWidth="1"/>
    <col min="2313" max="2548" width="9.109375" style="157"/>
    <col min="2549" max="2549" width="6" style="157" customWidth="1"/>
    <col min="2550" max="2550" width="3.109375" style="157" customWidth="1"/>
    <col min="2551" max="2551" width="25" style="157" customWidth="1"/>
    <col min="2552" max="2552" width="52.88671875" style="157" customWidth="1"/>
    <col min="2553" max="2554" width="9" style="157" hidden="1" customWidth="1"/>
    <col min="2555" max="2555" width="28.44140625" style="157" customWidth="1"/>
    <col min="2556" max="2556" width="21.33203125" style="157" customWidth="1"/>
    <col min="2557" max="2560" width="23.44140625" style="157" customWidth="1"/>
    <col min="2561" max="2562" width="23.33203125" style="157" customWidth="1"/>
    <col min="2563" max="2564" width="22.33203125" style="157" customWidth="1"/>
    <col min="2565" max="2568" width="23.6640625" style="157" customWidth="1"/>
    <col min="2569" max="2804" width="9.109375" style="157"/>
    <col min="2805" max="2805" width="6" style="157" customWidth="1"/>
    <col min="2806" max="2806" width="3.109375" style="157" customWidth="1"/>
    <col min="2807" max="2807" width="25" style="157" customWidth="1"/>
    <col min="2808" max="2808" width="52.88671875" style="157" customWidth="1"/>
    <col min="2809" max="2810" width="9" style="157" hidden="1" customWidth="1"/>
    <col min="2811" max="2811" width="28.44140625" style="157" customWidth="1"/>
    <col min="2812" max="2812" width="21.33203125" style="157" customWidth="1"/>
    <col min="2813" max="2816" width="23.44140625" style="157" customWidth="1"/>
    <col min="2817" max="2818" width="23.33203125" style="157" customWidth="1"/>
    <col min="2819" max="2820" width="22.33203125" style="157" customWidth="1"/>
    <col min="2821" max="2824" width="23.6640625" style="157" customWidth="1"/>
    <col min="2825" max="3060" width="9.109375" style="157"/>
    <col min="3061" max="3061" width="6" style="157" customWidth="1"/>
    <col min="3062" max="3062" width="3.109375" style="157" customWidth="1"/>
    <col min="3063" max="3063" width="25" style="157" customWidth="1"/>
    <col min="3064" max="3064" width="52.88671875" style="157" customWidth="1"/>
    <col min="3065" max="3066" width="9" style="157" hidden="1" customWidth="1"/>
    <col min="3067" max="3067" width="28.44140625" style="157" customWidth="1"/>
    <col min="3068" max="3068" width="21.33203125" style="157" customWidth="1"/>
    <col min="3069" max="3072" width="23.44140625" style="157" customWidth="1"/>
    <col min="3073" max="3074" width="23.33203125" style="157" customWidth="1"/>
    <col min="3075" max="3076" width="22.33203125" style="157" customWidth="1"/>
    <col min="3077" max="3080" width="23.6640625" style="157" customWidth="1"/>
    <col min="3081" max="3316" width="9.109375" style="157"/>
    <col min="3317" max="3317" width="6" style="157" customWidth="1"/>
    <col min="3318" max="3318" width="3.109375" style="157" customWidth="1"/>
    <col min="3319" max="3319" width="25" style="157" customWidth="1"/>
    <col min="3320" max="3320" width="52.88671875" style="157" customWidth="1"/>
    <col min="3321" max="3322" width="9" style="157" hidden="1" customWidth="1"/>
    <col min="3323" max="3323" width="28.44140625" style="157" customWidth="1"/>
    <col min="3324" max="3324" width="21.33203125" style="157" customWidth="1"/>
    <col min="3325" max="3328" width="23.44140625" style="157" customWidth="1"/>
    <col min="3329" max="3330" width="23.33203125" style="157" customWidth="1"/>
    <col min="3331" max="3332" width="22.33203125" style="157" customWidth="1"/>
    <col min="3333" max="3336" width="23.6640625" style="157" customWidth="1"/>
    <col min="3337" max="3572" width="9.109375" style="157"/>
    <col min="3573" max="3573" width="6" style="157" customWidth="1"/>
    <col min="3574" max="3574" width="3.109375" style="157" customWidth="1"/>
    <col min="3575" max="3575" width="25" style="157" customWidth="1"/>
    <col min="3576" max="3576" width="52.88671875" style="157" customWidth="1"/>
    <col min="3577" max="3578" width="9" style="157" hidden="1" customWidth="1"/>
    <col min="3579" max="3579" width="28.44140625" style="157" customWidth="1"/>
    <col min="3580" max="3580" width="21.33203125" style="157" customWidth="1"/>
    <col min="3581" max="3584" width="23.44140625" style="157" customWidth="1"/>
    <col min="3585" max="3586" width="23.33203125" style="157" customWidth="1"/>
    <col min="3587" max="3588" width="22.33203125" style="157" customWidth="1"/>
    <col min="3589" max="3592" width="23.6640625" style="157" customWidth="1"/>
    <col min="3593" max="3828" width="9.109375" style="157"/>
    <col min="3829" max="3829" width="6" style="157" customWidth="1"/>
    <col min="3830" max="3830" width="3.109375" style="157" customWidth="1"/>
    <col min="3831" max="3831" width="25" style="157" customWidth="1"/>
    <col min="3832" max="3832" width="52.88671875" style="157" customWidth="1"/>
    <col min="3833" max="3834" width="9" style="157" hidden="1" customWidth="1"/>
    <col min="3835" max="3835" width="28.44140625" style="157" customWidth="1"/>
    <col min="3836" max="3836" width="21.33203125" style="157" customWidth="1"/>
    <col min="3837" max="3840" width="23.44140625" style="157" customWidth="1"/>
    <col min="3841" max="3842" width="23.33203125" style="157" customWidth="1"/>
    <col min="3843" max="3844" width="22.33203125" style="157" customWidth="1"/>
    <col min="3845" max="3848" width="23.6640625" style="157" customWidth="1"/>
    <col min="3849" max="4084" width="9.109375" style="157"/>
    <col min="4085" max="4085" width="6" style="157" customWidth="1"/>
    <col min="4086" max="4086" width="3.109375" style="157" customWidth="1"/>
    <col min="4087" max="4087" width="25" style="157" customWidth="1"/>
    <col min="4088" max="4088" width="52.88671875" style="157" customWidth="1"/>
    <col min="4089" max="4090" width="9" style="157" hidden="1" customWidth="1"/>
    <col min="4091" max="4091" width="28.44140625" style="157" customWidth="1"/>
    <col min="4092" max="4092" width="21.33203125" style="157" customWidth="1"/>
    <col min="4093" max="4096" width="23.44140625" style="157" customWidth="1"/>
    <col min="4097" max="4098" width="23.33203125" style="157" customWidth="1"/>
    <col min="4099" max="4100" width="22.33203125" style="157" customWidth="1"/>
    <col min="4101" max="4104" width="23.6640625" style="157" customWidth="1"/>
    <col min="4105" max="4340" width="9.109375" style="157"/>
    <col min="4341" max="4341" width="6" style="157" customWidth="1"/>
    <col min="4342" max="4342" width="3.109375" style="157" customWidth="1"/>
    <col min="4343" max="4343" width="25" style="157" customWidth="1"/>
    <col min="4344" max="4344" width="52.88671875" style="157" customWidth="1"/>
    <col min="4345" max="4346" width="9" style="157" hidden="1" customWidth="1"/>
    <col min="4347" max="4347" width="28.44140625" style="157" customWidth="1"/>
    <col min="4348" max="4348" width="21.33203125" style="157" customWidth="1"/>
    <col min="4349" max="4352" width="23.44140625" style="157" customWidth="1"/>
    <col min="4353" max="4354" width="23.33203125" style="157" customWidth="1"/>
    <col min="4355" max="4356" width="22.33203125" style="157" customWidth="1"/>
    <col min="4357" max="4360" width="23.6640625" style="157" customWidth="1"/>
    <col min="4361" max="4596" width="9.109375" style="157"/>
    <col min="4597" max="4597" width="6" style="157" customWidth="1"/>
    <col min="4598" max="4598" width="3.109375" style="157" customWidth="1"/>
    <col min="4599" max="4599" width="25" style="157" customWidth="1"/>
    <col min="4600" max="4600" width="52.88671875" style="157" customWidth="1"/>
    <col min="4601" max="4602" width="9" style="157" hidden="1" customWidth="1"/>
    <col min="4603" max="4603" width="28.44140625" style="157" customWidth="1"/>
    <col min="4604" max="4604" width="21.33203125" style="157" customWidth="1"/>
    <col min="4605" max="4608" width="23.44140625" style="157" customWidth="1"/>
    <col min="4609" max="4610" width="23.33203125" style="157" customWidth="1"/>
    <col min="4611" max="4612" width="22.33203125" style="157" customWidth="1"/>
    <col min="4613" max="4616" width="23.6640625" style="157" customWidth="1"/>
    <col min="4617" max="4852" width="9.109375" style="157"/>
    <col min="4853" max="4853" width="6" style="157" customWidth="1"/>
    <col min="4854" max="4854" width="3.109375" style="157" customWidth="1"/>
    <col min="4855" max="4855" width="25" style="157" customWidth="1"/>
    <col min="4856" max="4856" width="52.88671875" style="157" customWidth="1"/>
    <col min="4857" max="4858" width="9" style="157" hidden="1" customWidth="1"/>
    <col min="4859" max="4859" width="28.44140625" style="157" customWidth="1"/>
    <col min="4860" max="4860" width="21.33203125" style="157" customWidth="1"/>
    <col min="4861" max="4864" width="23.44140625" style="157" customWidth="1"/>
    <col min="4865" max="4866" width="23.33203125" style="157" customWidth="1"/>
    <col min="4867" max="4868" width="22.33203125" style="157" customWidth="1"/>
    <col min="4869" max="4872" width="23.6640625" style="157" customWidth="1"/>
    <col min="4873" max="5108" width="9.109375" style="157"/>
    <col min="5109" max="5109" width="6" style="157" customWidth="1"/>
    <col min="5110" max="5110" width="3.109375" style="157" customWidth="1"/>
    <col min="5111" max="5111" width="25" style="157" customWidth="1"/>
    <col min="5112" max="5112" width="52.88671875" style="157" customWidth="1"/>
    <col min="5113" max="5114" width="9" style="157" hidden="1" customWidth="1"/>
    <col min="5115" max="5115" width="28.44140625" style="157" customWidth="1"/>
    <col min="5116" max="5116" width="21.33203125" style="157" customWidth="1"/>
    <col min="5117" max="5120" width="23.44140625" style="157" customWidth="1"/>
    <col min="5121" max="5122" width="23.33203125" style="157" customWidth="1"/>
    <col min="5123" max="5124" width="22.33203125" style="157" customWidth="1"/>
    <col min="5125" max="5128" width="23.6640625" style="157" customWidth="1"/>
    <col min="5129" max="5364" width="9.109375" style="157"/>
    <col min="5365" max="5365" width="6" style="157" customWidth="1"/>
    <col min="5366" max="5366" width="3.109375" style="157" customWidth="1"/>
    <col min="5367" max="5367" width="25" style="157" customWidth="1"/>
    <col min="5368" max="5368" width="52.88671875" style="157" customWidth="1"/>
    <col min="5369" max="5370" width="9" style="157" hidden="1" customWidth="1"/>
    <col min="5371" max="5371" width="28.44140625" style="157" customWidth="1"/>
    <col min="5372" max="5372" width="21.33203125" style="157" customWidth="1"/>
    <col min="5373" max="5376" width="23.44140625" style="157" customWidth="1"/>
    <col min="5377" max="5378" width="23.33203125" style="157" customWidth="1"/>
    <col min="5379" max="5380" width="22.33203125" style="157" customWidth="1"/>
    <col min="5381" max="5384" width="23.6640625" style="157" customWidth="1"/>
    <col min="5385" max="5620" width="9.109375" style="157"/>
    <col min="5621" max="5621" width="6" style="157" customWidth="1"/>
    <col min="5622" max="5622" width="3.109375" style="157" customWidth="1"/>
    <col min="5623" max="5623" width="25" style="157" customWidth="1"/>
    <col min="5624" max="5624" width="52.88671875" style="157" customWidth="1"/>
    <col min="5625" max="5626" width="9" style="157" hidden="1" customWidth="1"/>
    <col min="5627" max="5627" width="28.44140625" style="157" customWidth="1"/>
    <col min="5628" max="5628" width="21.33203125" style="157" customWidth="1"/>
    <col min="5629" max="5632" width="23.44140625" style="157" customWidth="1"/>
    <col min="5633" max="5634" width="23.33203125" style="157" customWidth="1"/>
    <col min="5635" max="5636" width="22.33203125" style="157" customWidth="1"/>
    <col min="5637" max="5640" width="23.6640625" style="157" customWidth="1"/>
    <col min="5641" max="5876" width="9.109375" style="157"/>
    <col min="5877" max="5877" width="6" style="157" customWidth="1"/>
    <col min="5878" max="5878" width="3.109375" style="157" customWidth="1"/>
    <col min="5879" max="5879" width="25" style="157" customWidth="1"/>
    <col min="5880" max="5880" width="52.88671875" style="157" customWidth="1"/>
    <col min="5881" max="5882" width="9" style="157" hidden="1" customWidth="1"/>
    <col min="5883" max="5883" width="28.44140625" style="157" customWidth="1"/>
    <col min="5884" max="5884" width="21.33203125" style="157" customWidth="1"/>
    <col min="5885" max="5888" width="23.44140625" style="157" customWidth="1"/>
    <col min="5889" max="5890" width="23.33203125" style="157" customWidth="1"/>
    <col min="5891" max="5892" width="22.33203125" style="157" customWidth="1"/>
    <col min="5893" max="5896" width="23.6640625" style="157" customWidth="1"/>
    <col min="5897" max="6132" width="9.109375" style="157"/>
    <col min="6133" max="6133" width="6" style="157" customWidth="1"/>
    <col min="6134" max="6134" width="3.109375" style="157" customWidth="1"/>
    <col min="6135" max="6135" width="25" style="157" customWidth="1"/>
    <col min="6136" max="6136" width="52.88671875" style="157" customWidth="1"/>
    <col min="6137" max="6138" width="9" style="157" hidden="1" customWidth="1"/>
    <col min="6139" max="6139" width="28.44140625" style="157" customWidth="1"/>
    <col min="6140" max="6140" width="21.33203125" style="157" customWidth="1"/>
    <col min="6141" max="6144" width="23.44140625" style="157" customWidth="1"/>
    <col min="6145" max="6146" width="23.33203125" style="157" customWidth="1"/>
    <col min="6147" max="6148" width="22.33203125" style="157" customWidth="1"/>
    <col min="6149" max="6152" width="23.6640625" style="157" customWidth="1"/>
    <col min="6153" max="6388" width="9.109375" style="157"/>
    <col min="6389" max="6389" width="6" style="157" customWidth="1"/>
    <col min="6390" max="6390" width="3.109375" style="157" customWidth="1"/>
    <col min="6391" max="6391" width="25" style="157" customWidth="1"/>
    <col min="6392" max="6392" width="52.88671875" style="157" customWidth="1"/>
    <col min="6393" max="6394" width="9" style="157" hidden="1" customWidth="1"/>
    <col min="6395" max="6395" width="28.44140625" style="157" customWidth="1"/>
    <col min="6396" max="6396" width="21.33203125" style="157" customWidth="1"/>
    <col min="6397" max="6400" width="23.44140625" style="157" customWidth="1"/>
    <col min="6401" max="6402" width="23.33203125" style="157" customWidth="1"/>
    <col min="6403" max="6404" width="22.33203125" style="157" customWidth="1"/>
    <col min="6405" max="6408" width="23.6640625" style="157" customWidth="1"/>
    <col min="6409" max="6644" width="9.109375" style="157"/>
    <col min="6645" max="6645" width="6" style="157" customWidth="1"/>
    <col min="6646" max="6646" width="3.109375" style="157" customWidth="1"/>
    <col min="6647" max="6647" width="25" style="157" customWidth="1"/>
    <col min="6648" max="6648" width="52.88671875" style="157" customWidth="1"/>
    <col min="6649" max="6650" width="9" style="157" hidden="1" customWidth="1"/>
    <col min="6651" max="6651" width="28.44140625" style="157" customWidth="1"/>
    <col min="6652" max="6652" width="21.33203125" style="157" customWidth="1"/>
    <col min="6653" max="6656" width="23.44140625" style="157" customWidth="1"/>
    <col min="6657" max="6658" width="23.33203125" style="157" customWidth="1"/>
    <col min="6659" max="6660" width="22.33203125" style="157" customWidth="1"/>
    <col min="6661" max="6664" width="23.6640625" style="157" customWidth="1"/>
    <col min="6665" max="6900" width="9.109375" style="157"/>
    <col min="6901" max="6901" width="6" style="157" customWidth="1"/>
    <col min="6902" max="6902" width="3.109375" style="157" customWidth="1"/>
    <col min="6903" max="6903" width="25" style="157" customWidth="1"/>
    <col min="6904" max="6904" width="52.88671875" style="157" customWidth="1"/>
    <col min="6905" max="6906" width="9" style="157" hidden="1" customWidth="1"/>
    <col min="6907" max="6907" width="28.44140625" style="157" customWidth="1"/>
    <col min="6908" max="6908" width="21.33203125" style="157" customWidth="1"/>
    <col min="6909" max="6912" width="23.44140625" style="157" customWidth="1"/>
    <col min="6913" max="6914" width="23.33203125" style="157" customWidth="1"/>
    <col min="6915" max="6916" width="22.33203125" style="157" customWidth="1"/>
    <col min="6917" max="6920" width="23.6640625" style="157" customWidth="1"/>
    <col min="6921" max="7156" width="9.109375" style="157"/>
    <col min="7157" max="7157" width="6" style="157" customWidth="1"/>
    <col min="7158" max="7158" width="3.109375" style="157" customWidth="1"/>
    <col min="7159" max="7159" width="25" style="157" customWidth="1"/>
    <col min="7160" max="7160" width="52.88671875" style="157" customWidth="1"/>
    <col min="7161" max="7162" width="9" style="157" hidden="1" customWidth="1"/>
    <col min="7163" max="7163" width="28.44140625" style="157" customWidth="1"/>
    <col min="7164" max="7164" width="21.33203125" style="157" customWidth="1"/>
    <col min="7165" max="7168" width="23.44140625" style="157" customWidth="1"/>
    <col min="7169" max="7170" width="23.33203125" style="157" customWidth="1"/>
    <col min="7171" max="7172" width="22.33203125" style="157" customWidth="1"/>
    <col min="7173" max="7176" width="23.6640625" style="157" customWidth="1"/>
    <col min="7177" max="7412" width="9.109375" style="157"/>
    <col min="7413" max="7413" width="6" style="157" customWidth="1"/>
    <col min="7414" max="7414" width="3.109375" style="157" customWidth="1"/>
    <col min="7415" max="7415" width="25" style="157" customWidth="1"/>
    <col min="7416" max="7416" width="52.88671875" style="157" customWidth="1"/>
    <col min="7417" max="7418" width="9" style="157" hidden="1" customWidth="1"/>
    <col min="7419" max="7419" width="28.44140625" style="157" customWidth="1"/>
    <col min="7420" max="7420" width="21.33203125" style="157" customWidth="1"/>
    <col min="7421" max="7424" width="23.44140625" style="157" customWidth="1"/>
    <col min="7425" max="7426" width="23.33203125" style="157" customWidth="1"/>
    <col min="7427" max="7428" width="22.33203125" style="157" customWidth="1"/>
    <col min="7429" max="7432" width="23.6640625" style="157" customWidth="1"/>
    <col min="7433" max="7668" width="9.109375" style="157"/>
    <col min="7669" max="7669" width="6" style="157" customWidth="1"/>
    <col min="7670" max="7670" width="3.109375" style="157" customWidth="1"/>
    <col min="7671" max="7671" width="25" style="157" customWidth="1"/>
    <col min="7672" max="7672" width="52.88671875" style="157" customWidth="1"/>
    <col min="7673" max="7674" width="9" style="157" hidden="1" customWidth="1"/>
    <col min="7675" max="7675" width="28.44140625" style="157" customWidth="1"/>
    <col min="7676" max="7676" width="21.33203125" style="157" customWidth="1"/>
    <col min="7677" max="7680" width="23.44140625" style="157" customWidth="1"/>
    <col min="7681" max="7682" width="23.33203125" style="157" customWidth="1"/>
    <col min="7683" max="7684" width="22.33203125" style="157" customWidth="1"/>
    <col min="7685" max="7688" width="23.6640625" style="157" customWidth="1"/>
    <col min="7689" max="7924" width="9.109375" style="157"/>
    <col min="7925" max="7925" width="6" style="157" customWidth="1"/>
    <col min="7926" max="7926" width="3.109375" style="157" customWidth="1"/>
    <col min="7927" max="7927" width="25" style="157" customWidth="1"/>
    <col min="7928" max="7928" width="52.88671875" style="157" customWidth="1"/>
    <col min="7929" max="7930" width="9" style="157" hidden="1" customWidth="1"/>
    <col min="7931" max="7931" width="28.44140625" style="157" customWidth="1"/>
    <col min="7932" max="7932" width="21.33203125" style="157" customWidth="1"/>
    <col min="7933" max="7936" width="23.44140625" style="157" customWidth="1"/>
    <col min="7937" max="7938" width="23.33203125" style="157" customWidth="1"/>
    <col min="7939" max="7940" width="22.33203125" style="157" customWidth="1"/>
    <col min="7941" max="7944" width="23.6640625" style="157" customWidth="1"/>
    <col min="7945" max="8180" width="9.109375" style="157"/>
    <col min="8181" max="8181" width="6" style="157" customWidth="1"/>
    <col min="8182" max="8182" width="3.109375" style="157" customWidth="1"/>
    <col min="8183" max="8183" width="25" style="157" customWidth="1"/>
    <col min="8184" max="8184" width="52.88671875" style="157" customWidth="1"/>
    <col min="8185" max="8186" width="9" style="157" hidden="1" customWidth="1"/>
    <col min="8187" max="8187" width="28.44140625" style="157" customWidth="1"/>
    <col min="8188" max="8188" width="21.33203125" style="157" customWidth="1"/>
    <col min="8189" max="8192" width="23.44140625" style="157" customWidth="1"/>
    <col min="8193" max="8194" width="23.33203125" style="157" customWidth="1"/>
    <col min="8195" max="8196" width="22.33203125" style="157" customWidth="1"/>
    <col min="8197" max="8200" width="23.6640625" style="157" customWidth="1"/>
    <col min="8201" max="8436" width="9.109375" style="157"/>
    <col min="8437" max="8437" width="6" style="157" customWidth="1"/>
    <col min="8438" max="8438" width="3.109375" style="157" customWidth="1"/>
    <col min="8439" max="8439" width="25" style="157" customWidth="1"/>
    <col min="8440" max="8440" width="52.88671875" style="157" customWidth="1"/>
    <col min="8441" max="8442" width="9" style="157" hidden="1" customWidth="1"/>
    <col min="8443" max="8443" width="28.44140625" style="157" customWidth="1"/>
    <col min="8444" max="8444" width="21.33203125" style="157" customWidth="1"/>
    <col min="8445" max="8448" width="23.44140625" style="157" customWidth="1"/>
    <col min="8449" max="8450" width="23.33203125" style="157" customWidth="1"/>
    <col min="8451" max="8452" width="22.33203125" style="157" customWidth="1"/>
    <col min="8453" max="8456" width="23.6640625" style="157" customWidth="1"/>
    <col min="8457" max="8692" width="9.109375" style="157"/>
    <col min="8693" max="8693" width="6" style="157" customWidth="1"/>
    <col min="8694" max="8694" width="3.109375" style="157" customWidth="1"/>
    <col min="8695" max="8695" width="25" style="157" customWidth="1"/>
    <col min="8696" max="8696" width="52.88671875" style="157" customWidth="1"/>
    <col min="8697" max="8698" width="9" style="157" hidden="1" customWidth="1"/>
    <col min="8699" max="8699" width="28.44140625" style="157" customWidth="1"/>
    <col min="8700" max="8700" width="21.33203125" style="157" customWidth="1"/>
    <col min="8701" max="8704" width="23.44140625" style="157" customWidth="1"/>
    <col min="8705" max="8706" width="23.33203125" style="157" customWidth="1"/>
    <col min="8707" max="8708" width="22.33203125" style="157" customWidth="1"/>
    <col min="8709" max="8712" width="23.6640625" style="157" customWidth="1"/>
    <col min="8713" max="8948" width="9.109375" style="157"/>
    <col min="8949" max="8949" width="6" style="157" customWidth="1"/>
    <col min="8950" max="8950" width="3.109375" style="157" customWidth="1"/>
    <col min="8951" max="8951" width="25" style="157" customWidth="1"/>
    <col min="8952" max="8952" width="52.88671875" style="157" customWidth="1"/>
    <col min="8953" max="8954" width="9" style="157" hidden="1" customWidth="1"/>
    <col min="8955" max="8955" width="28.44140625" style="157" customWidth="1"/>
    <col min="8956" max="8956" width="21.33203125" style="157" customWidth="1"/>
    <col min="8957" max="8960" width="23.44140625" style="157" customWidth="1"/>
    <col min="8961" max="8962" width="23.33203125" style="157" customWidth="1"/>
    <col min="8963" max="8964" width="22.33203125" style="157" customWidth="1"/>
    <col min="8965" max="8968" width="23.6640625" style="157" customWidth="1"/>
    <col min="8969" max="9204" width="9.109375" style="157"/>
    <col min="9205" max="9205" width="6" style="157" customWidth="1"/>
    <col min="9206" max="9206" width="3.109375" style="157" customWidth="1"/>
    <col min="9207" max="9207" width="25" style="157" customWidth="1"/>
    <col min="9208" max="9208" width="52.88671875" style="157" customWidth="1"/>
    <col min="9209" max="9210" width="9" style="157" hidden="1" customWidth="1"/>
    <col min="9211" max="9211" width="28.44140625" style="157" customWidth="1"/>
    <col min="9212" max="9212" width="21.33203125" style="157" customWidth="1"/>
    <col min="9213" max="9216" width="23.44140625" style="157" customWidth="1"/>
    <col min="9217" max="9218" width="23.33203125" style="157" customWidth="1"/>
    <col min="9219" max="9220" width="22.33203125" style="157" customWidth="1"/>
    <col min="9221" max="9224" width="23.6640625" style="157" customWidth="1"/>
    <col min="9225" max="9460" width="9.109375" style="157"/>
    <col min="9461" max="9461" width="6" style="157" customWidth="1"/>
    <col min="9462" max="9462" width="3.109375" style="157" customWidth="1"/>
    <col min="9463" max="9463" width="25" style="157" customWidth="1"/>
    <col min="9464" max="9464" width="52.88671875" style="157" customWidth="1"/>
    <col min="9465" max="9466" width="9" style="157" hidden="1" customWidth="1"/>
    <col min="9467" max="9467" width="28.44140625" style="157" customWidth="1"/>
    <col min="9468" max="9468" width="21.33203125" style="157" customWidth="1"/>
    <col min="9469" max="9472" width="23.44140625" style="157" customWidth="1"/>
    <col min="9473" max="9474" width="23.33203125" style="157" customWidth="1"/>
    <col min="9475" max="9476" width="22.33203125" style="157" customWidth="1"/>
    <col min="9477" max="9480" width="23.6640625" style="157" customWidth="1"/>
    <col min="9481" max="9716" width="9.109375" style="157"/>
    <col min="9717" max="9717" width="6" style="157" customWidth="1"/>
    <col min="9718" max="9718" width="3.109375" style="157" customWidth="1"/>
    <col min="9719" max="9719" width="25" style="157" customWidth="1"/>
    <col min="9720" max="9720" width="52.88671875" style="157" customWidth="1"/>
    <col min="9721" max="9722" width="9" style="157" hidden="1" customWidth="1"/>
    <col min="9723" max="9723" width="28.44140625" style="157" customWidth="1"/>
    <col min="9724" max="9724" width="21.33203125" style="157" customWidth="1"/>
    <col min="9725" max="9728" width="23.44140625" style="157" customWidth="1"/>
    <col min="9729" max="9730" width="23.33203125" style="157" customWidth="1"/>
    <col min="9731" max="9732" width="22.33203125" style="157" customWidth="1"/>
    <col min="9733" max="9736" width="23.6640625" style="157" customWidth="1"/>
    <col min="9737" max="9972" width="9.109375" style="157"/>
    <col min="9973" max="9973" width="6" style="157" customWidth="1"/>
    <col min="9974" max="9974" width="3.109375" style="157" customWidth="1"/>
    <col min="9975" max="9975" width="25" style="157" customWidth="1"/>
    <col min="9976" max="9976" width="52.88671875" style="157" customWidth="1"/>
    <col min="9977" max="9978" width="9" style="157" hidden="1" customWidth="1"/>
    <col min="9979" max="9979" width="28.44140625" style="157" customWidth="1"/>
    <col min="9980" max="9980" width="21.33203125" style="157" customWidth="1"/>
    <col min="9981" max="9984" width="23.44140625" style="157" customWidth="1"/>
    <col min="9985" max="9986" width="23.33203125" style="157" customWidth="1"/>
    <col min="9987" max="9988" width="22.33203125" style="157" customWidth="1"/>
    <col min="9989" max="9992" width="23.6640625" style="157" customWidth="1"/>
    <col min="9993" max="10228" width="9.109375" style="157"/>
    <col min="10229" max="10229" width="6" style="157" customWidth="1"/>
    <col min="10230" max="10230" width="3.109375" style="157" customWidth="1"/>
    <col min="10231" max="10231" width="25" style="157" customWidth="1"/>
    <col min="10232" max="10232" width="52.88671875" style="157" customWidth="1"/>
    <col min="10233" max="10234" width="9" style="157" hidden="1" customWidth="1"/>
    <col min="10235" max="10235" width="28.44140625" style="157" customWidth="1"/>
    <col min="10236" max="10236" width="21.33203125" style="157" customWidth="1"/>
    <col min="10237" max="10240" width="23.44140625" style="157" customWidth="1"/>
    <col min="10241" max="10242" width="23.33203125" style="157" customWidth="1"/>
    <col min="10243" max="10244" width="22.33203125" style="157" customWidth="1"/>
    <col min="10245" max="10248" width="23.6640625" style="157" customWidth="1"/>
    <col min="10249" max="10484" width="9.109375" style="157"/>
    <col min="10485" max="10485" width="6" style="157" customWidth="1"/>
    <col min="10486" max="10486" width="3.109375" style="157" customWidth="1"/>
    <col min="10487" max="10487" width="25" style="157" customWidth="1"/>
    <col min="10488" max="10488" width="52.88671875" style="157" customWidth="1"/>
    <col min="10489" max="10490" width="9" style="157" hidden="1" customWidth="1"/>
    <col min="10491" max="10491" width="28.44140625" style="157" customWidth="1"/>
    <col min="10492" max="10492" width="21.33203125" style="157" customWidth="1"/>
    <col min="10493" max="10496" width="23.44140625" style="157" customWidth="1"/>
    <col min="10497" max="10498" width="23.33203125" style="157" customWidth="1"/>
    <col min="10499" max="10500" width="22.33203125" style="157" customWidth="1"/>
    <col min="10501" max="10504" width="23.6640625" style="157" customWidth="1"/>
    <col min="10505" max="10740" width="9.109375" style="157"/>
    <col min="10741" max="10741" width="6" style="157" customWidth="1"/>
    <col min="10742" max="10742" width="3.109375" style="157" customWidth="1"/>
    <col min="10743" max="10743" width="25" style="157" customWidth="1"/>
    <col min="10744" max="10744" width="52.88671875" style="157" customWidth="1"/>
    <col min="10745" max="10746" width="9" style="157" hidden="1" customWidth="1"/>
    <col min="10747" max="10747" width="28.44140625" style="157" customWidth="1"/>
    <col min="10748" max="10748" width="21.33203125" style="157" customWidth="1"/>
    <col min="10749" max="10752" width="23.44140625" style="157" customWidth="1"/>
    <col min="10753" max="10754" width="23.33203125" style="157" customWidth="1"/>
    <col min="10755" max="10756" width="22.33203125" style="157" customWidth="1"/>
    <col min="10757" max="10760" width="23.6640625" style="157" customWidth="1"/>
    <col min="10761" max="10996" width="9.109375" style="157"/>
    <col min="10997" max="10997" width="6" style="157" customWidth="1"/>
    <col min="10998" max="10998" width="3.109375" style="157" customWidth="1"/>
    <col min="10999" max="10999" width="25" style="157" customWidth="1"/>
    <col min="11000" max="11000" width="52.88671875" style="157" customWidth="1"/>
    <col min="11001" max="11002" width="9" style="157" hidden="1" customWidth="1"/>
    <col min="11003" max="11003" width="28.44140625" style="157" customWidth="1"/>
    <col min="11004" max="11004" width="21.33203125" style="157" customWidth="1"/>
    <col min="11005" max="11008" width="23.44140625" style="157" customWidth="1"/>
    <col min="11009" max="11010" width="23.33203125" style="157" customWidth="1"/>
    <col min="11011" max="11012" width="22.33203125" style="157" customWidth="1"/>
    <col min="11013" max="11016" width="23.6640625" style="157" customWidth="1"/>
    <col min="11017" max="11252" width="9.109375" style="157"/>
    <col min="11253" max="11253" width="6" style="157" customWidth="1"/>
    <col min="11254" max="11254" width="3.109375" style="157" customWidth="1"/>
    <col min="11255" max="11255" width="25" style="157" customWidth="1"/>
    <col min="11256" max="11256" width="52.88671875" style="157" customWidth="1"/>
    <col min="11257" max="11258" width="9" style="157" hidden="1" customWidth="1"/>
    <col min="11259" max="11259" width="28.44140625" style="157" customWidth="1"/>
    <col min="11260" max="11260" width="21.33203125" style="157" customWidth="1"/>
    <col min="11261" max="11264" width="23.44140625" style="157" customWidth="1"/>
    <col min="11265" max="11266" width="23.33203125" style="157" customWidth="1"/>
    <col min="11267" max="11268" width="22.33203125" style="157" customWidth="1"/>
    <col min="11269" max="11272" width="23.6640625" style="157" customWidth="1"/>
    <col min="11273" max="11508" width="9.109375" style="157"/>
    <col min="11509" max="11509" width="6" style="157" customWidth="1"/>
    <col min="11510" max="11510" width="3.109375" style="157" customWidth="1"/>
    <col min="11511" max="11511" width="25" style="157" customWidth="1"/>
    <col min="11512" max="11512" width="52.88671875" style="157" customWidth="1"/>
    <col min="11513" max="11514" width="9" style="157" hidden="1" customWidth="1"/>
    <col min="11515" max="11515" width="28.44140625" style="157" customWidth="1"/>
    <col min="11516" max="11516" width="21.33203125" style="157" customWidth="1"/>
    <col min="11517" max="11520" width="23.44140625" style="157" customWidth="1"/>
    <col min="11521" max="11522" width="23.33203125" style="157" customWidth="1"/>
    <col min="11523" max="11524" width="22.33203125" style="157" customWidth="1"/>
    <col min="11525" max="11528" width="23.6640625" style="157" customWidth="1"/>
    <col min="11529" max="11764" width="9.109375" style="157"/>
    <col min="11765" max="11765" width="6" style="157" customWidth="1"/>
    <col min="11766" max="11766" width="3.109375" style="157" customWidth="1"/>
    <col min="11767" max="11767" width="25" style="157" customWidth="1"/>
    <col min="11768" max="11768" width="52.88671875" style="157" customWidth="1"/>
    <col min="11769" max="11770" width="9" style="157" hidden="1" customWidth="1"/>
    <col min="11771" max="11771" width="28.44140625" style="157" customWidth="1"/>
    <col min="11772" max="11772" width="21.33203125" style="157" customWidth="1"/>
    <col min="11773" max="11776" width="23.44140625" style="157" customWidth="1"/>
    <col min="11777" max="11778" width="23.33203125" style="157" customWidth="1"/>
    <col min="11779" max="11780" width="22.33203125" style="157" customWidth="1"/>
    <col min="11781" max="11784" width="23.6640625" style="157" customWidth="1"/>
    <col min="11785" max="12020" width="9.109375" style="157"/>
    <col min="12021" max="12021" width="6" style="157" customWidth="1"/>
    <col min="12022" max="12022" width="3.109375" style="157" customWidth="1"/>
    <col min="12023" max="12023" width="25" style="157" customWidth="1"/>
    <col min="12024" max="12024" width="52.88671875" style="157" customWidth="1"/>
    <col min="12025" max="12026" width="9" style="157" hidden="1" customWidth="1"/>
    <col min="12027" max="12027" width="28.44140625" style="157" customWidth="1"/>
    <col min="12028" max="12028" width="21.33203125" style="157" customWidth="1"/>
    <col min="12029" max="12032" width="23.44140625" style="157" customWidth="1"/>
    <col min="12033" max="12034" width="23.33203125" style="157" customWidth="1"/>
    <col min="12035" max="12036" width="22.33203125" style="157" customWidth="1"/>
    <col min="12037" max="12040" width="23.6640625" style="157" customWidth="1"/>
    <col min="12041" max="12276" width="9.109375" style="157"/>
    <col min="12277" max="12277" width="6" style="157" customWidth="1"/>
    <col min="12278" max="12278" width="3.109375" style="157" customWidth="1"/>
    <col min="12279" max="12279" width="25" style="157" customWidth="1"/>
    <col min="12280" max="12280" width="52.88671875" style="157" customWidth="1"/>
    <col min="12281" max="12282" width="9" style="157" hidden="1" customWidth="1"/>
    <col min="12283" max="12283" width="28.44140625" style="157" customWidth="1"/>
    <col min="12284" max="12284" width="21.33203125" style="157" customWidth="1"/>
    <col min="12285" max="12288" width="23.44140625" style="157" customWidth="1"/>
    <col min="12289" max="12290" width="23.33203125" style="157" customWidth="1"/>
    <col min="12291" max="12292" width="22.33203125" style="157" customWidth="1"/>
    <col min="12293" max="12296" width="23.6640625" style="157" customWidth="1"/>
    <col min="12297" max="12532" width="9.109375" style="157"/>
    <col min="12533" max="12533" width="6" style="157" customWidth="1"/>
    <col min="12534" max="12534" width="3.109375" style="157" customWidth="1"/>
    <col min="12535" max="12535" width="25" style="157" customWidth="1"/>
    <col min="12536" max="12536" width="52.88671875" style="157" customWidth="1"/>
    <col min="12537" max="12538" width="9" style="157" hidden="1" customWidth="1"/>
    <col min="12539" max="12539" width="28.44140625" style="157" customWidth="1"/>
    <col min="12540" max="12540" width="21.33203125" style="157" customWidth="1"/>
    <col min="12541" max="12544" width="23.44140625" style="157" customWidth="1"/>
    <col min="12545" max="12546" width="23.33203125" style="157" customWidth="1"/>
    <col min="12547" max="12548" width="22.33203125" style="157" customWidth="1"/>
    <col min="12549" max="12552" width="23.6640625" style="157" customWidth="1"/>
    <col min="12553" max="12788" width="9.109375" style="157"/>
    <col min="12789" max="12789" width="6" style="157" customWidth="1"/>
    <col min="12790" max="12790" width="3.109375" style="157" customWidth="1"/>
    <col min="12791" max="12791" width="25" style="157" customWidth="1"/>
    <col min="12792" max="12792" width="52.88671875" style="157" customWidth="1"/>
    <col min="12793" max="12794" width="9" style="157" hidden="1" customWidth="1"/>
    <col min="12795" max="12795" width="28.44140625" style="157" customWidth="1"/>
    <col min="12796" max="12796" width="21.33203125" style="157" customWidth="1"/>
    <col min="12797" max="12800" width="23.44140625" style="157" customWidth="1"/>
    <col min="12801" max="12802" width="23.33203125" style="157" customWidth="1"/>
    <col min="12803" max="12804" width="22.33203125" style="157" customWidth="1"/>
    <col min="12805" max="12808" width="23.6640625" style="157" customWidth="1"/>
    <col min="12809" max="13044" width="9.109375" style="157"/>
    <col min="13045" max="13045" width="6" style="157" customWidth="1"/>
    <col min="13046" max="13046" width="3.109375" style="157" customWidth="1"/>
    <col min="13047" max="13047" width="25" style="157" customWidth="1"/>
    <col min="13048" max="13048" width="52.88671875" style="157" customWidth="1"/>
    <col min="13049" max="13050" width="9" style="157" hidden="1" customWidth="1"/>
    <col min="13051" max="13051" width="28.44140625" style="157" customWidth="1"/>
    <col min="13052" max="13052" width="21.33203125" style="157" customWidth="1"/>
    <col min="13053" max="13056" width="23.44140625" style="157" customWidth="1"/>
    <col min="13057" max="13058" width="23.33203125" style="157" customWidth="1"/>
    <col min="13059" max="13060" width="22.33203125" style="157" customWidth="1"/>
    <col min="13061" max="13064" width="23.6640625" style="157" customWidth="1"/>
    <col min="13065" max="13300" width="9.109375" style="157"/>
    <col min="13301" max="13301" width="6" style="157" customWidth="1"/>
    <col min="13302" max="13302" width="3.109375" style="157" customWidth="1"/>
    <col min="13303" max="13303" width="25" style="157" customWidth="1"/>
    <col min="13304" max="13304" width="52.88671875" style="157" customWidth="1"/>
    <col min="13305" max="13306" width="9" style="157" hidden="1" customWidth="1"/>
    <col min="13307" max="13307" width="28.44140625" style="157" customWidth="1"/>
    <col min="13308" max="13308" width="21.33203125" style="157" customWidth="1"/>
    <col min="13309" max="13312" width="23.44140625" style="157" customWidth="1"/>
    <col min="13313" max="13314" width="23.33203125" style="157" customWidth="1"/>
    <col min="13315" max="13316" width="22.33203125" style="157" customWidth="1"/>
    <col min="13317" max="13320" width="23.6640625" style="157" customWidth="1"/>
    <col min="13321" max="13556" width="9.109375" style="157"/>
    <col min="13557" max="13557" width="6" style="157" customWidth="1"/>
    <col min="13558" max="13558" width="3.109375" style="157" customWidth="1"/>
    <col min="13559" max="13559" width="25" style="157" customWidth="1"/>
    <col min="13560" max="13560" width="52.88671875" style="157" customWidth="1"/>
    <col min="13561" max="13562" width="9" style="157" hidden="1" customWidth="1"/>
    <col min="13563" max="13563" width="28.44140625" style="157" customWidth="1"/>
    <col min="13564" max="13564" width="21.33203125" style="157" customWidth="1"/>
    <col min="13565" max="13568" width="23.44140625" style="157" customWidth="1"/>
    <col min="13569" max="13570" width="23.33203125" style="157" customWidth="1"/>
    <col min="13571" max="13572" width="22.33203125" style="157" customWidth="1"/>
    <col min="13573" max="13576" width="23.6640625" style="157" customWidth="1"/>
    <col min="13577" max="13812" width="9.109375" style="157"/>
    <col min="13813" max="13813" width="6" style="157" customWidth="1"/>
    <col min="13814" max="13814" width="3.109375" style="157" customWidth="1"/>
    <col min="13815" max="13815" width="25" style="157" customWidth="1"/>
    <col min="13816" max="13816" width="52.88671875" style="157" customWidth="1"/>
    <col min="13817" max="13818" width="9" style="157" hidden="1" customWidth="1"/>
    <col min="13819" max="13819" width="28.44140625" style="157" customWidth="1"/>
    <col min="13820" max="13820" width="21.33203125" style="157" customWidth="1"/>
    <col min="13821" max="13824" width="23.44140625" style="157" customWidth="1"/>
    <col min="13825" max="13826" width="23.33203125" style="157" customWidth="1"/>
    <col min="13827" max="13828" width="22.33203125" style="157" customWidth="1"/>
    <col min="13829" max="13832" width="23.6640625" style="157" customWidth="1"/>
    <col min="13833" max="14068" width="9.109375" style="157"/>
    <col min="14069" max="14069" width="6" style="157" customWidth="1"/>
    <col min="14070" max="14070" width="3.109375" style="157" customWidth="1"/>
    <col min="14071" max="14071" width="25" style="157" customWidth="1"/>
    <col min="14072" max="14072" width="52.88671875" style="157" customWidth="1"/>
    <col min="14073" max="14074" width="9" style="157" hidden="1" customWidth="1"/>
    <col min="14075" max="14075" width="28.44140625" style="157" customWidth="1"/>
    <col min="14076" max="14076" width="21.33203125" style="157" customWidth="1"/>
    <col min="14077" max="14080" width="23.44140625" style="157" customWidth="1"/>
    <col min="14081" max="14082" width="23.33203125" style="157" customWidth="1"/>
    <col min="14083" max="14084" width="22.33203125" style="157" customWidth="1"/>
    <col min="14085" max="14088" width="23.6640625" style="157" customWidth="1"/>
    <col min="14089" max="14324" width="9.109375" style="157"/>
    <col min="14325" max="14325" width="6" style="157" customWidth="1"/>
    <col min="14326" max="14326" width="3.109375" style="157" customWidth="1"/>
    <col min="14327" max="14327" width="25" style="157" customWidth="1"/>
    <col min="14328" max="14328" width="52.88671875" style="157" customWidth="1"/>
    <col min="14329" max="14330" width="9" style="157" hidden="1" customWidth="1"/>
    <col min="14331" max="14331" width="28.44140625" style="157" customWidth="1"/>
    <col min="14332" max="14332" width="21.33203125" style="157" customWidth="1"/>
    <col min="14333" max="14336" width="23.44140625" style="157" customWidth="1"/>
    <col min="14337" max="14338" width="23.33203125" style="157" customWidth="1"/>
    <col min="14339" max="14340" width="22.33203125" style="157" customWidth="1"/>
    <col min="14341" max="14344" width="23.6640625" style="157" customWidth="1"/>
    <col min="14345" max="14580" width="9.109375" style="157"/>
    <col min="14581" max="14581" width="6" style="157" customWidth="1"/>
    <col min="14582" max="14582" width="3.109375" style="157" customWidth="1"/>
    <col min="14583" max="14583" width="25" style="157" customWidth="1"/>
    <col min="14584" max="14584" width="52.88671875" style="157" customWidth="1"/>
    <col min="14585" max="14586" width="9" style="157" hidden="1" customWidth="1"/>
    <col min="14587" max="14587" width="28.44140625" style="157" customWidth="1"/>
    <col min="14588" max="14588" width="21.33203125" style="157" customWidth="1"/>
    <col min="14589" max="14592" width="23.44140625" style="157" customWidth="1"/>
    <col min="14593" max="14594" width="23.33203125" style="157" customWidth="1"/>
    <col min="14595" max="14596" width="22.33203125" style="157" customWidth="1"/>
    <col min="14597" max="14600" width="23.6640625" style="157" customWidth="1"/>
    <col min="14601" max="14836" width="9.109375" style="157"/>
    <col min="14837" max="14837" width="6" style="157" customWidth="1"/>
    <col min="14838" max="14838" width="3.109375" style="157" customWidth="1"/>
    <col min="14839" max="14839" width="25" style="157" customWidth="1"/>
    <col min="14840" max="14840" width="52.88671875" style="157" customWidth="1"/>
    <col min="14841" max="14842" width="9" style="157" hidden="1" customWidth="1"/>
    <col min="14843" max="14843" width="28.44140625" style="157" customWidth="1"/>
    <col min="14844" max="14844" width="21.33203125" style="157" customWidth="1"/>
    <col min="14845" max="14848" width="23.44140625" style="157" customWidth="1"/>
    <col min="14849" max="14850" width="23.33203125" style="157" customWidth="1"/>
    <col min="14851" max="14852" width="22.33203125" style="157" customWidth="1"/>
    <col min="14853" max="14856" width="23.6640625" style="157" customWidth="1"/>
    <col min="14857" max="15092" width="9.109375" style="157"/>
    <col min="15093" max="15093" width="6" style="157" customWidth="1"/>
    <col min="15094" max="15094" width="3.109375" style="157" customWidth="1"/>
    <col min="15095" max="15095" width="25" style="157" customWidth="1"/>
    <col min="15096" max="15096" width="52.88671875" style="157" customWidth="1"/>
    <col min="15097" max="15098" width="9" style="157" hidden="1" customWidth="1"/>
    <col min="15099" max="15099" width="28.44140625" style="157" customWidth="1"/>
    <col min="15100" max="15100" width="21.33203125" style="157" customWidth="1"/>
    <col min="15101" max="15104" width="23.44140625" style="157" customWidth="1"/>
    <col min="15105" max="15106" width="23.33203125" style="157" customWidth="1"/>
    <col min="15107" max="15108" width="22.33203125" style="157" customWidth="1"/>
    <col min="15109" max="15112" width="23.6640625" style="157" customWidth="1"/>
    <col min="15113" max="15348" width="9.109375" style="157"/>
    <col min="15349" max="15349" width="6" style="157" customWidth="1"/>
    <col min="15350" max="15350" width="3.109375" style="157" customWidth="1"/>
    <col min="15351" max="15351" width="25" style="157" customWidth="1"/>
    <col min="15352" max="15352" width="52.88671875" style="157" customWidth="1"/>
    <col min="15353" max="15354" width="9" style="157" hidden="1" customWidth="1"/>
    <col min="15355" max="15355" width="28.44140625" style="157" customWidth="1"/>
    <col min="15356" max="15356" width="21.33203125" style="157" customWidth="1"/>
    <col min="15357" max="15360" width="23.44140625" style="157" customWidth="1"/>
    <col min="15361" max="15362" width="23.33203125" style="157" customWidth="1"/>
    <col min="15363" max="15364" width="22.33203125" style="157" customWidth="1"/>
    <col min="15365" max="15368" width="23.6640625" style="157" customWidth="1"/>
    <col min="15369" max="15604" width="9.109375" style="157"/>
    <col min="15605" max="15605" width="6" style="157" customWidth="1"/>
    <col min="15606" max="15606" width="3.109375" style="157" customWidth="1"/>
    <col min="15607" max="15607" width="25" style="157" customWidth="1"/>
    <col min="15608" max="15608" width="52.88671875" style="157" customWidth="1"/>
    <col min="15609" max="15610" width="9" style="157" hidden="1" customWidth="1"/>
    <col min="15611" max="15611" width="28.44140625" style="157" customWidth="1"/>
    <col min="15612" max="15612" width="21.33203125" style="157" customWidth="1"/>
    <col min="15613" max="15616" width="23.44140625" style="157" customWidth="1"/>
    <col min="15617" max="15618" width="23.33203125" style="157" customWidth="1"/>
    <col min="15619" max="15620" width="22.33203125" style="157" customWidth="1"/>
    <col min="15621" max="15624" width="23.6640625" style="157" customWidth="1"/>
    <col min="15625" max="15860" width="9.109375" style="157"/>
    <col min="15861" max="15861" width="6" style="157" customWidth="1"/>
    <col min="15862" max="15862" width="3.109375" style="157" customWidth="1"/>
    <col min="15863" max="15863" width="25" style="157" customWidth="1"/>
    <col min="15864" max="15864" width="52.88671875" style="157" customWidth="1"/>
    <col min="15865" max="15866" width="9" style="157" hidden="1" customWidth="1"/>
    <col min="15867" max="15867" width="28.44140625" style="157" customWidth="1"/>
    <col min="15868" max="15868" width="21.33203125" style="157" customWidth="1"/>
    <col min="15869" max="15872" width="23.44140625" style="157" customWidth="1"/>
    <col min="15873" max="15874" width="23.33203125" style="157" customWidth="1"/>
    <col min="15875" max="15876" width="22.33203125" style="157" customWidth="1"/>
    <col min="15877" max="15880" width="23.6640625" style="157" customWidth="1"/>
    <col min="15881" max="16116" width="9.109375" style="157"/>
    <col min="16117" max="16117" width="6" style="157" customWidth="1"/>
    <col min="16118" max="16118" width="3.109375" style="157" customWidth="1"/>
    <col min="16119" max="16119" width="25" style="157" customWidth="1"/>
    <col min="16120" max="16120" width="52.88671875" style="157" customWidth="1"/>
    <col min="16121" max="16122" width="9" style="157" hidden="1" customWidth="1"/>
    <col min="16123" max="16123" width="28.44140625" style="157" customWidth="1"/>
    <col min="16124" max="16124" width="21.33203125" style="157" customWidth="1"/>
    <col min="16125" max="16128" width="23.44140625" style="157" customWidth="1"/>
    <col min="16129" max="16130" width="23.33203125" style="157" customWidth="1"/>
    <col min="16131" max="16132" width="22.33203125" style="157" customWidth="1"/>
    <col min="16133" max="16136" width="23.6640625" style="157" customWidth="1"/>
    <col min="16137" max="16384" width="9.109375" style="157"/>
  </cols>
  <sheetData>
    <row r="1" spans="1:11" ht="12.75" customHeight="1">
      <c r="B1" s="157"/>
      <c r="C1" s="160" t="s">
        <v>363</v>
      </c>
      <c r="D1" s="161"/>
      <c r="E1" s="162"/>
      <c r="F1" s="162"/>
      <c r="G1" s="162"/>
      <c r="H1" s="162"/>
      <c r="I1" s="162"/>
      <c r="J1" s="162"/>
    </row>
    <row r="2" spans="1:11" ht="13.5" hidden="1" customHeight="1">
      <c r="B2" s="157"/>
      <c r="C2" s="160"/>
    </row>
    <row r="3" spans="1:11" ht="12.75" customHeight="1">
      <c r="B3" s="157"/>
      <c r="C3" s="160" t="s">
        <v>364</v>
      </c>
      <c r="D3" s="163"/>
    </row>
    <row r="4" spans="1:11" ht="13.5" hidden="1" customHeight="1">
      <c r="B4" s="157"/>
    </row>
    <row r="5" spans="1:11" ht="12.75" customHeight="1">
      <c r="B5" s="164"/>
      <c r="C5" s="165" t="s">
        <v>365</v>
      </c>
      <c r="D5" s="166"/>
    </row>
    <row r="6" spans="1:11" ht="13.5" hidden="1" customHeight="1">
      <c r="A6" s="167"/>
      <c r="B6" s="157"/>
      <c r="C6" s="168"/>
      <c r="D6" s="166"/>
    </row>
    <row r="7" spans="1:11" ht="13.5" hidden="1" customHeight="1">
      <c r="A7" s="167"/>
      <c r="B7" s="157"/>
      <c r="C7" s="168"/>
      <c r="D7" s="166"/>
      <c r="E7" s="169"/>
      <c r="F7" s="169"/>
      <c r="G7" s="169"/>
      <c r="H7" s="169" t="s">
        <v>366</v>
      </c>
      <c r="I7" s="169"/>
      <c r="J7" s="169"/>
    </row>
    <row r="8" spans="1:11" ht="12.75" customHeight="1">
      <c r="B8" s="170"/>
      <c r="C8" s="171" t="s">
        <v>367</v>
      </c>
      <c r="D8" s="172"/>
      <c r="E8" s="173">
        <v>41729</v>
      </c>
      <c r="F8" s="173">
        <f t="shared" ref="F8:K8" si="0">EOMONTH(E8,12)</f>
        <v>42094</v>
      </c>
      <c r="G8" s="173">
        <f t="shared" si="0"/>
        <v>42460</v>
      </c>
      <c r="H8" s="173">
        <f t="shared" si="0"/>
        <v>42825</v>
      </c>
      <c r="I8" s="173">
        <f t="shared" si="0"/>
        <v>43190</v>
      </c>
      <c r="J8" s="173">
        <f t="shared" si="0"/>
        <v>43555</v>
      </c>
      <c r="K8" s="173">
        <f t="shared" si="0"/>
        <v>43921</v>
      </c>
    </row>
    <row r="9" spans="1:11" ht="12.75" customHeight="1">
      <c r="A9" s="167"/>
      <c r="B9" s="174"/>
      <c r="C9" s="166"/>
      <c r="D9" s="175"/>
      <c r="E9" s="176" t="s">
        <v>368</v>
      </c>
      <c r="F9" s="176" t="s">
        <v>368</v>
      </c>
      <c r="G9" s="176" t="s">
        <v>368</v>
      </c>
      <c r="H9" s="176" t="s">
        <v>368</v>
      </c>
      <c r="I9" s="176" t="s">
        <v>368</v>
      </c>
      <c r="J9" s="176" t="s">
        <v>368</v>
      </c>
      <c r="K9" s="176" t="s">
        <v>368</v>
      </c>
    </row>
    <row r="10" spans="1:11" ht="12.75" hidden="1" customHeight="1">
      <c r="A10" s="167"/>
      <c r="B10" s="174"/>
      <c r="C10" s="166"/>
      <c r="D10" s="175"/>
      <c r="E10" s="177"/>
      <c r="F10" s="177"/>
      <c r="G10" s="177"/>
      <c r="H10" s="177"/>
      <c r="I10" s="177"/>
      <c r="J10" s="177"/>
      <c r="K10" s="177"/>
    </row>
    <row r="11" spans="1:11" ht="12.75" customHeight="1">
      <c r="A11" s="167"/>
      <c r="B11" s="174"/>
      <c r="C11" s="166"/>
      <c r="D11" s="175"/>
      <c r="E11" s="178" t="s">
        <v>369</v>
      </c>
      <c r="F11" s="178" t="s">
        <v>369</v>
      </c>
      <c r="G11" s="178" t="s">
        <v>369</v>
      </c>
      <c r="H11" s="178" t="s">
        <v>370</v>
      </c>
      <c r="I11" s="178" t="s">
        <v>371</v>
      </c>
      <c r="J11" s="178" t="s">
        <v>371</v>
      </c>
      <c r="K11" s="178" t="s">
        <v>371</v>
      </c>
    </row>
    <row r="12" spans="1:11" ht="12.75" customHeight="1">
      <c r="A12" s="167"/>
      <c r="B12" s="174"/>
      <c r="C12" s="166"/>
      <c r="D12" s="175"/>
      <c r="E12" s="179">
        <f>1</f>
        <v>1</v>
      </c>
      <c r="F12" s="179">
        <f t="shared" ref="F12:K12" si="1">+E12+1</f>
        <v>2</v>
      </c>
      <c r="G12" s="179">
        <f t="shared" si="1"/>
        <v>3</v>
      </c>
      <c r="H12" s="179">
        <f t="shared" si="1"/>
        <v>4</v>
      </c>
      <c r="I12" s="179">
        <f t="shared" si="1"/>
        <v>5</v>
      </c>
      <c r="J12" s="179">
        <f t="shared" si="1"/>
        <v>6</v>
      </c>
      <c r="K12" s="179">
        <f t="shared" si="1"/>
        <v>7</v>
      </c>
    </row>
    <row r="13" spans="1:11" ht="12.75" customHeight="1">
      <c r="A13" s="180"/>
      <c r="B13" s="181"/>
      <c r="C13" s="182"/>
      <c r="D13" s="183"/>
      <c r="E13" s="184" t="s">
        <v>368</v>
      </c>
      <c r="F13" s="184" t="s">
        <v>368</v>
      </c>
      <c r="G13" s="184" t="s">
        <v>368</v>
      </c>
      <c r="H13" s="184" t="s">
        <v>368</v>
      </c>
      <c r="I13" s="184" t="s">
        <v>368</v>
      </c>
      <c r="J13" s="184" t="s">
        <v>368</v>
      </c>
      <c r="K13" s="184" t="s">
        <v>368</v>
      </c>
    </row>
    <row r="14" spans="1:11" ht="12.75" customHeight="1">
      <c r="A14" s="167">
        <v>1</v>
      </c>
      <c r="B14" s="168"/>
      <c r="C14" s="185" t="s">
        <v>372</v>
      </c>
      <c r="D14" s="186"/>
      <c r="E14" s="177"/>
      <c r="F14" s="177"/>
      <c r="G14" s="177"/>
      <c r="H14" s="177"/>
      <c r="I14" s="177"/>
      <c r="J14" s="177"/>
      <c r="K14" s="177"/>
    </row>
    <row r="15" spans="1:11" ht="12.75" customHeight="1">
      <c r="A15" s="167"/>
      <c r="B15" s="168"/>
      <c r="C15" s="185" t="s">
        <v>373</v>
      </c>
      <c r="D15" s="186"/>
      <c r="E15" s="177"/>
      <c r="F15" s="177"/>
      <c r="G15" s="177"/>
      <c r="H15" s="177"/>
      <c r="I15" s="177"/>
      <c r="J15" s="177"/>
      <c r="K15" s="177"/>
    </row>
    <row r="16" spans="1:11" ht="12.75" customHeight="1">
      <c r="A16" s="167"/>
      <c r="B16" s="168"/>
      <c r="C16" s="185" t="s">
        <v>374</v>
      </c>
      <c r="D16" s="186"/>
      <c r="E16" s="187"/>
      <c r="F16" s="187">
        <f>Financials!C3+Financials!C4</f>
        <v>453.36440069999998</v>
      </c>
      <c r="G16" s="187">
        <f>Financials!D3+Financials!D4</f>
        <v>1616.6200000000001</v>
      </c>
      <c r="H16" s="187">
        <f>Financials!E3+Financials!E4</f>
        <v>1838.28</v>
      </c>
      <c r="I16" s="187" t="e">
        <f>Financials!G3+Financials!F3+Financials!#REF!+Financials!#REF!</f>
        <v>#REF!</v>
      </c>
      <c r="J16" s="187" t="e">
        <f>Financials!I3+Financials!#REF!</f>
        <v>#REF!</v>
      </c>
      <c r="K16" s="187" t="e">
        <f>Financials!J3+Financials!#REF!</f>
        <v>#REF!</v>
      </c>
    </row>
    <row r="17" spans="1:11" ht="12.75" customHeight="1">
      <c r="A17" s="167"/>
      <c r="B17" s="168"/>
      <c r="C17" s="185" t="s">
        <v>375</v>
      </c>
      <c r="D17" s="186"/>
      <c r="E17" s="188"/>
      <c r="F17" s="188"/>
      <c r="G17" s="188"/>
      <c r="H17" s="188"/>
      <c r="I17" s="188"/>
      <c r="J17" s="188"/>
      <c r="K17" s="188"/>
    </row>
    <row r="18" spans="1:11" ht="12.75" customHeight="1">
      <c r="A18" s="167"/>
      <c r="B18" s="168"/>
      <c r="C18" s="185" t="s">
        <v>376</v>
      </c>
      <c r="D18" s="186"/>
      <c r="E18" s="188"/>
      <c r="F18" s="188"/>
      <c r="G18" s="188"/>
      <c r="H18" s="188"/>
      <c r="I18" s="188"/>
      <c r="J18" s="188"/>
      <c r="K18" s="188"/>
    </row>
    <row r="19" spans="1:11" ht="12.75" customHeight="1">
      <c r="A19" s="167"/>
      <c r="B19" s="168"/>
      <c r="C19" s="189" t="s">
        <v>377</v>
      </c>
      <c r="D19" s="190"/>
      <c r="E19" s="191"/>
      <c r="F19" s="191">
        <f t="shared" ref="F19:K19" si="2">SUM(F16:F18)</f>
        <v>453.36440069999998</v>
      </c>
      <c r="G19" s="191">
        <f t="shared" si="2"/>
        <v>1616.6200000000001</v>
      </c>
      <c r="H19" s="191">
        <f t="shared" si="2"/>
        <v>1838.28</v>
      </c>
      <c r="I19" s="191" t="e">
        <f t="shared" si="2"/>
        <v>#REF!</v>
      </c>
      <c r="J19" s="191" t="e">
        <f t="shared" si="2"/>
        <v>#REF!</v>
      </c>
      <c r="K19" s="191" t="e">
        <f t="shared" si="2"/>
        <v>#REF!</v>
      </c>
    </row>
    <row r="20" spans="1:11" ht="12.75" customHeight="1">
      <c r="A20" s="167"/>
      <c r="B20" s="168"/>
      <c r="C20" s="166"/>
      <c r="D20" s="175"/>
      <c r="E20" s="191"/>
      <c r="F20" s="191"/>
      <c r="G20" s="191"/>
      <c r="H20" s="191"/>
      <c r="I20" s="191"/>
      <c r="J20" s="191"/>
      <c r="K20" s="191"/>
    </row>
    <row r="21" spans="1:11" ht="12.75" customHeight="1">
      <c r="A21" s="167">
        <v>2</v>
      </c>
      <c r="B21" s="168"/>
      <c r="C21" s="185" t="s">
        <v>378</v>
      </c>
      <c r="D21" s="186"/>
      <c r="E21" s="187"/>
      <c r="F21" s="187">
        <v>0</v>
      </c>
      <c r="G21" s="187">
        <v>0</v>
      </c>
      <c r="H21" s="187">
        <v>0</v>
      </c>
      <c r="I21" s="187">
        <v>0</v>
      </c>
      <c r="J21" s="187">
        <v>0</v>
      </c>
      <c r="K21" s="187">
        <v>0</v>
      </c>
    </row>
    <row r="22" spans="1:11" ht="12.75" customHeight="1">
      <c r="A22" s="167"/>
      <c r="B22" s="168"/>
      <c r="C22" s="166"/>
      <c r="D22" s="175"/>
      <c r="E22" s="177"/>
      <c r="F22" s="177"/>
      <c r="G22" s="177"/>
      <c r="H22" s="177"/>
      <c r="I22" s="177"/>
      <c r="J22" s="177"/>
      <c r="K22" s="177"/>
    </row>
    <row r="23" spans="1:11" ht="12.75" customHeight="1">
      <c r="A23" s="167">
        <v>3</v>
      </c>
      <c r="B23" s="168"/>
      <c r="C23" s="185" t="s">
        <v>379</v>
      </c>
      <c r="D23" s="186"/>
      <c r="E23" s="191"/>
      <c r="F23" s="191">
        <f t="shared" ref="F23:K23" si="3">F19-F21</f>
        <v>453.36440069999998</v>
      </c>
      <c r="G23" s="191">
        <f t="shared" si="3"/>
        <v>1616.6200000000001</v>
      </c>
      <c r="H23" s="191">
        <f t="shared" si="3"/>
        <v>1838.28</v>
      </c>
      <c r="I23" s="191" t="e">
        <f t="shared" si="3"/>
        <v>#REF!</v>
      </c>
      <c r="J23" s="191" t="e">
        <f t="shared" si="3"/>
        <v>#REF!</v>
      </c>
      <c r="K23" s="191" t="e">
        <f t="shared" si="3"/>
        <v>#REF!</v>
      </c>
    </row>
    <row r="24" spans="1:11" ht="12.75" customHeight="1">
      <c r="A24" s="167">
        <v>4</v>
      </c>
      <c r="B24" s="168"/>
      <c r="C24" s="185" t="s">
        <v>380</v>
      </c>
      <c r="D24" s="186"/>
      <c r="E24" s="177"/>
      <c r="F24" s="177"/>
      <c r="G24" s="177"/>
      <c r="H24" s="177"/>
      <c r="I24" s="177"/>
      <c r="J24" s="177"/>
      <c r="K24" s="177"/>
    </row>
    <row r="25" spans="1:11" ht="12.75" customHeight="1">
      <c r="A25" s="167"/>
      <c r="B25" s="168"/>
      <c r="C25" s="185" t="s">
        <v>381</v>
      </c>
      <c r="D25" s="186"/>
      <c r="E25" s="192"/>
      <c r="F25" s="192"/>
      <c r="G25" s="192">
        <f>(G23-F23)/F23</f>
        <v>2.5658291597309355</v>
      </c>
      <c r="H25" s="192">
        <f>(H23-G23)/G23</f>
        <v>0.13711323625836613</v>
      </c>
      <c r="I25" s="192" t="e">
        <f>(I23-H23)/H23</f>
        <v>#REF!</v>
      </c>
      <c r="J25" s="192" t="e">
        <f>(J23-I23)/I23</f>
        <v>#REF!</v>
      </c>
      <c r="K25" s="192" t="e">
        <f>(K23-J23)/J23</f>
        <v>#REF!</v>
      </c>
    </row>
    <row r="26" spans="1:11" ht="12.75" customHeight="1">
      <c r="A26" s="167"/>
      <c r="B26" s="168"/>
      <c r="C26" s="166"/>
      <c r="D26" s="175"/>
      <c r="E26" s="177"/>
      <c r="F26" s="177"/>
      <c r="G26" s="177"/>
      <c r="H26" s="177"/>
      <c r="I26" s="177"/>
      <c r="J26" s="177"/>
      <c r="K26" s="177"/>
    </row>
    <row r="27" spans="1:11" ht="12.75" customHeight="1">
      <c r="A27" s="167">
        <v>5</v>
      </c>
      <c r="B27" s="168"/>
      <c r="C27" s="185" t="s">
        <v>382</v>
      </c>
      <c r="D27" s="186"/>
      <c r="E27" s="177"/>
      <c r="F27" s="177"/>
      <c r="G27" s="177"/>
      <c r="H27" s="177"/>
      <c r="I27" s="177"/>
      <c r="J27" s="177"/>
      <c r="K27" s="177"/>
    </row>
    <row r="28" spans="1:11" ht="12.75" customHeight="1">
      <c r="A28" s="167"/>
      <c r="B28" s="168"/>
      <c r="C28" s="505" t="s">
        <v>383</v>
      </c>
      <c r="D28" s="186"/>
      <c r="E28" s="177"/>
      <c r="F28" s="177"/>
      <c r="G28" s="177"/>
      <c r="H28" s="177"/>
      <c r="I28" s="177"/>
      <c r="J28" s="177"/>
      <c r="K28" s="177"/>
    </row>
    <row r="29" spans="1:11" ht="12.75" customHeight="1">
      <c r="A29" s="167"/>
      <c r="B29" s="168"/>
      <c r="C29" s="185" t="s">
        <v>384</v>
      </c>
      <c r="D29" s="186"/>
      <c r="E29" s="177"/>
      <c r="F29" s="177"/>
      <c r="G29" s="177"/>
      <c r="H29" s="177"/>
      <c r="I29" s="177"/>
      <c r="J29" s="177"/>
      <c r="K29" s="177"/>
    </row>
    <row r="30" spans="1:11" ht="12.75" customHeight="1">
      <c r="A30" s="167"/>
      <c r="B30" s="168"/>
      <c r="C30" s="185" t="s">
        <v>385</v>
      </c>
      <c r="D30" s="186"/>
      <c r="E30" s="177"/>
      <c r="F30" s="177"/>
      <c r="G30" s="177"/>
      <c r="H30" s="177"/>
      <c r="I30" s="177"/>
      <c r="J30" s="177"/>
      <c r="K30" s="177"/>
    </row>
    <row r="31" spans="1:11" ht="12.75" customHeight="1">
      <c r="A31" s="167"/>
      <c r="B31" s="168"/>
      <c r="C31" s="185" t="s">
        <v>386</v>
      </c>
      <c r="D31" s="186"/>
      <c r="E31" s="177"/>
      <c r="F31" s="177"/>
      <c r="G31" s="177"/>
      <c r="H31" s="177"/>
      <c r="I31" s="177"/>
      <c r="J31" s="177"/>
      <c r="K31" s="177"/>
    </row>
    <row r="32" spans="1:11" ht="12.75" customHeight="1">
      <c r="A32" s="167"/>
      <c r="B32" s="168"/>
      <c r="C32" s="185" t="s">
        <v>387</v>
      </c>
      <c r="D32" s="186"/>
      <c r="E32" s="193"/>
      <c r="F32" s="194">
        <f>Financials!C5</f>
        <v>229.5987489</v>
      </c>
      <c r="G32" s="194">
        <f>Financials!D5</f>
        <v>664.44473540000001</v>
      </c>
      <c r="H32" s="195">
        <f>Financials!E5</f>
        <v>924.92</v>
      </c>
      <c r="I32" s="195">
        <f>Financials!G5+Financials!F5</f>
        <v>1954.3588415314989</v>
      </c>
      <c r="J32" s="195">
        <f>Financials!I5</f>
        <v>1020.59</v>
      </c>
      <c r="K32" s="195">
        <f>Financials!J5</f>
        <v>1049.8800000000001</v>
      </c>
    </row>
    <row r="33" spans="1:11" ht="12.75" customHeight="1">
      <c r="A33" s="167"/>
      <c r="B33" s="168"/>
      <c r="C33" s="185" t="s">
        <v>388</v>
      </c>
      <c r="D33" s="186"/>
      <c r="E33" s="191"/>
      <c r="F33" s="194">
        <f>Financials!C6</f>
        <v>6.4514585999999996</v>
      </c>
      <c r="G33" s="194">
        <f>Financials!D6</f>
        <v>15.681066100000001</v>
      </c>
      <c r="H33" s="195">
        <f>Financials!E6</f>
        <v>15.35</v>
      </c>
      <c r="I33" s="195">
        <f>Financials!G6+Financials!F6</f>
        <v>49.886622908639993</v>
      </c>
      <c r="J33" s="195">
        <f>Financials!I6</f>
        <v>10.1</v>
      </c>
      <c r="K33" s="195">
        <f>Financials!J6</f>
        <v>11.78</v>
      </c>
    </row>
    <row r="34" spans="1:11" ht="12.75" customHeight="1">
      <c r="A34" s="167"/>
      <c r="B34" s="168"/>
      <c r="C34" s="185" t="s">
        <v>389</v>
      </c>
      <c r="D34" s="186"/>
      <c r="E34" s="188"/>
      <c r="F34" s="194"/>
      <c r="G34" s="194"/>
      <c r="H34" s="194"/>
      <c r="I34" s="194"/>
      <c r="J34" s="194"/>
      <c r="K34" s="194"/>
    </row>
    <row r="35" spans="1:11" ht="12.75" customHeight="1">
      <c r="A35" s="167"/>
      <c r="B35" s="168"/>
      <c r="C35" s="185" t="s">
        <v>390</v>
      </c>
      <c r="D35" s="186"/>
      <c r="E35" s="188"/>
      <c r="F35" s="194"/>
      <c r="G35" s="194"/>
      <c r="H35" s="194"/>
      <c r="I35" s="194"/>
      <c r="J35" s="194"/>
      <c r="K35" s="194"/>
    </row>
    <row r="36" spans="1:11" ht="12.75" customHeight="1">
      <c r="A36" s="167"/>
      <c r="B36" s="168"/>
      <c r="C36" s="185" t="s">
        <v>388</v>
      </c>
      <c r="D36" s="186"/>
      <c r="E36" s="188"/>
      <c r="F36" s="194"/>
      <c r="G36" s="194"/>
      <c r="H36" s="194"/>
      <c r="I36" s="194"/>
      <c r="J36" s="194"/>
      <c r="K36" s="194"/>
    </row>
    <row r="37" spans="1:11" ht="12.75" customHeight="1">
      <c r="A37" s="167"/>
      <c r="B37" s="168"/>
      <c r="C37" s="185" t="s">
        <v>391</v>
      </c>
      <c r="D37" s="186"/>
      <c r="E37" s="191"/>
      <c r="F37" s="195"/>
      <c r="G37" s="195"/>
      <c r="H37" s="195"/>
      <c r="I37" s="195"/>
      <c r="J37" s="195"/>
      <c r="K37" s="195"/>
    </row>
    <row r="38" spans="1:11" ht="12.75" customHeight="1">
      <c r="A38" s="167"/>
      <c r="B38" s="168"/>
      <c r="C38" s="185" t="s">
        <v>392</v>
      </c>
      <c r="D38" s="186"/>
      <c r="E38" s="188"/>
      <c r="F38" s="194"/>
      <c r="G38" s="194"/>
      <c r="H38" s="194"/>
      <c r="I38" s="194"/>
      <c r="J38" s="194"/>
      <c r="K38" s="194"/>
    </row>
    <row r="39" spans="1:11" ht="12.75" customHeight="1">
      <c r="A39" s="167"/>
      <c r="B39" s="168"/>
      <c r="C39" s="185" t="s">
        <v>393</v>
      </c>
      <c r="D39" s="186"/>
      <c r="E39" s="191"/>
      <c r="F39" s="195"/>
      <c r="G39" s="195"/>
      <c r="H39" s="195"/>
      <c r="I39" s="195"/>
      <c r="J39" s="195"/>
      <c r="K39" s="195"/>
    </row>
    <row r="40" spans="1:11" ht="12.75" customHeight="1">
      <c r="A40" s="167"/>
      <c r="B40" s="168"/>
      <c r="C40" s="185" t="s">
        <v>394</v>
      </c>
      <c r="D40" s="186"/>
      <c r="E40" s="191"/>
      <c r="F40" s="195">
        <f>Financials!C8+Financials!C9</f>
        <v>38.776165399999996</v>
      </c>
      <c r="G40" s="195">
        <f>Financials!D8+Financials!D9</f>
        <v>57.008000000000003</v>
      </c>
      <c r="H40" s="195">
        <f>Financials!E8+Financials!E9</f>
        <v>102.47999999999999</v>
      </c>
      <c r="I40" s="195">
        <f>SUM(Financials!F8:F9,Financials!G8:G9)</f>
        <v>119.4491</v>
      </c>
      <c r="J40" s="195">
        <f>SUM(Financials!I8:I9)</f>
        <v>88.41</v>
      </c>
      <c r="K40" s="195">
        <f>SUM(Financials!J8:J9)</f>
        <v>118.57</v>
      </c>
    </row>
    <row r="41" spans="1:11" ht="12.75" customHeight="1">
      <c r="A41" s="167"/>
      <c r="B41" s="168"/>
      <c r="C41" s="185" t="s">
        <v>395</v>
      </c>
      <c r="D41" s="196"/>
      <c r="E41" s="191"/>
      <c r="F41" s="195">
        <f>Financials!C19</f>
        <v>32.601556199999997</v>
      </c>
      <c r="G41" s="195">
        <f>Financials!D19</f>
        <v>120.49</v>
      </c>
      <c r="H41" s="195">
        <f>Financials!E19</f>
        <v>196.54</v>
      </c>
      <c r="I41" s="195">
        <f>Financials!G19+Financials!F19</f>
        <v>534.10037782379527</v>
      </c>
      <c r="J41" s="195">
        <f>Financials!I19</f>
        <v>201.57</v>
      </c>
      <c r="K41" s="195">
        <f>Financials!J19</f>
        <v>200.79</v>
      </c>
    </row>
    <row r="42" spans="1:11" ht="12.75" customHeight="1">
      <c r="A42" s="167"/>
      <c r="B42" s="168"/>
      <c r="C42" s="166"/>
      <c r="D42" s="175"/>
      <c r="E42" s="176" t="s">
        <v>368</v>
      </c>
      <c r="F42" s="197" t="s">
        <v>368</v>
      </c>
      <c r="G42" s="197" t="s">
        <v>368</v>
      </c>
      <c r="H42" s="197" t="s">
        <v>368</v>
      </c>
      <c r="I42" s="197" t="s">
        <v>368</v>
      </c>
      <c r="J42" s="197" t="s">
        <v>368</v>
      </c>
      <c r="K42" s="197" t="s">
        <v>368</v>
      </c>
    </row>
    <row r="43" spans="1:11" ht="12.75" customHeight="1">
      <c r="A43" s="167"/>
      <c r="B43" s="168"/>
      <c r="C43" s="185" t="s">
        <v>396</v>
      </c>
      <c r="D43" s="186"/>
      <c r="E43" s="194">
        <f t="shared" ref="E43:K43" si="4">SUM(E32:E41)</f>
        <v>0</v>
      </c>
      <c r="F43" s="194">
        <f t="shared" si="4"/>
        <v>307.42792910000003</v>
      </c>
      <c r="G43" s="194">
        <f t="shared" si="4"/>
        <v>857.62380150000001</v>
      </c>
      <c r="H43" s="194">
        <f t="shared" si="4"/>
        <v>1239.29</v>
      </c>
      <c r="I43" s="194">
        <f t="shared" si="4"/>
        <v>2657.794942263934</v>
      </c>
      <c r="J43" s="194">
        <f t="shared" si="4"/>
        <v>1320.67</v>
      </c>
      <c r="K43" s="194">
        <f t="shared" si="4"/>
        <v>1381.02</v>
      </c>
    </row>
    <row r="44" spans="1:11" ht="12.75" customHeight="1">
      <c r="A44" s="167"/>
      <c r="B44" s="168"/>
      <c r="C44" s="185" t="s">
        <v>397</v>
      </c>
      <c r="D44" s="186"/>
      <c r="E44" s="194">
        <f t="shared" ref="E44:K44" si="5">D49</f>
        <v>0</v>
      </c>
      <c r="F44" s="194">
        <f t="shared" si="5"/>
        <v>0</v>
      </c>
      <c r="G44" s="194">
        <f t="shared" si="5"/>
        <v>0</v>
      </c>
      <c r="H44" s="194">
        <f t="shared" si="5"/>
        <v>0</v>
      </c>
      <c r="I44" s="194">
        <f t="shared" si="5"/>
        <v>0</v>
      </c>
      <c r="J44" s="194">
        <f t="shared" si="5"/>
        <v>0</v>
      </c>
      <c r="K44" s="194">
        <f t="shared" si="5"/>
        <v>0</v>
      </c>
    </row>
    <row r="45" spans="1:11" ht="12.75" customHeight="1">
      <c r="A45" s="167"/>
      <c r="B45" s="168"/>
      <c r="C45" s="185" t="s">
        <v>398</v>
      </c>
      <c r="D45" s="186"/>
      <c r="E45" s="198" t="s">
        <v>368</v>
      </c>
      <c r="F45" s="198" t="s">
        <v>368</v>
      </c>
      <c r="G45" s="198" t="s">
        <v>368</v>
      </c>
      <c r="H45" s="198" t="s">
        <v>368</v>
      </c>
      <c r="I45" s="198" t="s">
        <v>368</v>
      </c>
      <c r="J45" s="198" t="s">
        <v>368</v>
      </c>
      <c r="K45" s="198" t="s">
        <v>368</v>
      </c>
    </row>
    <row r="46" spans="1:11" ht="12.75" customHeight="1">
      <c r="A46" s="167"/>
      <c r="B46" s="168"/>
      <c r="C46" s="185" t="s">
        <v>399</v>
      </c>
      <c r="D46" s="196"/>
      <c r="E46" s="191">
        <f t="shared" ref="E46:K46" si="6">E43+E44</f>
        <v>0</v>
      </c>
      <c r="F46" s="191">
        <f t="shared" si="6"/>
        <v>307.42792910000003</v>
      </c>
      <c r="G46" s="191">
        <f t="shared" si="6"/>
        <v>857.62380150000001</v>
      </c>
      <c r="H46" s="191">
        <f t="shared" si="6"/>
        <v>1239.29</v>
      </c>
      <c r="I46" s="191">
        <f t="shared" si="6"/>
        <v>2657.794942263934</v>
      </c>
      <c r="J46" s="191">
        <f t="shared" si="6"/>
        <v>1320.67</v>
      </c>
      <c r="K46" s="191">
        <f t="shared" si="6"/>
        <v>1381.02</v>
      </c>
    </row>
    <row r="47" spans="1:11" ht="12.75" customHeight="1">
      <c r="A47" s="167"/>
      <c r="B47" s="168"/>
      <c r="C47" s="166"/>
      <c r="D47" s="175"/>
      <c r="E47" s="177"/>
      <c r="F47" s="177"/>
      <c r="G47" s="177"/>
      <c r="H47" s="177"/>
      <c r="I47" s="177"/>
      <c r="J47" s="177"/>
      <c r="K47" s="177"/>
    </row>
    <row r="48" spans="1:11" ht="12.75" customHeight="1">
      <c r="A48" s="167"/>
      <c r="B48" s="168"/>
      <c r="C48" s="185" t="s">
        <v>400</v>
      </c>
      <c r="D48" s="186"/>
      <c r="E48" s="177"/>
      <c r="F48" s="177"/>
      <c r="G48" s="177"/>
      <c r="H48" s="177"/>
      <c r="I48" s="177"/>
      <c r="J48" s="177"/>
      <c r="K48" s="177"/>
    </row>
    <row r="49" spans="1:11" ht="12.75" customHeight="1">
      <c r="A49" s="167"/>
      <c r="B49" s="168"/>
      <c r="C49" s="185" t="s">
        <v>401</v>
      </c>
      <c r="D49" s="186"/>
      <c r="E49" s="191">
        <v>0</v>
      </c>
      <c r="F49" s="191">
        <v>0</v>
      </c>
      <c r="G49" s="191">
        <v>0</v>
      </c>
      <c r="H49" s="191">
        <v>0</v>
      </c>
      <c r="I49" s="191">
        <v>0</v>
      </c>
      <c r="J49" s="191">
        <v>0</v>
      </c>
      <c r="K49" s="191">
        <v>0</v>
      </c>
    </row>
    <row r="50" spans="1:11" ht="12.75" customHeight="1">
      <c r="A50" s="167"/>
      <c r="B50" s="168"/>
      <c r="C50" s="166"/>
      <c r="D50" s="175"/>
      <c r="E50" s="176" t="s">
        <v>368</v>
      </c>
      <c r="F50" s="176" t="s">
        <v>368</v>
      </c>
      <c r="G50" s="176" t="s">
        <v>368</v>
      </c>
      <c r="H50" s="176" t="s">
        <v>368</v>
      </c>
      <c r="I50" s="176" t="s">
        <v>368</v>
      </c>
      <c r="J50" s="176" t="s">
        <v>368</v>
      </c>
      <c r="K50" s="176" t="s">
        <v>368</v>
      </c>
    </row>
    <row r="51" spans="1:11" ht="12.75" customHeight="1">
      <c r="A51" s="167"/>
      <c r="B51" s="168"/>
      <c r="C51" s="185" t="s">
        <v>402</v>
      </c>
      <c r="D51" s="186"/>
      <c r="E51" s="191">
        <f t="shared" ref="E51:K51" si="7">E46-E49</f>
        <v>0</v>
      </c>
      <c r="F51" s="191">
        <f t="shared" si="7"/>
        <v>307.42792910000003</v>
      </c>
      <c r="G51" s="191">
        <f t="shared" si="7"/>
        <v>857.62380150000001</v>
      </c>
      <c r="H51" s="191">
        <f t="shared" si="7"/>
        <v>1239.29</v>
      </c>
      <c r="I51" s="191">
        <f t="shared" si="7"/>
        <v>2657.794942263934</v>
      </c>
      <c r="J51" s="191">
        <f t="shared" si="7"/>
        <v>1320.67</v>
      </c>
      <c r="K51" s="191">
        <f t="shared" si="7"/>
        <v>1381.02</v>
      </c>
    </row>
    <row r="52" spans="1:11" ht="12.75" customHeight="1">
      <c r="A52" s="199"/>
      <c r="B52" s="168"/>
      <c r="C52" s="166"/>
      <c r="D52" s="175"/>
      <c r="E52" s="177"/>
      <c r="F52" s="177"/>
      <c r="G52" s="177"/>
      <c r="H52" s="177"/>
      <c r="I52" s="177"/>
      <c r="J52" s="177"/>
      <c r="K52" s="177"/>
    </row>
    <row r="53" spans="1:11" ht="12.75" customHeight="1">
      <c r="A53" s="167"/>
      <c r="B53" s="168"/>
      <c r="C53" s="185" t="s">
        <v>403</v>
      </c>
      <c r="D53" s="186"/>
      <c r="E53" s="177"/>
      <c r="F53" s="177"/>
      <c r="G53" s="177"/>
      <c r="H53" s="177"/>
      <c r="I53" s="177"/>
      <c r="J53" s="177"/>
      <c r="K53" s="177"/>
    </row>
    <row r="54" spans="1:11" ht="12.75" customHeight="1">
      <c r="A54" s="167"/>
      <c r="B54" s="168"/>
      <c r="C54" s="185" t="s">
        <v>404</v>
      </c>
      <c r="D54" s="186"/>
      <c r="E54" s="188"/>
      <c r="F54" s="188"/>
      <c r="G54" s="188"/>
      <c r="H54" s="188"/>
      <c r="I54" s="188">
        <f>H58</f>
        <v>0</v>
      </c>
      <c r="J54" s="188">
        <f>I58</f>
        <v>0</v>
      </c>
      <c r="K54" s="188">
        <f>J58</f>
        <v>0</v>
      </c>
    </row>
    <row r="55" spans="1:11" ht="12.75" customHeight="1">
      <c r="A55" s="167"/>
      <c r="B55" s="168"/>
      <c r="C55" s="166"/>
      <c r="D55" s="175"/>
      <c r="E55" s="198" t="s">
        <v>368</v>
      </c>
      <c r="F55" s="198" t="s">
        <v>368</v>
      </c>
      <c r="G55" s="198" t="s">
        <v>368</v>
      </c>
      <c r="H55" s="198" t="s">
        <v>368</v>
      </c>
      <c r="I55" s="198" t="s">
        <v>368</v>
      </c>
      <c r="J55" s="198" t="s">
        <v>368</v>
      </c>
      <c r="K55" s="198" t="s">
        <v>368</v>
      </c>
    </row>
    <row r="56" spans="1:11" ht="12.75" customHeight="1">
      <c r="A56" s="167"/>
      <c r="B56" s="168"/>
      <c r="C56" s="185" t="s">
        <v>405</v>
      </c>
      <c r="D56" s="196"/>
      <c r="E56" s="191">
        <f t="shared" ref="E56:K56" si="8">E51+E54</f>
        <v>0</v>
      </c>
      <c r="F56" s="191">
        <f t="shared" si="8"/>
        <v>307.42792910000003</v>
      </c>
      <c r="G56" s="191">
        <f t="shared" si="8"/>
        <v>857.62380150000001</v>
      </c>
      <c r="H56" s="191">
        <f t="shared" si="8"/>
        <v>1239.29</v>
      </c>
      <c r="I56" s="191">
        <f t="shared" si="8"/>
        <v>2657.794942263934</v>
      </c>
      <c r="J56" s="191">
        <f t="shared" si="8"/>
        <v>1320.67</v>
      </c>
      <c r="K56" s="191">
        <f t="shared" si="8"/>
        <v>1381.02</v>
      </c>
    </row>
    <row r="57" spans="1:11" ht="12.75" customHeight="1">
      <c r="A57" s="167"/>
      <c r="B57" s="168"/>
      <c r="C57" s="185" t="s">
        <v>406</v>
      </c>
      <c r="D57" s="196"/>
      <c r="E57" s="191"/>
      <c r="F57" s="191"/>
      <c r="G57" s="191"/>
      <c r="H57" s="191"/>
      <c r="I57" s="191"/>
      <c r="J57" s="191"/>
      <c r="K57" s="191"/>
    </row>
    <row r="58" spans="1:11" ht="12.75" customHeight="1">
      <c r="A58" s="167"/>
      <c r="B58" s="168"/>
      <c r="C58" s="185" t="s">
        <v>407</v>
      </c>
      <c r="D58" s="186"/>
      <c r="E58" s="191">
        <v>0</v>
      </c>
      <c r="F58" s="191">
        <v>0</v>
      </c>
      <c r="G58" s="191">
        <v>0</v>
      </c>
      <c r="H58" s="191">
        <v>0</v>
      </c>
      <c r="I58" s="191">
        <v>0</v>
      </c>
      <c r="J58" s="191">
        <v>0</v>
      </c>
      <c r="K58" s="191">
        <v>0</v>
      </c>
    </row>
    <row r="59" spans="1:11" ht="12.75" customHeight="1">
      <c r="A59" s="167"/>
      <c r="B59" s="168"/>
      <c r="C59" s="166"/>
      <c r="D59" s="175"/>
      <c r="E59" s="198" t="s">
        <v>368</v>
      </c>
      <c r="F59" s="198" t="s">
        <v>368</v>
      </c>
      <c r="G59" s="198" t="s">
        <v>368</v>
      </c>
      <c r="H59" s="198" t="s">
        <v>368</v>
      </c>
      <c r="I59" s="198" t="s">
        <v>368</v>
      </c>
      <c r="J59" s="198" t="s">
        <v>368</v>
      </c>
      <c r="K59" s="198" t="s">
        <v>368</v>
      </c>
    </row>
    <row r="60" spans="1:11" ht="12.75" customHeight="1">
      <c r="A60" s="167"/>
      <c r="B60" s="168"/>
      <c r="C60" s="185" t="s">
        <v>408</v>
      </c>
      <c r="D60" s="186"/>
      <c r="E60" s="191">
        <f t="shared" ref="E60:K60" si="9">E56-E58</f>
        <v>0</v>
      </c>
      <c r="F60" s="191">
        <f t="shared" si="9"/>
        <v>307.42792910000003</v>
      </c>
      <c r="G60" s="191">
        <f t="shared" si="9"/>
        <v>857.62380150000001</v>
      </c>
      <c r="H60" s="191">
        <f t="shared" si="9"/>
        <v>1239.29</v>
      </c>
      <c r="I60" s="191">
        <f t="shared" si="9"/>
        <v>2657.794942263934</v>
      </c>
      <c r="J60" s="191">
        <f t="shared" si="9"/>
        <v>1320.67</v>
      </c>
      <c r="K60" s="191">
        <f t="shared" si="9"/>
        <v>1381.02</v>
      </c>
    </row>
    <row r="61" spans="1:11" ht="12.75" customHeight="1">
      <c r="A61" s="167"/>
      <c r="B61" s="168"/>
      <c r="C61" s="185" t="s">
        <v>409</v>
      </c>
      <c r="D61" s="186"/>
      <c r="E61" s="188"/>
      <c r="F61" s="188"/>
      <c r="G61" s="188"/>
      <c r="H61" s="188"/>
      <c r="I61" s="188"/>
      <c r="J61" s="188"/>
      <c r="K61" s="188"/>
    </row>
    <row r="62" spans="1:11" ht="12.75" customHeight="1">
      <c r="A62" s="167"/>
      <c r="B62" s="168"/>
      <c r="C62" s="166"/>
      <c r="D62" s="175"/>
      <c r="E62" s="188"/>
      <c r="F62" s="188"/>
      <c r="G62" s="188"/>
      <c r="H62" s="188"/>
      <c r="I62" s="188"/>
      <c r="J62" s="188"/>
      <c r="K62" s="188"/>
    </row>
    <row r="63" spans="1:11" ht="12.75" customHeight="1">
      <c r="A63" s="167">
        <v>6</v>
      </c>
      <c r="B63" s="168"/>
      <c r="C63" s="185" t="s">
        <v>410</v>
      </c>
      <c r="D63" s="186"/>
      <c r="E63" s="188"/>
      <c r="F63" s="188"/>
      <c r="G63" s="188"/>
      <c r="H63" s="188"/>
      <c r="I63" s="188"/>
      <c r="J63" s="188"/>
      <c r="K63" s="188"/>
    </row>
    <row r="64" spans="1:11" ht="12.75" customHeight="1">
      <c r="A64" s="167"/>
      <c r="B64" s="168"/>
      <c r="C64" s="185" t="s">
        <v>411</v>
      </c>
      <c r="D64" s="186"/>
      <c r="E64" s="191">
        <v>0</v>
      </c>
      <c r="F64" s="191">
        <v>0</v>
      </c>
      <c r="G64" s="191">
        <v>0</v>
      </c>
      <c r="H64" s="191">
        <v>0</v>
      </c>
      <c r="I64" s="191">
        <v>0</v>
      </c>
      <c r="J64" s="191">
        <v>0</v>
      </c>
      <c r="K64" s="191">
        <v>0</v>
      </c>
    </row>
    <row r="65" spans="1:11" ht="12.75" customHeight="1">
      <c r="A65" s="167"/>
      <c r="B65" s="168"/>
      <c r="C65" s="166"/>
      <c r="D65" s="175"/>
      <c r="E65" s="188"/>
      <c r="F65" s="188"/>
      <c r="G65" s="188"/>
      <c r="H65" s="188"/>
      <c r="I65" s="188"/>
      <c r="J65" s="188"/>
      <c r="K65" s="188"/>
    </row>
    <row r="66" spans="1:11" ht="12.75" customHeight="1">
      <c r="A66" s="167">
        <v>7</v>
      </c>
      <c r="B66" s="168"/>
      <c r="C66" s="185" t="s">
        <v>412</v>
      </c>
      <c r="D66" s="186"/>
      <c r="E66" s="191">
        <f t="shared" ref="E66:K66" si="10">E60+E64</f>
        <v>0</v>
      </c>
      <c r="F66" s="191">
        <f t="shared" si="10"/>
        <v>307.42792910000003</v>
      </c>
      <c r="G66" s="191">
        <f t="shared" si="10"/>
        <v>857.62380150000001</v>
      </c>
      <c r="H66" s="191">
        <f t="shared" si="10"/>
        <v>1239.29</v>
      </c>
      <c r="I66" s="191">
        <f t="shared" si="10"/>
        <v>2657.794942263934</v>
      </c>
      <c r="J66" s="191">
        <f t="shared" si="10"/>
        <v>1320.67</v>
      </c>
      <c r="K66" s="191">
        <f t="shared" si="10"/>
        <v>1381.02</v>
      </c>
    </row>
    <row r="67" spans="1:11" ht="12.75" customHeight="1">
      <c r="A67" s="167"/>
      <c r="B67" s="168"/>
      <c r="C67" s="166"/>
      <c r="D67" s="175"/>
      <c r="E67" s="188"/>
      <c r="F67" s="188"/>
      <c r="G67" s="188"/>
      <c r="H67" s="188"/>
      <c r="I67" s="188"/>
      <c r="J67" s="188"/>
      <c r="K67" s="188"/>
    </row>
    <row r="68" spans="1:11" ht="12.75" customHeight="1">
      <c r="A68" s="167">
        <v>8</v>
      </c>
      <c r="B68" s="168"/>
      <c r="C68" s="185" t="s">
        <v>413</v>
      </c>
      <c r="D68" s="186"/>
      <c r="E68" s="200"/>
      <c r="F68" s="200"/>
      <c r="G68" s="200"/>
      <c r="H68" s="200"/>
      <c r="I68" s="200"/>
      <c r="J68" s="200"/>
      <c r="K68" s="200"/>
    </row>
    <row r="69" spans="1:11" ht="12.75" customHeight="1">
      <c r="A69" s="167"/>
      <c r="B69" s="168"/>
      <c r="C69" s="185" t="s">
        <v>414</v>
      </c>
      <c r="D69" s="186"/>
      <c r="E69" s="191">
        <f t="shared" ref="E69:K69" si="11">E23-E66</f>
        <v>0</v>
      </c>
      <c r="F69" s="191">
        <f t="shared" si="11"/>
        <v>145.93647159999995</v>
      </c>
      <c r="G69" s="191">
        <f t="shared" si="11"/>
        <v>758.99619850000011</v>
      </c>
      <c r="H69" s="191">
        <f t="shared" si="11"/>
        <v>598.99</v>
      </c>
      <c r="I69" s="191" t="e">
        <f t="shared" si="11"/>
        <v>#REF!</v>
      </c>
      <c r="J69" s="191" t="e">
        <f t="shared" si="11"/>
        <v>#REF!</v>
      </c>
      <c r="K69" s="191" t="e">
        <f t="shared" si="11"/>
        <v>#REF!</v>
      </c>
    </row>
    <row r="70" spans="1:11" ht="12.75" customHeight="1">
      <c r="A70" s="167"/>
      <c r="B70" s="168"/>
      <c r="C70" s="166"/>
      <c r="D70" s="175"/>
      <c r="E70" s="201"/>
      <c r="F70" s="201"/>
      <c r="G70" s="201"/>
      <c r="H70" s="201"/>
      <c r="I70" s="201"/>
      <c r="J70" s="201"/>
      <c r="K70" s="201"/>
    </row>
    <row r="71" spans="1:11" ht="12.75" customHeight="1">
      <c r="A71" s="167">
        <v>9</v>
      </c>
      <c r="B71" s="168"/>
      <c r="C71" s="185" t="s">
        <v>415</v>
      </c>
      <c r="D71" s="186"/>
      <c r="E71" s="202"/>
      <c r="F71" s="202">
        <f>SUM(Financials!C20:C23)</f>
        <v>102.5554214</v>
      </c>
      <c r="G71" s="202">
        <f>SUM(Financials!D20:D23)</f>
        <v>479.98</v>
      </c>
      <c r="H71" s="202">
        <f>SUM(Financials!E20:E23)</f>
        <v>920.92</v>
      </c>
      <c r="I71" s="202">
        <f>SUM(Financials!F20:F23,Financials!G20:G23)</f>
        <v>0</v>
      </c>
      <c r="J71" s="202">
        <f>SUM(Financials!I20:I23)</f>
        <v>91.499999999999716</v>
      </c>
      <c r="K71" s="202">
        <f>SUM(Financials!J20:J23)</f>
        <v>23.410000000000053</v>
      </c>
    </row>
    <row r="72" spans="1:11" ht="12.75" customHeight="1">
      <c r="A72" s="167"/>
      <c r="B72" s="168"/>
      <c r="C72" s="166"/>
      <c r="D72" s="175"/>
      <c r="E72" s="177"/>
      <c r="F72" s="177"/>
      <c r="G72" s="177"/>
      <c r="H72" s="177"/>
      <c r="I72" s="177"/>
      <c r="J72" s="177"/>
      <c r="K72" s="177"/>
    </row>
    <row r="73" spans="1:11" ht="12.75" customHeight="1">
      <c r="A73" s="167">
        <v>10</v>
      </c>
      <c r="B73" s="168"/>
      <c r="C73" s="185" t="s">
        <v>416</v>
      </c>
      <c r="D73" s="186"/>
      <c r="E73" s="177"/>
      <c r="F73" s="177"/>
      <c r="G73" s="177"/>
      <c r="H73" s="177"/>
      <c r="I73" s="177"/>
      <c r="J73" s="177"/>
      <c r="K73" s="177"/>
    </row>
    <row r="74" spans="1:11" ht="12.75" customHeight="1">
      <c r="A74" s="167"/>
      <c r="B74" s="168"/>
      <c r="C74" s="185" t="s">
        <v>417</v>
      </c>
      <c r="D74" s="186"/>
      <c r="E74" s="195">
        <f t="shared" ref="E74:K74" si="12">E69-E71</f>
        <v>0</v>
      </c>
      <c r="F74" s="195">
        <f t="shared" si="12"/>
        <v>43.381050199999947</v>
      </c>
      <c r="G74" s="195">
        <f t="shared" si="12"/>
        <v>279.01619850000009</v>
      </c>
      <c r="H74" s="195">
        <f t="shared" si="12"/>
        <v>-321.92999999999995</v>
      </c>
      <c r="I74" s="195" t="e">
        <f t="shared" si="12"/>
        <v>#REF!</v>
      </c>
      <c r="J74" s="195" t="e">
        <f t="shared" si="12"/>
        <v>#REF!</v>
      </c>
      <c r="K74" s="195" t="e">
        <f t="shared" si="12"/>
        <v>#REF!</v>
      </c>
    </row>
    <row r="75" spans="1:11" ht="12.75" customHeight="1">
      <c r="A75" s="167"/>
      <c r="B75" s="168"/>
      <c r="C75" s="166"/>
      <c r="D75" s="175"/>
      <c r="E75" s="177"/>
      <c r="F75" s="177"/>
      <c r="G75" s="177"/>
      <c r="H75" s="177"/>
      <c r="I75" s="177"/>
      <c r="J75" s="177"/>
      <c r="K75" s="177"/>
    </row>
    <row r="76" spans="1:11" ht="12.75" customHeight="1">
      <c r="A76" s="167">
        <v>11</v>
      </c>
      <c r="B76" s="168"/>
      <c r="C76" s="185" t="s">
        <v>418</v>
      </c>
      <c r="D76" s="186"/>
      <c r="E76" s="202"/>
      <c r="F76" s="195"/>
      <c r="G76" s="195"/>
      <c r="H76" s="195"/>
      <c r="I76" s="195"/>
      <c r="J76" s="195"/>
      <c r="K76" s="195"/>
    </row>
    <row r="77" spans="1:11" ht="12.75" customHeight="1">
      <c r="A77" s="167"/>
      <c r="B77" s="168"/>
      <c r="C77" s="185" t="s">
        <v>419</v>
      </c>
      <c r="D77" s="186"/>
      <c r="E77" s="177"/>
      <c r="F77" s="177"/>
      <c r="G77" s="177"/>
      <c r="H77" s="177"/>
      <c r="I77" s="177"/>
      <c r="J77" s="177"/>
      <c r="K77" s="177"/>
    </row>
    <row r="78" spans="1:11" ht="12.75" customHeight="1">
      <c r="A78" s="167"/>
      <c r="B78" s="168"/>
      <c r="C78" s="185" t="s">
        <v>420</v>
      </c>
      <c r="D78" s="186"/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</row>
    <row r="79" spans="1:11" ht="12.75" customHeight="1">
      <c r="A79" s="167"/>
      <c r="B79" s="168"/>
      <c r="C79" s="185" t="s">
        <v>421</v>
      </c>
      <c r="D79" s="186"/>
      <c r="E79" s="177"/>
      <c r="F79" s="177"/>
      <c r="G79" s="177"/>
      <c r="H79" s="177"/>
      <c r="I79" s="177"/>
      <c r="J79" s="177"/>
      <c r="K79" s="177"/>
    </row>
    <row r="80" spans="1:11" ht="12.75" customHeight="1">
      <c r="A80" s="167"/>
      <c r="B80" s="168"/>
      <c r="C80" s="185" t="s">
        <v>422</v>
      </c>
      <c r="D80" s="186"/>
      <c r="E80" s="177"/>
      <c r="F80" s="177"/>
      <c r="G80" s="177"/>
      <c r="H80" s="177"/>
      <c r="I80" s="177"/>
      <c r="J80" s="177"/>
      <c r="K80" s="177"/>
    </row>
    <row r="81" spans="1:11" ht="12.75" customHeight="1">
      <c r="A81" s="167"/>
      <c r="B81" s="168"/>
      <c r="C81" s="185" t="s">
        <v>423</v>
      </c>
      <c r="D81" s="186"/>
      <c r="E81" s="195">
        <f t="shared" ref="E81:K81" si="13">E76-E78</f>
        <v>0</v>
      </c>
      <c r="F81" s="195">
        <f t="shared" si="13"/>
        <v>0</v>
      </c>
      <c r="G81" s="195">
        <f t="shared" si="13"/>
        <v>0</v>
      </c>
      <c r="H81" s="195">
        <f t="shared" si="13"/>
        <v>0</v>
      </c>
      <c r="I81" s="195">
        <f t="shared" si="13"/>
        <v>0</v>
      </c>
      <c r="J81" s="195">
        <f t="shared" si="13"/>
        <v>0</v>
      </c>
      <c r="K81" s="195">
        <f t="shared" si="13"/>
        <v>0</v>
      </c>
    </row>
    <row r="82" spans="1:11" ht="12.75" customHeight="1">
      <c r="A82" s="167"/>
      <c r="B82" s="168"/>
      <c r="C82" s="166"/>
      <c r="D82" s="175"/>
      <c r="E82" s="177"/>
      <c r="F82" s="177"/>
      <c r="G82" s="177"/>
      <c r="H82" s="177"/>
      <c r="I82" s="177"/>
      <c r="J82" s="177"/>
      <c r="K82" s="177"/>
    </row>
    <row r="83" spans="1:11" ht="12.75" customHeight="1">
      <c r="A83" s="167">
        <v>12</v>
      </c>
      <c r="B83" s="168"/>
      <c r="C83" s="185" t="s">
        <v>424</v>
      </c>
      <c r="D83" s="186"/>
      <c r="E83" s="202"/>
      <c r="F83" s="202"/>
      <c r="G83" s="202"/>
      <c r="H83" s="202"/>
      <c r="I83" s="202" t="s">
        <v>425</v>
      </c>
      <c r="J83" s="195" t="s">
        <v>425</v>
      </c>
      <c r="K83" s="195" t="s">
        <v>425</v>
      </c>
    </row>
    <row r="84" spans="1:11" ht="12.75" customHeight="1">
      <c r="A84" s="167"/>
      <c r="B84" s="168"/>
      <c r="C84" s="185" t="s">
        <v>426</v>
      </c>
      <c r="D84" s="186"/>
      <c r="E84" s="195">
        <f t="shared" ref="E84:K84" si="14">+E74+E81</f>
        <v>0</v>
      </c>
      <c r="F84" s="195">
        <f t="shared" si="14"/>
        <v>43.381050199999947</v>
      </c>
      <c r="G84" s="195">
        <f t="shared" si="14"/>
        <v>279.01619850000009</v>
      </c>
      <c r="H84" s="195">
        <f t="shared" si="14"/>
        <v>-321.92999999999995</v>
      </c>
      <c r="I84" s="195" t="e">
        <f t="shared" si="14"/>
        <v>#REF!</v>
      </c>
      <c r="J84" s="195" t="e">
        <f t="shared" si="14"/>
        <v>#REF!</v>
      </c>
      <c r="K84" s="195" t="e">
        <f t="shared" si="14"/>
        <v>#REF!</v>
      </c>
    </row>
    <row r="85" spans="1:11" ht="12.75" customHeight="1">
      <c r="A85" s="167"/>
      <c r="B85" s="168"/>
      <c r="C85" s="166"/>
      <c r="D85" s="175"/>
      <c r="E85" s="177"/>
      <c r="F85" s="177"/>
      <c r="G85" s="177"/>
      <c r="H85" s="177"/>
      <c r="I85" s="177"/>
      <c r="J85" s="194"/>
      <c r="K85" s="194"/>
    </row>
    <row r="86" spans="1:11" ht="12.75" customHeight="1">
      <c r="A86" s="167">
        <v>13</v>
      </c>
      <c r="B86" s="168"/>
      <c r="C86" s="185" t="s">
        <v>427</v>
      </c>
      <c r="D86" s="186"/>
      <c r="E86" s="203"/>
      <c r="F86" s="203">
        <f>Financials!C26</f>
        <v>8.8268374999999999</v>
      </c>
      <c r="G86" s="203">
        <f>Financials!D26</f>
        <v>41.066830099999997</v>
      </c>
      <c r="H86" s="203">
        <f>Financials!E26</f>
        <v>0</v>
      </c>
      <c r="I86" s="203">
        <f>Financials!F26+Financials!G26</f>
        <v>0</v>
      </c>
      <c r="J86" s="203">
        <f>Financials!I26</f>
        <v>0</v>
      </c>
      <c r="K86" s="203">
        <f>Financials!J26</f>
        <v>0</v>
      </c>
    </row>
    <row r="87" spans="1:11" ht="12.75" customHeight="1">
      <c r="A87" s="167"/>
      <c r="B87" s="168"/>
      <c r="C87" s="185"/>
      <c r="D87" s="186"/>
      <c r="E87" s="204"/>
      <c r="F87" s="204"/>
      <c r="G87" s="204"/>
      <c r="H87" s="204"/>
      <c r="I87" s="204"/>
      <c r="J87" s="195"/>
      <c r="K87" s="195"/>
    </row>
    <row r="88" spans="1:11" ht="12.75" customHeight="1">
      <c r="A88" s="167"/>
      <c r="B88" s="168"/>
      <c r="C88" s="166"/>
      <c r="D88" s="175"/>
      <c r="E88" s="197" t="s">
        <v>368</v>
      </c>
      <c r="F88" s="197" t="s">
        <v>368</v>
      </c>
      <c r="G88" s="197" t="s">
        <v>368</v>
      </c>
      <c r="H88" s="197" t="s">
        <v>368</v>
      </c>
      <c r="I88" s="197" t="s">
        <v>368</v>
      </c>
      <c r="J88" s="197" t="s">
        <v>368</v>
      </c>
      <c r="K88" s="197" t="s">
        <v>368</v>
      </c>
    </row>
    <row r="89" spans="1:11" ht="12.75" customHeight="1">
      <c r="A89" s="167">
        <v>14</v>
      </c>
      <c r="B89" s="168"/>
      <c r="C89" s="185" t="s">
        <v>428</v>
      </c>
      <c r="D89" s="186"/>
      <c r="E89" s="195">
        <f t="shared" ref="E89:K89" si="15">E84-E86</f>
        <v>0</v>
      </c>
      <c r="F89" s="195">
        <f t="shared" si="15"/>
        <v>34.554212699999951</v>
      </c>
      <c r="G89" s="195">
        <f t="shared" si="15"/>
        <v>237.94936840000008</v>
      </c>
      <c r="H89" s="195">
        <f t="shared" si="15"/>
        <v>-321.92999999999995</v>
      </c>
      <c r="I89" s="195" t="e">
        <f t="shared" si="15"/>
        <v>#REF!</v>
      </c>
      <c r="J89" s="202" t="e">
        <f t="shared" si="15"/>
        <v>#REF!</v>
      </c>
      <c r="K89" s="202" t="e">
        <f t="shared" si="15"/>
        <v>#REF!</v>
      </c>
    </row>
    <row r="90" spans="1:11" ht="12.75" customHeight="1">
      <c r="A90" s="167"/>
      <c r="B90" s="168"/>
      <c r="C90" s="166"/>
      <c r="D90" s="175"/>
      <c r="E90" s="205"/>
      <c r="F90" s="205"/>
      <c r="G90" s="205"/>
      <c r="H90" s="205"/>
      <c r="I90" s="205"/>
      <c r="J90" s="205"/>
      <c r="K90" s="205"/>
    </row>
    <row r="91" spans="1:11" ht="12.75" customHeight="1">
      <c r="A91" s="167"/>
      <c r="B91" s="168"/>
      <c r="C91" s="166"/>
      <c r="D91" s="175"/>
      <c r="E91" s="206"/>
      <c r="F91" s="206"/>
      <c r="G91" s="206"/>
      <c r="H91" s="206"/>
      <c r="I91" s="206"/>
      <c r="J91" s="206"/>
      <c r="K91" s="206"/>
    </row>
    <row r="92" spans="1:11" ht="12.75" customHeight="1">
      <c r="A92" s="167">
        <v>15</v>
      </c>
      <c r="B92" s="168"/>
      <c r="C92" s="185" t="s">
        <v>429</v>
      </c>
      <c r="D92" s="186"/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</row>
    <row r="93" spans="1:11" ht="12.75" customHeight="1">
      <c r="A93" s="167"/>
      <c r="B93" s="168"/>
      <c r="C93" s="185" t="s">
        <v>430</v>
      </c>
      <c r="D93" s="186"/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</row>
    <row r="94" spans="1:11" ht="12.75" customHeight="1">
      <c r="A94" s="167"/>
      <c r="B94" s="168"/>
      <c r="C94" s="185" t="s">
        <v>431</v>
      </c>
      <c r="D94" s="186"/>
      <c r="E94" s="208"/>
      <c r="F94" s="209">
        <v>0</v>
      </c>
      <c r="G94" s="209">
        <v>0</v>
      </c>
      <c r="H94" s="209">
        <v>0</v>
      </c>
      <c r="I94" s="209">
        <v>0</v>
      </c>
      <c r="J94" s="209">
        <v>0</v>
      </c>
      <c r="K94" s="209">
        <v>0</v>
      </c>
    </row>
    <row r="95" spans="1:11" ht="12.75" customHeight="1">
      <c r="A95" s="167"/>
      <c r="B95" s="168"/>
      <c r="C95" s="166"/>
      <c r="D95" s="175"/>
      <c r="E95" s="177"/>
      <c r="F95" s="177"/>
      <c r="G95" s="177"/>
      <c r="H95" s="177"/>
      <c r="I95" s="177"/>
      <c r="J95" s="177"/>
      <c r="K95" s="177"/>
    </row>
    <row r="96" spans="1:11" ht="12.75" customHeight="1">
      <c r="A96" s="167">
        <v>16</v>
      </c>
      <c r="B96" s="168"/>
      <c r="C96" s="185" t="s">
        <v>432</v>
      </c>
      <c r="D96" s="186"/>
      <c r="E96" s="204"/>
      <c r="F96" s="204">
        <f t="shared" ref="F96:K96" si="16">(F89-F92-F93)/F89*100</f>
        <v>100</v>
      </c>
      <c r="G96" s="204">
        <f t="shared" si="16"/>
        <v>100</v>
      </c>
      <c r="H96" s="204">
        <f t="shared" si="16"/>
        <v>100</v>
      </c>
      <c r="I96" s="204" t="e">
        <f t="shared" si="16"/>
        <v>#REF!</v>
      </c>
      <c r="J96" s="204" t="e">
        <f t="shared" si="16"/>
        <v>#REF!</v>
      </c>
      <c r="K96" s="204" t="e">
        <f t="shared" si="16"/>
        <v>#REF!</v>
      </c>
    </row>
    <row r="97" spans="1:11" ht="12.75" customHeight="1">
      <c r="A97" s="167"/>
      <c r="B97" s="168"/>
      <c r="C97" s="166"/>
      <c r="D97" s="175"/>
      <c r="E97" s="177"/>
      <c r="F97" s="177"/>
      <c r="G97" s="177"/>
      <c r="H97" s="177"/>
      <c r="I97" s="177"/>
      <c r="J97" s="177"/>
      <c r="K97" s="177"/>
    </row>
    <row r="98" spans="1:11" ht="12.75" customHeight="1">
      <c r="A98" s="167"/>
      <c r="B98" s="168"/>
      <c r="C98" s="166" t="s">
        <v>433</v>
      </c>
      <c r="D98" s="175"/>
      <c r="E98" s="202">
        <f t="shared" ref="E98:K98" si="17">E89+E41</f>
        <v>0</v>
      </c>
      <c r="F98" s="202">
        <f t="shared" si="17"/>
        <v>67.155768899999941</v>
      </c>
      <c r="G98" s="202">
        <f t="shared" si="17"/>
        <v>358.43936840000009</v>
      </c>
      <c r="H98" s="202">
        <f t="shared" si="17"/>
        <v>-125.38999999999996</v>
      </c>
      <c r="I98" s="202" t="e">
        <f t="shared" si="17"/>
        <v>#REF!</v>
      </c>
      <c r="J98" s="202" t="e">
        <f t="shared" si="17"/>
        <v>#REF!</v>
      </c>
      <c r="K98" s="202" t="e">
        <f t="shared" si="17"/>
        <v>#REF!</v>
      </c>
    </row>
    <row r="99" spans="1:11" ht="12.75" customHeight="1">
      <c r="A99" s="180"/>
      <c r="B99" s="210"/>
      <c r="C99" s="182" t="s">
        <v>434</v>
      </c>
      <c r="D99" s="183"/>
      <c r="E99" s="211">
        <f t="shared" ref="E99:K99" si="18">E84+E71+E41</f>
        <v>0</v>
      </c>
      <c r="F99" s="211">
        <f t="shared" si="18"/>
        <v>178.53802779999995</v>
      </c>
      <c r="G99" s="211">
        <f t="shared" si="18"/>
        <v>879.48619850000011</v>
      </c>
      <c r="H99" s="211">
        <f t="shared" si="18"/>
        <v>795.53</v>
      </c>
      <c r="I99" s="211" t="e">
        <f t="shared" si="18"/>
        <v>#REF!</v>
      </c>
      <c r="J99" s="232" t="e">
        <f t="shared" si="18"/>
        <v>#REF!</v>
      </c>
      <c r="K99" s="232" t="e">
        <f t="shared" si="18"/>
        <v>#REF!</v>
      </c>
    </row>
    <row r="100" spans="1:11" ht="12.75" customHeight="1">
      <c r="A100" s="180"/>
      <c r="B100" s="210"/>
      <c r="C100" s="182"/>
      <c r="D100" s="183"/>
      <c r="E100" s="212"/>
      <c r="F100" s="212"/>
      <c r="G100" s="212"/>
      <c r="H100" s="212"/>
      <c r="I100" s="212"/>
      <c r="J100" s="212"/>
      <c r="K100" s="212"/>
    </row>
    <row r="101" spans="1:11" ht="12.75" customHeight="1">
      <c r="A101" s="167"/>
      <c r="B101" s="168"/>
      <c r="C101" s="166"/>
      <c r="D101" s="175"/>
      <c r="E101" s="213"/>
      <c r="F101" s="213"/>
      <c r="G101" s="213"/>
      <c r="H101" s="213"/>
      <c r="I101" s="213"/>
      <c r="J101" s="213"/>
      <c r="K101" s="213"/>
    </row>
    <row r="102" spans="1:11" ht="12.75" customHeight="1">
      <c r="A102" s="214" t="s">
        <v>435</v>
      </c>
      <c r="B102" s="215"/>
      <c r="C102" s="161"/>
      <c r="D102" s="161"/>
      <c r="E102" s="216"/>
      <c r="F102" s="216"/>
      <c r="G102" s="216"/>
      <c r="H102" s="216"/>
      <c r="I102" s="216"/>
      <c r="J102" s="216"/>
      <c r="K102" s="216"/>
    </row>
    <row r="103" spans="1:11" ht="12.75" customHeight="1">
      <c r="A103" s="199"/>
      <c r="E103" s="217"/>
      <c r="F103" s="217"/>
      <c r="G103" s="217"/>
      <c r="H103" s="217"/>
      <c r="I103" s="217"/>
      <c r="J103" s="217"/>
      <c r="K103" s="217"/>
    </row>
    <row r="104" spans="1:11" ht="12.75" customHeight="1">
      <c r="A104" s="218" t="s">
        <v>436</v>
      </c>
      <c r="B104" s="219"/>
      <c r="C104" s="163"/>
      <c r="D104" s="163"/>
      <c r="E104" s="220"/>
      <c r="F104" s="220"/>
      <c r="G104" s="220"/>
      <c r="H104" s="220"/>
      <c r="I104" s="220"/>
      <c r="J104" s="220"/>
      <c r="K104" s="220"/>
    </row>
    <row r="105" spans="1:11" ht="12.75" customHeight="1">
      <c r="A105" s="218"/>
      <c r="B105" s="219"/>
      <c r="C105" s="163"/>
      <c r="D105" s="163"/>
    </row>
    <row r="106" spans="1:11" ht="12.75" customHeight="1">
      <c r="A106" s="221" t="s">
        <v>365</v>
      </c>
      <c r="B106" s="168"/>
      <c r="C106" s="166"/>
      <c r="D106" s="166"/>
    </row>
    <row r="107" spans="1:11" ht="12.75" customHeight="1">
      <c r="A107" s="180"/>
      <c r="B107" s="210"/>
      <c r="C107" s="182"/>
      <c r="D107" s="182"/>
      <c r="E107" s="222"/>
      <c r="F107" s="223"/>
      <c r="G107" s="223"/>
      <c r="H107" s="223"/>
      <c r="I107" s="223"/>
      <c r="J107" s="223"/>
      <c r="K107" s="223"/>
    </row>
    <row r="108" spans="1:11" ht="12.75" customHeight="1">
      <c r="A108" s="167"/>
      <c r="B108" s="168"/>
      <c r="C108" s="166"/>
      <c r="D108" s="175"/>
    </row>
    <row r="109" spans="1:11" ht="12.75" customHeight="1">
      <c r="A109" s="224" t="s">
        <v>437</v>
      </c>
      <c r="B109" s="225"/>
      <c r="C109" s="226"/>
      <c r="D109" s="172"/>
      <c r="E109" s="227">
        <f t="shared" ref="E109:K109" si="19">+E8</f>
        <v>41729</v>
      </c>
      <c r="F109" s="227">
        <f t="shared" si="19"/>
        <v>42094</v>
      </c>
      <c r="G109" s="227">
        <f t="shared" si="19"/>
        <v>42460</v>
      </c>
      <c r="H109" s="227">
        <f t="shared" si="19"/>
        <v>42825</v>
      </c>
      <c r="I109" s="227">
        <f t="shared" si="19"/>
        <v>43190</v>
      </c>
      <c r="J109" s="227">
        <f t="shared" si="19"/>
        <v>43555</v>
      </c>
      <c r="K109" s="227">
        <f t="shared" si="19"/>
        <v>43921</v>
      </c>
    </row>
    <row r="110" spans="1:11" ht="12.75" customHeight="1">
      <c r="A110" s="167"/>
      <c r="B110" s="168"/>
      <c r="C110" s="166"/>
      <c r="D110" s="175"/>
      <c r="E110" s="177"/>
      <c r="F110" s="177"/>
      <c r="G110" s="177"/>
      <c r="H110" s="177"/>
      <c r="I110" s="177"/>
      <c r="J110" s="177"/>
      <c r="K110" s="177"/>
    </row>
    <row r="111" spans="1:11" ht="12.75" customHeight="1">
      <c r="A111" s="167"/>
      <c r="B111" s="168"/>
      <c r="C111" s="166"/>
      <c r="D111" s="175"/>
      <c r="E111" s="178" t="str">
        <f t="shared" ref="E111:K111" si="20">+E11</f>
        <v>Audited</v>
      </c>
      <c r="F111" s="178" t="str">
        <f t="shared" si="20"/>
        <v>Audited</v>
      </c>
      <c r="G111" s="178" t="str">
        <f t="shared" si="20"/>
        <v>Audited</v>
      </c>
      <c r="H111" s="178" t="str">
        <f t="shared" si="20"/>
        <v>Estimated</v>
      </c>
      <c r="I111" s="178" t="str">
        <f t="shared" si="20"/>
        <v>Projection</v>
      </c>
      <c r="J111" s="178" t="str">
        <f t="shared" si="20"/>
        <v>Projection</v>
      </c>
      <c r="K111" s="178" t="str">
        <f t="shared" si="20"/>
        <v>Projection</v>
      </c>
    </row>
    <row r="112" spans="1:11" ht="12.75" customHeight="1">
      <c r="A112" s="228" t="s">
        <v>438</v>
      </c>
      <c r="B112" s="210"/>
      <c r="C112" s="182"/>
      <c r="D112" s="183"/>
      <c r="E112" s="229"/>
      <c r="F112" s="229"/>
      <c r="G112" s="229"/>
      <c r="H112" s="229"/>
      <c r="I112" s="229"/>
      <c r="J112" s="229"/>
      <c r="K112" s="229"/>
    </row>
    <row r="113" spans="1:11" ht="12.75" customHeight="1">
      <c r="A113" s="221"/>
      <c r="B113" s="168"/>
      <c r="C113" s="166"/>
      <c r="D113" s="175"/>
      <c r="E113" s="177"/>
      <c r="F113" s="177"/>
      <c r="G113" s="177"/>
      <c r="H113" s="177"/>
      <c r="I113" s="177"/>
      <c r="J113" s="177"/>
      <c r="K113" s="177"/>
    </row>
    <row r="114" spans="1:11" ht="12.75" customHeight="1">
      <c r="A114" s="167">
        <v>1</v>
      </c>
      <c r="B114" s="168"/>
      <c r="C114" s="185" t="s">
        <v>439</v>
      </c>
      <c r="D114" s="186"/>
      <c r="E114" s="177"/>
      <c r="F114" s="177"/>
      <c r="G114" s="177"/>
      <c r="H114" s="177"/>
      <c r="I114" s="177"/>
      <c r="J114" s="177"/>
      <c r="K114" s="177"/>
    </row>
    <row r="115" spans="1:11" ht="12.75" customHeight="1">
      <c r="A115" s="167"/>
      <c r="B115" s="168"/>
      <c r="C115" s="185" t="s">
        <v>440</v>
      </c>
      <c r="D115" s="186"/>
      <c r="E115" s="177"/>
      <c r="F115" s="177"/>
      <c r="G115" s="177"/>
      <c r="H115" s="177"/>
      <c r="I115" s="177"/>
      <c r="J115" s="177"/>
      <c r="K115" s="177"/>
    </row>
    <row r="116" spans="1:11" ht="12.75" customHeight="1">
      <c r="A116" s="167"/>
      <c r="B116" s="168"/>
      <c r="C116" s="185" t="s">
        <v>441</v>
      </c>
      <c r="D116" s="186"/>
      <c r="E116" s="177"/>
      <c r="F116" s="177"/>
      <c r="G116" s="177"/>
      <c r="H116" s="177"/>
      <c r="I116" s="177"/>
      <c r="J116" s="177"/>
      <c r="K116" s="177"/>
    </row>
    <row r="117" spans="1:11" ht="12.75" customHeight="1">
      <c r="A117" s="167"/>
      <c r="B117" s="168"/>
      <c r="C117" s="185" t="s">
        <v>442</v>
      </c>
      <c r="D117" s="186"/>
      <c r="E117" s="177"/>
      <c r="F117" s="177"/>
      <c r="G117" s="177"/>
      <c r="H117" s="177"/>
      <c r="I117" s="177"/>
      <c r="J117" s="177"/>
      <c r="K117" s="177"/>
    </row>
    <row r="118" spans="1:11" ht="12.75" customHeight="1">
      <c r="A118" s="167"/>
      <c r="B118" s="168"/>
      <c r="C118" s="185" t="s">
        <v>443</v>
      </c>
      <c r="D118" s="186"/>
      <c r="E118" s="205"/>
      <c r="F118" s="230">
        <f>Financials!C106</f>
        <v>179.19661690000001</v>
      </c>
      <c r="G118" s="230">
        <f>Financials!D106</f>
        <v>331.05082420000002</v>
      </c>
      <c r="H118" s="230">
        <f>Financials!E106</f>
        <v>831.53412023999999</v>
      </c>
      <c r="I118" s="230">
        <f>Financials!G106</f>
        <v>0</v>
      </c>
      <c r="J118" s="230">
        <f>Financials!I106</f>
        <v>936.85</v>
      </c>
      <c r="K118" s="230">
        <f>Financials!J106</f>
        <v>921.2</v>
      </c>
    </row>
    <row r="119" spans="1:11" ht="12.75" customHeight="1">
      <c r="A119" s="167"/>
      <c r="B119" s="168"/>
      <c r="C119" s="185" t="s">
        <v>444</v>
      </c>
      <c r="D119" s="186"/>
      <c r="E119" s="205"/>
      <c r="F119" s="230">
        <v>0</v>
      </c>
      <c r="G119" s="230">
        <v>0</v>
      </c>
      <c r="H119" s="230">
        <v>0</v>
      </c>
      <c r="I119" s="230">
        <v>0</v>
      </c>
      <c r="J119" s="230">
        <v>0</v>
      </c>
      <c r="K119" s="230">
        <v>0</v>
      </c>
    </row>
    <row r="120" spans="1:11" ht="12.75" customHeight="1">
      <c r="A120" s="167"/>
      <c r="B120" s="168"/>
      <c r="C120" s="185" t="s">
        <v>445</v>
      </c>
      <c r="D120" s="186"/>
      <c r="E120" s="188"/>
      <c r="F120" s="188"/>
      <c r="G120" s="188"/>
      <c r="H120" s="188"/>
      <c r="I120" s="188">
        <v>0</v>
      </c>
      <c r="J120" s="188">
        <v>0</v>
      </c>
      <c r="K120" s="188">
        <v>0</v>
      </c>
    </row>
    <row r="121" spans="1:11" ht="12.75" customHeight="1">
      <c r="A121" s="167"/>
      <c r="B121" s="168"/>
      <c r="C121" s="166"/>
      <c r="D121" s="175"/>
      <c r="E121" s="205"/>
      <c r="F121" s="205"/>
      <c r="G121" s="205"/>
      <c r="H121" s="205"/>
      <c r="I121" s="205"/>
      <c r="J121" s="205"/>
      <c r="K121" s="205"/>
    </row>
    <row r="122" spans="1:11" ht="12.75" customHeight="1">
      <c r="A122" s="167"/>
      <c r="B122" s="168"/>
      <c r="C122" s="189" t="s">
        <v>446</v>
      </c>
      <c r="D122" s="190"/>
      <c r="E122" s="231">
        <f t="shared" ref="E122:K122" si="21">E118+E119</f>
        <v>0</v>
      </c>
      <c r="F122" s="231">
        <f t="shared" si="21"/>
        <v>179.19661690000001</v>
      </c>
      <c r="G122" s="231">
        <f t="shared" si="21"/>
        <v>331.05082420000002</v>
      </c>
      <c r="H122" s="231">
        <f t="shared" si="21"/>
        <v>831.53412023999999</v>
      </c>
      <c r="I122" s="231">
        <f t="shared" si="21"/>
        <v>0</v>
      </c>
      <c r="J122" s="231">
        <f t="shared" si="21"/>
        <v>936.85</v>
      </c>
      <c r="K122" s="231">
        <f t="shared" si="21"/>
        <v>921.2</v>
      </c>
    </row>
    <row r="123" spans="1:11" ht="12.75" customHeight="1">
      <c r="A123" s="167"/>
      <c r="B123" s="168"/>
      <c r="C123" s="166"/>
      <c r="D123" s="175"/>
      <c r="E123" s="194"/>
      <c r="F123" s="194"/>
      <c r="G123" s="194"/>
      <c r="H123" s="194"/>
      <c r="I123" s="194"/>
      <c r="J123" s="194"/>
      <c r="K123" s="194"/>
    </row>
    <row r="124" spans="1:11" ht="12.75" customHeight="1">
      <c r="A124" s="167">
        <v>2</v>
      </c>
      <c r="B124" s="168"/>
      <c r="C124" s="185" t="s">
        <v>447</v>
      </c>
      <c r="D124" s="186"/>
      <c r="E124" s="194">
        <v>0</v>
      </c>
      <c r="F124" s="194">
        <v>0</v>
      </c>
      <c r="G124" s="194">
        <v>0</v>
      </c>
      <c r="H124" s="194">
        <v>0</v>
      </c>
      <c r="I124" s="194">
        <v>0</v>
      </c>
      <c r="J124" s="194">
        <v>0</v>
      </c>
      <c r="K124" s="194">
        <v>0</v>
      </c>
    </row>
    <row r="125" spans="1:11" ht="12.75" customHeight="1">
      <c r="A125" s="167"/>
      <c r="B125" s="168"/>
      <c r="C125" s="185" t="s">
        <v>448</v>
      </c>
      <c r="D125" s="186"/>
      <c r="E125" s="194"/>
      <c r="F125" s="194"/>
      <c r="G125" s="194"/>
      <c r="H125" s="194"/>
      <c r="I125" s="194"/>
      <c r="J125" s="194"/>
      <c r="K125" s="194"/>
    </row>
    <row r="126" spans="1:11" ht="12.75" customHeight="1">
      <c r="A126" s="167"/>
      <c r="B126" s="168"/>
      <c r="C126" s="166"/>
      <c r="D126" s="175"/>
      <c r="E126" s="194"/>
      <c r="F126" s="194"/>
      <c r="G126" s="194"/>
      <c r="H126" s="194"/>
      <c r="I126" s="194"/>
      <c r="J126" s="194"/>
      <c r="K126" s="194"/>
    </row>
    <row r="127" spans="1:11" ht="12.75" customHeight="1">
      <c r="A127" s="167">
        <v>3</v>
      </c>
      <c r="B127" s="168"/>
      <c r="C127" s="185" t="s">
        <v>449</v>
      </c>
      <c r="D127" s="186"/>
      <c r="E127" s="230"/>
      <c r="F127" s="230">
        <f>Financials!C107</f>
        <v>234.97825460000001</v>
      </c>
      <c r="G127" s="230">
        <f>Financials!D107</f>
        <v>214.81</v>
      </c>
      <c r="H127" s="230">
        <f>Financials!E107</f>
        <v>386.87900000000002</v>
      </c>
      <c r="I127" s="230">
        <f>Financials!G107</f>
        <v>0</v>
      </c>
      <c r="J127" s="230">
        <f>Financials!I107</f>
        <v>139.04</v>
      </c>
      <c r="K127" s="230">
        <f>Financials!J107</f>
        <v>323.26</v>
      </c>
    </row>
    <row r="128" spans="1:11" ht="12.75" customHeight="1">
      <c r="A128" s="167"/>
      <c r="B128" s="168"/>
      <c r="C128" s="185" t="s">
        <v>450</v>
      </c>
      <c r="D128" s="186"/>
      <c r="E128" s="177"/>
      <c r="F128" s="177"/>
      <c r="G128" s="177"/>
      <c r="H128" s="177"/>
      <c r="I128" s="177"/>
      <c r="J128" s="177"/>
      <c r="K128" s="177"/>
    </row>
    <row r="129" spans="1:11" ht="12.75" customHeight="1">
      <c r="A129" s="167">
        <v>4</v>
      </c>
      <c r="B129" s="168"/>
      <c r="C129" s="185" t="s">
        <v>451</v>
      </c>
      <c r="D129" s="186"/>
      <c r="E129" s="177"/>
      <c r="F129" s="177"/>
      <c r="G129" s="177"/>
      <c r="H129" s="177"/>
      <c r="I129" s="177"/>
      <c r="J129" s="177"/>
      <c r="K129" s="177"/>
    </row>
    <row r="130" spans="1:11" ht="12.75" customHeight="1">
      <c r="A130" s="167"/>
      <c r="B130" s="168"/>
      <c r="C130" s="185" t="s">
        <v>452</v>
      </c>
      <c r="D130" s="186"/>
      <c r="E130" s="205"/>
      <c r="F130" s="230">
        <v>0</v>
      </c>
      <c r="G130" s="230">
        <v>0</v>
      </c>
      <c r="H130" s="230">
        <v>0</v>
      </c>
      <c r="I130" s="230">
        <v>0</v>
      </c>
      <c r="J130" s="230">
        <v>0</v>
      </c>
      <c r="K130" s="230">
        <v>0</v>
      </c>
    </row>
    <row r="131" spans="1:11" ht="12.75" customHeight="1">
      <c r="A131" s="167"/>
      <c r="B131" s="168"/>
      <c r="C131" s="166"/>
      <c r="D131" s="175"/>
      <c r="E131" s="177"/>
      <c r="F131" s="194"/>
      <c r="G131" s="194"/>
      <c r="H131" s="194"/>
      <c r="I131" s="194"/>
      <c r="J131" s="194"/>
      <c r="K131" s="194"/>
    </row>
    <row r="132" spans="1:11" ht="12.75" customHeight="1">
      <c r="A132" s="167">
        <v>5</v>
      </c>
      <c r="B132" s="168"/>
      <c r="C132" s="185" t="s">
        <v>453</v>
      </c>
      <c r="D132" s="186"/>
      <c r="E132" s="205"/>
      <c r="F132" s="230">
        <v>0</v>
      </c>
      <c r="G132" s="230">
        <v>0</v>
      </c>
      <c r="H132" s="230">
        <v>0</v>
      </c>
      <c r="I132" s="230">
        <v>0</v>
      </c>
      <c r="J132" s="230">
        <v>0</v>
      </c>
      <c r="K132" s="230">
        <v>0</v>
      </c>
    </row>
    <row r="133" spans="1:11" ht="12.75" customHeight="1">
      <c r="A133" s="167"/>
      <c r="B133" s="168"/>
      <c r="C133" s="166"/>
      <c r="D133" s="175"/>
      <c r="E133" s="177"/>
      <c r="F133" s="194"/>
      <c r="G133" s="194"/>
      <c r="H133" s="194"/>
      <c r="I133" s="194"/>
      <c r="J133" s="194"/>
      <c r="K133" s="194"/>
    </row>
    <row r="134" spans="1:11" ht="12.75" customHeight="1">
      <c r="A134" s="167">
        <v>6</v>
      </c>
      <c r="B134" s="168"/>
      <c r="C134" s="185" t="s">
        <v>454</v>
      </c>
      <c r="D134" s="186"/>
      <c r="E134" s="205"/>
      <c r="F134" s="230">
        <v>0</v>
      </c>
      <c r="G134" s="230">
        <v>0</v>
      </c>
      <c r="H134" s="230">
        <v>0</v>
      </c>
      <c r="I134" s="230">
        <v>0</v>
      </c>
      <c r="J134" s="230">
        <v>0</v>
      </c>
      <c r="K134" s="230">
        <v>0</v>
      </c>
    </row>
    <row r="135" spans="1:11" ht="12.75" customHeight="1">
      <c r="A135" s="167"/>
      <c r="B135" s="168"/>
      <c r="C135" s="166"/>
      <c r="D135" s="175"/>
      <c r="E135" s="177"/>
      <c r="F135" s="194"/>
      <c r="G135" s="194"/>
      <c r="H135" s="194"/>
      <c r="I135" s="194"/>
      <c r="J135" s="194"/>
      <c r="K135" s="194"/>
    </row>
    <row r="136" spans="1:11" ht="12.75" customHeight="1">
      <c r="A136" s="167">
        <v>7</v>
      </c>
      <c r="B136" s="168"/>
      <c r="C136" s="185" t="s">
        <v>455</v>
      </c>
      <c r="D136" s="186"/>
      <c r="E136" s="177"/>
      <c r="F136" s="194"/>
      <c r="G136" s="194"/>
      <c r="H136" s="194"/>
      <c r="I136" s="194"/>
      <c r="J136" s="194"/>
      <c r="K136" s="194"/>
    </row>
    <row r="137" spans="1:11" ht="12.75" customHeight="1">
      <c r="A137" s="167"/>
      <c r="B137" s="168"/>
      <c r="C137" s="185" t="s">
        <v>456</v>
      </c>
      <c r="D137" s="186"/>
      <c r="E137" s="205"/>
      <c r="F137" s="230">
        <v>0</v>
      </c>
      <c r="G137" s="230">
        <v>0</v>
      </c>
      <c r="H137" s="230">
        <v>0</v>
      </c>
      <c r="I137" s="230">
        <v>0</v>
      </c>
      <c r="J137" s="230">
        <v>0</v>
      </c>
      <c r="K137" s="230">
        <v>0</v>
      </c>
    </row>
    <row r="138" spans="1:11" ht="12.75" customHeight="1">
      <c r="A138" s="167"/>
      <c r="B138" s="168"/>
      <c r="C138" s="166"/>
      <c r="D138" s="175"/>
      <c r="E138" s="177"/>
      <c r="F138" s="177"/>
      <c r="G138" s="177"/>
      <c r="H138" s="177"/>
      <c r="I138" s="177"/>
      <c r="J138" s="177"/>
      <c r="K138" s="177"/>
    </row>
    <row r="139" spans="1:11" ht="12.75" customHeight="1">
      <c r="A139" s="167">
        <v>8</v>
      </c>
      <c r="B139" s="168"/>
      <c r="C139" s="185" t="s">
        <v>457</v>
      </c>
      <c r="D139" s="186"/>
      <c r="E139" s="177"/>
      <c r="F139" s="177"/>
      <c r="G139" s="177"/>
      <c r="H139" s="177"/>
      <c r="I139" s="177"/>
      <c r="J139" s="177"/>
      <c r="K139" s="177"/>
    </row>
    <row r="140" spans="1:11" ht="12.75" customHeight="1">
      <c r="A140" s="167"/>
      <c r="B140" s="168"/>
      <c r="C140" s="185" t="s">
        <v>456</v>
      </c>
      <c r="D140" s="186"/>
      <c r="E140" s="177"/>
      <c r="F140" s="177"/>
      <c r="G140" s="177"/>
      <c r="H140" s="177"/>
      <c r="I140" s="177"/>
      <c r="J140" s="177"/>
      <c r="K140" s="177"/>
    </row>
    <row r="141" spans="1:11" ht="12.75" customHeight="1">
      <c r="A141" s="167"/>
      <c r="B141" s="168"/>
      <c r="C141" s="185" t="s">
        <v>458</v>
      </c>
      <c r="D141" s="186"/>
      <c r="E141" s="233"/>
      <c r="F141" s="234"/>
      <c r="G141" s="234"/>
      <c r="H141" s="234"/>
      <c r="I141" s="234"/>
      <c r="J141" s="234"/>
      <c r="K141" s="234"/>
    </row>
    <row r="142" spans="1:11" ht="12.75" customHeight="1">
      <c r="A142" s="167"/>
      <c r="B142" s="168"/>
      <c r="C142" s="185" t="s">
        <v>459</v>
      </c>
      <c r="D142" s="186"/>
      <c r="E142" s="233"/>
      <c r="F142" s="234">
        <v>0</v>
      </c>
      <c r="G142" s="234">
        <v>0</v>
      </c>
      <c r="H142" s="234">
        <v>0</v>
      </c>
      <c r="I142" s="234">
        <v>0</v>
      </c>
      <c r="J142" s="234">
        <v>0</v>
      </c>
      <c r="K142" s="234">
        <v>0</v>
      </c>
    </row>
    <row r="143" spans="1:11" ht="12.75" customHeight="1">
      <c r="A143" s="167"/>
      <c r="B143" s="168"/>
      <c r="C143" s="166"/>
      <c r="D143" s="175"/>
      <c r="E143" s="177"/>
      <c r="F143" s="194"/>
      <c r="G143" s="194"/>
      <c r="H143" s="194"/>
      <c r="I143" s="194"/>
      <c r="J143" s="194"/>
      <c r="K143" s="194"/>
    </row>
    <row r="144" spans="1:11" ht="12.75" customHeight="1">
      <c r="A144" s="167">
        <v>9</v>
      </c>
      <c r="B144" s="168"/>
      <c r="C144" s="185" t="s">
        <v>460</v>
      </c>
      <c r="D144" s="186"/>
      <c r="E144" s="177"/>
      <c r="F144" s="193" t="e">
        <f>Financials!#REF!</f>
        <v>#REF!</v>
      </c>
      <c r="G144" s="193" t="e">
        <f>Financials!#REF!</f>
        <v>#REF!</v>
      </c>
      <c r="H144" s="193" t="e">
        <f>Financials!#REF!</f>
        <v>#REF!</v>
      </c>
      <c r="I144" s="193" t="e">
        <f>Financials!#REF!</f>
        <v>#REF!</v>
      </c>
      <c r="J144" s="193" t="e">
        <f>Financials!#REF!</f>
        <v>#REF!</v>
      </c>
      <c r="K144" s="193" t="e">
        <f>Financials!#REF!</f>
        <v>#REF!</v>
      </c>
    </row>
    <row r="145" spans="1:11" ht="12.75" customHeight="1">
      <c r="A145" s="167"/>
      <c r="B145" s="168"/>
      <c r="C145" s="185" t="s">
        <v>461</v>
      </c>
      <c r="D145" s="186"/>
      <c r="E145" s="177"/>
      <c r="F145" s="177"/>
      <c r="G145" s="177"/>
      <c r="H145" s="177"/>
      <c r="I145" s="177"/>
      <c r="J145" s="177"/>
      <c r="K145" s="177"/>
    </row>
    <row r="146" spans="1:11" ht="12.75" customHeight="1">
      <c r="A146" s="167"/>
      <c r="B146" s="168"/>
      <c r="C146" s="185" t="s">
        <v>462</v>
      </c>
      <c r="D146" s="186"/>
      <c r="E146" s="193"/>
      <c r="F146" s="193">
        <v>0</v>
      </c>
      <c r="G146" s="193">
        <v>0</v>
      </c>
      <c r="H146" s="193">
        <v>0</v>
      </c>
      <c r="I146" s="193">
        <v>0</v>
      </c>
      <c r="J146" s="193">
        <v>0</v>
      </c>
      <c r="K146" s="193">
        <v>0</v>
      </c>
    </row>
    <row r="147" spans="1:11" ht="12.75" customHeight="1">
      <c r="A147" s="167"/>
      <c r="B147" s="168"/>
      <c r="C147" s="185" t="s">
        <v>463</v>
      </c>
      <c r="D147" s="186"/>
      <c r="E147" s="193"/>
      <c r="F147" s="193">
        <v>0</v>
      </c>
      <c r="G147" s="193">
        <v>0</v>
      </c>
      <c r="H147" s="193">
        <v>0</v>
      </c>
      <c r="I147" s="193">
        <v>0</v>
      </c>
      <c r="J147" s="193">
        <v>0</v>
      </c>
      <c r="K147" s="193">
        <v>0</v>
      </c>
    </row>
    <row r="148" spans="1:11" ht="12.75" customHeight="1">
      <c r="A148" s="167"/>
      <c r="B148" s="168"/>
      <c r="C148" s="185" t="s">
        <v>464</v>
      </c>
      <c r="D148" s="186"/>
      <c r="E148" s="193"/>
      <c r="F148" s="193">
        <v>0</v>
      </c>
      <c r="G148" s="193">
        <v>0</v>
      </c>
      <c r="H148" s="193">
        <v>0</v>
      </c>
      <c r="I148" s="193">
        <v>0</v>
      </c>
      <c r="J148" s="193">
        <v>0</v>
      </c>
      <c r="K148" s="193">
        <v>0</v>
      </c>
    </row>
    <row r="149" spans="1:11" ht="12.75" customHeight="1">
      <c r="A149" s="167"/>
      <c r="B149" s="168"/>
      <c r="C149" s="185" t="s">
        <v>465</v>
      </c>
      <c r="D149" s="186"/>
      <c r="E149" s="193"/>
      <c r="F149" s="193">
        <v>0</v>
      </c>
      <c r="G149" s="193">
        <v>0</v>
      </c>
      <c r="H149" s="193">
        <v>0</v>
      </c>
      <c r="I149" s="193">
        <v>0</v>
      </c>
      <c r="J149" s="193">
        <v>0</v>
      </c>
      <c r="K149" s="193">
        <v>0</v>
      </c>
    </row>
    <row r="150" spans="1:11" ht="12.75" customHeight="1">
      <c r="A150" s="167"/>
      <c r="B150" s="168"/>
      <c r="C150" s="185" t="s">
        <v>466</v>
      </c>
      <c r="D150" s="186"/>
      <c r="E150" s="193"/>
      <c r="F150" s="193" t="e">
        <f>Financials!#REF!</f>
        <v>#REF!</v>
      </c>
      <c r="G150" s="193" t="e">
        <f>Financials!#REF!</f>
        <v>#REF!</v>
      </c>
      <c r="H150" s="193" t="e">
        <f>Financials!#REF!</f>
        <v>#REF!</v>
      </c>
      <c r="I150" s="193" t="e">
        <f>Financials!#REF!</f>
        <v>#REF!</v>
      </c>
      <c r="J150" s="193" t="e">
        <f>Financials!#REF!</f>
        <v>#REF!</v>
      </c>
      <c r="K150" s="193" t="e">
        <f>Financials!#REF!</f>
        <v>#REF!</v>
      </c>
    </row>
    <row r="151" spans="1:11" ht="12.75" customHeight="1">
      <c r="A151" s="167"/>
      <c r="B151" s="168"/>
      <c r="C151" s="185" t="s">
        <v>467</v>
      </c>
      <c r="D151" s="186"/>
      <c r="E151" s="193"/>
      <c r="F151" s="193">
        <v>0</v>
      </c>
      <c r="G151" s="193">
        <v>0</v>
      </c>
      <c r="H151" s="193">
        <v>0</v>
      </c>
      <c r="I151" s="193">
        <v>0</v>
      </c>
      <c r="J151" s="193">
        <v>0</v>
      </c>
      <c r="K151" s="193">
        <v>0</v>
      </c>
    </row>
    <row r="152" spans="1:11" ht="12.75" customHeight="1">
      <c r="A152" s="167"/>
      <c r="B152" s="168"/>
      <c r="C152" s="185" t="s">
        <v>468</v>
      </c>
      <c r="D152" s="186"/>
      <c r="E152" s="193"/>
      <c r="F152" s="193">
        <v>0</v>
      </c>
      <c r="G152" s="193">
        <v>0</v>
      </c>
      <c r="H152" s="193">
        <v>0</v>
      </c>
      <c r="I152" s="193">
        <v>0</v>
      </c>
      <c r="J152" s="193">
        <v>0</v>
      </c>
      <c r="K152" s="193">
        <v>0</v>
      </c>
    </row>
    <row r="153" spans="1:11" ht="12.75" customHeight="1">
      <c r="A153" s="167"/>
      <c r="B153" s="168"/>
      <c r="C153" s="166"/>
      <c r="D153" s="175"/>
      <c r="E153" s="177"/>
      <c r="F153" s="177"/>
      <c r="G153" s="177"/>
      <c r="H153" s="177"/>
      <c r="I153" s="177"/>
      <c r="J153" s="177"/>
      <c r="K153" s="177"/>
    </row>
    <row r="154" spans="1:11" ht="12.75" customHeight="1">
      <c r="A154" s="167"/>
      <c r="B154" s="168"/>
      <c r="C154" s="189" t="s">
        <v>469</v>
      </c>
      <c r="D154" s="190"/>
      <c r="E154" s="235">
        <f t="shared" ref="E154:K154" si="22">SUM(E123:E152)</f>
        <v>0</v>
      </c>
      <c r="F154" s="236" t="e">
        <f t="shared" si="22"/>
        <v>#REF!</v>
      </c>
      <c r="G154" s="236" t="e">
        <f t="shared" si="22"/>
        <v>#REF!</v>
      </c>
      <c r="H154" s="236" t="e">
        <f t="shared" si="22"/>
        <v>#REF!</v>
      </c>
      <c r="I154" s="236" t="e">
        <f t="shared" si="22"/>
        <v>#REF!</v>
      </c>
      <c r="J154" s="236" t="e">
        <f t="shared" si="22"/>
        <v>#REF!</v>
      </c>
      <c r="K154" s="236" t="e">
        <f t="shared" si="22"/>
        <v>#REF!</v>
      </c>
    </row>
    <row r="155" spans="1:11" ht="12.75" customHeight="1">
      <c r="A155" s="167"/>
      <c r="B155" s="168"/>
      <c r="C155" s="166"/>
      <c r="D155" s="175"/>
      <c r="E155" s="177"/>
      <c r="F155" s="177"/>
      <c r="G155" s="177"/>
      <c r="H155" s="177"/>
      <c r="I155" s="177"/>
      <c r="J155" s="177"/>
      <c r="K155" s="177"/>
    </row>
    <row r="156" spans="1:11" ht="12.75" customHeight="1">
      <c r="A156" s="167">
        <v>10</v>
      </c>
      <c r="B156" s="168"/>
      <c r="C156" s="185" t="s">
        <v>470</v>
      </c>
      <c r="D156" s="186"/>
      <c r="E156" s="235">
        <f t="shared" ref="E156:K156" si="23">E122+E154</f>
        <v>0</v>
      </c>
      <c r="F156" s="235" t="e">
        <f t="shared" si="23"/>
        <v>#REF!</v>
      </c>
      <c r="G156" s="235" t="e">
        <f t="shared" si="23"/>
        <v>#REF!</v>
      </c>
      <c r="H156" s="235" t="e">
        <f t="shared" si="23"/>
        <v>#REF!</v>
      </c>
      <c r="I156" s="235" t="e">
        <f t="shared" si="23"/>
        <v>#REF!</v>
      </c>
      <c r="J156" s="235" t="e">
        <f t="shared" si="23"/>
        <v>#REF!</v>
      </c>
      <c r="K156" s="235" t="e">
        <f t="shared" si="23"/>
        <v>#REF!</v>
      </c>
    </row>
    <row r="157" spans="1:11" ht="12.75" customHeight="1">
      <c r="A157" s="167"/>
      <c r="B157" s="168"/>
      <c r="C157" s="166"/>
      <c r="D157" s="175"/>
      <c r="E157" s="177"/>
      <c r="F157" s="177"/>
      <c r="G157" s="177"/>
      <c r="H157" s="177"/>
      <c r="I157" s="177"/>
      <c r="J157" s="177"/>
      <c r="K157" s="177"/>
    </row>
    <row r="158" spans="1:11" ht="12.75" customHeight="1">
      <c r="A158" s="167"/>
      <c r="B158" s="168"/>
      <c r="C158" s="166"/>
      <c r="D158" s="175"/>
      <c r="E158" s="177"/>
      <c r="F158" s="177"/>
      <c r="G158" s="177"/>
      <c r="H158" s="177"/>
      <c r="I158" s="177"/>
      <c r="J158" s="177"/>
      <c r="K158" s="177"/>
    </row>
    <row r="159" spans="1:11" ht="12.75" customHeight="1">
      <c r="A159" s="167"/>
      <c r="B159" s="168"/>
      <c r="C159" s="166"/>
      <c r="D159" s="175"/>
      <c r="E159" s="177"/>
      <c r="F159" s="177"/>
      <c r="G159" s="177"/>
      <c r="H159" s="177"/>
      <c r="I159" s="177"/>
      <c r="J159" s="177"/>
      <c r="K159" s="177"/>
    </row>
    <row r="160" spans="1:11" ht="12.75" customHeight="1">
      <c r="A160" s="167"/>
      <c r="B160" s="168"/>
      <c r="C160" s="185"/>
      <c r="D160" s="186"/>
      <c r="E160" s="193"/>
      <c r="F160" s="193"/>
      <c r="G160" s="193"/>
      <c r="H160" s="193"/>
      <c r="I160" s="193"/>
      <c r="J160" s="193"/>
      <c r="K160" s="193"/>
    </row>
    <row r="161" spans="1:11" ht="12.75" customHeight="1">
      <c r="A161" s="167"/>
      <c r="B161" s="168"/>
      <c r="C161" s="166" t="s">
        <v>471</v>
      </c>
      <c r="D161" s="175"/>
      <c r="E161" s="177"/>
      <c r="F161" s="177"/>
      <c r="G161" s="177"/>
      <c r="H161" s="177"/>
      <c r="I161" s="177"/>
      <c r="J161" s="177"/>
      <c r="K161" s="177"/>
    </row>
    <row r="162" spans="1:11" ht="12.75" customHeight="1">
      <c r="A162" s="221" t="s">
        <v>472</v>
      </c>
      <c r="B162" s="168"/>
      <c r="C162" s="185" t="s">
        <v>473</v>
      </c>
      <c r="D162" s="186"/>
      <c r="E162" s="193"/>
      <c r="F162" s="193"/>
      <c r="G162" s="193"/>
      <c r="H162" s="193"/>
      <c r="I162" s="193"/>
      <c r="J162" s="193"/>
      <c r="K162" s="193"/>
    </row>
    <row r="163" spans="1:11" ht="12.75" customHeight="1">
      <c r="A163" s="167">
        <v>11</v>
      </c>
      <c r="B163" s="168"/>
      <c r="C163" s="185" t="s">
        <v>474</v>
      </c>
      <c r="D163" s="186"/>
      <c r="E163" s="177"/>
      <c r="F163" s="177"/>
      <c r="G163" s="177"/>
      <c r="H163" s="177"/>
      <c r="I163" s="177"/>
      <c r="J163" s="177"/>
      <c r="K163" s="177"/>
    </row>
    <row r="164" spans="1:11" ht="12.75" customHeight="1">
      <c r="A164" s="167"/>
      <c r="B164" s="168"/>
      <c r="C164" s="185" t="s">
        <v>475</v>
      </c>
      <c r="D164" s="186"/>
      <c r="E164" s="194">
        <v>0</v>
      </c>
      <c r="F164" s="194" t="e">
        <f>Financials!#REF!</f>
        <v>#REF!</v>
      </c>
      <c r="G164" s="194" t="e">
        <f>Financials!#REF!</f>
        <v>#REF!</v>
      </c>
      <c r="H164" s="194" t="e">
        <f>Financials!#REF!</f>
        <v>#REF!</v>
      </c>
      <c r="I164" s="194" t="e">
        <f>Financials!#REF!</f>
        <v>#REF!</v>
      </c>
      <c r="J164" s="194" t="e">
        <f>Financials!#REF!</f>
        <v>#REF!</v>
      </c>
      <c r="K164" s="194" t="e">
        <f>Financials!#REF!</f>
        <v>#REF!</v>
      </c>
    </row>
    <row r="165" spans="1:11" ht="12.75" customHeight="1">
      <c r="A165" s="167"/>
      <c r="B165" s="168"/>
      <c r="C165" s="166"/>
      <c r="D165" s="175"/>
      <c r="E165" s="194"/>
      <c r="F165" s="194"/>
      <c r="G165" s="194"/>
      <c r="H165" s="194"/>
      <c r="I165" s="194"/>
      <c r="J165" s="194"/>
      <c r="K165" s="194"/>
    </row>
    <row r="166" spans="1:11" ht="12.75" customHeight="1">
      <c r="A166" s="167">
        <v>12</v>
      </c>
      <c r="B166" s="168"/>
      <c r="C166" s="185" t="s">
        <v>476</v>
      </c>
      <c r="D166" s="186"/>
      <c r="E166" s="194"/>
      <c r="F166" s="194"/>
      <c r="G166" s="194"/>
      <c r="H166" s="194"/>
      <c r="I166" s="194"/>
      <c r="J166" s="194"/>
      <c r="K166" s="194"/>
    </row>
    <row r="167" spans="1:11" ht="12.75" customHeight="1">
      <c r="A167" s="167"/>
      <c r="B167" s="168"/>
      <c r="C167" s="185" t="s">
        <v>477</v>
      </c>
      <c r="D167" s="186"/>
      <c r="E167" s="194">
        <v>0</v>
      </c>
      <c r="F167" s="194">
        <v>0</v>
      </c>
      <c r="G167" s="194">
        <v>0</v>
      </c>
      <c r="H167" s="194">
        <v>0</v>
      </c>
      <c r="I167" s="194">
        <v>0</v>
      </c>
      <c r="J167" s="194">
        <v>0</v>
      </c>
      <c r="K167" s="194">
        <v>0</v>
      </c>
    </row>
    <row r="168" spans="1:11" ht="12.75" customHeight="1">
      <c r="A168" s="167"/>
      <c r="B168" s="168"/>
      <c r="C168" s="166"/>
      <c r="D168" s="175"/>
      <c r="E168" s="194"/>
      <c r="F168" s="194"/>
      <c r="G168" s="194"/>
      <c r="H168" s="194"/>
      <c r="I168" s="194"/>
      <c r="J168" s="194"/>
      <c r="K168" s="194"/>
    </row>
    <row r="169" spans="1:11" ht="12.75" customHeight="1">
      <c r="A169" s="167">
        <v>13</v>
      </c>
      <c r="B169" s="168"/>
      <c r="C169" s="185" t="s">
        <v>478</v>
      </c>
      <c r="D169" s="186"/>
      <c r="E169" s="205" t="s">
        <v>472</v>
      </c>
      <c r="F169" s="205" t="s">
        <v>472</v>
      </c>
      <c r="G169" s="205" t="s">
        <v>472</v>
      </c>
      <c r="H169" s="205" t="s">
        <v>472</v>
      </c>
      <c r="I169" s="205" t="s">
        <v>472</v>
      </c>
      <c r="J169" s="205" t="s">
        <v>472</v>
      </c>
      <c r="K169" s="205" t="s">
        <v>472</v>
      </c>
    </row>
    <row r="170" spans="1:11" ht="12.75" customHeight="1">
      <c r="A170" s="167"/>
      <c r="B170" s="168"/>
      <c r="C170" s="185" t="s">
        <v>479</v>
      </c>
      <c r="D170" s="186"/>
      <c r="E170" s="205"/>
      <c r="F170" s="230">
        <f>Financials!C99</f>
        <v>5150.42</v>
      </c>
      <c r="G170" s="230">
        <f>Financials!D99</f>
        <v>5768.52</v>
      </c>
      <c r="H170" s="230">
        <f>Financials!E99</f>
        <v>5306.0933000000005</v>
      </c>
      <c r="I170" s="230">
        <f>Financials!G99</f>
        <v>0</v>
      </c>
      <c r="J170" s="230">
        <f>Financials!I99</f>
        <v>3702.57</v>
      </c>
      <c r="K170" s="230">
        <f>Financials!J99</f>
        <v>3279.84</v>
      </c>
    </row>
    <row r="171" spans="1:11" ht="12.75" customHeight="1">
      <c r="A171" s="167"/>
      <c r="B171" s="168"/>
      <c r="C171" s="185"/>
      <c r="D171" s="186"/>
      <c r="E171" s="233"/>
      <c r="F171" s="234"/>
      <c r="G171" s="234"/>
      <c r="H171" s="234"/>
      <c r="I171" s="234"/>
      <c r="J171" s="234"/>
      <c r="K171" s="234"/>
    </row>
    <row r="172" spans="1:11" ht="12.75" customHeight="1">
      <c r="A172" s="167"/>
      <c r="B172" s="168"/>
      <c r="C172" s="166" t="s">
        <v>480</v>
      </c>
      <c r="D172" s="175"/>
      <c r="E172" s="233"/>
      <c r="F172" s="234">
        <f>Financials!C100</f>
        <v>0</v>
      </c>
      <c r="G172" s="234">
        <f>Financials!D100</f>
        <v>0</v>
      </c>
      <c r="H172" s="234">
        <f>Financials!E100</f>
        <v>0</v>
      </c>
      <c r="I172" s="234">
        <f>Financials!G100</f>
        <v>0</v>
      </c>
      <c r="J172" s="234">
        <f>Financials!I100</f>
        <v>0</v>
      </c>
      <c r="K172" s="234">
        <f>Financials!J100</f>
        <v>0</v>
      </c>
    </row>
    <row r="173" spans="1:11" ht="12.75" customHeight="1">
      <c r="A173" s="167"/>
      <c r="B173" s="168"/>
      <c r="D173" s="186"/>
      <c r="E173" s="177"/>
      <c r="F173" s="177"/>
      <c r="G173" s="177"/>
      <c r="H173" s="177"/>
      <c r="I173" s="177"/>
      <c r="J173" s="177"/>
      <c r="K173" s="177"/>
    </row>
    <row r="174" spans="1:11" ht="12.75" customHeight="1">
      <c r="A174" s="167">
        <v>14</v>
      </c>
      <c r="B174" s="168"/>
      <c r="C174" s="185" t="s">
        <v>481</v>
      </c>
      <c r="D174" s="186"/>
      <c r="E174" s="237"/>
      <c r="F174" s="194"/>
      <c r="G174" s="194"/>
      <c r="H174" s="194"/>
      <c r="I174" s="194"/>
      <c r="J174" s="194"/>
      <c r="K174" s="194"/>
    </row>
    <row r="175" spans="1:11" ht="12.75" customHeight="1">
      <c r="A175" s="167"/>
      <c r="B175" s="168"/>
      <c r="C175" s="185" t="s">
        <v>482</v>
      </c>
      <c r="D175" s="186"/>
      <c r="E175" s="205"/>
      <c r="F175" s="230">
        <v>0</v>
      </c>
      <c r="G175" s="230">
        <v>0</v>
      </c>
      <c r="H175" s="230">
        <v>0</v>
      </c>
      <c r="I175" s="230">
        <v>0</v>
      </c>
      <c r="J175" s="230">
        <v>0</v>
      </c>
      <c r="K175" s="230">
        <v>0</v>
      </c>
    </row>
    <row r="176" spans="1:11" ht="12.75" customHeight="1">
      <c r="A176" s="167"/>
      <c r="B176" s="168"/>
      <c r="C176" s="185" t="s">
        <v>483</v>
      </c>
      <c r="D176" s="186"/>
      <c r="E176" s="237"/>
      <c r="F176" s="194">
        <v>0</v>
      </c>
      <c r="G176" s="194">
        <v>0</v>
      </c>
      <c r="H176" s="194">
        <v>0</v>
      </c>
      <c r="I176" s="194">
        <v>0</v>
      </c>
      <c r="J176" s="194">
        <v>0</v>
      </c>
      <c r="K176" s="194">
        <v>0</v>
      </c>
    </row>
    <row r="177" spans="1:11" ht="12.75" customHeight="1">
      <c r="A177" s="167"/>
      <c r="B177" s="168"/>
      <c r="C177" s="166"/>
      <c r="D177" s="175"/>
      <c r="E177" s="177"/>
      <c r="F177" s="194"/>
      <c r="G177" s="194"/>
      <c r="H177" s="194"/>
      <c r="I177" s="194"/>
      <c r="J177" s="194"/>
      <c r="K177" s="194"/>
    </row>
    <row r="178" spans="1:11" ht="12.75" customHeight="1">
      <c r="A178" s="167">
        <v>15</v>
      </c>
      <c r="B178" s="168"/>
      <c r="C178" s="185" t="s">
        <v>484</v>
      </c>
      <c r="D178" s="186"/>
      <c r="E178" s="177"/>
      <c r="F178" s="194"/>
      <c r="G178" s="194"/>
      <c r="H178" s="194"/>
      <c r="I178" s="194"/>
      <c r="J178" s="194"/>
      <c r="K178" s="194"/>
    </row>
    <row r="179" spans="1:11" ht="12.75" customHeight="1">
      <c r="A179" s="167"/>
      <c r="B179" s="168"/>
      <c r="C179" s="185" t="s">
        <v>485</v>
      </c>
      <c r="D179" s="186"/>
      <c r="E179" s="237"/>
      <c r="F179" s="194">
        <v>0</v>
      </c>
      <c r="G179" s="194">
        <v>0</v>
      </c>
      <c r="H179" s="194">
        <v>0</v>
      </c>
      <c r="I179" s="194">
        <v>0</v>
      </c>
      <c r="J179" s="194">
        <v>0</v>
      </c>
      <c r="K179" s="194">
        <v>0</v>
      </c>
    </row>
    <row r="180" spans="1:11" ht="12.75" customHeight="1">
      <c r="A180" s="167"/>
      <c r="B180" s="168"/>
      <c r="C180" s="166"/>
      <c r="D180" s="175"/>
      <c r="E180" s="177"/>
      <c r="F180" s="194"/>
      <c r="G180" s="194"/>
      <c r="H180" s="194"/>
      <c r="I180" s="194"/>
      <c r="J180" s="194"/>
      <c r="K180" s="194"/>
    </row>
    <row r="181" spans="1:11" ht="12.75" customHeight="1">
      <c r="A181" s="167">
        <v>16</v>
      </c>
      <c r="B181" s="168"/>
      <c r="C181" s="185" t="s">
        <v>486</v>
      </c>
      <c r="D181" s="186"/>
      <c r="E181" s="205"/>
      <c r="F181" s="230" t="e">
        <f>Financials!C102+Financials!#REF!+Financials!C110</f>
        <v>#REF!</v>
      </c>
      <c r="G181" s="230" t="e">
        <f>Financials!D102+Financials!#REF!+Financials!D110</f>
        <v>#REF!</v>
      </c>
      <c r="H181" s="230" t="e">
        <f>Financials!E102+Financials!#REF!+Financials!E110</f>
        <v>#REF!</v>
      </c>
      <c r="I181" s="230" t="e">
        <f>Financials!G102+Financials!G110+Financials!#REF!</f>
        <v>#REF!</v>
      </c>
      <c r="J181" s="230" t="e">
        <f>Financials!I102+Financials!I110+Financials!#REF!</f>
        <v>#REF!</v>
      </c>
      <c r="K181" s="230" t="e">
        <f>Financials!J102+Financials!J110+Financials!#REF!</f>
        <v>#REF!</v>
      </c>
    </row>
    <row r="182" spans="1:11" ht="12.75" customHeight="1">
      <c r="A182" s="167"/>
      <c r="B182" s="168"/>
      <c r="C182" s="166"/>
      <c r="D182" s="175"/>
      <c r="E182" s="177"/>
      <c r="F182" s="230"/>
      <c r="G182" s="230"/>
      <c r="H182" s="194"/>
      <c r="I182" s="194"/>
      <c r="J182" s="194"/>
      <c r="K182" s="194"/>
    </row>
    <row r="183" spans="1:11" ht="12.75" customHeight="1">
      <c r="A183" s="167">
        <v>17</v>
      </c>
      <c r="B183" s="168"/>
      <c r="C183" s="185" t="s">
        <v>487</v>
      </c>
      <c r="D183" s="186"/>
      <c r="E183" s="236"/>
      <c r="F183" s="231" t="e">
        <f t="shared" ref="F183:K183" si="24">SUM(F164:F181)</f>
        <v>#REF!</v>
      </c>
      <c r="G183" s="231" t="e">
        <f t="shared" si="24"/>
        <v>#REF!</v>
      </c>
      <c r="H183" s="231" t="e">
        <f t="shared" si="24"/>
        <v>#REF!</v>
      </c>
      <c r="I183" s="231" t="e">
        <f t="shared" si="24"/>
        <v>#REF!</v>
      </c>
      <c r="J183" s="231" t="e">
        <f t="shared" si="24"/>
        <v>#REF!</v>
      </c>
      <c r="K183" s="231" t="e">
        <f t="shared" si="24"/>
        <v>#REF!</v>
      </c>
    </row>
    <row r="184" spans="1:11" ht="12.75" customHeight="1">
      <c r="A184" s="167"/>
      <c r="B184" s="168"/>
      <c r="C184" s="505" t="s">
        <v>488</v>
      </c>
      <c r="D184" s="186"/>
      <c r="E184" s="177"/>
      <c r="F184" s="194"/>
      <c r="G184" s="194"/>
      <c r="H184" s="194"/>
      <c r="I184" s="194"/>
      <c r="J184" s="194"/>
      <c r="K184" s="194"/>
    </row>
    <row r="185" spans="1:11" ht="12.75" customHeight="1">
      <c r="A185" s="167"/>
      <c r="B185" s="168"/>
      <c r="C185" s="166"/>
      <c r="D185" s="175"/>
      <c r="E185" s="177"/>
      <c r="F185" s="194"/>
      <c r="G185" s="194"/>
      <c r="H185" s="194"/>
      <c r="I185" s="194"/>
      <c r="J185" s="194"/>
      <c r="K185" s="194"/>
    </row>
    <row r="186" spans="1:11" ht="12.75" customHeight="1">
      <c r="A186" s="167">
        <v>18</v>
      </c>
      <c r="B186" s="168"/>
      <c r="C186" s="185" t="s">
        <v>489</v>
      </c>
      <c r="D186" s="186"/>
      <c r="E186" s="236"/>
      <c r="F186" s="231" t="e">
        <f t="shared" ref="F186:K186" si="25">F183+F156</f>
        <v>#REF!</v>
      </c>
      <c r="G186" s="231" t="e">
        <f t="shared" si="25"/>
        <v>#REF!</v>
      </c>
      <c r="H186" s="231" t="e">
        <f t="shared" si="25"/>
        <v>#REF!</v>
      </c>
      <c r="I186" s="231" t="e">
        <f t="shared" si="25"/>
        <v>#REF!</v>
      </c>
      <c r="J186" s="231" t="e">
        <f t="shared" si="25"/>
        <v>#REF!</v>
      </c>
      <c r="K186" s="231" t="e">
        <f t="shared" si="25"/>
        <v>#REF!</v>
      </c>
    </row>
    <row r="187" spans="1:11" ht="12.75" customHeight="1">
      <c r="A187" s="167"/>
      <c r="B187" s="168"/>
      <c r="C187" s="185" t="s">
        <v>490</v>
      </c>
      <c r="D187" s="186"/>
      <c r="E187" s="177"/>
      <c r="F187" s="194"/>
      <c r="G187" s="194"/>
      <c r="H187" s="194"/>
      <c r="I187" s="194"/>
      <c r="J187" s="194"/>
      <c r="K187" s="194"/>
    </row>
    <row r="188" spans="1:11" ht="12.75" customHeight="1">
      <c r="A188" s="167"/>
      <c r="B188" s="168"/>
      <c r="C188" s="166"/>
      <c r="D188" s="175"/>
      <c r="E188" s="177"/>
      <c r="F188" s="194"/>
      <c r="G188" s="194"/>
      <c r="H188" s="194"/>
      <c r="I188" s="194"/>
      <c r="J188" s="194"/>
      <c r="K188" s="194"/>
    </row>
    <row r="189" spans="1:11" ht="12.75" customHeight="1">
      <c r="A189" s="167"/>
      <c r="B189" s="168"/>
      <c r="C189" s="185" t="s">
        <v>491</v>
      </c>
      <c r="D189" s="186"/>
      <c r="E189" s="205"/>
      <c r="F189" s="230"/>
      <c r="G189" s="230"/>
      <c r="H189" s="230"/>
      <c r="I189" s="230"/>
      <c r="J189" s="230"/>
      <c r="K189" s="230"/>
    </row>
    <row r="190" spans="1:11" ht="12.75" customHeight="1">
      <c r="A190" s="167"/>
      <c r="B190" s="168"/>
      <c r="C190" s="185" t="s">
        <v>492</v>
      </c>
      <c r="D190" s="186"/>
      <c r="E190" s="177"/>
      <c r="F190" s="194"/>
      <c r="G190" s="194"/>
      <c r="H190" s="194"/>
      <c r="I190" s="194"/>
      <c r="J190" s="194"/>
      <c r="K190" s="194"/>
    </row>
    <row r="191" spans="1:11" ht="12.75" customHeight="1">
      <c r="A191" s="167">
        <v>19</v>
      </c>
      <c r="B191" s="168"/>
      <c r="C191" s="185" t="s">
        <v>493</v>
      </c>
      <c r="D191" s="186"/>
      <c r="E191" s="238"/>
      <c r="F191" s="195">
        <f>Financials!C92</f>
        <v>103.05545499999999</v>
      </c>
      <c r="G191" s="195">
        <f>Financials!D92</f>
        <v>103.343075</v>
      </c>
      <c r="H191" s="195">
        <f>Financials!E92</f>
        <v>103.343075</v>
      </c>
      <c r="I191" s="195">
        <f>Financials!G92</f>
        <v>0</v>
      </c>
      <c r="J191" s="195">
        <f>Financials!I92</f>
        <v>103.343075</v>
      </c>
      <c r="K191" s="195">
        <f>Financials!J92</f>
        <v>103.343075</v>
      </c>
    </row>
    <row r="192" spans="1:11" ht="12.75" customHeight="1">
      <c r="A192" s="167"/>
      <c r="B192" s="168"/>
      <c r="C192" s="166"/>
      <c r="D192" s="175"/>
      <c r="E192" s="177"/>
      <c r="F192" s="194"/>
      <c r="G192" s="194"/>
      <c r="H192" s="194"/>
      <c r="I192" s="194"/>
      <c r="J192" s="194"/>
      <c r="K192" s="194"/>
    </row>
    <row r="193" spans="1:11" ht="12.75" customHeight="1">
      <c r="A193" s="167">
        <v>20</v>
      </c>
      <c r="B193" s="168"/>
      <c r="C193" s="185" t="s">
        <v>494</v>
      </c>
      <c r="D193" s="186"/>
      <c r="E193" s="239"/>
      <c r="F193" s="239">
        <v>0</v>
      </c>
      <c r="G193" s="239">
        <v>0</v>
      </c>
      <c r="H193" s="239">
        <v>0</v>
      </c>
      <c r="I193" s="239">
        <v>0</v>
      </c>
      <c r="J193" s="239">
        <v>0</v>
      </c>
      <c r="K193" s="239">
        <v>0</v>
      </c>
    </row>
    <row r="194" spans="1:11" ht="12.75" customHeight="1">
      <c r="A194" s="167"/>
      <c r="B194" s="168"/>
      <c r="C194" s="166"/>
      <c r="D194" s="175"/>
      <c r="E194" s="177"/>
      <c r="F194" s="177"/>
      <c r="G194" s="177"/>
      <c r="H194" s="177"/>
      <c r="I194" s="177"/>
      <c r="J194" s="177"/>
      <c r="K194" s="177"/>
    </row>
    <row r="195" spans="1:11" ht="12.75" customHeight="1">
      <c r="A195" s="167">
        <v>21</v>
      </c>
      <c r="B195" s="168"/>
      <c r="C195" s="185" t="s">
        <v>495</v>
      </c>
      <c r="D195" s="186"/>
      <c r="E195" s="191"/>
      <c r="F195" s="191">
        <v>0</v>
      </c>
      <c r="G195" s="191"/>
      <c r="H195" s="191"/>
      <c r="I195" s="191"/>
      <c r="J195" s="191"/>
      <c r="K195" s="191"/>
    </row>
    <row r="196" spans="1:11" ht="12.75" customHeight="1">
      <c r="A196" s="167"/>
      <c r="B196" s="168"/>
      <c r="C196" s="185"/>
      <c r="D196" s="186"/>
      <c r="E196" s="191"/>
      <c r="F196" s="191"/>
      <c r="G196" s="191"/>
      <c r="H196" s="191"/>
      <c r="I196" s="191"/>
      <c r="J196" s="191"/>
      <c r="K196" s="191"/>
    </row>
    <row r="197" spans="1:11" ht="12.75" customHeight="1">
      <c r="A197" s="167">
        <v>22</v>
      </c>
      <c r="B197" s="168"/>
      <c r="C197" s="185" t="s">
        <v>496</v>
      </c>
      <c r="D197" s="186"/>
      <c r="E197" s="238"/>
      <c r="F197" s="238">
        <f>Financials!C93</f>
        <v>1030.4545519999999</v>
      </c>
      <c r="G197" s="238">
        <f>Financials!D93</f>
        <v>1033.3307520000001</v>
      </c>
      <c r="H197" s="238">
        <f>Financials!E93</f>
        <v>1033.3307520000001</v>
      </c>
      <c r="I197" s="238">
        <f>Financials!G93</f>
        <v>0</v>
      </c>
      <c r="J197" s="238">
        <f>Financials!I93</f>
        <v>1033.3307520000001</v>
      </c>
      <c r="K197" s="238">
        <f>Financials!J93</f>
        <v>1033.3307520000001</v>
      </c>
    </row>
    <row r="198" spans="1:11" ht="12.75" customHeight="1">
      <c r="A198" s="167"/>
      <c r="B198" s="168"/>
      <c r="C198" s="166"/>
      <c r="D198" s="175"/>
      <c r="E198" s="177"/>
      <c r="F198" s="177"/>
      <c r="G198" s="177"/>
      <c r="H198" s="177"/>
      <c r="I198" s="177"/>
      <c r="J198" s="177"/>
      <c r="K198" s="177"/>
    </row>
    <row r="199" spans="1:11" ht="12.75" customHeight="1">
      <c r="A199" s="167">
        <v>23</v>
      </c>
      <c r="B199" s="168"/>
      <c r="C199" s="185" t="s">
        <v>497</v>
      </c>
      <c r="D199" s="186"/>
      <c r="E199" s="177"/>
      <c r="F199" s="177"/>
      <c r="G199" s="177"/>
      <c r="H199" s="177"/>
      <c r="I199" s="177"/>
      <c r="J199" s="177"/>
      <c r="K199" s="177"/>
    </row>
    <row r="200" spans="1:11" ht="12.75" customHeight="1">
      <c r="A200" s="167"/>
      <c r="B200" s="168"/>
      <c r="C200" s="185" t="s">
        <v>498</v>
      </c>
      <c r="D200" s="186"/>
      <c r="E200" s="238"/>
      <c r="F200" s="238">
        <f>Financials!C94</f>
        <v>-16.147200000000002</v>
      </c>
      <c r="G200" s="238">
        <f>Financials!D94</f>
        <v>164.91</v>
      </c>
      <c r="H200" s="238">
        <f>Financials!E94</f>
        <v>-268.32</v>
      </c>
      <c r="I200" s="238">
        <f>Financials!G94</f>
        <v>0</v>
      </c>
      <c r="J200" s="238">
        <f>Financials!I94</f>
        <v>-1914.63</v>
      </c>
      <c r="K200" s="238">
        <f>Financials!J94</f>
        <v>-2201.59</v>
      </c>
    </row>
    <row r="201" spans="1:11" ht="12.75" customHeight="1">
      <c r="A201" s="167"/>
      <c r="B201" s="168"/>
      <c r="C201" s="166"/>
      <c r="D201" s="175"/>
      <c r="E201" s="177"/>
      <c r="F201" s="177"/>
      <c r="G201" s="177"/>
      <c r="H201" s="177"/>
      <c r="I201" s="177"/>
      <c r="J201" s="177"/>
      <c r="K201" s="177"/>
    </row>
    <row r="202" spans="1:11" ht="12.75" customHeight="1">
      <c r="A202" s="240">
        <v>24</v>
      </c>
      <c r="B202" s="168"/>
      <c r="C202" s="166" t="s">
        <v>499</v>
      </c>
      <c r="D202" s="175"/>
      <c r="E202" s="191"/>
      <c r="F202" s="191"/>
      <c r="G202" s="191"/>
      <c r="H202" s="191"/>
      <c r="I202" s="191"/>
      <c r="J202" s="191"/>
      <c r="K202" s="191"/>
    </row>
    <row r="203" spans="1:11" ht="12.75" customHeight="1">
      <c r="A203" s="240"/>
      <c r="B203" s="168"/>
      <c r="C203" s="157" t="s">
        <v>500</v>
      </c>
      <c r="D203" s="241"/>
      <c r="E203" s="205"/>
      <c r="F203" s="230">
        <f>Financials!C95</f>
        <v>3.1638199999999999</v>
      </c>
      <c r="G203" s="230">
        <f>Financials!D95</f>
        <v>0</v>
      </c>
      <c r="H203" s="230">
        <f>Financials!E95</f>
        <v>0</v>
      </c>
      <c r="I203" s="230">
        <f>Financials!G95</f>
        <v>0</v>
      </c>
      <c r="J203" s="230">
        <f>Financials!I95</f>
        <v>0</v>
      </c>
      <c r="K203" s="230">
        <f>Financials!J95</f>
        <v>0</v>
      </c>
    </row>
    <row r="204" spans="1:11" ht="12.75" customHeight="1">
      <c r="A204" s="167"/>
      <c r="B204" s="168"/>
      <c r="C204" s="166"/>
      <c r="D204" s="175"/>
      <c r="E204" s="177"/>
      <c r="F204" s="177"/>
      <c r="G204" s="177"/>
      <c r="H204" s="177"/>
      <c r="I204" s="177"/>
      <c r="J204" s="177"/>
      <c r="K204" s="177"/>
    </row>
    <row r="205" spans="1:11" ht="12.75" customHeight="1">
      <c r="A205" s="167"/>
      <c r="B205" s="168"/>
      <c r="C205" s="166"/>
      <c r="D205" s="175"/>
      <c r="E205" s="177"/>
      <c r="F205" s="177"/>
      <c r="G205" s="177"/>
      <c r="H205" s="177"/>
      <c r="I205" s="177"/>
      <c r="J205" s="177"/>
      <c r="K205" s="177"/>
    </row>
    <row r="206" spans="1:11" ht="12.75" customHeight="1">
      <c r="A206" s="167">
        <v>24</v>
      </c>
      <c r="B206" s="168"/>
      <c r="C206" s="185" t="s">
        <v>491</v>
      </c>
      <c r="D206" s="186"/>
      <c r="E206" s="242"/>
      <c r="F206" s="242">
        <f t="shared" ref="F206:K206" si="26">SUM(F191:F203)</f>
        <v>1120.5266269999997</v>
      </c>
      <c r="G206" s="242">
        <f t="shared" si="26"/>
        <v>1301.5838270000002</v>
      </c>
      <c r="H206" s="242">
        <f t="shared" si="26"/>
        <v>868.35382700000014</v>
      </c>
      <c r="I206" s="242">
        <f t="shared" si="26"/>
        <v>0</v>
      </c>
      <c r="J206" s="242">
        <f t="shared" si="26"/>
        <v>-777.95617300000004</v>
      </c>
      <c r="K206" s="242">
        <f t="shared" si="26"/>
        <v>-1064.9161730000001</v>
      </c>
    </row>
    <row r="207" spans="1:11" ht="12.75" customHeight="1">
      <c r="A207" s="167"/>
      <c r="B207" s="168"/>
      <c r="C207" s="166"/>
      <c r="D207" s="175"/>
      <c r="E207" s="177"/>
      <c r="F207" s="177"/>
      <c r="G207" s="177"/>
      <c r="H207" s="177"/>
      <c r="I207" s="177"/>
      <c r="J207" s="177"/>
      <c r="K207" s="177"/>
    </row>
    <row r="208" spans="1:11" ht="12.75" customHeight="1">
      <c r="A208" s="167"/>
      <c r="B208" s="168"/>
      <c r="C208" s="166"/>
      <c r="D208" s="175"/>
      <c r="E208" s="177"/>
      <c r="F208" s="177"/>
      <c r="G208" s="177"/>
      <c r="H208" s="177"/>
      <c r="I208" s="177"/>
      <c r="J208" s="177"/>
      <c r="K208" s="177"/>
    </row>
    <row r="209" spans="1:11" ht="12.75" customHeight="1">
      <c r="A209" s="167">
        <v>25</v>
      </c>
      <c r="B209" s="168"/>
      <c r="C209" s="185" t="s">
        <v>501</v>
      </c>
      <c r="D209" s="186"/>
      <c r="E209" s="242"/>
      <c r="F209" s="242" t="e">
        <f t="shared" ref="F209:K209" si="27">F186+F206</f>
        <v>#REF!</v>
      </c>
      <c r="G209" s="242" t="e">
        <f t="shared" si="27"/>
        <v>#REF!</v>
      </c>
      <c r="H209" s="242" t="e">
        <f t="shared" si="27"/>
        <v>#REF!</v>
      </c>
      <c r="I209" s="242" t="e">
        <f t="shared" si="27"/>
        <v>#REF!</v>
      </c>
      <c r="J209" s="242" t="e">
        <f t="shared" si="27"/>
        <v>#REF!</v>
      </c>
      <c r="K209" s="242" t="e">
        <f t="shared" si="27"/>
        <v>#REF!</v>
      </c>
    </row>
    <row r="210" spans="1:11" ht="12.75" customHeight="1">
      <c r="A210" s="180"/>
      <c r="B210" s="210"/>
      <c r="C210" s="243" t="s">
        <v>502</v>
      </c>
      <c r="D210" s="244"/>
      <c r="E210" s="212"/>
      <c r="F210" s="212"/>
      <c r="G210" s="212"/>
      <c r="H210" s="212"/>
      <c r="I210" s="212"/>
      <c r="J210" s="212"/>
      <c r="K210" s="212"/>
    </row>
    <row r="211" spans="1:11" ht="12.75" customHeight="1">
      <c r="A211" s="166"/>
      <c r="B211" s="168"/>
      <c r="C211" s="166"/>
      <c r="D211" s="245"/>
      <c r="E211" s="158"/>
      <c r="F211" s="246"/>
      <c r="G211" s="246"/>
      <c r="H211" s="246"/>
      <c r="I211" s="246"/>
      <c r="J211" s="246"/>
      <c r="K211" s="246"/>
    </row>
    <row r="212" spans="1:11" ht="12.75" customHeight="1">
      <c r="A212" s="166"/>
      <c r="B212" s="168"/>
      <c r="C212" s="166"/>
      <c r="D212" s="245"/>
      <c r="E212" s="158"/>
      <c r="F212" s="158"/>
      <c r="G212" s="158"/>
      <c r="H212" s="158"/>
      <c r="I212" s="158"/>
      <c r="J212" s="158"/>
      <c r="K212" s="158"/>
    </row>
    <row r="213" spans="1:11" ht="12.75" customHeight="1">
      <c r="A213" s="166"/>
      <c r="B213" s="168"/>
      <c r="C213" s="166"/>
      <c r="D213" s="245"/>
      <c r="E213" s="158"/>
      <c r="F213" s="158"/>
      <c r="G213" s="158"/>
      <c r="H213" s="158"/>
      <c r="I213" s="158"/>
      <c r="J213" s="158"/>
      <c r="K213" s="158"/>
    </row>
    <row r="214" spans="1:11" ht="12.75" customHeight="1">
      <c r="A214" s="214" t="s">
        <v>503</v>
      </c>
      <c r="B214" s="215"/>
      <c r="C214" s="161"/>
      <c r="D214" s="247"/>
      <c r="E214" s="248"/>
      <c r="F214" s="248"/>
      <c r="G214" s="248"/>
      <c r="H214" s="248"/>
      <c r="I214" s="248"/>
      <c r="J214" s="248"/>
      <c r="K214" s="248"/>
    </row>
    <row r="215" spans="1:11" ht="12.75" customHeight="1">
      <c r="A215" s="218"/>
      <c r="E215" s="249"/>
      <c r="F215" s="249"/>
      <c r="G215" s="249"/>
      <c r="H215" s="249"/>
      <c r="I215" s="249"/>
      <c r="J215" s="249"/>
      <c r="K215" s="249"/>
    </row>
    <row r="216" spans="1:11" ht="12.75" customHeight="1">
      <c r="A216" s="218" t="s">
        <v>504</v>
      </c>
      <c r="B216" s="250"/>
      <c r="C216" s="163"/>
      <c r="D216" s="163"/>
    </row>
    <row r="217" spans="1:11" ht="12.75" customHeight="1">
      <c r="A217" s="167"/>
      <c r="B217" s="168"/>
      <c r="C217" s="166"/>
      <c r="D217" s="166"/>
      <c r="E217" s="249"/>
      <c r="F217" s="169"/>
      <c r="G217" s="169"/>
      <c r="H217" s="169"/>
      <c r="I217" s="169"/>
      <c r="J217" s="169"/>
      <c r="K217" s="169"/>
    </row>
    <row r="218" spans="1:11" ht="12.75" customHeight="1">
      <c r="A218" s="180"/>
      <c r="B218" s="210"/>
      <c r="C218" s="182"/>
      <c r="D218" s="182"/>
      <c r="E218" s="222"/>
      <c r="F218" s="222"/>
      <c r="G218" s="222"/>
      <c r="H218" s="222"/>
      <c r="I218" s="222"/>
      <c r="J218" s="222"/>
      <c r="K218" s="222"/>
    </row>
    <row r="219" spans="1:11" ht="12.75" customHeight="1">
      <c r="A219" s="224" t="s">
        <v>505</v>
      </c>
      <c r="B219" s="225"/>
      <c r="C219" s="226"/>
      <c r="D219" s="172"/>
      <c r="E219" s="227">
        <f t="shared" ref="E219:K219" si="28">+E109</f>
        <v>41729</v>
      </c>
      <c r="F219" s="227">
        <f t="shared" si="28"/>
        <v>42094</v>
      </c>
      <c r="G219" s="227">
        <f t="shared" si="28"/>
        <v>42460</v>
      </c>
      <c r="H219" s="227">
        <f t="shared" si="28"/>
        <v>42825</v>
      </c>
      <c r="I219" s="227">
        <f t="shared" si="28"/>
        <v>43190</v>
      </c>
      <c r="J219" s="227">
        <f t="shared" si="28"/>
        <v>43555</v>
      </c>
      <c r="K219" s="227">
        <f t="shared" si="28"/>
        <v>43921</v>
      </c>
    </row>
    <row r="220" spans="1:11" ht="12.75" customHeight="1">
      <c r="A220" s="221"/>
      <c r="B220" s="168"/>
      <c r="C220" s="166"/>
      <c r="D220" s="175"/>
      <c r="E220" s="176"/>
      <c r="F220" s="176"/>
      <c r="G220" s="176"/>
      <c r="H220" s="176"/>
      <c r="I220" s="176"/>
      <c r="J220" s="176"/>
      <c r="K220" s="176"/>
    </row>
    <row r="221" spans="1:11" ht="12.75" customHeight="1">
      <c r="A221" s="167"/>
      <c r="B221" s="168"/>
      <c r="C221" s="166"/>
      <c r="D221" s="175"/>
      <c r="E221" s="178" t="str">
        <f t="shared" ref="E221:K221" si="29">+E11</f>
        <v>Audited</v>
      </c>
      <c r="F221" s="178" t="str">
        <f t="shared" si="29"/>
        <v>Audited</v>
      </c>
      <c r="G221" s="178" t="str">
        <f t="shared" si="29"/>
        <v>Audited</v>
      </c>
      <c r="H221" s="178" t="str">
        <f t="shared" si="29"/>
        <v>Estimated</v>
      </c>
      <c r="I221" s="178" t="str">
        <f t="shared" si="29"/>
        <v>Projection</v>
      </c>
      <c r="J221" s="178" t="str">
        <f t="shared" si="29"/>
        <v>Projection</v>
      </c>
      <c r="K221" s="178" t="str">
        <f t="shared" si="29"/>
        <v>Projection</v>
      </c>
    </row>
    <row r="222" spans="1:11" ht="12.75" customHeight="1">
      <c r="A222" s="228" t="s">
        <v>506</v>
      </c>
      <c r="B222" s="210"/>
      <c r="C222" s="182"/>
      <c r="D222" s="183"/>
      <c r="E222" s="251"/>
      <c r="F222" s="251"/>
      <c r="G222" s="251"/>
      <c r="H222" s="251"/>
      <c r="I222" s="251"/>
      <c r="J222" s="251"/>
      <c r="K222" s="251"/>
    </row>
    <row r="223" spans="1:11" ht="12.75" customHeight="1">
      <c r="A223" s="221"/>
      <c r="B223" s="168"/>
      <c r="C223" s="166"/>
      <c r="D223" s="175"/>
      <c r="E223" s="177"/>
      <c r="F223" s="177"/>
      <c r="G223" s="177"/>
      <c r="H223" s="177"/>
      <c r="I223" s="177"/>
      <c r="J223" s="177"/>
      <c r="K223" s="177"/>
    </row>
    <row r="224" spans="1:11" ht="12.75" customHeight="1">
      <c r="A224" s="167">
        <v>26</v>
      </c>
      <c r="B224" s="168"/>
      <c r="C224" s="185" t="s">
        <v>507</v>
      </c>
      <c r="D224" s="186"/>
      <c r="E224" s="252"/>
      <c r="F224" s="230">
        <f>Financials!C127</f>
        <v>3.7103527000000001</v>
      </c>
      <c r="G224" s="230">
        <f>Financials!D127</f>
        <v>131.8056732</v>
      </c>
      <c r="H224" s="230">
        <f>Financials!E127</f>
        <v>59.745933600000001</v>
      </c>
      <c r="I224" s="230">
        <f>Financials!G127</f>
        <v>0</v>
      </c>
      <c r="J224" s="230">
        <f>Financials!I127</f>
        <v>44.22</v>
      </c>
      <c r="K224" s="230">
        <f>Financials!J127</f>
        <v>131.02000000000001</v>
      </c>
    </row>
    <row r="225" spans="1:11" ht="12.75" customHeight="1">
      <c r="A225" s="167"/>
      <c r="B225" s="168"/>
      <c r="C225" s="166"/>
      <c r="D225" s="175"/>
      <c r="E225" s="177"/>
      <c r="F225" s="194"/>
      <c r="G225" s="194"/>
      <c r="H225" s="194"/>
      <c r="I225" s="194"/>
      <c r="J225" s="194"/>
      <c r="K225" s="194"/>
    </row>
    <row r="226" spans="1:11" ht="12.75" customHeight="1">
      <c r="A226" s="167">
        <v>27</v>
      </c>
      <c r="B226" s="168"/>
      <c r="C226" s="185" t="s">
        <v>508</v>
      </c>
      <c r="D226" s="186"/>
      <c r="E226" s="177"/>
      <c r="F226" s="194"/>
      <c r="G226" s="194"/>
      <c r="H226" s="194"/>
      <c r="I226" s="194"/>
      <c r="J226" s="194"/>
      <c r="K226" s="194"/>
    </row>
    <row r="227" spans="1:11" ht="12.75" customHeight="1">
      <c r="A227" s="167"/>
      <c r="B227" s="168"/>
      <c r="C227" s="185" t="s">
        <v>509</v>
      </c>
      <c r="D227" s="186"/>
      <c r="E227" s="177"/>
      <c r="F227" s="194"/>
      <c r="G227" s="194"/>
      <c r="H227" s="194"/>
      <c r="I227" s="194"/>
      <c r="J227" s="194"/>
      <c r="K227" s="194"/>
    </row>
    <row r="228" spans="1:11" ht="12.75" customHeight="1">
      <c r="A228" s="167"/>
      <c r="B228" s="168"/>
      <c r="C228" s="185" t="s">
        <v>510</v>
      </c>
      <c r="D228" s="186"/>
      <c r="E228" s="177"/>
      <c r="F228" s="194"/>
      <c r="G228" s="194"/>
      <c r="H228" s="194"/>
      <c r="I228" s="194"/>
      <c r="J228" s="194"/>
      <c r="K228" s="194"/>
    </row>
    <row r="229" spans="1:11" ht="12.75" customHeight="1">
      <c r="A229" s="167"/>
      <c r="B229" s="168"/>
      <c r="C229" s="185" t="s">
        <v>511</v>
      </c>
      <c r="D229" s="186"/>
      <c r="E229" s="237"/>
      <c r="F229" s="194"/>
      <c r="G229" s="194"/>
      <c r="H229" s="194"/>
      <c r="I229" s="194"/>
      <c r="J229" s="194"/>
      <c r="K229" s="194"/>
    </row>
    <row r="230" spans="1:11" ht="12.75" customHeight="1">
      <c r="A230" s="167"/>
      <c r="B230" s="168"/>
      <c r="C230" s="185" t="s">
        <v>512</v>
      </c>
      <c r="D230" s="186"/>
      <c r="E230" s="237"/>
      <c r="F230" s="194" t="e">
        <f>Financials!C128+Financials!#REF!</f>
        <v>#REF!</v>
      </c>
      <c r="G230" s="194" t="e">
        <f>Financials!D128+Financials!#REF!</f>
        <v>#REF!</v>
      </c>
      <c r="H230" s="194" t="e">
        <f>Financials!E128+Financials!#REF!</f>
        <v>#REF!</v>
      </c>
      <c r="I230" s="194" t="e">
        <f>Financials!G128+Financials!#REF!</f>
        <v>#REF!</v>
      </c>
      <c r="J230" s="194" t="e">
        <f>Financials!I128+Financials!#REF!</f>
        <v>#REF!</v>
      </c>
      <c r="K230" s="194" t="e">
        <f>Financials!J128+Financials!#REF!</f>
        <v>#REF!</v>
      </c>
    </row>
    <row r="231" spans="1:11" ht="12.75" customHeight="1">
      <c r="A231" s="167"/>
      <c r="B231" s="168"/>
      <c r="C231" s="166"/>
      <c r="D231" s="175"/>
      <c r="E231" s="177"/>
      <c r="F231" s="194"/>
      <c r="G231" s="194"/>
      <c r="H231" s="194"/>
      <c r="I231" s="194"/>
      <c r="J231" s="194"/>
      <c r="K231" s="194"/>
    </row>
    <row r="232" spans="1:11" ht="12.75" customHeight="1">
      <c r="A232" s="167">
        <v>28</v>
      </c>
      <c r="B232" s="168"/>
      <c r="C232" s="185" t="s">
        <v>513</v>
      </c>
      <c r="D232" s="186"/>
      <c r="E232" s="177"/>
      <c r="F232" s="194"/>
      <c r="G232" s="194"/>
      <c r="H232" s="194"/>
      <c r="I232" s="194"/>
      <c r="J232" s="194"/>
      <c r="K232" s="194"/>
    </row>
    <row r="233" spans="1:11" ht="12.75" customHeight="1">
      <c r="A233" s="167"/>
      <c r="B233" s="168"/>
      <c r="C233" s="185" t="s">
        <v>514</v>
      </c>
      <c r="D233" s="186"/>
      <c r="E233" s="177"/>
      <c r="F233" s="194"/>
      <c r="G233" s="194"/>
      <c r="H233" s="194"/>
      <c r="I233" s="194"/>
      <c r="J233" s="194"/>
      <c r="K233" s="194"/>
    </row>
    <row r="234" spans="1:11" ht="12.75" customHeight="1">
      <c r="A234" s="167"/>
      <c r="B234" s="168"/>
      <c r="C234" s="185" t="s">
        <v>515</v>
      </c>
      <c r="D234" s="186"/>
      <c r="E234" s="177"/>
      <c r="F234" s="194"/>
      <c r="G234" s="194"/>
      <c r="H234" s="194"/>
      <c r="I234" s="194"/>
      <c r="J234" s="194"/>
      <c r="K234" s="194"/>
    </row>
    <row r="235" spans="1:11" ht="12.75" customHeight="1">
      <c r="A235" s="167"/>
      <c r="B235" s="168"/>
      <c r="C235" s="185" t="s">
        <v>516</v>
      </c>
      <c r="D235" s="186"/>
      <c r="E235" s="252"/>
      <c r="F235" s="230">
        <f>Financials!C124</f>
        <v>284.7934262</v>
      </c>
      <c r="G235" s="230">
        <f>Financials!D124</f>
        <v>621.36</v>
      </c>
      <c r="H235" s="230">
        <f>Financials!E124</f>
        <v>656.38</v>
      </c>
      <c r="I235" s="230">
        <f>Financials!G124</f>
        <v>0</v>
      </c>
      <c r="J235" s="230">
        <f>Financials!I124</f>
        <v>987.87</v>
      </c>
      <c r="K235" s="230">
        <f>Financials!J124</f>
        <v>1334.17</v>
      </c>
    </row>
    <row r="236" spans="1:11" ht="12.75" customHeight="1">
      <c r="A236" s="167"/>
      <c r="B236" s="168"/>
      <c r="C236" s="185" t="s">
        <v>517</v>
      </c>
      <c r="D236" s="186"/>
      <c r="E236" s="177"/>
      <c r="F236" s="194"/>
      <c r="G236" s="194"/>
      <c r="H236" s="194"/>
      <c r="I236" s="194"/>
      <c r="J236" s="194"/>
      <c r="K236" s="194"/>
    </row>
    <row r="237" spans="1:11" ht="12.75" customHeight="1">
      <c r="A237" s="167"/>
      <c r="B237" s="168"/>
      <c r="C237" s="185" t="s">
        <v>518</v>
      </c>
      <c r="D237" s="186"/>
      <c r="E237" s="177"/>
      <c r="F237" s="194"/>
      <c r="G237" s="194"/>
      <c r="H237" s="194"/>
      <c r="I237" s="194"/>
      <c r="J237" s="194"/>
      <c r="K237" s="194"/>
    </row>
    <row r="238" spans="1:11" ht="12.75" customHeight="1">
      <c r="A238" s="167"/>
      <c r="B238" s="168"/>
      <c r="C238" s="185" t="s">
        <v>516</v>
      </c>
      <c r="D238" s="186"/>
      <c r="E238" s="205"/>
      <c r="F238" s="230">
        <v>0</v>
      </c>
      <c r="G238" s="230">
        <v>0</v>
      </c>
      <c r="H238" s="230">
        <v>0</v>
      </c>
      <c r="I238" s="230">
        <v>0</v>
      </c>
      <c r="J238" s="230">
        <v>0</v>
      </c>
      <c r="K238" s="230">
        <v>0</v>
      </c>
    </row>
    <row r="239" spans="1:11" ht="12.75" customHeight="1">
      <c r="A239" s="167"/>
      <c r="B239" s="168"/>
      <c r="C239" s="166"/>
      <c r="D239" s="175"/>
      <c r="E239" s="205"/>
      <c r="F239" s="230"/>
      <c r="G239" s="230"/>
      <c r="H239" s="230"/>
      <c r="I239" s="230"/>
      <c r="J239" s="230"/>
      <c r="K239" s="230"/>
    </row>
    <row r="240" spans="1:11" ht="12.75" customHeight="1">
      <c r="A240" s="167">
        <v>29</v>
      </c>
      <c r="B240" s="168"/>
      <c r="C240" s="185" t="s">
        <v>519</v>
      </c>
      <c r="D240" s="186"/>
      <c r="E240" s="205"/>
      <c r="F240" s="230"/>
      <c r="G240" s="230"/>
      <c r="H240" s="230"/>
      <c r="I240" s="230"/>
      <c r="J240" s="230"/>
      <c r="K240" s="230"/>
    </row>
    <row r="241" spans="1:11" ht="12.75" customHeight="1">
      <c r="A241" s="167"/>
      <c r="B241" s="168"/>
      <c r="C241" s="185" t="s">
        <v>520</v>
      </c>
      <c r="D241" s="186"/>
      <c r="E241" s="205"/>
      <c r="F241" s="230">
        <v>0</v>
      </c>
      <c r="G241" s="230">
        <v>0</v>
      </c>
      <c r="H241" s="230">
        <v>0</v>
      </c>
      <c r="I241" s="230">
        <v>0</v>
      </c>
      <c r="J241" s="230">
        <v>0</v>
      </c>
      <c r="K241" s="230">
        <v>0</v>
      </c>
    </row>
    <row r="242" spans="1:11" ht="12.75" customHeight="1">
      <c r="A242" s="167"/>
      <c r="B242" s="168"/>
      <c r="C242" s="166"/>
      <c r="D242" s="175"/>
      <c r="E242" s="177"/>
      <c r="F242" s="194"/>
      <c r="G242" s="194"/>
      <c r="H242" s="194"/>
      <c r="I242" s="194"/>
      <c r="J242" s="194"/>
      <c r="K242" s="194"/>
    </row>
    <row r="243" spans="1:11" ht="12.75" customHeight="1">
      <c r="A243" s="167">
        <v>30</v>
      </c>
      <c r="B243" s="168"/>
      <c r="C243" s="185" t="s">
        <v>521</v>
      </c>
      <c r="D243" s="186"/>
      <c r="E243" s="177"/>
      <c r="F243" s="194"/>
      <c r="G243" s="194"/>
      <c r="H243" s="194"/>
      <c r="I243" s="194"/>
      <c r="J243" s="194"/>
      <c r="K243" s="194"/>
    </row>
    <row r="244" spans="1:11" ht="12.75" customHeight="1">
      <c r="A244" s="167"/>
      <c r="B244" s="168"/>
      <c r="C244" s="185" t="s">
        <v>522</v>
      </c>
      <c r="D244" s="186"/>
      <c r="E244" s="177"/>
      <c r="F244" s="194"/>
      <c r="G244" s="194"/>
      <c r="H244" s="194"/>
      <c r="I244" s="194"/>
      <c r="J244" s="194"/>
      <c r="K244" s="194"/>
    </row>
    <row r="245" spans="1:11" ht="12.75" customHeight="1">
      <c r="A245" s="167"/>
      <c r="B245" s="168"/>
      <c r="C245" s="185" t="s">
        <v>523</v>
      </c>
      <c r="D245" s="186"/>
      <c r="E245" s="177"/>
      <c r="F245" s="194"/>
      <c r="G245" s="194"/>
      <c r="H245" s="194"/>
      <c r="I245" s="194"/>
      <c r="J245" s="194"/>
      <c r="K245" s="194"/>
    </row>
    <row r="246" spans="1:11" ht="12.75" customHeight="1">
      <c r="A246" s="167"/>
      <c r="B246" s="168"/>
      <c r="C246" s="185" t="s">
        <v>524</v>
      </c>
      <c r="D246" s="186"/>
      <c r="E246" s="177"/>
      <c r="F246" s="194"/>
      <c r="G246" s="194"/>
      <c r="H246" s="194"/>
      <c r="I246" s="194"/>
      <c r="J246" s="194"/>
      <c r="K246" s="194"/>
    </row>
    <row r="247" spans="1:11" ht="12.75" customHeight="1">
      <c r="A247" s="167"/>
      <c r="B247" s="168"/>
      <c r="C247" s="185" t="s">
        <v>525</v>
      </c>
      <c r="D247" s="186"/>
      <c r="E247" s="205"/>
      <c r="F247" s="230">
        <f>Financials!C121</f>
        <v>79.196096100000005</v>
      </c>
      <c r="G247" s="230">
        <f>Financials!D121</f>
        <v>41.567823799999999</v>
      </c>
      <c r="H247" s="230">
        <f>Financials!E121</f>
        <v>62.67</v>
      </c>
      <c r="I247" s="230">
        <f>Financials!G121</f>
        <v>0</v>
      </c>
      <c r="J247" s="230">
        <f>Financials!I121</f>
        <v>100.49</v>
      </c>
      <c r="K247" s="230">
        <f>Financials!J121</f>
        <v>1.07</v>
      </c>
    </row>
    <row r="248" spans="1:11" ht="12.75" customHeight="1">
      <c r="A248" s="167"/>
      <c r="B248" s="168"/>
      <c r="C248" s="185" t="s">
        <v>526</v>
      </c>
      <c r="D248" s="186"/>
      <c r="E248" s="205"/>
      <c r="F248" s="230">
        <f>Financials!C122</f>
        <v>4.7671916000000003</v>
      </c>
      <c r="G248" s="230">
        <f>Financials!D122</f>
        <v>5.0837946000000001</v>
      </c>
      <c r="H248" s="230">
        <f>Financials!E122</f>
        <v>2.64</v>
      </c>
      <c r="I248" s="230">
        <f>Financials!G122</f>
        <v>0</v>
      </c>
      <c r="J248" s="230">
        <f>Financials!I122</f>
        <v>2.13</v>
      </c>
      <c r="K248" s="230">
        <f>Financials!J122</f>
        <v>0.76</v>
      </c>
    </row>
    <row r="249" spans="1:11" ht="12.75" customHeight="1">
      <c r="A249" s="167"/>
      <c r="B249" s="168"/>
      <c r="C249" s="185" t="s">
        <v>527</v>
      </c>
      <c r="D249" s="186"/>
      <c r="E249" s="205"/>
      <c r="F249" s="230">
        <v>0</v>
      </c>
      <c r="G249" s="230">
        <v>0</v>
      </c>
      <c r="H249" s="230">
        <v>0</v>
      </c>
      <c r="I249" s="230">
        <v>0</v>
      </c>
      <c r="J249" s="230">
        <v>0</v>
      </c>
      <c r="K249" s="230">
        <v>0</v>
      </c>
    </row>
    <row r="250" spans="1:11" ht="12.75" customHeight="1">
      <c r="A250" s="167"/>
      <c r="B250" s="168"/>
      <c r="C250" s="185" t="s">
        <v>528</v>
      </c>
      <c r="D250" s="186"/>
      <c r="E250" s="205"/>
      <c r="F250" s="230">
        <v>0</v>
      </c>
      <c r="G250" s="230">
        <v>0</v>
      </c>
      <c r="H250" s="230">
        <v>0</v>
      </c>
      <c r="I250" s="230">
        <v>0</v>
      </c>
      <c r="J250" s="230">
        <v>0</v>
      </c>
      <c r="K250" s="230">
        <v>0</v>
      </c>
    </row>
    <row r="251" spans="1:11" ht="12.75" customHeight="1">
      <c r="A251" s="167"/>
      <c r="B251" s="168"/>
      <c r="C251" s="185" t="s">
        <v>529</v>
      </c>
      <c r="D251" s="186"/>
      <c r="E251" s="177"/>
      <c r="F251" s="194"/>
      <c r="G251" s="194"/>
      <c r="H251" s="194"/>
      <c r="I251" s="194"/>
      <c r="J251" s="194"/>
      <c r="K251" s="194"/>
    </row>
    <row r="252" spans="1:11" ht="12.75" customHeight="1">
      <c r="A252" s="167"/>
      <c r="B252" s="168"/>
      <c r="C252" s="185" t="s">
        <v>525</v>
      </c>
      <c r="D252" s="186"/>
      <c r="E252" s="205"/>
      <c r="F252" s="230">
        <f t="shared" ref="F252:K252" si="30">0</f>
        <v>0</v>
      </c>
      <c r="G252" s="230">
        <f t="shared" si="30"/>
        <v>0</v>
      </c>
      <c r="H252" s="230">
        <f t="shared" si="30"/>
        <v>0</v>
      </c>
      <c r="I252" s="230">
        <f t="shared" si="30"/>
        <v>0</v>
      </c>
      <c r="J252" s="230">
        <f t="shared" si="30"/>
        <v>0</v>
      </c>
      <c r="K252" s="230">
        <f t="shared" si="30"/>
        <v>0</v>
      </c>
    </row>
    <row r="253" spans="1:11" ht="14.4">
      <c r="A253" s="167"/>
      <c r="B253" s="168"/>
      <c r="C253" s="185" t="s">
        <v>526</v>
      </c>
      <c r="D253" s="186"/>
      <c r="E253" s="205"/>
      <c r="F253" s="230">
        <f>Financials!C126</f>
        <v>0</v>
      </c>
      <c r="G253" s="230">
        <f>Financials!D126</f>
        <v>14.8626252</v>
      </c>
      <c r="H253" s="230">
        <f>Financials!E126</f>
        <v>22.1981</v>
      </c>
      <c r="I253" s="230">
        <f>Financials!G126</f>
        <v>0</v>
      </c>
      <c r="J253" s="230">
        <f>Financials!I126</f>
        <v>6.65</v>
      </c>
      <c r="K253" s="230">
        <f>Financials!J126</f>
        <v>10.97</v>
      </c>
    </row>
    <row r="254" spans="1:11" ht="12.75" customHeight="1">
      <c r="A254" s="167"/>
      <c r="B254" s="168"/>
      <c r="C254" s="166"/>
      <c r="D254" s="175"/>
      <c r="E254" s="177"/>
      <c r="F254" s="194"/>
      <c r="G254" s="194"/>
      <c r="H254" s="194"/>
      <c r="I254" s="194"/>
      <c r="J254" s="194"/>
      <c r="K254" s="194"/>
    </row>
    <row r="255" spans="1:11" ht="12.75" customHeight="1">
      <c r="A255" s="167">
        <v>31</v>
      </c>
      <c r="B255" s="168"/>
      <c r="C255" s="185" t="s">
        <v>530</v>
      </c>
      <c r="D255" s="186"/>
      <c r="E255" s="193"/>
      <c r="F255" s="194">
        <f>Financials!C125</f>
        <v>0</v>
      </c>
      <c r="G255" s="194">
        <f>Financials!D125</f>
        <v>0</v>
      </c>
      <c r="H255" s="194">
        <f>Financials!E125</f>
        <v>0</v>
      </c>
      <c r="I255" s="194">
        <f>Financials!G125</f>
        <v>0</v>
      </c>
      <c r="J255" s="194">
        <f>Financials!I125</f>
        <v>1.5</v>
      </c>
      <c r="K255" s="194">
        <f>Financials!J125</f>
        <v>1.51</v>
      </c>
    </row>
    <row r="256" spans="1:11" ht="12.75" customHeight="1">
      <c r="A256" s="167"/>
      <c r="B256" s="168"/>
      <c r="C256" s="185" t="s">
        <v>531</v>
      </c>
      <c r="D256" s="186"/>
      <c r="E256" s="252"/>
      <c r="F256" s="230"/>
      <c r="G256" s="230"/>
      <c r="H256" s="230"/>
      <c r="I256" s="230"/>
      <c r="J256" s="230"/>
      <c r="K256" s="230"/>
    </row>
    <row r="257" spans="1:11" ht="12.75" customHeight="1">
      <c r="A257" s="167"/>
      <c r="B257" s="168"/>
      <c r="C257" s="166"/>
      <c r="D257" s="175"/>
      <c r="E257" s="177"/>
      <c r="F257" s="194"/>
      <c r="G257" s="194"/>
      <c r="H257" s="194"/>
      <c r="I257" s="194"/>
      <c r="J257" s="194"/>
      <c r="K257" s="194"/>
    </row>
    <row r="258" spans="1:11" ht="12.75" customHeight="1">
      <c r="A258" s="167">
        <v>32</v>
      </c>
      <c r="B258" s="168"/>
      <c r="C258" s="185" t="s">
        <v>532</v>
      </c>
      <c r="D258" s="186"/>
      <c r="E258" s="205"/>
      <c r="F258" s="230">
        <v>0</v>
      </c>
      <c r="G258" s="230">
        <v>0</v>
      </c>
      <c r="H258" s="230">
        <v>0</v>
      </c>
      <c r="I258" s="230">
        <v>0</v>
      </c>
      <c r="J258" s="230">
        <v>0</v>
      </c>
      <c r="K258" s="230">
        <v>0</v>
      </c>
    </row>
    <row r="259" spans="1:11" ht="12.75" customHeight="1">
      <c r="A259" s="167"/>
      <c r="B259" s="168"/>
      <c r="C259" s="166"/>
      <c r="D259" s="175"/>
      <c r="E259" s="177"/>
      <c r="F259" s="194"/>
      <c r="G259" s="194"/>
      <c r="H259" s="194"/>
      <c r="I259" s="194"/>
      <c r="J259" s="194"/>
      <c r="K259" s="194"/>
    </row>
    <row r="260" spans="1:11" ht="12.75" customHeight="1">
      <c r="A260" s="167">
        <v>33</v>
      </c>
      <c r="B260" s="168"/>
      <c r="C260" s="185" t="s">
        <v>533</v>
      </c>
      <c r="D260" s="186"/>
      <c r="E260" s="177"/>
      <c r="F260" s="194"/>
      <c r="G260" s="194"/>
      <c r="H260" s="194"/>
      <c r="I260" s="194"/>
      <c r="J260" s="194"/>
      <c r="K260" s="194"/>
    </row>
    <row r="261" spans="1:11" ht="12.75" customHeight="1">
      <c r="A261" s="167"/>
      <c r="B261" s="168"/>
      <c r="C261" s="185"/>
      <c r="D261" s="186"/>
      <c r="E261" s="177"/>
      <c r="F261" s="194"/>
      <c r="G261" s="194"/>
      <c r="H261" s="194"/>
      <c r="I261" s="194"/>
      <c r="J261" s="194"/>
      <c r="K261" s="194"/>
    </row>
    <row r="262" spans="1:11" ht="12.75" customHeight="1">
      <c r="A262" s="167"/>
      <c r="B262" s="168"/>
      <c r="C262" s="185" t="s">
        <v>534</v>
      </c>
      <c r="D262" s="186"/>
      <c r="E262" s="237"/>
      <c r="F262" s="194">
        <v>0</v>
      </c>
      <c r="G262" s="194">
        <v>0</v>
      </c>
      <c r="H262" s="194">
        <v>0</v>
      </c>
      <c r="I262" s="194">
        <v>0</v>
      </c>
      <c r="J262" s="194">
        <v>0</v>
      </c>
      <c r="K262" s="194">
        <v>0</v>
      </c>
    </row>
    <row r="263" spans="1:11" ht="12.75" customHeight="1">
      <c r="A263" s="167"/>
      <c r="B263" s="168"/>
      <c r="C263" s="185"/>
      <c r="D263" s="186"/>
      <c r="E263" s="237"/>
      <c r="F263" s="194"/>
      <c r="G263" s="194"/>
      <c r="H263" s="194"/>
      <c r="I263" s="194"/>
      <c r="J263" s="194"/>
      <c r="K263" s="194"/>
    </row>
    <row r="264" spans="1:11" ht="12.75" customHeight="1">
      <c r="A264" s="167"/>
      <c r="B264" s="168"/>
      <c r="C264" s="185" t="s">
        <v>535</v>
      </c>
      <c r="D264" s="186"/>
      <c r="E264" s="237"/>
      <c r="F264" s="194">
        <v>0</v>
      </c>
      <c r="G264" s="194">
        <v>0</v>
      </c>
      <c r="H264" s="194">
        <v>0</v>
      </c>
      <c r="I264" s="194">
        <v>0</v>
      </c>
      <c r="J264" s="194">
        <v>0</v>
      </c>
      <c r="K264" s="194">
        <v>0</v>
      </c>
    </row>
    <row r="265" spans="1:11" ht="12.75" customHeight="1">
      <c r="A265" s="167"/>
      <c r="B265" s="168"/>
      <c r="C265" s="185"/>
      <c r="D265" s="186"/>
      <c r="E265" s="237"/>
      <c r="F265" s="194"/>
      <c r="G265" s="194"/>
      <c r="H265" s="194"/>
      <c r="I265" s="194"/>
      <c r="J265" s="194"/>
      <c r="K265" s="194"/>
    </row>
    <row r="266" spans="1:11" ht="12.75" customHeight="1">
      <c r="A266" s="167"/>
      <c r="B266" s="168"/>
      <c r="C266" s="185" t="s">
        <v>536</v>
      </c>
      <c r="D266" s="186"/>
      <c r="E266" s="237"/>
      <c r="F266" s="194">
        <v>0</v>
      </c>
      <c r="G266" s="194">
        <v>0</v>
      </c>
      <c r="H266" s="194">
        <v>0</v>
      </c>
      <c r="I266" s="194">
        <v>0</v>
      </c>
      <c r="J266" s="194">
        <v>0</v>
      </c>
      <c r="K266" s="194">
        <v>0</v>
      </c>
    </row>
    <row r="267" spans="1:11" ht="12.75" customHeight="1">
      <c r="A267" s="167"/>
      <c r="B267" s="168"/>
      <c r="C267" s="185"/>
      <c r="D267" s="186"/>
      <c r="E267" s="237"/>
      <c r="F267" s="194"/>
      <c r="G267" s="194"/>
      <c r="H267" s="194"/>
      <c r="I267" s="194"/>
      <c r="J267" s="194"/>
      <c r="K267" s="194"/>
    </row>
    <row r="268" spans="1:11" ht="12.75" customHeight="1">
      <c r="A268" s="167"/>
      <c r="B268" s="168"/>
      <c r="C268" s="185" t="s">
        <v>537</v>
      </c>
      <c r="D268" s="186"/>
      <c r="E268" s="237"/>
      <c r="F268" s="194" t="e">
        <f>SUM(Financials!#REF!,Financials!C130)</f>
        <v>#REF!</v>
      </c>
      <c r="G268" s="194" t="e">
        <f>SUM(Financials!#REF!,Financials!D130)</f>
        <v>#REF!</v>
      </c>
      <c r="H268" s="194" t="e">
        <f>SUM(Financials!#REF!,Financials!E130)</f>
        <v>#REF!</v>
      </c>
      <c r="I268" s="194" t="e">
        <f>SUM(Financials!#REF!,Financials!G130)</f>
        <v>#REF!</v>
      </c>
      <c r="J268" s="194" t="e">
        <f>SUM(Financials!#REF!,Financials!I130)</f>
        <v>#REF!</v>
      </c>
      <c r="K268" s="194" t="e">
        <f>SUM(Financials!#REF!,Financials!J130)</f>
        <v>#REF!</v>
      </c>
    </row>
    <row r="269" spans="1:11" ht="12.75" customHeight="1">
      <c r="A269" s="167"/>
      <c r="B269" s="168"/>
      <c r="C269" s="166"/>
      <c r="D269" s="175"/>
      <c r="E269" s="253"/>
      <c r="F269" s="254"/>
      <c r="G269" s="254"/>
      <c r="H269" s="254"/>
      <c r="I269" s="254"/>
      <c r="J269" s="254"/>
      <c r="K269" s="254"/>
    </row>
    <row r="270" spans="1:11" ht="12.75" customHeight="1">
      <c r="A270" s="167">
        <v>34</v>
      </c>
      <c r="B270" s="168"/>
      <c r="C270" s="185" t="s">
        <v>538</v>
      </c>
      <c r="D270" s="186"/>
      <c r="E270" s="255">
        <f t="shared" ref="E270:K270" si="31">SUM(E223:E269)</f>
        <v>0</v>
      </c>
      <c r="F270" s="256" t="e">
        <f t="shared" si="31"/>
        <v>#REF!</v>
      </c>
      <c r="G270" s="256" t="e">
        <f t="shared" si="31"/>
        <v>#REF!</v>
      </c>
      <c r="H270" s="256" t="e">
        <f t="shared" si="31"/>
        <v>#REF!</v>
      </c>
      <c r="I270" s="256" t="e">
        <f t="shared" si="31"/>
        <v>#REF!</v>
      </c>
      <c r="J270" s="256" t="e">
        <f t="shared" si="31"/>
        <v>#REF!</v>
      </c>
      <c r="K270" s="256" t="e">
        <f t="shared" si="31"/>
        <v>#REF!</v>
      </c>
    </row>
    <row r="271" spans="1:11" ht="12.75" customHeight="1">
      <c r="A271" s="167"/>
      <c r="B271" s="168"/>
      <c r="C271" s="185" t="s">
        <v>539</v>
      </c>
      <c r="D271" s="186"/>
      <c r="E271" s="177"/>
      <c r="F271" s="194"/>
      <c r="G271" s="194"/>
      <c r="H271" s="194"/>
      <c r="I271" s="194"/>
      <c r="J271" s="194"/>
      <c r="K271" s="194"/>
    </row>
    <row r="272" spans="1:11" ht="12.75" customHeight="1">
      <c r="A272" s="167"/>
      <c r="B272" s="168"/>
      <c r="C272" s="166"/>
      <c r="D272" s="175"/>
      <c r="E272" s="177"/>
      <c r="F272" s="194"/>
      <c r="G272" s="194"/>
      <c r="H272" s="194"/>
      <c r="I272" s="194"/>
      <c r="J272" s="194"/>
      <c r="K272" s="194"/>
    </row>
    <row r="273" spans="1:11" ht="12.75" customHeight="1">
      <c r="A273" s="167"/>
      <c r="B273" s="168"/>
      <c r="C273" s="166"/>
      <c r="D273" s="175"/>
      <c r="E273" s="177"/>
      <c r="F273" s="194"/>
      <c r="G273" s="194"/>
      <c r="H273" s="194"/>
      <c r="I273" s="194"/>
      <c r="J273" s="194"/>
      <c r="K273" s="194"/>
    </row>
    <row r="274" spans="1:11" ht="12.75" customHeight="1">
      <c r="A274" s="257"/>
      <c r="B274" s="258" t="s">
        <v>540</v>
      </c>
      <c r="C274" s="259"/>
      <c r="D274" s="260"/>
      <c r="E274" s="261"/>
      <c r="F274" s="262"/>
      <c r="G274" s="262"/>
      <c r="H274" s="262"/>
      <c r="I274" s="262"/>
      <c r="J274" s="262"/>
      <c r="K274" s="262"/>
    </row>
    <row r="275" spans="1:11" ht="12.75" customHeight="1">
      <c r="A275" s="224"/>
      <c r="B275" s="225"/>
      <c r="C275" s="263"/>
      <c r="D275" s="263"/>
      <c r="E275" s="162"/>
      <c r="F275" s="264"/>
      <c r="G275" s="264"/>
      <c r="H275" s="264"/>
      <c r="I275" s="264"/>
      <c r="J275" s="264"/>
      <c r="K275" s="264"/>
    </row>
    <row r="276" spans="1:11" ht="12.75" customHeight="1">
      <c r="A276" s="224"/>
      <c r="B276" s="225"/>
      <c r="C276" s="263"/>
      <c r="D276" s="263"/>
      <c r="E276" s="265">
        <f t="shared" ref="E276:K276" si="32">+E219</f>
        <v>41729</v>
      </c>
      <c r="F276" s="173">
        <f t="shared" si="32"/>
        <v>42094</v>
      </c>
      <c r="G276" s="266">
        <f t="shared" si="32"/>
        <v>42460</v>
      </c>
      <c r="H276" s="173">
        <f t="shared" si="32"/>
        <v>42825</v>
      </c>
      <c r="I276" s="266">
        <f t="shared" si="32"/>
        <v>43190</v>
      </c>
      <c r="J276" s="173">
        <f t="shared" si="32"/>
        <v>43555</v>
      </c>
      <c r="K276" s="173">
        <f t="shared" si="32"/>
        <v>43921</v>
      </c>
    </row>
    <row r="277" spans="1:11" ht="12.75" customHeight="1">
      <c r="A277" s="221"/>
      <c r="B277" s="168"/>
      <c r="C277" s="185"/>
      <c r="D277" s="185"/>
      <c r="E277" s="199"/>
      <c r="F277" s="177"/>
      <c r="H277" s="177"/>
      <c r="J277" s="177"/>
      <c r="K277" s="177"/>
    </row>
    <row r="278" spans="1:11" ht="12.75" customHeight="1">
      <c r="A278" s="180"/>
      <c r="B278" s="210"/>
      <c r="C278" s="182"/>
      <c r="D278" s="182"/>
      <c r="E278" s="267" t="str">
        <f t="shared" ref="E278:K278" si="33">+E11</f>
        <v>Audited</v>
      </c>
      <c r="F278" s="268" t="str">
        <f t="shared" si="33"/>
        <v>Audited</v>
      </c>
      <c r="G278" s="269" t="str">
        <f t="shared" si="33"/>
        <v>Audited</v>
      </c>
      <c r="H278" s="268" t="str">
        <f t="shared" si="33"/>
        <v>Estimated</v>
      </c>
      <c r="I278" s="269" t="str">
        <f t="shared" si="33"/>
        <v>Projection</v>
      </c>
      <c r="J278" s="268" t="str">
        <f t="shared" si="33"/>
        <v>Projection</v>
      </c>
      <c r="K278" s="268" t="str">
        <f t="shared" si="33"/>
        <v>Projection</v>
      </c>
    </row>
    <row r="279" spans="1:11" ht="12.75" customHeight="1">
      <c r="A279" s="270"/>
      <c r="B279" s="225"/>
      <c r="C279" s="226"/>
      <c r="D279" s="226"/>
      <c r="E279" s="169"/>
      <c r="F279" s="230"/>
      <c r="G279" s="271"/>
      <c r="H279" s="271"/>
      <c r="I279" s="271"/>
      <c r="J279" s="271"/>
      <c r="K279" s="271"/>
    </row>
    <row r="280" spans="1:11" ht="12.75" customHeight="1">
      <c r="A280" s="167"/>
      <c r="B280" s="168"/>
      <c r="C280" s="185" t="s">
        <v>541</v>
      </c>
      <c r="D280" s="186"/>
      <c r="E280" s="177"/>
      <c r="F280" s="194"/>
      <c r="G280" s="194"/>
      <c r="H280" s="194"/>
      <c r="I280" s="194"/>
      <c r="J280" s="194"/>
      <c r="K280" s="194"/>
    </row>
    <row r="281" spans="1:11" ht="12.75" customHeight="1">
      <c r="A281" s="167"/>
      <c r="B281" s="168"/>
      <c r="C281" s="185" t="s">
        <v>542</v>
      </c>
      <c r="D281" s="186"/>
      <c r="E281" s="177"/>
      <c r="F281" s="194"/>
      <c r="G281" s="194"/>
      <c r="H281" s="194"/>
      <c r="I281" s="194"/>
      <c r="J281" s="194"/>
      <c r="K281" s="194"/>
    </row>
    <row r="282" spans="1:11" ht="12.75" customHeight="1">
      <c r="A282" s="167">
        <v>35</v>
      </c>
      <c r="B282" s="168"/>
      <c r="C282" s="185" t="s">
        <v>543</v>
      </c>
      <c r="D282" s="186"/>
      <c r="E282" s="177"/>
      <c r="F282" s="194"/>
      <c r="G282" s="194"/>
      <c r="H282" s="194"/>
      <c r="I282" s="194"/>
      <c r="J282" s="194"/>
      <c r="K282" s="194"/>
    </row>
    <row r="283" spans="1:11" ht="12.75" customHeight="1">
      <c r="A283" s="167"/>
      <c r="B283" s="168"/>
      <c r="C283" s="185" t="s">
        <v>544</v>
      </c>
      <c r="D283" s="186"/>
      <c r="E283" s="205"/>
      <c r="F283" s="230">
        <f>Financials!C113</f>
        <v>4230.4548879000004</v>
      </c>
      <c r="G283" s="230">
        <f>Financials!D113</f>
        <v>7893.5999715999997</v>
      </c>
      <c r="H283" s="230">
        <f>Financials!E113</f>
        <v>7810.68</v>
      </c>
      <c r="I283" s="230">
        <f>Financials!G113</f>
        <v>0</v>
      </c>
      <c r="J283" s="230">
        <f>Financials!I113</f>
        <v>8136.64</v>
      </c>
      <c r="K283" s="230">
        <f>Financials!J113</f>
        <v>8137.16</v>
      </c>
    </row>
    <row r="284" spans="1:11" ht="12.75" customHeight="1">
      <c r="A284" s="167"/>
      <c r="B284" s="168"/>
      <c r="C284" s="166"/>
      <c r="D284" s="175"/>
      <c r="E284" s="272"/>
      <c r="F284" s="194"/>
      <c r="G284" s="194"/>
      <c r="H284" s="194"/>
      <c r="I284" s="194"/>
      <c r="J284" s="194"/>
      <c r="K284" s="194"/>
    </row>
    <row r="285" spans="1:11" ht="12.75" customHeight="1">
      <c r="A285" s="167">
        <v>36</v>
      </c>
      <c r="B285" s="168"/>
      <c r="C285" s="185" t="s">
        <v>545</v>
      </c>
      <c r="D285" s="186"/>
      <c r="E285" s="205"/>
      <c r="F285" s="230">
        <f>Financials!C114</f>
        <v>39.078134200000001</v>
      </c>
      <c r="G285" s="230">
        <f>Financials!D114</f>
        <v>160.6797837</v>
      </c>
      <c r="H285" s="230" t="e">
        <f>Financials!#REF!</f>
        <v>#REF!</v>
      </c>
      <c r="I285" s="230">
        <f>Financials!G114</f>
        <v>0</v>
      </c>
      <c r="J285" s="230">
        <f>Financials!I114</f>
        <v>760.63</v>
      </c>
      <c r="K285" s="230">
        <f>Financials!J114</f>
        <v>961.26</v>
      </c>
    </row>
    <row r="286" spans="1:11" ht="12.75" customHeight="1">
      <c r="A286" s="167"/>
      <c r="B286" s="168"/>
      <c r="C286" s="166"/>
      <c r="D286" s="175"/>
      <c r="E286" s="205"/>
      <c r="F286" s="230"/>
      <c r="G286" s="230"/>
      <c r="H286" s="230"/>
      <c r="I286" s="230"/>
      <c r="J286" s="230"/>
      <c r="K286" s="230"/>
    </row>
    <row r="287" spans="1:11" ht="12.75" customHeight="1">
      <c r="A287" s="167">
        <v>37</v>
      </c>
      <c r="B287" s="168"/>
      <c r="C287" s="185" t="s">
        <v>546</v>
      </c>
      <c r="D287" s="186"/>
      <c r="E287" s="205"/>
      <c r="F287" s="230">
        <f t="shared" ref="F287:K287" si="34">F283-F285</f>
        <v>4191.3767537000003</v>
      </c>
      <c r="G287" s="230">
        <f t="shared" si="34"/>
        <v>7732.9201878999993</v>
      </c>
      <c r="H287" s="230" t="e">
        <f t="shared" si="34"/>
        <v>#REF!</v>
      </c>
      <c r="I287" s="230">
        <f t="shared" si="34"/>
        <v>0</v>
      </c>
      <c r="J287" s="230">
        <f t="shared" si="34"/>
        <v>7376.01</v>
      </c>
      <c r="K287" s="230">
        <f t="shared" si="34"/>
        <v>7175.9</v>
      </c>
    </row>
    <row r="288" spans="1:11" ht="12.75" customHeight="1">
      <c r="A288" s="167"/>
      <c r="B288" s="168"/>
      <c r="C288" s="185" t="s">
        <v>547</v>
      </c>
      <c r="D288" s="186"/>
      <c r="E288" s="205"/>
      <c r="F288" s="230">
        <f>Financials!C117</f>
        <v>2990.06</v>
      </c>
      <c r="G288" s="230">
        <f>Financials!D117</f>
        <v>0</v>
      </c>
      <c r="H288" s="230">
        <f>Financials!E117</f>
        <v>0</v>
      </c>
      <c r="I288" s="230">
        <f>Financials!G117</f>
        <v>0</v>
      </c>
      <c r="J288" s="230">
        <f>Financials!I117</f>
        <v>0.09</v>
      </c>
      <c r="K288" s="230">
        <f>Financials!J117</f>
        <v>0.09</v>
      </c>
    </row>
    <row r="289" spans="1:11" ht="12.75" customHeight="1">
      <c r="A289" s="167"/>
      <c r="B289" s="168"/>
      <c r="C289" s="185"/>
      <c r="D289" s="186"/>
      <c r="E289" s="205"/>
      <c r="F289" s="230"/>
      <c r="G289" s="230"/>
      <c r="H289" s="230"/>
      <c r="I289" s="230"/>
      <c r="J289" s="230"/>
      <c r="K289" s="230"/>
    </row>
    <row r="290" spans="1:11" ht="12.75" customHeight="1">
      <c r="A290" s="167"/>
      <c r="B290" s="168"/>
      <c r="C290" s="166"/>
      <c r="D290" s="175"/>
      <c r="E290" s="177"/>
      <c r="F290" s="194"/>
      <c r="G290" s="194"/>
      <c r="H290" s="194"/>
      <c r="I290" s="194"/>
      <c r="J290" s="194"/>
      <c r="K290" s="194"/>
    </row>
    <row r="291" spans="1:11" ht="12.75" customHeight="1">
      <c r="A291" s="167"/>
      <c r="B291" s="168"/>
      <c r="C291" s="185" t="s">
        <v>548</v>
      </c>
      <c r="D291" s="186"/>
      <c r="E291" s="273"/>
      <c r="F291" s="194"/>
      <c r="G291" s="194"/>
      <c r="H291" s="194"/>
      <c r="I291" s="194"/>
      <c r="J291" s="194"/>
      <c r="K291" s="194"/>
    </row>
    <row r="292" spans="1:11" ht="12.75" customHeight="1">
      <c r="A292" s="167"/>
      <c r="B292" s="168"/>
      <c r="C292" s="185" t="s">
        <v>549</v>
      </c>
      <c r="D292" s="186"/>
      <c r="E292" s="177"/>
      <c r="F292" s="194"/>
      <c r="G292" s="194"/>
      <c r="H292" s="194"/>
      <c r="I292" s="194"/>
      <c r="J292" s="194"/>
      <c r="K292" s="194"/>
    </row>
    <row r="293" spans="1:11" ht="12.75" customHeight="1">
      <c r="A293" s="167">
        <v>38</v>
      </c>
      <c r="B293" s="168"/>
      <c r="C293" s="185" t="s">
        <v>550</v>
      </c>
      <c r="D293" s="186"/>
      <c r="E293" s="177"/>
      <c r="F293" s="194"/>
      <c r="G293" s="194"/>
      <c r="H293" s="194"/>
      <c r="I293" s="194"/>
      <c r="J293" s="194"/>
      <c r="K293" s="194"/>
    </row>
    <row r="294" spans="1:11" ht="12.75" customHeight="1">
      <c r="A294" s="167"/>
      <c r="B294" s="168"/>
      <c r="C294" s="185" t="s">
        <v>551</v>
      </c>
      <c r="D294" s="186"/>
      <c r="E294" s="177"/>
      <c r="F294" s="194"/>
      <c r="G294" s="194"/>
      <c r="H294" s="194"/>
      <c r="I294" s="194"/>
      <c r="J294" s="194"/>
      <c r="K294" s="194"/>
    </row>
    <row r="295" spans="1:11" ht="12.75" customHeight="1">
      <c r="A295" s="167"/>
      <c r="B295" s="168"/>
      <c r="C295" s="185" t="s">
        <v>552</v>
      </c>
      <c r="D295" s="186"/>
      <c r="E295" s="177"/>
      <c r="F295" s="194"/>
      <c r="G295" s="194"/>
      <c r="H295" s="194"/>
      <c r="I295" s="194"/>
      <c r="J295" s="194"/>
      <c r="K295" s="194"/>
    </row>
    <row r="296" spans="1:11" ht="12.75" customHeight="1">
      <c r="A296" s="167"/>
      <c r="B296" s="168"/>
      <c r="C296" s="185" t="s">
        <v>553</v>
      </c>
      <c r="D296" s="186"/>
      <c r="E296" s="233"/>
      <c r="F296" s="234"/>
      <c r="G296" s="234"/>
      <c r="H296" s="234"/>
      <c r="I296" s="234"/>
      <c r="J296" s="234"/>
      <c r="K296" s="234"/>
    </row>
    <row r="297" spans="1:11" ht="12.75" customHeight="1">
      <c r="A297" s="167"/>
      <c r="B297" s="168"/>
      <c r="C297" s="185" t="s">
        <v>554</v>
      </c>
      <c r="D297" s="186"/>
      <c r="E297" s="233"/>
      <c r="F297" s="234">
        <f>Financials!C119</f>
        <v>2.4053016</v>
      </c>
      <c r="G297" s="234">
        <f>Financials!D119</f>
        <v>2.7957383</v>
      </c>
      <c r="H297" s="234">
        <f>Financials!E119</f>
        <v>3.8</v>
      </c>
      <c r="I297" s="234">
        <f>Financials!G119</f>
        <v>0</v>
      </c>
      <c r="J297" s="234">
        <f>Financials!I119</f>
        <v>0.73</v>
      </c>
      <c r="K297" s="234">
        <f>Financials!J119</f>
        <v>0.64</v>
      </c>
    </row>
    <row r="298" spans="1:11" ht="12.75" customHeight="1">
      <c r="A298" s="167"/>
      <c r="B298" s="168"/>
      <c r="C298" s="185" t="s">
        <v>555</v>
      </c>
      <c r="D298" s="186"/>
      <c r="E298" s="177"/>
      <c r="F298" s="194"/>
      <c r="G298" s="194"/>
      <c r="H298" s="194"/>
      <c r="I298" s="194"/>
      <c r="J298" s="194"/>
      <c r="K298" s="194"/>
    </row>
    <row r="299" spans="1:11" ht="12.75" customHeight="1">
      <c r="A299" s="167"/>
      <c r="B299" s="168"/>
      <c r="C299" s="185" t="s">
        <v>556</v>
      </c>
      <c r="D299" s="186"/>
      <c r="E299" s="237"/>
      <c r="F299" s="194" t="e">
        <f>Financials!#REF!</f>
        <v>#REF!</v>
      </c>
      <c r="G299" s="194" t="e">
        <f>Financials!#REF!</f>
        <v>#REF!</v>
      </c>
      <c r="H299" s="194" t="e">
        <f>Financials!#REF!</f>
        <v>#REF!</v>
      </c>
      <c r="I299" s="194" t="e">
        <f>Financials!#REF!</f>
        <v>#REF!</v>
      </c>
      <c r="J299" s="194" t="e">
        <f>Financials!#REF!</f>
        <v>#REF!</v>
      </c>
      <c r="K299" s="194" t="e">
        <f>Financials!#REF!</f>
        <v>#REF!</v>
      </c>
    </row>
    <row r="300" spans="1:11" ht="12.75" customHeight="1">
      <c r="A300" s="167"/>
      <c r="B300" s="168"/>
      <c r="C300" s="185" t="s">
        <v>557</v>
      </c>
      <c r="D300" s="186"/>
      <c r="E300" s="237"/>
      <c r="F300" s="194"/>
      <c r="G300" s="194"/>
      <c r="H300" s="194"/>
      <c r="I300" s="194"/>
      <c r="J300" s="194"/>
      <c r="K300" s="194"/>
    </row>
    <row r="301" spans="1:11" ht="12.75" customHeight="1">
      <c r="A301" s="167"/>
      <c r="B301" s="168"/>
      <c r="C301" s="185" t="s">
        <v>558</v>
      </c>
      <c r="D301" s="186"/>
      <c r="E301" s="274"/>
      <c r="F301" s="275"/>
      <c r="G301" s="275"/>
      <c r="H301" s="275"/>
      <c r="I301" s="275"/>
      <c r="J301" s="275"/>
      <c r="K301" s="275"/>
    </row>
    <row r="302" spans="1:11" ht="12.75" customHeight="1">
      <c r="A302" s="167"/>
      <c r="B302" s="168"/>
      <c r="C302" s="185" t="s">
        <v>559</v>
      </c>
      <c r="D302" s="186"/>
      <c r="E302" s="205"/>
      <c r="F302" s="230">
        <v>0</v>
      </c>
      <c r="G302" s="230">
        <v>0</v>
      </c>
      <c r="H302" s="230">
        <v>0</v>
      </c>
      <c r="I302" s="230">
        <v>0</v>
      </c>
      <c r="J302" s="230">
        <v>0</v>
      </c>
      <c r="K302" s="230">
        <v>0</v>
      </c>
    </row>
    <row r="303" spans="1:11" ht="12.75" customHeight="1">
      <c r="A303" s="167"/>
      <c r="B303" s="168"/>
      <c r="C303" s="185" t="s">
        <v>560</v>
      </c>
      <c r="D303" s="186"/>
      <c r="E303" s="274"/>
      <c r="F303" s="275"/>
      <c r="G303" s="275"/>
      <c r="H303" s="275"/>
      <c r="I303" s="275"/>
      <c r="J303" s="275"/>
      <c r="K303" s="275"/>
    </row>
    <row r="304" spans="1:11" ht="12.75" customHeight="1">
      <c r="A304" s="167"/>
      <c r="B304" s="168"/>
      <c r="C304" s="166"/>
      <c r="D304" s="175"/>
      <c r="E304" s="177"/>
      <c r="F304" s="194"/>
      <c r="G304" s="194"/>
      <c r="H304" s="194"/>
      <c r="I304" s="194"/>
      <c r="J304" s="194"/>
      <c r="K304" s="194"/>
    </row>
    <row r="305" spans="1:11" ht="12.75" customHeight="1">
      <c r="A305" s="167">
        <v>39</v>
      </c>
      <c r="B305" s="168"/>
      <c r="C305" s="185" t="s">
        <v>561</v>
      </c>
      <c r="D305" s="186"/>
      <c r="E305" s="237"/>
      <c r="F305" s="194"/>
      <c r="G305" s="194"/>
      <c r="H305" s="194"/>
      <c r="I305" s="194">
        <v>0</v>
      </c>
      <c r="J305" s="194">
        <v>0</v>
      </c>
      <c r="K305" s="194">
        <v>0</v>
      </c>
    </row>
    <row r="306" spans="1:11" ht="12.75" customHeight="1">
      <c r="A306" s="167"/>
      <c r="B306" s="168"/>
      <c r="C306" s="166"/>
      <c r="D306" s="175"/>
      <c r="E306" s="177"/>
      <c r="F306" s="194"/>
      <c r="G306" s="194"/>
      <c r="H306" s="194"/>
      <c r="I306" s="194"/>
      <c r="J306" s="194"/>
      <c r="K306" s="194"/>
    </row>
    <row r="307" spans="1:11" ht="12.75" customHeight="1">
      <c r="A307" s="167">
        <v>40</v>
      </c>
      <c r="B307" s="168"/>
      <c r="C307" s="185" t="s">
        <v>562</v>
      </c>
      <c r="D307" s="186"/>
      <c r="E307" s="177"/>
      <c r="F307" s="194"/>
      <c r="G307" s="194"/>
      <c r="H307" s="194"/>
      <c r="I307" s="194"/>
      <c r="J307" s="194"/>
      <c r="K307" s="194"/>
    </row>
    <row r="308" spans="1:11" ht="12.75" customHeight="1">
      <c r="A308" s="167"/>
      <c r="B308" s="168"/>
      <c r="C308" s="185" t="s">
        <v>563</v>
      </c>
      <c r="D308" s="186"/>
      <c r="E308" s="237"/>
      <c r="F308" s="194"/>
      <c r="G308" s="194"/>
      <c r="H308" s="194"/>
      <c r="I308" s="194"/>
      <c r="J308" s="194"/>
      <c r="K308" s="194"/>
    </row>
    <row r="309" spans="1:11" ht="12.75" customHeight="1">
      <c r="A309" s="167"/>
      <c r="B309" s="168"/>
      <c r="C309" s="166"/>
      <c r="D309" s="175"/>
      <c r="E309" s="177"/>
      <c r="F309" s="194"/>
      <c r="G309" s="194"/>
      <c r="H309" s="194"/>
      <c r="I309" s="194"/>
      <c r="J309" s="194"/>
      <c r="K309" s="194"/>
    </row>
    <row r="310" spans="1:11" ht="12.75" customHeight="1">
      <c r="A310" s="167">
        <v>41</v>
      </c>
      <c r="B310" s="168"/>
      <c r="C310" s="185" t="s">
        <v>564</v>
      </c>
      <c r="D310" s="186"/>
      <c r="E310" s="205"/>
      <c r="F310" s="230" t="e">
        <f t="shared" ref="F310:K310" si="35">SUM(F294:F308)</f>
        <v>#REF!</v>
      </c>
      <c r="G310" s="230" t="e">
        <f t="shared" si="35"/>
        <v>#REF!</v>
      </c>
      <c r="H310" s="230" t="e">
        <f t="shared" si="35"/>
        <v>#REF!</v>
      </c>
      <c r="I310" s="230" t="e">
        <f t="shared" si="35"/>
        <v>#REF!</v>
      </c>
      <c r="J310" s="230" t="e">
        <f t="shared" si="35"/>
        <v>#REF!</v>
      </c>
      <c r="K310" s="230" t="e">
        <f t="shared" si="35"/>
        <v>#REF!</v>
      </c>
    </row>
    <row r="311" spans="1:11" ht="12.75" customHeight="1">
      <c r="A311" s="167"/>
      <c r="B311" s="168"/>
      <c r="C311" s="166"/>
      <c r="D311" s="175"/>
      <c r="E311" s="177"/>
      <c r="F311" s="194"/>
      <c r="G311" s="194"/>
      <c r="H311" s="194"/>
      <c r="I311" s="194"/>
      <c r="J311" s="194"/>
      <c r="K311" s="194"/>
    </row>
    <row r="312" spans="1:11" ht="12.75" customHeight="1">
      <c r="A312" s="167">
        <v>42</v>
      </c>
      <c r="B312" s="168"/>
      <c r="C312" s="185" t="s">
        <v>565</v>
      </c>
      <c r="D312" s="186"/>
      <c r="E312" s="177"/>
      <c r="F312" s="194"/>
      <c r="G312" s="194"/>
      <c r="H312" s="194"/>
      <c r="I312" s="194"/>
      <c r="J312" s="194"/>
      <c r="K312" s="194"/>
    </row>
    <row r="313" spans="1:11" ht="12.75" customHeight="1">
      <c r="A313" s="167"/>
      <c r="B313" s="168"/>
      <c r="C313" s="185" t="s">
        <v>566</v>
      </c>
      <c r="D313" s="186"/>
      <c r="E313" s="177"/>
      <c r="F313" s="194"/>
      <c r="G313" s="194"/>
      <c r="H313" s="194"/>
      <c r="I313" s="194"/>
      <c r="J313" s="194"/>
      <c r="K313" s="194"/>
    </row>
    <row r="314" spans="1:11" ht="12.75" customHeight="1">
      <c r="A314" s="167"/>
      <c r="B314" s="168"/>
      <c r="C314" s="185" t="s">
        <v>567</v>
      </c>
      <c r="D314" s="186"/>
      <c r="E314" s="205"/>
      <c r="F314" s="230">
        <v>0</v>
      </c>
      <c r="G314" s="230">
        <v>0</v>
      </c>
      <c r="H314" s="230">
        <v>0</v>
      </c>
      <c r="I314" s="230">
        <v>0</v>
      </c>
      <c r="J314" s="230">
        <v>0</v>
      </c>
      <c r="K314" s="230">
        <v>0</v>
      </c>
    </row>
    <row r="315" spans="1:11" ht="12.75" customHeight="1">
      <c r="A315" s="167"/>
      <c r="B315" s="168"/>
      <c r="C315" s="166"/>
      <c r="D315" s="175"/>
      <c r="E315" s="177"/>
      <c r="F315" s="177"/>
      <c r="G315" s="177"/>
      <c r="H315" s="177"/>
      <c r="I315" s="177"/>
      <c r="J315" s="177"/>
      <c r="K315" s="177"/>
    </row>
    <row r="316" spans="1:11" ht="12.75" customHeight="1">
      <c r="A316" s="167">
        <v>43</v>
      </c>
      <c r="B316" s="168"/>
      <c r="C316" s="185" t="s">
        <v>568</v>
      </c>
      <c r="D316" s="186"/>
      <c r="E316" s="231">
        <f t="shared" ref="E316:K316" si="36">E270+E287+E288+E310+E314</f>
        <v>0</v>
      </c>
      <c r="F316" s="231" t="e">
        <f t="shared" si="36"/>
        <v>#REF!</v>
      </c>
      <c r="G316" s="231" t="e">
        <f t="shared" si="36"/>
        <v>#REF!</v>
      </c>
      <c r="H316" s="231" t="e">
        <f t="shared" si="36"/>
        <v>#REF!</v>
      </c>
      <c r="I316" s="231" t="e">
        <f t="shared" si="36"/>
        <v>#REF!</v>
      </c>
      <c r="J316" s="231" t="e">
        <f t="shared" si="36"/>
        <v>#REF!</v>
      </c>
      <c r="K316" s="231" t="e">
        <f t="shared" si="36"/>
        <v>#REF!</v>
      </c>
    </row>
    <row r="317" spans="1:11" s="158" customFormat="1" ht="12.75" customHeight="1">
      <c r="A317" s="276"/>
      <c r="B317" s="277"/>
      <c r="C317" s="278"/>
      <c r="D317" s="244"/>
      <c r="E317" s="279"/>
      <c r="F317" s="279"/>
      <c r="G317" s="279"/>
      <c r="H317" s="279"/>
      <c r="I317" s="279"/>
      <c r="J317" s="279"/>
      <c r="K317" s="279"/>
    </row>
    <row r="318" spans="1:11" ht="12.75" customHeight="1">
      <c r="A318" s="167"/>
      <c r="B318" s="168"/>
      <c r="C318" s="166"/>
      <c r="D318" s="175"/>
      <c r="E318" s="280">
        <f t="shared" ref="E318:K318" si="37">E316-E209</f>
        <v>0</v>
      </c>
      <c r="F318" s="280" t="e">
        <f t="shared" si="37"/>
        <v>#REF!</v>
      </c>
      <c r="G318" s="280" t="e">
        <f t="shared" si="37"/>
        <v>#REF!</v>
      </c>
      <c r="H318" s="280" t="e">
        <f t="shared" si="37"/>
        <v>#REF!</v>
      </c>
      <c r="I318" s="280" t="e">
        <f t="shared" si="37"/>
        <v>#REF!</v>
      </c>
      <c r="J318" s="280" t="e">
        <f t="shared" si="37"/>
        <v>#REF!</v>
      </c>
      <c r="K318" s="280" t="e">
        <f t="shared" si="37"/>
        <v>#REF!</v>
      </c>
    </row>
    <row r="319" spans="1:11" ht="12.75" customHeight="1">
      <c r="A319" s="214" t="s">
        <v>503</v>
      </c>
      <c r="B319" s="215"/>
      <c r="C319" s="161"/>
      <c r="D319" s="247"/>
      <c r="E319" s="248"/>
      <c r="F319" s="248"/>
      <c r="G319" s="248"/>
      <c r="H319" s="248"/>
      <c r="I319" s="248"/>
      <c r="J319" s="248"/>
      <c r="K319" s="248"/>
    </row>
    <row r="320" spans="1:11" ht="12.75" customHeight="1">
      <c r="A320" s="218"/>
      <c r="E320" s="249"/>
      <c r="F320" s="249"/>
      <c r="G320" s="249"/>
      <c r="H320" s="249"/>
      <c r="I320" s="249"/>
      <c r="J320" s="249"/>
      <c r="K320" s="249"/>
    </row>
    <row r="321" spans="1:11" ht="12.75" customHeight="1">
      <c r="A321" s="218" t="s">
        <v>504</v>
      </c>
      <c r="B321" s="250"/>
      <c r="C321" s="163"/>
      <c r="D321" s="163"/>
    </row>
    <row r="322" spans="1:11" ht="12.75" customHeight="1">
      <c r="A322" s="167"/>
      <c r="B322" s="168"/>
      <c r="C322" s="166"/>
      <c r="D322" s="166"/>
      <c r="E322" s="249"/>
      <c r="F322" s="169"/>
      <c r="G322" s="169"/>
      <c r="H322" s="169"/>
      <c r="I322" s="169"/>
      <c r="J322" s="169"/>
      <c r="K322" s="169"/>
    </row>
    <row r="323" spans="1:11" ht="12.75" customHeight="1">
      <c r="A323" s="180"/>
      <c r="B323" s="210"/>
      <c r="C323" s="182"/>
      <c r="D323" s="182"/>
      <c r="E323" s="222"/>
      <c r="F323" s="222"/>
      <c r="G323" s="222"/>
      <c r="H323" s="222"/>
      <c r="I323" s="222"/>
      <c r="J323" s="222"/>
      <c r="K323" s="222"/>
    </row>
    <row r="324" spans="1:11" ht="12.75" customHeight="1">
      <c r="A324" s="224" t="s">
        <v>505</v>
      </c>
      <c r="B324" s="225"/>
      <c r="C324" s="226"/>
      <c r="D324" s="172"/>
      <c r="E324" s="227">
        <f t="shared" ref="E324:K324" si="38">+E219</f>
        <v>41729</v>
      </c>
      <c r="F324" s="227">
        <f t="shared" si="38"/>
        <v>42094</v>
      </c>
      <c r="G324" s="227">
        <f t="shared" si="38"/>
        <v>42460</v>
      </c>
      <c r="H324" s="227">
        <f t="shared" si="38"/>
        <v>42825</v>
      </c>
      <c r="I324" s="227">
        <f t="shared" si="38"/>
        <v>43190</v>
      </c>
      <c r="J324" s="227">
        <f t="shared" si="38"/>
        <v>43555</v>
      </c>
      <c r="K324" s="227">
        <f t="shared" si="38"/>
        <v>43921</v>
      </c>
    </row>
    <row r="325" spans="1:11" ht="12.75" customHeight="1">
      <c r="A325" s="221"/>
      <c r="B325" s="168"/>
      <c r="C325" s="166"/>
      <c r="D325" s="175"/>
      <c r="E325" s="176"/>
      <c r="F325" s="176"/>
      <c r="G325" s="176"/>
      <c r="H325" s="176"/>
      <c r="I325" s="176"/>
      <c r="J325" s="176"/>
      <c r="K325" s="176"/>
    </row>
    <row r="326" spans="1:11" ht="12.75" customHeight="1">
      <c r="A326" s="167"/>
      <c r="B326" s="168"/>
      <c r="C326" s="166"/>
      <c r="D326" s="175"/>
      <c r="E326" s="178" t="str">
        <f t="shared" ref="E326:K326" si="39">+E111</f>
        <v>Audited</v>
      </c>
      <c r="F326" s="178" t="str">
        <f t="shared" si="39"/>
        <v>Audited</v>
      </c>
      <c r="G326" s="178" t="str">
        <f t="shared" si="39"/>
        <v>Audited</v>
      </c>
      <c r="H326" s="178" t="str">
        <f t="shared" si="39"/>
        <v>Estimated</v>
      </c>
      <c r="I326" s="178" t="str">
        <f t="shared" si="39"/>
        <v>Projection</v>
      </c>
      <c r="J326" s="178" t="str">
        <f t="shared" si="39"/>
        <v>Projection</v>
      </c>
      <c r="K326" s="178" t="str">
        <f t="shared" si="39"/>
        <v>Projection</v>
      </c>
    </row>
    <row r="327" spans="1:11" ht="12.75" customHeight="1">
      <c r="A327" s="228" t="s">
        <v>506</v>
      </c>
      <c r="B327" s="210"/>
      <c r="C327" s="182"/>
      <c r="D327" s="183"/>
      <c r="E327" s="251"/>
      <c r="F327" s="251"/>
      <c r="G327" s="251"/>
      <c r="H327" s="251"/>
      <c r="I327" s="251"/>
      <c r="J327" s="251"/>
      <c r="K327" s="251"/>
    </row>
    <row r="328" spans="1:11" ht="12.75" customHeight="1">
      <c r="A328" s="167"/>
      <c r="B328" s="168"/>
      <c r="C328" s="166"/>
      <c r="D328" s="175"/>
      <c r="E328" s="177"/>
      <c r="F328" s="177"/>
      <c r="G328" s="177"/>
      <c r="H328" s="177"/>
      <c r="I328" s="177"/>
      <c r="J328" s="177"/>
      <c r="K328" s="177"/>
    </row>
    <row r="329" spans="1:11" ht="12.75" customHeight="1">
      <c r="A329" s="167">
        <v>44</v>
      </c>
      <c r="B329" s="168"/>
      <c r="C329" s="185" t="s">
        <v>569</v>
      </c>
      <c r="D329" s="186"/>
      <c r="E329" s="205"/>
      <c r="F329" s="230">
        <f t="shared" ref="F329:K329" si="40">F206-F314-F307-F302-F296</f>
        <v>1120.5266269999997</v>
      </c>
      <c r="G329" s="230">
        <f t="shared" si="40"/>
        <v>1301.5838270000002</v>
      </c>
      <c r="H329" s="230">
        <f t="shared" si="40"/>
        <v>868.35382700000014</v>
      </c>
      <c r="I329" s="230">
        <f t="shared" si="40"/>
        <v>0</v>
      </c>
      <c r="J329" s="230">
        <f t="shared" si="40"/>
        <v>-777.95617300000004</v>
      </c>
      <c r="K329" s="230">
        <f t="shared" si="40"/>
        <v>-1064.9161730000001</v>
      </c>
    </row>
    <row r="330" spans="1:11" ht="12.75" customHeight="1">
      <c r="A330" s="167"/>
      <c r="B330" s="168"/>
      <c r="C330" s="166"/>
      <c r="D330" s="175"/>
      <c r="E330" s="177"/>
      <c r="F330" s="194"/>
      <c r="G330" s="194"/>
      <c r="H330" s="194"/>
      <c r="I330" s="194"/>
      <c r="J330" s="194"/>
      <c r="K330" s="194"/>
    </row>
    <row r="331" spans="1:11" ht="12.75" customHeight="1">
      <c r="A331" s="167">
        <v>45</v>
      </c>
      <c r="B331" s="168"/>
      <c r="C331" s="185" t="s">
        <v>570</v>
      </c>
      <c r="D331" s="186"/>
      <c r="E331" s="205"/>
      <c r="F331" s="230" t="e">
        <f t="shared" ref="F331:K331" si="41">((+F183+F206)-(F287+F288+F310+F314))</f>
        <v>#REF!</v>
      </c>
      <c r="G331" s="230" t="e">
        <f t="shared" si="41"/>
        <v>#REF!</v>
      </c>
      <c r="H331" s="230" t="e">
        <f t="shared" si="41"/>
        <v>#REF!</v>
      </c>
      <c r="I331" s="230" t="e">
        <f t="shared" si="41"/>
        <v>#REF!</v>
      </c>
      <c r="J331" s="230" t="e">
        <f t="shared" si="41"/>
        <v>#REF!</v>
      </c>
      <c r="K331" s="230" t="e">
        <f t="shared" si="41"/>
        <v>#REF!</v>
      </c>
    </row>
    <row r="332" spans="1:11" ht="12.75" customHeight="1">
      <c r="A332" s="167"/>
      <c r="B332" s="168"/>
      <c r="C332" s="185" t="s">
        <v>571</v>
      </c>
      <c r="D332" s="186"/>
      <c r="E332" s="233"/>
      <c r="F332" s="234" t="e">
        <f t="shared" ref="F332:K332" si="42">(F331/F270)*100</f>
        <v>#REF!</v>
      </c>
      <c r="G332" s="234" t="e">
        <f t="shared" si="42"/>
        <v>#REF!</v>
      </c>
      <c r="H332" s="234" t="e">
        <f t="shared" si="42"/>
        <v>#REF!</v>
      </c>
      <c r="I332" s="234" t="e">
        <f t="shared" si="42"/>
        <v>#REF!</v>
      </c>
      <c r="J332" s="234" t="e">
        <f t="shared" si="42"/>
        <v>#REF!</v>
      </c>
      <c r="K332" s="234" t="e">
        <f t="shared" si="42"/>
        <v>#REF!</v>
      </c>
    </row>
    <row r="333" spans="1:11" ht="12.75" customHeight="1">
      <c r="A333" s="167"/>
      <c r="B333" s="168"/>
      <c r="C333" s="185" t="s">
        <v>572</v>
      </c>
      <c r="D333" s="186"/>
      <c r="E333" s="205"/>
      <c r="F333" s="230" t="e">
        <f t="shared" ref="F333:K333" si="43">F270-F156</f>
        <v>#REF!</v>
      </c>
      <c r="G333" s="230" t="e">
        <f t="shared" si="43"/>
        <v>#REF!</v>
      </c>
      <c r="H333" s="230" t="e">
        <f t="shared" si="43"/>
        <v>#REF!</v>
      </c>
      <c r="I333" s="230" t="e">
        <f t="shared" si="43"/>
        <v>#REF!</v>
      </c>
      <c r="J333" s="230" t="e">
        <f t="shared" si="43"/>
        <v>#REF!</v>
      </c>
      <c r="K333" s="230" t="e">
        <f t="shared" si="43"/>
        <v>#REF!</v>
      </c>
    </row>
    <row r="334" spans="1:11" ht="12.75" customHeight="1">
      <c r="A334" s="167"/>
      <c r="B334" s="168"/>
      <c r="C334" s="185"/>
      <c r="D334" s="186"/>
      <c r="E334" s="281"/>
      <c r="F334" s="282" t="e">
        <f t="shared" ref="F334:K334" si="44">+F331-F333</f>
        <v>#REF!</v>
      </c>
      <c r="G334" s="282" t="e">
        <f t="shared" si="44"/>
        <v>#REF!</v>
      </c>
      <c r="H334" s="282" t="e">
        <f t="shared" si="44"/>
        <v>#REF!</v>
      </c>
      <c r="I334" s="282" t="e">
        <f t="shared" si="44"/>
        <v>#REF!</v>
      </c>
      <c r="J334" s="282" t="e">
        <f t="shared" si="44"/>
        <v>#REF!</v>
      </c>
      <c r="K334" s="282" t="e">
        <f t="shared" si="44"/>
        <v>#REF!</v>
      </c>
    </row>
    <row r="335" spans="1:11" ht="12.75" customHeight="1">
      <c r="A335" s="167"/>
      <c r="B335" s="168"/>
      <c r="C335" s="185"/>
      <c r="D335" s="186"/>
      <c r="E335" s="205"/>
      <c r="F335" s="230"/>
      <c r="G335" s="230"/>
      <c r="H335" s="230"/>
      <c r="I335" s="230"/>
      <c r="J335" s="230"/>
      <c r="K335" s="230"/>
    </row>
    <row r="336" spans="1:11" ht="12.75" customHeight="1">
      <c r="A336" s="167">
        <v>46</v>
      </c>
      <c r="B336" s="168"/>
      <c r="C336" s="185" t="s">
        <v>573</v>
      </c>
      <c r="D336" s="186"/>
      <c r="E336" s="237"/>
      <c r="F336" s="194" t="e">
        <f t="shared" ref="F336:K336" si="45">F270/(F156)</f>
        <v>#REF!</v>
      </c>
      <c r="G336" s="194" t="e">
        <f t="shared" si="45"/>
        <v>#REF!</v>
      </c>
      <c r="H336" s="194" t="e">
        <f t="shared" si="45"/>
        <v>#REF!</v>
      </c>
      <c r="I336" s="194" t="e">
        <f t="shared" si="45"/>
        <v>#REF!</v>
      </c>
      <c r="J336" s="194" t="e">
        <f t="shared" si="45"/>
        <v>#REF!</v>
      </c>
      <c r="K336" s="194" t="e">
        <f t="shared" si="45"/>
        <v>#REF!</v>
      </c>
    </row>
    <row r="337" spans="1:11" ht="12.75" customHeight="1">
      <c r="A337" s="167"/>
      <c r="B337" s="168"/>
      <c r="C337" s="166"/>
      <c r="D337" s="175"/>
      <c r="E337" s="252"/>
      <c r="F337" s="230"/>
      <c r="G337" s="230"/>
      <c r="H337" s="230"/>
      <c r="I337" s="230"/>
      <c r="J337" s="230"/>
      <c r="K337" s="230"/>
    </row>
    <row r="338" spans="1:11" ht="12.75" customHeight="1">
      <c r="A338" s="167">
        <v>47</v>
      </c>
      <c r="B338" s="168"/>
      <c r="C338" s="185" t="s">
        <v>574</v>
      </c>
      <c r="D338" s="186"/>
      <c r="E338" s="252"/>
      <c r="F338" s="230"/>
      <c r="G338" s="230"/>
      <c r="H338" s="230"/>
      <c r="I338" s="230"/>
      <c r="J338" s="230"/>
      <c r="K338" s="230"/>
    </row>
    <row r="339" spans="1:11" ht="12.75" customHeight="1">
      <c r="A339" s="167"/>
      <c r="B339" s="168"/>
      <c r="C339" s="185" t="s">
        <v>575</v>
      </c>
      <c r="D339" s="186"/>
      <c r="E339" s="252"/>
      <c r="F339" s="230" t="e">
        <f t="shared" ref="F339:K339" si="46">F186/F329</f>
        <v>#REF!</v>
      </c>
      <c r="G339" s="230" t="e">
        <f t="shared" si="46"/>
        <v>#REF!</v>
      </c>
      <c r="H339" s="230" t="e">
        <f t="shared" si="46"/>
        <v>#REF!</v>
      </c>
      <c r="I339" s="230" t="e">
        <f t="shared" si="46"/>
        <v>#REF!</v>
      </c>
      <c r="J339" s="230" t="e">
        <f t="shared" si="46"/>
        <v>#REF!</v>
      </c>
      <c r="K339" s="230" t="e">
        <f t="shared" si="46"/>
        <v>#REF!</v>
      </c>
    </row>
    <row r="340" spans="1:11" ht="12.75" customHeight="1">
      <c r="A340" s="167"/>
      <c r="B340" s="168"/>
      <c r="C340" s="185"/>
      <c r="D340" s="186"/>
      <c r="E340" s="252"/>
      <c r="F340" s="230"/>
      <c r="G340" s="230"/>
      <c r="H340" s="230"/>
      <c r="I340" s="230"/>
      <c r="J340" s="230"/>
      <c r="K340" s="230"/>
    </row>
    <row r="341" spans="1:11" ht="12.75" customHeight="1">
      <c r="A341" s="167">
        <v>48</v>
      </c>
      <c r="B341" s="168"/>
      <c r="C341" s="185" t="s">
        <v>576</v>
      </c>
      <c r="D341" s="186"/>
      <c r="E341" s="252"/>
      <c r="F341" s="230">
        <f t="shared" ref="F341:K341" si="47">F84/F23*100</f>
        <v>9.5686935571075047</v>
      </c>
      <c r="G341" s="230">
        <f t="shared" si="47"/>
        <v>17.25923213247393</v>
      </c>
      <c r="H341" s="230">
        <f t="shared" si="47"/>
        <v>-17.512566094392582</v>
      </c>
      <c r="I341" s="230" t="e">
        <f t="shared" si="47"/>
        <v>#REF!</v>
      </c>
      <c r="J341" s="230" t="e">
        <f t="shared" si="47"/>
        <v>#REF!</v>
      </c>
      <c r="K341" s="230" t="e">
        <f t="shared" si="47"/>
        <v>#REF!</v>
      </c>
    </row>
    <row r="342" spans="1:11" ht="12.75" customHeight="1">
      <c r="A342" s="167"/>
      <c r="B342" s="168"/>
      <c r="C342" s="185"/>
      <c r="D342" s="186"/>
      <c r="E342" s="252"/>
      <c r="F342" s="230"/>
      <c r="G342" s="230"/>
      <c r="H342" s="230"/>
      <c r="I342" s="230"/>
      <c r="J342" s="230"/>
      <c r="K342" s="230"/>
    </row>
    <row r="343" spans="1:11" ht="12.75" customHeight="1">
      <c r="A343" s="167">
        <v>49</v>
      </c>
      <c r="B343" s="168"/>
      <c r="C343" s="185" t="s">
        <v>577</v>
      </c>
      <c r="D343" s="186"/>
      <c r="E343" s="252"/>
      <c r="F343" s="230">
        <f t="shared" ref="F343:K343" si="48">(F84+F41)/F23*100</f>
        <v>16.759720499157389</v>
      </c>
      <c r="G343" s="230">
        <f t="shared" si="48"/>
        <v>24.712436967252668</v>
      </c>
      <c r="H343" s="230">
        <f t="shared" si="48"/>
        <v>-6.8210501120612719</v>
      </c>
      <c r="I343" s="230" t="e">
        <f t="shared" si="48"/>
        <v>#REF!</v>
      </c>
      <c r="J343" s="230" t="e">
        <f t="shared" si="48"/>
        <v>#REF!</v>
      </c>
      <c r="K343" s="230" t="e">
        <f t="shared" si="48"/>
        <v>#REF!</v>
      </c>
    </row>
    <row r="344" spans="1:11" ht="12.75" customHeight="1">
      <c r="A344" s="167"/>
      <c r="B344" s="168"/>
      <c r="C344" s="185"/>
      <c r="D344" s="186"/>
      <c r="E344" s="252"/>
      <c r="F344" s="230"/>
      <c r="G344" s="230"/>
      <c r="H344" s="230"/>
      <c r="I344" s="230"/>
      <c r="J344" s="230"/>
      <c r="K344" s="230"/>
    </row>
    <row r="345" spans="1:11" ht="12.75" customHeight="1">
      <c r="A345" s="167">
        <v>50</v>
      </c>
      <c r="B345" s="168"/>
      <c r="C345" s="185" t="s">
        <v>578</v>
      </c>
      <c r="D345" s="186"/>
      <c r="E345" s="252"/>
      <c r="F345" s="230" t="e">
        <f t="shared" ref="F345:K345" si="49">F23/(F316-F314)</f>
        <v>#REF!</v>
      </c>
      <c r="G345" s="230" t="e">
        <f t="shared" si="49"/>
        <v>#REF!</v>
      </c>
      <c r="H345" s="230" t="e">
        <f t="shared" si="49"/>
        <v>#REF!</v>
      </c>
      <c r="I345" s="230" t="e">
        <f t="shared" si="49"/>
        <v>#REF!</v>
      </c>
      <c r="J345" s="230" t="e">
        <f t="shared" si="49"/>
        <v>#REF!</v>
      </c>
      <c r="K345" s="230" t="e">
        <f t="shared" si="49"/>
        <v>#REF!</v>
      </c>
    </row>
    <row r="346" spans="1:11" ht="12.75" customHeight="1">
      <c r="A346" s="167"/>
      <c r="B346" s="168"/>
      <c r="C346" s="185"/>
      <c r="D346" s="186"/>
      <c r="E346" s="252"/>
      <c r="F346" s="230"/>
      <c r="G346" s="230"/>
      <c r="H346" s="230"/>
      <c r="I346" s="230"/>
      <c r="J346" s="230"/>
      <c r="K346" s="230"/>
    </row>
    <row r="347" spans="1:11" ht="12.75" customHeight="1">
      <c r="A347" s="167">
        <v>51</v>
      </c>
      <c r="B347" s="168"/>
      <c r="C347" s="185" t="s">
        <v>579</v>
      </c>
      <c r="D347" s="186"/>
      <c r="E347" s="252"/>
      <c r="F347" s="230" t="e">
        <f t="shared" ref="F347:K347" si="50">F84/(F316-F314)*100</f>
        <v>#REF!</v>
      </c>
      <c r="G347" s="230" t="e">
        <f t="shared" si="50"/>
        <v>#REF!</v>
      </c>
      <c r="H347" s="230" t="e">
        <f t="shared" si="50"/>
        <v>#REF!</v>
      </c>
      <c r="I347" s="230" t="e">
        <f t="shared" si="50"/>
        <v>#REF!</v>
      </c>
      <c r="J347" s="230" t="e">
        <f t="shared" si="50"/>
        <v>#REF!</v>
      </c>
      <c r="K347" s="230" t="e">
        <f t="shared" si="50"/>
        <v>#REF!</v>
      </c>
    </row>
    <row r="348" spans="1:11" ht="12.75" customHeight="1">
      <c r="A348" s="167"/>
      <c r="B348" s="168"/>
      <c r="C348" s="185"/>
      <c r="D348" s="186"/>
      <c r="E348" s="252"/>
      <c r="F348" s="230"/>
      <c r="G348" s="230"/>
      <c r="H348" s="230"/>
      <c r="I348" s="230"/>
      <c r="J348" s="230"/>
      <c r="K348" s="230"/>
    </row>
    <row r="349" spans="1:11" ht="12.75" customHeight="1">
      <c r="A349" s="167">
        <v>52</v>
      </c>
      <c r="B349" s="168"/>
      <c r="C349" s="185" t="s">
        <v>580</v>
      </c>
      <c r="D349" s="186"/>
      <c r="E349" s="252"/>
      <c r="F349" s="230">
        <f t="shared" ref="F349:K349" si="51">(F66-F41)/F23*100</f>
        <v>60.619310311013585</v>
      </c>
      <c r="G349" s="230">
        <f t="shared" si="51"/>
        <v>45.597221455877076</v>
      </c>
      <c r="H349" s="230">
        <f t="shared" si="51"/>
        <v>56.724220466958243</v>
      </c>
      <c r="I349" s="230" t="e">
        <f t="shared" si="51"/>
        <v>#REF!</v>
      </c>
      <c r="J349" s="230" t="e">
        <f t="shared" si="51"/>
        <v>#REF!</v>
      </c>
      <c r="K349" s="230" t="e">
        <f t="shared" si="51"/>
        <v>#REF!</v>
      </c>
    </row>
    <row r="350" spans="1:11" ht="12.75" customHeight="1">
      <c r="A350" s="167"/>
      <c r="B350" s="168"/>
      <c r="C350" s="185"/>
      <c r="D350" s="186"/>
      <c r="E350" s="252"/>
      <c r="F350" s="230"/>
      <c r="G350" s="230"/>
      <c r="H350" s="230"/>
      <c r="I350" s="230"/>
      <c r="J350" s="230"/>
      <c r="K350" s="230"/>
    </row>
    <row r="351" spans="1:11" ht="12.75" customHeight="1">
      <c r="A351" s="167">
        <v>53</v>
      </c>
      <c r="B351" s="168"/>
      <c r="C351" s="185" t="s">
        <v>581</v>
      </c>
      <c r="D351" s="186"/>
      <c r="E351" s="252"/>
      <c r="F351" s="230" t="e">
        <f t="shared" ref="F351:K351" si="52">F122/F270*100</f>
        <v>#REF!</v>
      </c>
      <c r="G351" s="230" t="e">
        <f t="shared" si="52"/>
        <v>#REF!</v>
      </c>
      <c r="H351" s="230" t="e">
        <f t="shared" si="52"/>
        <v>#REF!</v>
      </c>
      <c r="I351" s="230" t="e">
        <f t="shared" si="52"/>
        <v>#REF!</v>
      </c>
      <c r="J351" s="230" t="e">
        <f t="shared" si="52"/>
        <v>#REF!</v>
      </c>
      <c r="K351" s="230" t="e">
        <f t="shared" si="52"/>
        <v>#REF!</v>
      </c>
    </row>
    <row r="352" spans="1:11" ht="12.75" customHeight="1">
      <c r="A352" s="167"/>
      <c r="B352" s="168"/>
      <c r="C352" s="185"/>
      <c r="D352" s="186"/>
      <c r="E352" s="252"/>
      <c r="F352" s="230"/>
      <c r="G352" s="230"/>
      <c r="H352" s="230"/>
      <c r="I352" s="230"/>
      <c r="J352" s="230"/>
      <c r="K352" s="230"/>
    </row>
    <row r="353" spans="1:11" ht="12.75" customHeight="1">
      <c r="A353" s="167">
        <v>54</v>
      </c>
      <c r="B353" s="168"/>
      <c r="C353" s="185" t="s">
        <v>582</v>
      </c>
      <c r="D353" s="186"/>
      <c r="E353" s="252"/>
      <c r="F353" s="230">
        <f t="shared" ref="F353:K353" si="53">(F235+F248+F247+F249+F250+F252+F253+F301)/F23*365</f>
        <v>296.88303793963945</v>
      </c>
      <c r="G353" s="230">
        <f t="shared" si="53"/>
        <v>154.17915089136594</v>
      </c>
      <c r="H353" s="230">
        <f t="shared" si="53"/>
        <v>147.70282900319862</v>
      </c>
      <c r="I353" s="230" t="e">
        <f t="shared" si="53"/>
        <v>#REF!</v>
      </c>
      <c r="J353" s="230" t="e">
        <f t="shared" si="53"/>
        <v>#REF!</v>
      </c>
      <c r="K353" s="230" t="e">
        <f t="shared" si="53"/>
        <v>#REF!</v>
      </c>
    </row>
    <row r="354" spans="1:11" ht="12.75" customHeight="1">
      <c r="A354" s="167"/>
      <c r="B354" s="168"/>
      <c r="C354" s="166"/>
      <c r="D354" s="175"/>
      <c r="E354" s="177"/>
      <c r="F354" s="177"/>
      <c r="G354" s="177"/>
      <c r="H354" s="177"/>
      <c r="I354" s="177"/>
      <c r="J354" s="177"/>
      <c r="K354" s="177"/>
    </row>
    <row r="355" spans="1:11" ht="12.75" customHeight="1">
      <c r="A355" s="167">
        <v>55</v>
      </c>
      <c r="B355" s="168"/>
      <c r="C355" s="166" t="s">
        <v>583</v>
      </c>
      <c r="D355" s="175"/>
      <c r="E355" s="177"/>
      <c r="F355" s="283" t="e">
        <f t="shared" ref="F355:K355" si="54">+F331/F270</f>
        <v>#REF!</v>
      </c>
      <c r="G355" s="283" t="e">
        <f t="shared" si="54"/>
        <v>#REF!</v>
      </c>
      <c r="H355" s="283" t="e">
        <f t="shared" si="54"/>
        <v>#REF!</v>
      </c>
      <c r="I355" s="283" t="e">
        <f t="shared" si="54"/>
        <v>#REF!</v>
      </c>
      <c r="J355" s="283" t="e">
        <f t="shared" si="54"/>
        <v>#REF!</v>
      </c>
      <c r="K355" s="283" t="e">
        <f t="shared" si="54"/>
        <v>#REF!</v>
      </c>
    </row>
    <row r="356" spans="1:11" ht="12.75" customHeight="1">
      <c r="A356" s="167"/>
      <c r="B356" s="168"/>
      <c r="C356" s="166"/>
      <c r="D356" s="175"/>
      <c r="E356" s="284"/>
      <c r="F356" s="284"/>
      <c r="G356" s="284"/>
      <c r="H356" s="284"/>
      <c r="I356" s="284"/>
      <c r="J356" s="284"/>
      <c r="K356" s="284"/>
    </row>
    <row r="357" spans="1:11" ht="12.75" customHeight="1">
      <c r="A357" s="167"/>
      <c r="B357" s="168"/>
      <c r="C357" s="166"/>
      <c r="D357" s="175"/>
      <c r="E357" s="205"/>
      <c r="F357" s="205"/>
      <c r="G357" s="205"/>
      <c r="H357" s="205"/>
      <c r="I357" s="205"/>
      <c r="J357" s="205"/>
      <c r="K357" s="205"/>
    </row>
    <row r="358" spans="1:11" ht="12.75" customHeight="1">
      <c r="A358" s="167">
        <v>56</v>
      </c>
      <c r="B358" s="168"/>
      <c r="C358" s="166" t="s">
        <v>584</v>
      </c>
      <c r="D358" s="175"/>
      <c r="E358" s="205"/>
      <c r="F358" s="285" t="e">
        <f t="shared" ref="F358:K358" si="55">+F150/F270</f>
        <v>#REF!</v>
      </c>
      <c r="G358" s="285" t="e">
        <f t="shared" si="55"/>
        <v>#REF!</v>
      </c>
      <c r="H358" s="285" t="e">
        <f t="shared" si="55"/>
        <v>#REF!</v>
      </c>
      <c r="I358" s="285" t="e">
        <f t="shared" si="55"/>
        <v>#REF!</v>
      </c>
      <c r="J358" s="285" t="e">
        <f t="shared" si="55"/>
        <v>#REF!</v>
      </c>
      <c r="K358" s="285" t="e">
        <f t="shared" si="55"/>
        <v>#REF!</v>
      </c>
    </row>
    <row r="359" spans="1:11" ht="12.75" customHeight="1">
      <c r="A359" s="167"/>
      <c r="B359" s="168"/>
      <c r="C359" s="166"/>
      <c r="D359" s="175"/>
      <c r="E359" s="205"/>
      <c r="F359" s="205"/>
      <c r="G359" s="205"/>
      <c r="H359" s="205"/>
      <c r="I359" s="205"/>
      <c r="J359" s="205"/>
      <c r="K359" s="205"/>
    </row>
    <row r="360" spans="1:11" ht="12.75" customHeight="1">
      <c r="A360" s="167"/>
      <c r="B360" s="168"/>
      <c r="C360" s="166"/>
      <c r="D360" s="175"/>
      <c r="E360" s="177"/>
      <c r="F360" s="177"/>
      <c r="G360" s="177"/>
      <c r="H360" s="177"/>
      <c r="I360" s="177"/>
      <c r="J360" s="177"/>
      <c r="K360" s="177"/>
    </row>
    <row r="361" spans="1:11" ht="12.75" customHeight="1">
      <c r="A361" s="167"/>
      <c r="B361" s="168"/>
      <c r="C361" s="185" t="s">
        <v>585</v>
      </c>
      <c r="D361" s="186"/>
      <c r="E361" s="252"/>
      <c r="F361" s="252"/>
      <c r="G361" s="252"/>
      <c r="H361" s="252"/>
      <c r="I361" s="252"/>
      <c r="J361" s="252"/>
      <c r="K361" s="252"/>
    </row>
    <row r="362" spans="1:11" ht="12.75" customHeight="1">
      <c r="A362" s="167"/>
      <c r="B362" s="168"/>
      <c r="C362" s="185" t="s">
        <v>586</v>
      </c>
      <c r="D362" s="186"/>
      <c r="E362" s="177"/>
      <c r="F362" s="177"/>
      <c r="G362" s="177"/>
      <c r="H362" s="177"/>
      <c r="I362" s="177"/>
      <c r="J362" s="177"/>
      <c r="K362" s="177"/>
    </row>
    <row r="363" spans="1:11" ht="12.75" customHeight="1">
      <c r="A363" s="221" t="s">
        <v>587</v>
      </c>
      <c r="B363" s="168"/>
      <c r="C363" s="185" t="s">
        <v>588</v>
      </c>
      <c r="D363" s="186"/>
      <c r="E363" s="205"/>
      <c r="F363" s="230">
        <v>0</v>
      </c>
      <c r="G363" s="230">
        <v>0</v>
      </c>
      <c r="H363" s="230">
        <v>0</v>
      </c>
      <c r="I363" s="230">
        <v>0</v>
      </c>
      <c r="J363" s="230">
        <v>0</v>
      </c>
      <c r="K363" s="230">
        <v>0</v>
      </c>
    </row>
    <row r="364" spans="1:11" ht="12.75" customHeight="1">
      <c r="A364" s="221" t="s">
        <v>589</v>
      </c>
      <c r="B364" s="168"/>
      <c r="C364" s="185" t="s">
        <v>590</v>
      </c>
      <c r="D364" s="186"/>
      <c r="E364" s="177"/>
      <c r="F364" s="194"/>
      <c r="G364" s="194"/>
      <c r="H364" s="194"/>
      <c r="I364" s="194"/>
      <c r="J364" s="194"/>
      <c r="K364" s="194"/>
    </row>
    <row r="365" spans="1:11" ht="12.75" customHeight="1">
      <c r="A365" s="167"/>
      <c r="B365" s="168"/>
      <c r="C365" s="185" t="s">
        <v>591</v>
      </c>
      <c r="D365" s="186"/>
      <c r="E365" s="205"/>
      <c r="F365" s="230">
        <v>0</v>
      </c>
      <c r="G365" s="230">
        <v>0</v>
      </c>
      <c r="H365" s="230">
        <v>0</v>
      </c>
      <c r="I365" s="230">
        <v>0</v>
      </c>
      <c r="J365" s="230">
        <v>0</v>
      </c>
      <c r="K365" s="230">
        <v>0</v>
      </c>
    </row>
    <row r="366" spans="1:11" ht="12.75" customHeight="1">
      <c r="A366" s="167"/>
      <c r="B366" s="168"/>
      <c r="C366" s="185" t="s">
        <v>592</v>
      </c>
      <c r="D366" s="186"/>
      <c r="E366" s="177"/>
      <c r="F366" s="194"/>
      <c r="G366" s="194"/>
      <c r="H366" s="194"/>
      <c r="I366" s="194"/>
      <c r="J366" s="194"/>
      <c r="K366" s="194"/>
    </row>
    <row r="367" spans="1:11" ht="12.75" customHeight="1">
      <c r="A367" s="167"/>
      <c r="B367" s="168"/>
      <c r="C367" s="185" t="s">
        <v>593</v>
      </c>
      <c r="D367" s="186"/>
      <c r="E367" s="205"/>
      <c r="F367" s="230">
        <v>0</v>
      </c>
      <c r="G367" s="230">
        <v>0</v>
      </c>
      <c r="H367" s="230">
        <v>0</v>
      </c>
      <c r="I367" s="230">
        <v>0</v>
      </c>
      <c r="J367" s="230">
        <v>0</v>
      </c>
      <c r="K367" s="230">
        <v>0</v>
      </c>
    </row>
    <row r="368" spans="1:11" ht="12.75" customHeight="1">
      <c r="A368" s="167"/>
      <c r="B368" s="168"/>
      <c r="C368" s="185" t="s">
        <v>594</v>
      </c>
      <c r="D368" s="186"/>
      <c r="E368" s="177"/>
      <c r="F368" s="194"/>
      <c r="G368" s="194"/>
      <c r="H368" s="194"/>
      <c r="I368" s="194"/>
      <c r="J368" s="194"/>
      <c r="K368" s="194"/>
    </row>
    <row r="369" spans="1:11" ht="12.75" customHeight="1">
      <c r="A369" s="167"/>
      <c r="B369" s="168"/>
      <c r="C369" s="185" t="s">
        <v>595</v>
      </c>
      <c r="D369" s="186"/>
      <c r="E369" s="272"/>
      <c r="F369" s="194">
        <v>0</v>
      </c>
      <c r="G369" s="194">
        <v>0</v>
      </c>
      <c r="H369" s="194">
        <v>0</v>
      </c>
      <c r="I369" s="194">
        <v>0</v>
      </c>
      <c r="J369" s="194">
        <v>0</v>
      </c>
      <c r="K369" s="194">
        <v>0</v>
      </c>
    </row>
    <row r="370" spans="1:11" ht="12.75" customHeight="1">
      <c r="A370" s="167"/>
      <c r="B370" s="168"/>
      <c r="C370" s="185" t="s">
        <v>596</v>
      </c>
      <c r="D370" s="186"/>
      <c r="E370" s="272"/>
      <c r="F370" s="194"/>
      <c r="G370" s="194"/>
      <c r="H370" s="194"/>
      <c r="I370" s="194"/>
      <c r="J370" s="194"/>
      <c r="K370" s="194"/>
    </row>
    <row r="371" spans="1:11" ht="12.75" customHeight="1">
      <c r="A371" s="167"/>
      <c r="B371" s="168"/>
      <c r="C371" s="185" t="s">
        <v>593</v>
      </c>
      <c r="D371" s="186"/>
      <c r="E371" s="272"/>
      <c r="F371" s="194">
        <v>0</v>
      </c>
      <c r="G371" s="194">
        <v>0</v>
      </c>
      <c r="H371" s="194">
        <v>0</v>
      </c>
      <c r="I371" s="194">
        <v>0</v>
      </c>
      <c r="J371" s="194">
        <v>0</v>
      </c>
      <c r="K371" s="194">
        <v>0</v>
      </c>
    </row>
    <row r="372" spans="1:11" ht="12.75" customHeight="1">
      <c r="A372" s="167"/>
      <c r="B372" s="168"/>
      <c r="C372" s="166"/>
      <c r="D372" s="175"/>
      <c r="E372" s="177"/>
      <c r="F372" s="177"/>
      <c r="G372" s="177"/>
      <c r="H372" s="177"/>
      <c r="I372" s="177"/>
      <c r="J372" s="177"/>
      <c r="K372" s="177"/>
    </row>
    <row r="373" spans="1:11" s="158" customFormat="1" ht="12.75" customHeight="1">
      <c r="A373" s="286"/>
      <c r="B373" s="287"/>
      <c r="C373" s="288" t="s">
        <v>597</v>
      </c>
      <c r="D373" s="289"/>
      <c r="E373" s="275">
        <f t="shared" ref="E373:K373" si="56">E209-E316</f>
        <v>0</v>
      </c>
      <c r="F373" s="275" t="e">
        <f t="shared" si="56"/>
        <v>#REF!</v>
      </c>
      <c r="G373" s="275" t="e">
        <f t="shared" si="56"/>
        <v>#REF!</v>
      </c>
      <c r="H373" s="275" t="e">
        <f t="shared" si="56"/>
        <v>#REF!</v>
      </c>
      <c r="I373" s="275" t="e">
        <f t="shared" si="56"/>
        <v>#REF!</v>
      </c>
      <c r="J373" s="275" t="e">
        <f t="shared" si="56"/>
        <v>#REF!</v>
      </c>
      <c r="K373" s="275" t="e">
        <f t="shared" si="56"/>
        <v>#REF!</v>
      </c>
    </row>
    <row r="374" spans="1:11" ht="12.75" customHeight="1">
      <c r="A374" s="221"/>
      <c r="B374" s="168"/>
      <c r="C374" s="185"/>
      <c r="D374" s="186"/>
      <c r="E374" s="177"/>
      <c r="F374" s="177"/>
      <c r="G374" s="177"/>
      <c r="H374" s="177"/>
      <c r="I374" s="177"/>
      <c r="J374" s="177"/>
      <c r="K374" s="177"/>
    </row>
    <row r="375" spans="1:11" ht="12.75" customHeight="1">
      <c r="A375" s="228"/>
      <c r="B375" s="210"/>
      <c r="C375" s="243"/>
      <c r="D375" s="290"/>
      <c r="E375" s="291"/>
      <c r="F375" s="291"/>
      <c r="G375" s="291"/>
      <c r="H375" s="291"/>
      <c r="I375" s="291"/>
      <c r="J375" s="291"/>
      <c r="K375" s="291"/>
    </row>
    <row r="376" spans="1:11" ht="12.75" customHeight="1">
      <c r="A376" s="292" t="s">
        <v>598</v>
      </c>
      <c r="B376" s="293"/>
      <c r="C376" s="294"/>
      <c r="D376" s="294"/>
      <c r="E376" s="162"/>
      <c r="F376" s="162"/>
      <c r="G376" s="162"/>
      <c r="H376" s="162"/>
      <c r="I376" s="162"/>
      <c r="J376" s="162"/>
      <c r="K376" s="162"/>
    </row>
    <row r="377" spans="1:11" ht="12.75" customHeight="1">
      <c r="A377" s="218" t="s">
        <v>599</v>
      </c>
      <c r="B377" s="250"/>
      <c r="C377" s="163"/>
      <c r="D377" s="163"/>
    </row>
    <row r="378" spans="1:11" ht="12.75" customHeight="1">
      <c r="A378" s="167"/>
      <c r="B378" s="168"/>
      <c r="C378" s="166"/>
      <c r="D378" s="166"/>
      <c r="F378" s="169"/>
      <c r="G378" s="169"/>
      <c r="H378" s="169"/>
      <c r="I378" s="169"/>
      <c r="J378" s="169"/>
      <c r="K378" s="169"/>
    </row>
    <row r="379" spans="1:11" ht="12.75" customHeight="1">
      <c r="A379" s="224" t="s">
        <v>505</v>
      </c>
      <c r="B379" s="225"/>
      <c r="C379" s="226"/>
      <c r="D379" s="226"/>
      <c r="E379" s="227">
        <f t="shared" ref="E379:K379" si="57">+E8</f>
        <v>41729</v>
      </c>
      <c r="F379" s="227">
        <f t="shared" si="57"/>
        <v>42094</v>
      </c>
      <c r="G379" s="227">
        <f t="shared" si="57"/>
        <v>42460</v>
      </c>
      <c r="H379" s="227">
        <f t="shared" si="57"/>
        <v>42825</v>
      </c>
      <c r="I379" s="227">
        <f t="shared" si="57"/>
        <v>43190</v>
      </c>
      <c r="J379" s="227">
        <f t="shared" si="57"/>
        <v>43555</v>
      </c>
      <c r="K379" s="227">
        <f t="shared" si="57"/>
        <v>43921</v>
      </c>
    </row>
    <row r="380" spans="1:11" ht="12.75" customHeight="1">
      <c r="A380" s="221"/>
      <c r="B380" s="168"/>
      <c r="C380" s="166"/>
      <c r="D380" s="166"/>
      <c r="E380" s="176"/>
      <c r="F380" s="176"/>
      <c r="G380" s="176"/>
      <c r="H380" s="176"/>
      <c r="I380" s="176"/>
      <c r="J380" s="176"/>
      <c r="K380" s="176"/>
    </row>
    <row r="381" spans="1:11" ht="12.75" customHeight="1">
      <c r="A381" s="167"/>
      <c r="B381" s="168"/>
      <c r="C381" s="166"/>
      <c r="D381" s="166"/>
      <c r="E381" s="178" t="str">
        <f t="shared" ref="E381:K381" si="58">+E11</f>
        <v>Audited</v>
      </c>
      <c r="F381" s="178" t="str">
        <f t="shared" si="58"/>
        <v>Audited</v>
      </c>
      <c r="G381" s="178" t="str">
        <f t="shared" si="58"/>
        <v>Audited</v>
      </c>
      <c r="H381" s="178" t="str">
        <f t="shared" si="58"/>
        <v>Estimated</v>
      </c>
      <c r="I381" s="178" t="str">
        <f t="shared" si="58"/>
        <v>Projection</v>
      </c>
      <c r="J381" s="178" t="str">
        <f t="shared" si="58"/>
        <v>Projection</v>
      </c>
      <c r="K381" s="178" t="str">
        <f t="shared" si="58"/>
        <v>Projection</v>
      </c>
    </row>
    <row r="382" spans="1:11" ht="12.75" customHeight="1">
      <c r="A382" s="257" t="s">
        <v>506</v>
      </c>
      <c r="B382" s="295"/>
      <c r="C382" s="296"/>
      <c r="D382" s="296"/>
      <c r="E382" s="297"/>
      <c r="F382" s="297"/>
      <c r="G382" s="297"/>
      <c r="H382" s="297"/>
      <c r="I382" s="297"/>
      <c r="J382" s="297"/>
      <c r="K382" s="297"/>
    </row>
    <row r="383" spans="1:11" ht="12.75" customHeight="1">
      <c r="A383" s="221" t="s">
        <v>600</v>
      </c>
      <c r="B383" s="168"/>
      <c r="C383" s="185" t="s">
        <v>506</v>
      </c>
      <c r="D383" s="186"/>
      <c r="E383" s="177"/>
      <c r="F383" s="177"/>
      <c r="G383" s="177"/>
      <c r="H383" s="177"/>
      <c r="I383" s="177"/>
      <c r="J383" s="177"/>
      <c r="K383" s="177"/>
    </row>
    <row r="384" spans="1:11" ht="12.75" customHeight="1">
      <c r="A384" s="167"/>
      <c r="B384" s="168"/>
      <c r="C384" s="185" t="s">
        <v>601</v>
      </c>
      <c r="D384" s="186"/>
      <c r="E384" s="177"/>
      <c r="F384" s="177"/>
      <c r="G384" s="177"/>
      <c r="H384" s="177"/>
      <c r="I384" s="177"/>
      <c r="J384" s="177"/>
      <c r="K384" s="177"/>
    </row>
    <row r="385" spans="1:14" ht="12.75" customHeight="1">
      <c r="A385" s="167">
        <v>1</v>
      </c>
      <c r="B385" s="168"/>
      <c r="C385" s="185" t="s">
        <v>602</v>
      </c>
      <c r="D385" s="186"/>
      <c r="E385" s="177"/>
      <c r="F385" s="177"/>
      <c r="G385" s="177"/>
      <c r="H385" s="177"/>
      <c r="I385" s="177"/>
      <c r="J385" s="177"/>
      <c r="K385" s="177"/>
    </row>
    <row r="386" spans="1:14" ht="12.75" customHeight="1">
      <c r="A386" s="167"/>
      <c r="B386" s="168"/>
      <c r="C386" s="185" t="s">
        <v>603</v>
      </c>
      <c r="D386" s="186"/>
      <c r="E386" s="177"/>
      <c r="F386" s="177"/>
      <c r="G386" s="177"/>
      <c r="H386" s="177"/>
      <c r="I386" s="177"/>
      <c r="J386" s="177"/>
      <c r="K386" s="177"/>
      <c r="M386" s="309"/>
      <c r="N386" s="309"/>
    </row>
    <row r="387" spans="1:14" ht="12.75" customHeight="1">
      <c r="A387" s="167"/>
      <c r="B387" s="168"/>
      <c r="C387" s="185" t="s">
        <v>604</v>
      </c>
      <c r="D387" s="186"/>
      <c r="E387" s="177"/>
      <c r="F387" s="177"/>
      <c r="G387" s="177"/>
      <c r="H387" s="177"/>
      <c r="I387" s="177"/>
      <c r="J387" s="177"/>
      <c r="K387" s="177"/>
      <c r="M387" s="309"/>
      <c r="N387" s="309"/>
    </row>
    <row r="388" spans="1:14" ht="12.75" customHeight="1">
      <c r="A388" s="167"/>
      <c r="B388" s="168"/>
      <c r="C388" s="185" t="s">
        <v>605</v>
      </c>
      <c r="D388" s="186"/>
      <c r="E388" s="205"/>
      <c r="F388" s="230">
        <f t="shared" ref="F388:K388" si="59">F247</f>
        <v>79.196096100000005</v>
      </c>
      <c r="G388" s="230">
        <f t="shared" si="59"/>
        <v>41.567823799999999</v>
      </c>
      <c r="H388" s="230">
        <f t="shared" si="59"/>
        <v>62.67</v>
      </c>
      <c r="I388" s="230">
        <f t="shared" si="59"/>
        <v>0</v>
      </c>
      <c r="J388" s="230">
        <f t="shared" si="59"/>
        <v>100.49</v>
      </c>
      <c r="K388" s="230">
        <f t="shared" si="59"/>
        <v>1.07</v>
      </c>
      <c r="M388" s="309">
        <f>I388/M389</f>
        <v>0</v>
      </c>
      <c r="N388" s="309"/>
    </row>
    <row r="389" spans="1:14" ht="12.75" customHeight="1">
      <c r="A389" s="167"/>
      <c r="B389" s="168"/>
      <c r="C389" s="185" t="s">
        <v>606</v>
      </c>
      <c r="D389" s="186"/>
      <c r="E389" s="205"/>
      <c r="F389" s="230">
        <f t="shared" ref="F389:K389" si="60">F388/F32*365</f>
        <v>125.90040326870439</v>
      </c>
      <c r="G389" s="230">
        <f t="shared" si="60"/>
        <v>22.834488526523135</v>
      </c>
      <c r="H389" s="230">
        <f t="shared" si="60"/>
        <v>24.731382173593392</v>
      </c>
      <c r="I389" s="230">
        <f t="shared" si="60"/>
        <v>0</v>
      </c>
      <c r="J389" s="230">
        <f t="shared" si="60"/>
        <v>35.938868693598799</v>
      </c>
      <c r="K389" s="230">
        <f t="shared" si="60"/>
        <v>0.37199489465462715</v>
      </c>
      <c r="M389" s="309">
        <v>4.8752095676341503</v>
      </c>
      <c r="N389" s="309"/>
    </row>
    <row r="390" spans="1:14" ht="12.75" customHeight="1">
      <c r="A390" s="167"/>
      <c r="B390" s="168"/>
      <c r="C390" s="185" t="s">
        <v>607</v>
      </c>
      <c r="D390" s="186"/>
      <c r="E390" s="205"/>
      <c r="F390" s="230">
        <f t="shared" ref="F390:K390" si="61">F248</f>
        <v>4.7671916000000003</v>
      </c>
      <c r="G390" s="230">
        <f t="shared" si="61"/>
        <v>5.0837946000000001</v>
      </c>
      <c r="H390" s="230">
        <f t="shared" si="61"/>
        <v>2.64</v>
      </c>
      <c r="I390" s="230">
        <f t="shared" si="61"/>
        <v>0</v>
      </c>
      <c r="J390" s="230">
        <f t="shared" si="61"/>
        <v>2.13</v>
      </c>
      <c r="K390" s="230">
        <f t="shared" si="61"/>
        <v>0.76</v>
      </c>
      <c r="M390" s="309" t="e">
        <f>I390/M391</f>
        <v>#DIV/0!</v>
      </c>
      <c r="N390" s="309"/>
    </row>
    <row r="391" spans="1:14" ht="12.75" customHeight="1">
      <c r="A391" s="167"/>
      <c r="B391" s="168"/>
      <c r="C391" s="185" t="s">
        <v>606</v>
      </c>
      <c r="D391" s="186"/>
      <c r="E391" s="205"/>
      <c r="F391" s="230">
        <f t="shared" ref="F391:K391" si="62">IFERROR(F390/F33*365,0)</f>
        <v>269.71031543161422</v>
      </c>
      <c r="G391" s="230">
        <f t="shared" si="62"/>
        <v>118.33283637520027</v>
      </c>
      <c r="H391" s="230">
        <f t="shared" si="62"/>
        <v>62.77524429967427</v>
      </c>
      <c r="I391" s="230">
        <f t="shared" si="62"/>
        <v>0</v>
      </c>
      <c r="J391" s="230">
        <f t="shared" si="62"/>
        <v>76.975247524752476</v>
      </c>
      <c r="K391" s="230">
        <f t="shared" si="62"/>
        <v>23.548387096774192</v>
      </c>
      <c r="M391" s="309">
        <v>0</v>
      </c>
      <c r="N391" s="309"/>
    </row>
    <row r="392" spans="1:14" ht="12.75" customHeight="1">
      <c r="A392" s="167"/>
      <c r="B392" s="168"/>
      <c r="C392" s="166"/>
      <c r="D392" s="175"/>
      <c r="E392" s="177"/>
      <c r="F392" s="194"/>
      <c r="G392" s="194"/>
      <c r="H392" s="194"/>
      <c r="I392" s="194"/>
      <c r="J392" s="194"/>
      <c r="K392" s="194"/>
      <c r="M392" s="309"/>
      <c r="N392" s="309"/>
    </row>
    <row r="393" spans="1:14" ht="12.75" customHeight="1">
      <c r="A393" s="167">
        <v>2</v>
      </c>
      <c r="B393" s="168"/>
      <c r="C393" s="185" t="s">
        <v>608</v>
      </c>
      <c r="D393" s="186"/>
      <c r="E393" s="177"/>
      <c r="F393" s="194"/>
      <c r="G393" s="194"/>
      <c r="H393" s="194"/>
      <c r="I393" s="194"/>
      <c r="J393" s="194"/>
      <c r="K393" s="194"/>
      <c r="M393" s="309"/>
      <c r="N393" s="309"/>
    </row>
    <row r="394" spans="1:14" ht="12.75" customHeight="1">
      <c r="A394" s="167"/>
      <c r="B394" s="168"/>
      <c r="C394" s="185" t="s">
        <v>609</v>
      </c>
      <c r="D394" s="186"/>
      <c r="E394" s="177"/>
      <c r="F394" s="194"/>
      <c r="G394" s="194"/>
      <c r="H394" s="194"/>
      <c r="I394" s="194"/>
      <c r="J394" s="194"/>
      <c r="K394" s="194"/>
      <c r="M394" s="309"/>
      <c r="N394" s="309"/>
    </row>
    <row r="395" spans="1:14" ht="12.75" customHeight="1">
      <c r="A395" s="167"/>
      <c r="B395" s="168"/>
      <c r="C395" s="185" t="s">
        <v>605</v>
      </c>
      <c r="D395" s="186"/>
      <c r="E395" s="205"/>
      <c r="F395" s="230">
        <f t="shared" ref="F395:K395" si="63">F252</f>
        <v>0</v>
      </c>
      <c r="G395" s="230">
        <f t="shared" si="63"/>
        <v>0</v>
      </c>
      <c r="H395" s="230">
        <f t="shared" si="63"/>
        <v>0</v>
      </c>
      <c r="I395" s="230">
        <f t="shared" si="63"/>
        <v>0</v>
      </c>
      <c r="J395" s="230">
        <f t="shared" si="63"/>
        <v>0</v>
      </c>
      <c r="K395" s="230">
        <f t="shared" si="63"/>
        <v>0</v>
      </c>
      <c r="M395" s="309"/>
      <c r="N395" s="309"/>
    </row>
    <row r="396" spans="1:14" ht="12.75" customHeight="1">
      <c r="A396" s="167"/>
      <c r="B396" s="168"/>
      <c r="C396" s="185" t="s">
        <v>610</v>
      </c>
      <c r="D396" s="186"/>
      <c r="E396" s="205"/>
      <c r="F396" s="230">
        <f t="shared" ref="F396:K396" si="64">IFERROR((F395*12)/(F35+F36+F37),0)</f>
        <v>0</v>
      </c>
      <c r="G396" s="230">
        <f t="shared" si="64"/>
        <v>0</v>
      </c>
      <c r="H396" s="230">
        <f t="shared" si="64"/>
        <v>0</v>
      </c>
      <c r="I396" s="230">
        <f t="shared" si="64"/>
        <v>0</v>
      </c>
      <c r="J396" s="230">
        <f t="shared" si="64"/>
        <v>0</v>
      </c>
      <c r="K396" s="230">
        <f t="shared" si="64"/>
        <v>0</v>
      </c>
      <c r="M396" s="309"/>
      <c r="N396" s="309"/>
    </row>
    <row r="397" spans="1:14" ht="12.75" customHeight="1">
      <c r="A397" s="167"/>
      <c r="B397" s="168"/>
      <c r="C397" s="185" t="s">
        <v>607</v>
      </c>
      <c r="D397" s="186"/>
      <c r="E397" s="205"/>
      <c r="F397" s="230">
        <f t="shared" ref="F397:K397" si="65">F253</f>
        <v>0</v>
      </c>
      <c r="G397" s="230">
        <f t="shared" si="65"/>
        <v>14.8626252</v>
      </c>
      <c r="H397" s="230">
        <f t="shared" si="65"/>
        <v>22.1981</v>
      </c>
      <c r="I397" s="230">
        <f t="shared" si="65"/>
        <v>0</v>
      </c>
      <c r="J397" s="230">
        <f t="shared" si="65"/>
        <v>6.65</v>
      </c>
      <c r="K397" s="230">
        <f t="shared" si="65"/>
        <v>10.97</v>
      </c>
      <c r="M397" s="309" t="e">
        <f>I397/M398</f>
        <v>#DIV/0!</v>
      </c>
      <c r="N397" s="309"/>
    </row>
    <row r="398" spans="1:14" ht="12.75" customHeight="1">
      <c r="A398" s="167"/>
      <c r="B398" s="168"/>
      <c r="C398" s="185" t="s">
        <v>610</v>
      </c>
      <c r="D398" s="186"/>
      <c r="E398" s="205"/>
      <c r="F398" s="230">
        <f t="shared" ref="F398:K398" si="66">IFERROR((F397*12)/(F35+F36)*30,0)</f>
        <v>0</v>
      </c>
      <c r="G398" s="230">
        <f t="shared" si="66"/>
        <v>0</v>
      </c>
      <c r="H398" s="230">
        <f t="shared" si="66"/>
        <v>0</v>
      </c>
      <c r="I398" s="230">
        <f t="shared" si="66"/>
        <v>0</v>
      </c>
      <c r="J398" s="230">
        <f t="shared" si="66"/>
        <v>0</v>
      </c>
      <c r="K398" s="230">
        <f t="shared" si="66"/>
        <v>0</v>
      </c>
      <c r="M398" s="309">
        <f>(I35+I36)/360</f>
        <v>0</v>
      </c>
      <c r="N398" s="309"/>
    </row>
    <row r="399" spans="1:14" ht="12.75" customHeight="1">
      <c r="A399" s="167"/>
      <c r="B399" s="168"/>
      <c r="C399" s="166"/>
      <c r="D399" s="175"/>
      <c r="E399" s="177"/>
      <c r="F399" s="194"/>
      <c r="G399" s="194"/>
      <c r="H399" s="194"/>
      <c r="I399" s="194"/>
      <c r="J399" s="194"/>
      <c r="K399" s="194"/>
      <c r="M399" s="309"/>
      <c r="N399" s="309"/>
    </row>
    <row r="400" spans="1:14" ht="12.75" customHeight="1">
      <c r="A400" s="167"/>
      <c r="B400" s="168"/>
      <c r="C400" s="185" t="s">
        <v>611</v>
      </c>
      <c r="D400" s="186"/>
      <c r="E400" s="205"/>
      <c r="F400" s="230">
        <f t="shared" ref="F400:K400" si="67">F390+F397+F388+F395</f>
        <v>83.963287700000009</v>
      </c>
      <c r="G400" s="230">
        <f t="shared" si="67"/>
        <v>61.5142436</v>
      </c>
      <c r="H400" s="230">
        <f t="shared" si="67"/>
        <v>87.508099999999999</v>
      </c>
      <c r="I400" s="230">
        <f t="shared" si="67"/>
        <v>0</v>
      </c>
      <c r="J400" s="230">
        <f t="shared" si="67"/>
        <v>109.27</v>
      </c>
      <c r="K400" s="230">
        <f t="shared" si="67"/>
        <v>12.8</v>
      </c>
      <c r="M400" s="309"/>
      <c r="N400" s="309"/>
    </row>
    <row r="401" spans="1:14" ht="12.75" customHeight="1">
      <c r="A401" s="167"/>
      <c r="B401" s="168"/>
      <c r="C401" s="185" t="s">
        <v>610</v>
      </c>
      <c r="D401" s="186"/>
      <c r="E401" s="205"/>
      <c r="F401" s="230">
        <f t="shared" ref="F401:K401" si="68">F400/((F32+F33)/(12)+(F35+F36)/12)</f>
        <v>4.2684116361134743</v>
      </c>
      <c r="G401" s="230">
        <f t="shared" si="68"/>
        <v>1.0853446841334102</v>
      </c>
      <c r="H401" s="230">
        <f t="shared" si="68"/>
        <v>1.1168038967530602</v>
      </c>
      <c r="I401" s="230">
        <f t="shared" si="68"/>
        <v>0</v>
      </c>
      <c r="J401" s="230">
        <f t="shared" si="68"/>
        <v>1.2721962956854145</v>
      </c>
      <c r="K401" s="230">
        <f t="shared" si="68"/>
        <v>0.14467908746679728</v>
      </c>
      <c r="M401" s="309"/>
      <c r="N401" s="309"/>
    </row>
    <row r="402" spans="1:14" ht="12.75" customHeight="1">
      <c r="A402" s="167"/>
      <c r="B402" s="168"/>
      <c r="C402" s="166"/>
      <c r="D402" s="175"/>
      <c r="E402" s="177"/>
      <c r="F402" s="194"/>
      <c r="G402" s="194"/>
      <c r="H402" s="194"/>
      <c r="I402" s="194"/>
      <c r="J402" s="194"/>
      <c r="K402" s="194"/>
      <c r="M402" s="309"/>
      <c r="N402" s="309"/>
    </row>
    <row r="403" spans="1:14" ht="12.75" customHeight="1">
      <c r="A403" s="167">
        <v>3</v>
      </c>
      <c r="B403" s="168"/>
      <c r="C403" s="185" t="s">
        <v>612</v>
      </c>
      <c r="D403" s="186"/>
      <c r="E403" s="205"/>
      <c r="F403" s="230">
        <f t="shared" ref="F403:K403" si="69">F249</f>
        <v>0</v>
      </c>
      <c r="G403" s="230">
        <f t="shared" si="69"/>
        <v>0</v>
      </c>
      <c r="H403" s="230">
        <f t="shared" si="69"/>
        <v>0</v>
      </c>
      <c r="I403" s="230">
        <f t="shared" si="69"/>
        <v>0</v>
      </c>
      <c r="J403" s="230">
        <f t="shared" si="69"/>
        <v>0</v>
      </c>
      <c r="K403" s="230">
        <f t="shared" si="69"/>
        <v>0</v>
      </c>
      <c r="M403" s="309"/>
      <c r="N403" s="309"/>
    </row>
    <row r="404" spans="1:14" ht="12.75" customHeight="1">
      <c r="A404" s="167"/>
      <c r="B404" s="168"/>
      <c r="C404" s="185" t="s">
        <v>613</v>
      </c>
      <c r="D404" s="186"/>
      <c r="E404" s="205"/>
      <c r="F404" s="230">
        <f t="shared" ref="F404:K404" si="70">F403/(F51/12)</f>
        <v>0</v>
      </c>
      <c r="G404" s="230">
        <f t="shared" si="70"/>
        <v>0</v>
      </c>
      <c r="H404" s="230">
        <f t="shared" si="70"/>
        <v>0</v>
      </c>
      <c r="I404" s="230">
        <f t="shared" si="70"/>
        <v>0</v>
      </c>
      <c r="J404" s="230">
        <f t="shared" si="70"/>
        <v>0</v>
      </c>
      <c r="K404" s="230">
        <f t="shared" si="70"/>
        <v>0</v>
      </c>
      <c r="M404" s="309"/>
      <c r="N404" s="309"/>
    </row>
    <row r="405" spans="1:14" ht="12.75" customHeight="1">
      <c r="A405" s="167"/>
      <c r="B405" s="168"/>
      <c r="C405" s="166"/>
      <c r="D405" s="175"/>
      <c r="E405" s="205"/>
      <c r="F405" s="230"/>
      <c r="G405" s="230"/>
      <c r="H405" s="230"/>
      <c r="I405" s="230"/>
      <c r="J405" s="230"/>
      <c r="K405" s="230"/>
    </row>
    <row r="406" spans="1:14" ht="12.75" customHeight="1">
      <c r="A406" s="167">
        <v>4</v>
      </c>
      <c r="B406" s="168"/>
      <c r="C406" s="185" t="s">
        <v>614</v>
      </c>
      <c r="D406" s="186"/>
      <c r="E406" s="205"/>
      <c r="F406" s="230">
        <f t="shared" ref="F406:K406" si="71">F250</f>
        <v>0</v>
      </c>
      <c r="G406" s="230">
        <f t="shared" si="71"/>
        <v>0</v>
      </c>
      <c r="H406" s="230">
        <f t="shared" si="71"/>
        <v>0</v>
      </c>
      <c r="I406" s="230">
        <f t="shared" si="71"/>
        <v>0</v>
      </c>
      <c r="J406" s="230">
        <f t="shared" si="71"/>
        <v>0</v>
      </c>
      <c r="K406" s="230">
        <f t="shared" si="71"/>
        <v>0</v>
      </c>
    </row>
    <row r="407" spans="1:14" ht="12.75" customHeight="1">
      <c r="A407" s="167"/>
      <c r="B407" s="168"/>
      <c r="C407" s="185" t="s">
        <v>615</v>
      </c>
      <c r="D407" s="186"/>
      <c r="E407" s="205"/>
      <c r="F407" s="230">
        <f t="shared" ref="F407:K407" si="72">F406/(F60/12)</f>
        <v>0</v>
      </c>
      <c r="G407" s="230">
        <f t="shared" si="72"/>
        <v>0</v>
      </c>
      <c r="H407" s="230">
        <f t="shared" si="72"/>
        <v>0</v>
      </c>
      <c r="I407" s="230">
        <f t="shared" si="72"/>
        <v>0</v>
      </c>
      <c r="J407" s="230">
        <f t="shared" si="72"/>
        <v>0</v>
      </c>
      <c r="K407" s="230">
        <f t="shared" si="72"/>
        <v>0</v>
      </c>
    </row>
    <row r="408" spans="1:14" ht="12.75" customHeight="1">
      <c r="A408" s="167"/>
      <c r="B408" s="168"/>
      <c r="C408" s="185" t="s">
        <v>616</v>
      </c>
      <c r="D408" s="186"/>
      <c r="E408" s="177"/>
      <c r="F408" s="194"/>
      <c r="G408" s="194"/>
      <c r="H408" s="194"/>
      <c r="I408" s="194"/>
      <c r="J408" s="194"/>
      <c r="K408" s="194"/>
    </row>
    <row r="409" spans="1:14" ht="12.75" customHeight="1">
      <c r="A409" s="167"/>
      <c r="B409" s="168"/>
      <c r="C409" s="185"/>
      <c r="D409" s="186"/>
      <c r="E409" s="177"/>
      <c r="F409" s="194"/>
      <c r="G409" s="194"/>
      <c r="H409" s="194"/>
      <c r="I409" s="194"/>
      <c r="J409" s="194"/>
      <c r="K409" s="194"/>
    </row>
    <row r="410" spans="1:14" ht="12.75" customHeight="1">
      <c r="A410" s="167"/>
      <c r="B410" s="168"/>
      <c r="C410" s="185"/>
      <c r="D410" s="186"/>
      <c r="E410" s="177"/>
      <c r="F410" s="194"/>
      <c r="G410" s="194"/>
      <c r="H410" s="194"/>
      <c r="I410" s="194"/>
      <c r="J410" s="194"/>
      <c r="K410" s="194"/>
    </row>
    <row r="411" spans="1:14" ht="12.75" customHeight="1">
      <c r="A411" s="167">
        <v>5</v>
      </c>
      <c r="B411" s="168"/>
      <c r="C411" s="185" t="s">
        <v>617</v>
      </c>
      <c r="D411" s="186"/>
      <c r="E411" s="177"/>
      <c r="F411" s="194"/>
      <c r="G411" s="194"/>
      <c r="H411" s="194"/>
      <c r="I411" s="194"/>
      <c r="J411" s="194"/>
      <c r="K411" s="194"/>
    </row>
    <row r="412" spans="1:14" ht="12.75" customHeight="1">
      <c r="A412" s="167"/>
      <c r="B412" s="168"/>
      <c r="C412" s="185" t="s">
        <v>618</v>
      </c>
      <c r="D412" s="186"/>
      <c r="E412" s="177"/>
      <c r="F412" s="194"/>
      <c r="G412" s="194"/>
      <c r="H412" s="194"/>
      <c r="I412" s="194"/>
      <c r="J412" s="194"/>
      <c r="K412" s="194"/>
    </row>
    <row r="413" spans="1:14" ht="12.75" customHeight="1">
      <c r="A413" s="167"/>
      <c r="B413" s="168"/>
      <c r="C413" s="185" t="s">
        <v>619</v>
      </c>
      <c r="D413" s="186"/>
      <c r="E413" s="298"/>
      <c r="F413" s="230">
        <f t="shared" ref="F413:K413" si="73">F235</f>
        <v>284.7934262</v>
      </c>
      <c r="G413" s="230">
        <f t="shared" si="73"/>
        <v>621.36</v>
      </c>
      <c r="H413" s="230">
        <f t="shared" si="73"/>
        <v>656.38</v>
      </c>
      <c r="I413" s="230">
        <f t="shared" si="73"/>
        <v>0</v>
      </c>
      <c r="J413" s="230">
        <f t="shared" si="73"/>
        <v>987.87</v>
      </c>
      <c r="K413" s="230">
        <f t="shared" si="73"/>
        <v>1334.17</v>
      </c>
    </row>
    <row r="414" spans="1:14" ht="12.75" customHeight="1">
      <c r="A414" s="167"/>
      <c r="B414" s="168"/>
      <c r="C414" s="185" t="s">
        <v>620</v>
      </c>
      <c r="D414" s="186"/>
      <c r="E414" s="177"/>
      <c r="F414" s="194"/>
      <c r="G414" s="194"/>
      <c r="H414" s="194"/>
      <c r="I414" s="194"/>
      <c r="J414" s="194"/>
      <c r="K414" s="194"/>
    </row>
    <row r="415" spans="1:14" ht="12.75" customHeight="1">
      <c r="A415" s="167"/>
      <c r="B415" s="168"/>
      <c r="C415" s="185" t="s">
        <v>621</v>
      </c>
      <c r="D415" s="186"/>
      <c r="E415" s="205"/>
      <c r="F415" s="230">
        <f t="shared" ref="F415:K415" si="74">F413/F19*12</f>
        <v>7.5381329216041379</v>
      </c>
      <c r="G415" s="230">
        <f t="shared" si="74"/>
        <v>4.6122898392943306</v>
      </c>
      <c r="H415" s="230">
        <f t="shared" si="74"/>
        <v>4.2847444350153401</v>
      </c>
      <c r="I415" s="230" t="e">
        <f t="shared" si="74"/>
        <v>#REF!</v>
      </c>
      <c r="J415" s="230" t="e">
        <f t="shared" si="74"/>
        <v>#REF!</v>
      </c>
      <c r="K415" s="230" t="e">
        <f t="shared" si="74"/>
        <v>#REF!</v>
      </c>
    </row>
    <row r="416" spans="1:14" ht="12.75" customHeight="1">
      <c r="A416" s="167"/>
      <c r="B416" s="168"/>
      <c r="C416" s="166" t="s">
        <v>622</v>
      </c>
      <c r="D416" s="175"/>
      <c r="E416" s="177"/>
      <c r="F416" s="194">
        <f t="shared" ref="F416:K416" si="75">+F415/12*365</f>
        <v>229.28487636545918</v>
      </c>
      <c r="G416" s="194">
        <f t="shared" si="75"/>
        <v>140.29048261186924</v>
      </c>
      <c r="H416" s="194">
        <f t="shared" si="75"/>
        <v>130.32764323171659</v>
      </c>
      <c r="I416" s="194" t="e">
        <f t="shared" si="75"/>
        <v>#REF!</v>
      </c>
      <c r="J416" s="194" t="e">
        <f t="shared" si="75"/>
        <v>#REF!</v>
      </c>
      <c r="K416" s="194" t="e">
        <f t="shared" si="75"/>
        <v>#REF!</v>
      </c>
    </row>
    <row r="417" spans="1:11" ht="12.75" customHeight="1">
      <c r="A417" s="167">
        <v>6</v>
      </c>
      <c r="B417" s="168"/>
      <c r="C417" s="185" t="s">
        <v>623</v>
      </c>
      <c r="D417" s="186"/>
      <c r="E417" s="177"/>
      <c r="F417" s="194"/>
      <c r="G417" s="194"/>
      <c r="H417" s="194"/>
      <c r="I417" s="194"/>
      <c r="J417" s="194"/>
      <c r="K417" s="194"/>
    </row>
    <row r="418" spans="1:11" ht="12.75" customHeight="1">
      <c r="A418" s="167"/>
      <c r="B418" s="168"/>
      <c r="C418" s="185" t="s">
        <v>624</v>
      </c>
      <c r="D418" s="186"/>
      <c r="E418" s="205"/>
      <c r="F418" s="230">
        <f t="shared" ref="F418:K418" si="76">F238</f>
        <v>0</v>
      </c>
      <c r="G418" s="230">
        <f t="shared" si="76"/>
        <v>0</v>
      </c>
      <c r="H418" s="230">
        <f t="shared" si="76"/>
        <v>0</v>
      </c>
      <c r="I418" s="230">
        <f t="shared" si="76"/>
        <v>0</v>
      </c>
      <c r="J418" s="230">
        <f t="shared" si="76"/>
        <v>0</v>
      </c>
      <c r="K418" s="230">
        <f t="shared" si="76"/>
        <v>0</v>
      </c>
    </row>
    <row r="419" spans="1:11" ht="12.75" customHeight="1">
      <c r="A419" s="167"/>
      <c r="B419" s="168"/>
      <c r="C419" s="185" t="s">
        <v>625</v>
      </c>
      <c r="D419" s="186"/>
      <c r="E419" s="237"/>
      <c r="F419" s="194">
        <v>0</v>
      </c>
      <c r="G419" s="194">
        <v>0</v>
      </c>
      <c r="H419" s="194">
        <v>0</v>
      </c>
      <c r="I419" s="194">
        <v>0</v>
      </c>
      <c r="J419" s="194">
        <v>0</v>
      </c>
      <c r="K419" s="194">
        <v>0</v>
      </c>
    </row>
    <row r="420" spans="1:11" ht="12.75" customHeight="1">
      <c r="A420" s="167"/>
      <c r="B420" s="168"/>
      <c r="C420" s="166"/>
      <c r="D420" s="175"/>
      <c r="E420" s="177"/>
      <c r="F420" s="194"/>
      <c r="G420" s="194"/>
      <c r="H420" s="194"/>
      <c r="I420" s="194"/>
      <c r="J420" s="194"/>
      <c r="K420" s="194"/>
    </row>
    <row r="421" spans="1:11" ht="12.75" customHeight="1">
      <c r="A421" s="167"/>
      <c r="B421" s="168"/>
      <c r="C421" s="185" t="s">
        <v>626</v>
      </c>
      <c r="D421" s="186"/>
      <c r="E421" s="205"/>
      <c r="F421" s="230">
        <f t="shared" ref="F421:K421" si="77">F400+F406+F413+F418+F403</f>
        <v>368.75671390000002</v>
      </c>
      <c r="G421" s="230">
        <f t="shared" si="77"/>
        <v>682.8742436</v>
      </c>
      <c r="H421" s="230">
        <f t="shared" si="77"/>
        <v>743.88810000000001</v>
      </c>
      <c r="I421" s="230">
        <f t="shared" si="77"/>
        <v>0</v>
      </c>
      <c r="J421" s="230">
        <f t="shared" si="77"/>
        <v>1097.1400000000001</v>
      </c>
      <c r="K421" s="230">
        <f t="shared" si="77"/>
        <v>1346.97</v>
      </c>
    </row>
    <row r="422" spans="1:11" ht="12.75" customHeight="1">
      <c r="A422" s="167"/>
      <c r="B422" s="168"/>
      <c r="C422" s="185" t="s">
        <v>627</v>
      </c>
      <c r="D422" s="186"/>
      <c r="E422" s="237"/>
      <c r="F422" s="194">
        <f t="shared" ref="F422:K422" si="78">ROUND(+F401+F404+F407+F415+F419,2)</f>
        <v>11.81</v>
      </c>
      <c r="G422" s="194">
        <f t="shared" si="78"/>
        <v>5.7</v>
      </c>
      <c r="H422" s="194">
        <f t="shared" si="78"/>
        <v>5.4</v>
      </c>
      <c r="I422" s="194" t="e">
        <f t="shared" si="78"/>
        <v>#REF!</v>
      </c>
      <c r="J422" s="194" t="e">
        <f t="shared" si="78"/>
        <v>#REF!</v>
      </c>
      <c r="K422" s="194" t="e">
        <f t="shared" si="78"/>
        <v>#REF!</v>
      </c>
    </row>
    <row r="423" spans="1:11" ht="12.75" customHeight="1">
      <c r="A423" s="167"/>
      <c r="B423" s="168"/>
      <c r="C423" s="166"/>
      <c r="D423" s="175"/>
      <c r="E423" s="177"/>
      <c r="F423" s="194"/>
      <c r="G423" s="194"/>
      <c r="H423" s="194"/>
      <c r="I423" s="194"/>
      <c r="J423" s="194"/>
      <c r="K423" s="194"/>
    </row>
    <row r="424" spans="1:11" ht="12.75" customHeight="1">
      <c r="A424" s="167">
        <v>7</v>
      </c>
      <c r="B424" s="168"/>
      <c r="C424" s="185" t="s">
        <v>628</v>
      </c>
      <c r="D424" s="186"/>
      <c r="E424" s="177"/>
      <c r="F424" s="194"/>
      <c r="G424" s="194"/>
      <c r="H424" s="194"/>
      <c r="I424" s="194"/>
      <c r="J424" s="194"/>
      <c r="K424" s="194"/>
    </row>
    <row r="425" spans="1:11" ht="12.75" customHeight="1">
      <c r="A425" s="167"/>
      <c r="B425" s="168"/>
      <c r="C425" s="185" t="s">
        <v>629</v>
      </c>
      <c r="D425" s="186"/>
      <c r="E425" s="205"/>
      <c r="F425" s="230">
        <f t="shared" ref="F425:K425" si="79">F255</f>
        <v>0</v>
      </c>
      <c r="G425" s="230">
        <f t="shared" si="79"/>
        <v>0</v>
      </c>
      <c r="H425" s="230">
        <f t="shared" si="79"/>
        <v>0</v>
      </c>
      <c r="I425" s="230">
        <f t="shared" si="79"/>
        <v>0</v>
      </c>
      <c r="J425" s="230">
        <f t="shared" si="79"/>
        <v>1.5</v>
      </c>
      <c r="K425" s="230">
        <f t="shared" si="79"/>
        <v>1.51</v>
      </c>
    </row>
    <row r="426" spans="1:11" ht="12.75" customHeight="1">
      <c r="A426" s="167"/>
      <c r="B426" s="168"/>
      <c r="C426" s="166"/>
      <c r="D426" s="175"/>
      <c r="E426" s="177"/>
      <c r="F426" s="194"/>
      <c r="G426" s="194"/>
      <c r="H426" s="194"/>
      <c r="I426" s="194"/>
      <c r="J426" s="194"/>
      <c r="K426" s="194"/>
    </row>
    <row r="427" spans="1:11" ht="12.75" customHeight="1">
      <c r="A427" s="167">
        <v>8</v>
      </c>
      <c r="B427" s="168"/>
      <c r="C427" s="185" t="s">
        <v>630</v>
      </c>
      <c r="D427" s="186"/>
      <c r="E427" s="177"/>
      <c r="F427" s="194"/>
      <c r="G427" s="194"/>
      <c r="H427" s="194"/>
      <c r="I427" s="194"/>
      <c r="J427" s="194"/>
      <c r="K427" s="194"/>
    </row>
    <row r="428" spans="1:11" ht="12.75" customHeight="1">
      <c r="A428" s="167"/>
      <c r="B428" s="168"/>
      <c r="C428" s="185" t="s">
        <v>631</v>
      </c>
      <c r="D428" s="186"/>
      <c r="E428" s="177"/>
      <c r="F428" s="194"/>
      <c r="G428" s="194"/>
      <c r="H428" s="194"/>
      <c r="I428" s="194"/>
      <c r="J428" s="194"/>
      <c r="K428" s="194"/>
    </row>
    <row r="429" spans="1:11" ht="12.75" customHeight="1">
      <c r="A429" s="167"/>
      <c r="B429" s="168"/>
      <c r="C429" s="185" t="s">
        <v>632</v>
      </c>
      <c r="D429" s="186"/>
      <c r="E429" s="205"/>
      <c r="F429" s="230" t="e">
        <f t="shared" ref="F429:K429" si="80">F224+F229+F230+F241+F258+F262+F264+F266+F268</f>
        <v>#REF!</v>
      </c>
      <c r="G429" s="230" t="e">
        <f t="shared" si="80"/>
        <v>#REF!</v>
      </c>
      <c r="H429" s="230" t="e">
        <f t="shared" si="80"/>
        <v>#REF!</v>
      </c>
      <c r="I429" s="230" t="e">
        <f t="shared" si="80"/>
        <v>#REF!</v>
      </c>
      <c r="J429" s="230" t="e">
        <f t="shared" si="80"/>
        <v>#REF!</v>
      </c>
      <c r="K429" s="230" t="e">
        <f t="shared" si="80"/>
        <v>#REF!</v>
      </c>
    </row>
    <row r="430" spans="1:11" ht="12.75" customHeight="1">
      <c r="A430" s="167"/>
      <c r="B430" s="168"/>
      <c r="C430" s="185" t="s">
        <v>633</v>
      </c>
      <c r="D430" s="186"/>
      <c r="E430" s="177"/>
      <c r="F430" s="194"/>
      <c r="G430" s="194"/>
      <c r="H430" s="194"/>
      <c r="I430" s="194"/>
      <c r="J430" s="194"/>
      <c r="K430" s="194"/>
    </row>
    <row r="431" spans="1:11" ht="12.75" customHeight="1">
      <c r="A431" s="167">
        <v>9</v>
      </c>
      <c r="B431" s="168"/>
      <c r="C431" s="185" t="s">
        <v>538</v>
      </c>
      <c r="D431" s="186"/>
      <c r="E431" s="205"/>
      <c r="F431" s="230" t="e">
        <f t="shared" ref="F431:K431" si="81">F429+F425+F421</f>
        <v>#REF!</v>
      </c>
      <c r="G431" s="230" t="e">
        <f t="shared" si="81"/>
        <v>#REF!</v>
      </c>
      <c r="H431" s="230" t="e">
        <f t="shared" si="81"/>
        <v>#REF!</v>
      </c>
      <c r="I431" s="230" t="e">
        <f t="shared" si="81"/>
        <v>#REF!</v>
      </c>
      <c r="J431" s="230" t="e">
        <f t="shared" si="81"/>
        <v>#REF!</v>
      </c>
      <c r="K431" s="230" t="e">
        <f t="shared" si="81"/>
        <v>#REF!</v>
      </c>
    </row>
    <row r="432" spans="1:11" ht="12.75" customHeight="1">
      <c r="A432" s="167"/>
      <c r="B432" s="168"/>
      <c r="C432" s="185" t="s">
        <v>634</v>
      </c>
      <c r="D432" s="186"/>
      <c r="E432" s="205"/>
      <c r="F432" s="230" t="e">
        <f t="shared" ref="F432:K432" si="82">F270</f>
        <v>#REF!</v>
      </c>
      <c r="G432" s="230" t="e">
        <f t="shared" si="82"/>
        <v>#REF!</v>
      </c>
      <c r="H432" s="230" t="e">
        <f t="shared" si="82"/>
        <v>#REF!</v>
      </c>
      <c r="I432" s="230" t="e">
        <f t="shared" si="82"/>
        <v>#REF!</v>
      </c>
      <c r="J432" s="230" t="e">
        <f t="shared" si="82"/>
        <v>#REF!</v>
      </c>
      <c r="K432" s="230" t="e">
        <f t="shared" si="82"/>
        <v>#REF!</v>
      </c>
    </row>
    <row r="433" spans="1:11" ht="12.75" customHeight="1">
      <c r="A433" s="167"/>
      <c r="B433" s="168"/>
      <c r="C433" s="185" t="s">
        <v>635</v>
      </c>
      <c r="D433" s="186"/>
      <c r="E433" s="205"/>
      <c r="F433" s="230" t="e">
        <f t="shared" ref="F433:K433" si="83">F432-F431</f>
        <v>#REF!</v>
      </c>
      <c r="G433" s="230" t="e">
        <f t="shared" si="83"/>
        <v>#REF!</v>
      </c>
      <c r="H433" s="230" t="e">
        <f t="shared" si="83"/>
        <v>#REF!</v>
      </c>
      <c r="I433" s="230" t="e">
        <f t="shared" si="83"/>
        <v>#REF!</v>
      </c>
      <c r="J433" s="230" t="e">
        <f t="shared" si="83"/>
        <v>#REF!</v>
      </c>
      <c r="K433" s="230" t="e">
        <f t="shared" si="83"/>
        <v>#REF!</v>
      </c>
    </row>
    <row r="434" spans="1:11" ht="12.75" customHeight="1">
      <c r="A434" s="167"/>
      <c r="B434" s="168"/>
      <c r="C434" s="166"/>
      <c r="D434" s="175"/>
      <c r="E434" s="177"/>
      <c r="F434" s="194"/>
      <c r="G434" s="194"/>
      <c r="H434" s="194"/>
      <c r="I434" s="194"/>
      <c r="J434" s="194"/>
      <c r="K434" s="194"/>
    </row>
    <row r="435" spans="1:11" ht="12.75" customHeight="1">
      <c r="A435" s="167"/>
      <c r="B435" s="168"/>
      <c r="C435" s="166"/>
      <c r="D435" s="175"/>
      <c r="E435" s="177"/>
      <c r="F435" s="194"/>
      <c r="G435" s="194"/>
      <c r="H435" s="194"/>
      <c r="I435" s="194"/>
      <c r="J435" s="194"/>
      <c r="K435" s="194"/>
    </row>
    <row r="436" spans="1:11" ht="12.75" customHeight="1">
      <c r="A436" s="299" t="s">
        <v>636</v>
      </c>
      <c r="B436" s="300"/>
      <c r="C436" s="301"/>
      <c r="D436" s="302"/>
      <c r="E436" s="177"/>
      <c r="F436" s="194"/>
      <c r="G436" s="194"/>
      <c r="H436" s="194"/>
      <c r="I436" s="194"/>
      <c r="J436" s="194"/>
      <c r="K436" s="194"/>
    </row>
    <row r="437" spans="1:11" ht="12.75" customHeight="1">
      <c r="A437" s="167"/>
      <c r="B437" s="168"/>
      <c r="C437" s="185"/>
      <c r="D437" s="186"/>
      <c r="E437" s="177"/>
      <c r="F437" s="194"/>
      <c r="G437" s="194"/>
      <c r="H437" s="194"/>
      <c r="I437" s="194"/>
      <c r="J437" s="194"/>
      <c r="K437" s="194"/>
    </row>
    <row r="438" spans="1:11" ht="12.75" customHeight="1">
      <c r="A438" s="218" t="s">
        <v>599</v>
      </c>
      <c r="B438" s="219"/>
      <c r="C438" s="160"/>
      <c r="D438" s="303"/>
      <c r="E438" s="177"/>
      <c r="F438" s="194"/>
      <c r="G438" s="194"/>
      <c r="H438" s="194"/>
      <c r="I438" s="194"/>
      <c r="J438" s="194"/>
      <c r="K438" s="194"/>
    </row>
    <row r="439" spans="1:11" ht="12.75" customHeight="1">
      <c r="A439" s="167"/>
      <c r="B439" s="168"/>
      <c r="C439" s="166"/>
      <c r="D439" s="175"/>
      <c r="E439" s="177"/>
      <c r="F439" s="194"/>
      <c r="G439" s="194"/>
      <c r="H439" s="194"/>
      <c r="I439" s="194"/>
      <c r="J439" s="194"/>
      <c r="K439" s="194"/>
    </row>
    <row r="440" spans="1:11" ht="12.75" customHeight="1">
      <c r="A440" s="270"/>
      <c r="B440" s="225"/>
      <c r="C440" s="226"/>
      <c r="D440" s="172"/>
      <c r="E440" s="304">
        <f t="shared" ref="E440:K440" si="84">E8</f>
        <v>41729</v>
      </c>
      <c r="F440" s="304">
        <f t="shared" si="84"/>
        <v>42094</v>
      </c>
      <c r="G440" s="304">
        <f t="shared" si="84"/>
        <v>42460</v>
      </c>
      <c r="H440" s="304">
        <f t="shared" si="84"/>
        <v>42825</v>
      </c>
      <c r="I440" s="304">
        <f t="shared" si="84"/>
        <v>43190</v>
      </c>
      <c r="J440" s="304">
        <f t="shared" si="84"/>
        <v>43555</v>
      </c>
      <c r="K440" s="304">
        <f t="shared" si="84"/>
        <v>43921</v>
      </c>
    </row>
    <row r="441" spans="1:11" ht="12.75" customHeight="1">
      <c r="A441" s="221" t="s">
        <v>637</v>
      </c>
      <c r="B441" s="168"/>
      <c r="C441" s="185" t="s">
        <v>438</v>
      </c>
      <c r="D441" s="186"/>
      <c r="E441" s="176"/>
      <c r="F441" s="197"/>
      <c r="G441" s="197"/>
      <c r="H441" s="197"/>
      <c r="I441" s="197"/>
      <c r="J441" s="197"/>
      <c r="K441" s="197"/>
    </row>
    <row r="442" spans="1:11" ht="12.75" customHeight="1">
      <c r="A442" s="167"/>
      <c r="B442" s="168"/>
      <c r="C442" s="185" t="s">
        <v>638</v>
      </c>
      <c r="D442" s="186"/>
      <c r="E442" s="305" t="str">
        <f t="shared" ref="E442:K442" si="85">E11</f>
        <v>Audited</v>
      </c>
      <c r="F442" s="305" t="str">
        <f t="shared" si="85"/>
        <v>Audited</v>
      </c>
      <c r="G442" s="305" t="str">
        <f t="shared" si="85"/>
        <v>Audited</v>
      </c>
      <c r="H442" s="305" t="str">
        <f t="shared" si="85"/>
        <v>Estimated</v>
      </c>
      <c r="I442" s="305" t="str">
        <f t="shared" si="85"/>
        <v>Projection</v>
      </c>
      <c r="J442" s="305" t="str">
        <f t="shared" si="85"/>
        <v>Projection</v>
      </c>
      <c r="K442" s="305" t="str">
        <f t="shared" si="85"/>
        <v>Projection</v>
      </c>
    </row>
    <row r="443" spans="1:11" ht="12.75" customHeight="1">
      <c r="A443" s="180"/>
      <c r="B443" s="210"/>
      <c r="C443" s="243" t="s">
        <v>639</v>
      </c>
      <c r="D443" s="290"/>
      <c r="E443" s="306"/>
      <c r="F443" s="268"/>
      <c r="G443" s="268"/>
      <c r="H443" s="268"/>
      <c r="I443" s="268"/>
      <c r="J443" s="268"/>
      <c r="K443" s="268"/>
    </row>
    <row r="444" spans="1:11" ht="12.75" customHeight="1">
      <c r="A444" s="167"/>
      <c r="B444" s="168"/>
      <c r="C444" s="307"/>
      <c r="D444" s="308"/>
      <c r="E444" s="177"/>
      <c r="F444" s="194"/>
      <c r="G444" s="194"/>
      <c r="H444" s="194"/>
      <c r="I444" s="194"/>
      <c r="J444" s="194"/>
      <c r="K444" s="194"/>
    </row>
    <row r="445" spans="1:11" ht="12.75" customHeight="1">
      <c r="A445" s="167">
        <v>10</v>
      </c>
      <c r="B445" s="168"/>
      <c r="C445" s="185" t="s">
        <v>640</v>
      </c>
      <c r="D445" s="186"/>
      <c r="E445" s="177"/>
      <c r="F445" s="194"/>
      <c r="G445" s="194"/>
      <c r="H445" s="194"/>
      <c r="I445" s="194"/>
      <c r="J445" s="194"/>
      <c r="K445" s="194"/>
    </row>
    <row r="446" spans="1:11" ht="12.75" customHeight="1">
      <c r="A446" s="167"/>
      <c r="B446" s="168"/>
      <c r="C446" s="185" t="s">
        <v>641</v>
      </c>
      <c r="D446" s="186"/>
      <c r="E446" s="205"/>
      <c r="F446" s="230">
        <f t="shared" ref="F446:K446" si="86">F127</f>
        <v>234.97825460000001</v>
      </c>
      <c r="G446" s="230">
        <f t="shared" si="86"/>
        <v>214.81</v>
      </c>
      <c r="H446" s="230">
        <f t="shared" si="86"/>
        <v>386.87900000000002</v>
      </c>
      <c r="I446" s="230">
        <f t="shared" si="86"/>
        <v>0</v>
      </c>
      <c r="J446" s="230">
        <f t="shared" si="86"/>
        <v>139.04</v>
      </c>
      <c r="K446" s="230">
        <f t="shared" si="86"/>
        <v>323.26</v>
      </c>
    </row>
    <row r="447" spans="1:11" ht="12.75" customHeight="1">
      <c r="A447" s="167"/>
      <c r="B447" s="168"/>
      <c r="C447" s="185" t="s">
        <v>642</v>
      </c>
      <c r="D447" s="186"/>
      <c r="E447" s="205"/>
      <c r="F447" s="230">
        <f t="shared" ref="F447:K447" si="87">(F446*12)/(85%*(F32+F33+F35+F36+F248-E248))</f>
        <v>13.775333831105964</v>
      </c>
      <c r="G447" s="230">
        <f t="shared" si="87"/>
        <v>4.4568235968983956</v>
      </c>
      <c r="H447" s="230">
        <f t="shared" si="87"/>
        <v>5.8239161424808161</v>
      </c>
      <c r="I447" s="230">
        <f t="shared" si="87"/>
        <v>0</v>
      </c>
      <c r="J447" s="230">
        <f t="shared" si="87"/>
        <v>1.9005418631115036</v>
      </c>
      <c r="K447" s="230">
        <f t="shared" si="87"/>
        <v>4.3041720550371068</v>
      </c>
    </row>
    <row r="448" spans="1:11" ht="12.75" customHeight="1">
      <c r="A448" s="167"/>
      <c r="B448" s="168"/>
      <c r="C448" s="166"/>
      <c r="D448" s="175"/>
      <c r="E448" s="177"/>
      <c r="F448" s="194"/>
      <c r="G448" s="194"/>
      <c r="H448" s="194"/>
      <c r="I448" s="194"/>
      <c r="J448" s="194"/>
      <c r="K448" s="194"/>
    </row>
    <row r="449" spans="1:11" ht="12.75" customHeight="1">
      <c r="A449" s="167">
        <v>11</v>
      </c>
      <c r="B449" s="168"/>
      <c r="C449" s="185" t="s">
        <v>643</v>
      </c>
      <c r="D449" s="186"/>
      <c r="E449" s="205"/>
      <c r="F449" s="230">
        <f t="shared" ref="F449:K449" si="88">F130</f>
        <v>0</v>
      </c>
      <c r="G449" s="230">
        <f t="shared" si="88"/>
        <v>0</v>
      </c>
      <c r="H449" s="230">
        <f t="shared" si="88"/>
        <v>0</v>
      </c>
      <c r="I449" s="230">
        <f t="shared" si="88"/>
        <v>0</v>
      </c>
      <c r="J449" s="230">
        <f t="shared" si="88"/>
        <v>0</v>
      </c>
      <c r="K449" s="230">
        <f t="shared" si="88"/>
        <v>0</v>
      </c>
    </row>
    <row r="450" spans="1:11" ht="12.75" customHeight="1">
      <c r="A450" s="167"/>
      <c r="B450" s="168"/>
      <c r="C450" s="166"/>
      <c r="D450" s="175"/>
      <c r="E450" s="177"/>
      <c r="F450" s="194"/>
      <c r="G450" s="194"/>
      <c r="H450" s="194"/>
      <c r="I450" s="194"/>
      <c r="J450" s="194"/>
      <c r="K450" s="194"/>
    </row>
    <row r="451" spans="1:11" ht="12.75" customHeight="1">
      <c r="A451" s="167">
        <v>12</v>
      </c>
      <c r="B451" s="168"/>
      <c r="C451" s="185" t="s">
        <v>644</v>
      </c>
      <c r="D451" s="186"/>
      <c r="E451" s="205"/>
      <c r="F451" s="230">
        <f t="shared" ref="F451:K451" si="89">F137</f>
        <v>0</v>
      </c>
      <c r="G451" s="230">
        <f t="shared" si="89"/>
        <v>0</v>
      </c>
      <c r="H451" s="230">
        <f t="shared" si="89"/>
        <v>0</v>
      </c>
      <c r="I451" s="230">
        <f t="shared" si="89"/>
        <v>0</v>
      </c>
      <c r="J451" s="230">
        <f t="shared" si="89"/>
        <v>0</v>
      </c>
      <c r="K451" s="230">
        <f t="shared" si="89"/>
        <v>0</v>
      </c>
    </row>
    <row r="452" spans="1:11" ht="12.75" customHeight="1">
      <c r="A452" s="167"/>
      <c r="B452" s="168"/>
      <c r="C452" s="166"/>
      <c r="D452" s="175"/>
      <c r="E452" s="177"/>
      <c r="F452" s="194"/>
      <c r="G452" s="194"/>
      <c r="H452" s="194"/>
      <c r="I452" s="194"/>
      <c r="J452" s="194"/>
      <c r="K452" s="194"/>
    </row>
    <row r="453" spans="1:11" ht="12.75" customHeight="1">
      <c r="A453" s="167">
        <v>13</v>
      </c>
      <c r="B453" s="168"/>
      <c r="C453" s="185" t="s">
        <v>466</v>
      </c>
      <c r="D453" s="186"/>
      <c r="E453" s="177"/>
      <c r="F453" s="194"/>
      <c r="G453" s="194"/>
      <c r="H453" s="194"/>
      <c r="I453" s="194"/>
      <c r="J453" s="194"/>
      <c r="K453" s="194"/>
    </row>
    <row r="454" spans="1:11" ht="12.75" customHeight="1">
      <c r="A454" s="167"/>
      <c r="B454" s="168"/>
      <c r="C454" s="185" t="s">
        <v>645</v>
      </c>
      <c r="D454" s="186"/>
      <c r="E454" s="177"/>
      <c r="F454" s="194"/>
      <c r="G454" s="194"/>
      <c r="H454" s="194"/>
      <c r="I454" s="194"/>
      <c r="J454" s="194"/>
      <c r="K454" s="194"/>
    </row>
    <row r="455" spans="1:11" ht="12.75" customHeight="1">
      <c r="A455" s="167"/>
      <c r="B455" s="168"/>
      <c r="C455" s="185" t="s">
        <v>646</v>
      </c>
      <c r="D455" s="186"/>
      <c r="E455" s="177"/>
      <c r="F455" s="194"/>
      <c r="G455" s="194"/>
      <c r="H455" s="194"/>
      <c r="I455" s="194"/>
      <c r="J455" s="194"/>
      <c r="K455" s="194"/>
    </row>
    <row r="456" spans="1:11" ht="12.75" customHeight="1">
      <c r="A456" s="167"/>
      <c r="B456" s="168"/>
      <c r="C456" s="185" t="s">
        <v>647</v>
      </c>
      <c r="D456" s="186"/>
      <c r="E456" s="177"/>
      <c r="F456" s="194"/>
      <c r="G456" s="194"/>
      <c r="H456" s="194"/>
      <c r="I456" s="194"/>
      <c r="J456" s="194"/>
      <c r="K456" s="194"/>
    </row>
    <row r="457" spans="1:11" ht="12.75" customHeight="1">
      <c r="A457" s="167"/>
      <c r="B457" s="168"/>
      <c r="C457" s="185" t="s">
        <v>648</v>
      </c>
      <c r="D457" s="186"/>
      <c r="E457" s="205"/>
      <c r="F457" s="230" t="e">
        <f t="shared" ref="F457:K457" si="90">F154-F127-F130-F137</f>
        <v>#REF!</v>
      </c>
      <c r="G457" s="230" t="e">
        <f t="shared" si="90"/>
        <v>#REF!</v>
      </c>
      <c r="H457" s="230" t="e">
        <f t="shared" si="90"/>
        <v>#REF!</v>
      </c>
      <c r="I457" s="230" t="e">
        <f t="shared" si="90"/>
        <v>#REF!</v>
      </c>
      <c r="J457" s="230" t="e">
        <f t="shared" si="90"/>
        <v>#REF!</v>
      </c>
      <c r="K457" s="230" t="e">
        <f t="shared" si="90"/>
        <v>#REF!</v>
      </c>
    </row>
    <row r="458" spans="1:11" ht="12.75" customHeight="1">
      <c r="A458" s="167"/>
      <c r="B458" s="168"/>
      <c r="C458" s="185" t="s">
        <v>633</v>
      </c>
      <c r="D458" s="186"/>
      <c r="E458" s="177"/>
      <c r="F458" s="194"/>
      <c r="G458" s="194"/>
      <c r="H458" s="194"/>
      <c r="I458" s="194"/>
      <c r="J458" s="194"/>
      <c r="K458" s="194"/>
    </row>
    <row r="459" spans="1:11" ht="12.75" customHeight="1">
      <c r="A459" s="167"/>
      <c r="B459" s="168"/>
      <c r="C459" s="185"/>
      <c r="D459" s="186"/>
      <c r="E459" s="177"/>
      <c r="F459" s="194"/>
      <c r="G459" s="194"/>
      <c r="H459" s="194"/>
      <c r="I459" s="194"/>
      <c r="J459" s="194"/>
      <c r="K459" s="194"/>
    </row>
    <row r="460" spans="1:11" ht="12.75" customHeight="1">
      <c r="A460" s="167">
        <v>14</v>
      </c>
      <c r="B460" s="168"/>
      <c r="C460" s="185" t="s">
        <v>649</v>
      </c>
      <c r="D460" s="186"/>
      <c r="E460" s="205"/>
      <c r="F460" s="230" t="e">
        <f t="shared" ref="F460:K460" si="91">F457+F451+F449+F446</f>
        <v>#REF!</v>
      </c>
      <c r="G460" s="230" t="e">
        <f t="shared" si="91"/>
        <v>#REF!</v>
      </c>
      <c r="H460" s="230" t="e">
        <f t="shared" si="91"/>
        <v>#REF!</v>
      </c>
      <c r="I460" s="230" t="e">
        <f t="shared" si="91"/>
        <v>#REF!</v>
      </c>
      <c r="J460" s="230" t="e">
        <f t="shared" si="91"/>
        <v>#REF!</v>
      </c>
      <c r="K460" s="230" t="e">
        <f t="shared" si="91"/>
        <v>#REF!</v>
      </c>
    </row>
    <row r="461" spans="1:11" ht="12.75" customHeight="1">
      <c r="A461" s="167"/>
      <c r="B461" s="168"/>
      <c r="C461" s="185" t="s">
        <v>650</v>
      </c>
      <c r="D461" s="186"/>
      <c r="E461" s="177"/>
      <c r="F461" s="194"/>
      <c r="G461" s="194"/>
      <c r="H461" s="194"/>
      <c r="I461" s="194"/>
      <c r="J461" s="194"/>
      <c r="K461" s="194"/>
    </row>
    <row r="462" spans="1:11" ht="12.75" customHeight="1">
      <c r="A462" s="167"/>
      <c r="B462" s="168"/>
      <c r="C462" s="185" t="s">
        <v>651</v>
      </c>
      <c r="D462" s="186"/>
      <c r="E462" s="202"/>
      <c r="F462" s="194" t="e">
        <f t="shared" ref="F462:K462" si="92">+F154</f>
        <v>#REF!</v>
      </c>
      <c r="G462" s="194" t="e">
        <f t="shared" si="92"/>
        <v>#REF!</v>
      </c>
      <c r="H462" s="194" t="e">
        <f t="shared" si="92"/>
        <v>#REF!</v>
      </c>
      <c r="I462" s="194" t="e">
        <f t="shared" si="92"/>
        <v>#REF!</v>
      </c>
      <c r="J462" s="194" t="e">
        <f t="shared" si="92"/>
        <v>#REF!</v>
      </c>
      <c r="K462" s="194" t="e">
        <f t="shared" si="92"/>
        <v>#REF!</v>
      </c>
    </row>
    <row r="463" spans="1:11" ht="12.75" customHeight="1">
      <c r="A463" s="310"/>
      <c r="B463" s="311"/>
      <c r="C463" s="312"/>
      <c r="D463" s="313"/>
      <c r="E463" s="314">
        <f t="shared" ref="E463:K463" si="93">+E462-E460</f>
        <v>0</v>
      </c>
      <c r="F463" s="314" t="e">
        <f t="shared" si="93"/>
        <v>#REF!</v>
      </c>
      <c r="G463" s="314" t="e">
        <f t="shared" si="93"/>
        <v>#REF!</v>
      </c>
      <c r="H463" s="314" t="e">
        <f t="shared" si="93"/>
        <v>#REF!</v>
      </c>
      <c r="I463" s="314" t="e">
        <f t="shared" si="93"/>
        <v>#REF!</v>
      </c>
      <c r="J463" s="314" t="e">
        <f t="shared" si="93"/>
        <v>#REF!</v>
      </c>
      <c r="K463" s="314" t="e">
        <f t="shared" si="93"/>
        <v>#REF!</v>
      </c>
    </row>
    <row r="464" spans="1:11" ht="12.75" customHeight="1">
      <c r="A464" s="214"/>
      <c r="B464" s="315"/>
      <c r="C464" s="316"/>
      <c r="D464" s="316"/>
      <c r="E464" s="162"/>
      <c r="F464" s="162"/>
      <c r="G464" s="162"/>
      <c r="H464" s="162"/>
      <c r="I464" s="162"/>
      <c r="J464" s="162"/>
      <c r="K464" s="162"/>
    </row>
    <row r="465" spans="1:11" ht="12.75" customHeight="1">
      <c r="A465" s="299" t="s">
        <v>652</v>
      </c>
      <c r="B465" s="317"/>
      <c r="C465" s="301"/>
      <c r="D465" s="301"/>
    </row>
    <row r="466" spans="1:11" ht="12.75" customHeight="1">
      <c r="A466" s="218" t="s">
        <v>653</v>
      </c>
      <c r="B466" s="250"/>
      <c r="C466" s="163"/>
      <c r="D466" s="163"/>
    </row>
    <row r="467" spans="1:11" ht="12.75" customHeight="1">
      <c r="A467" s="270"/>
      <c r="B467" s="225"/>
      <c r="C467" s="226"/>
      <c r="D467" s="172"/>
      <c r="E467" s="227">
        <f t="shared" ref="E467:K467" si="94">+E8</f>
        <v>41729</v>
      </c>
      <c r="F467" s="227">
        <f t="shared" si="94"/>
        <v>42094</v>
      </c>
      <c r="G467" s="227">
        <f t="shared" si="94"/>
        <v>42460</v>
      </c>
      <c r="H467" s="227">
        <f t="shared" si="94"/>
        <v>42825</v>
      </c>
      <c r="I467" s="227">
        <f t="shared" si="94"/>
        <v>43190</v>
      </c>
      <c r="J467" s="227">
        <f t="shared" si="94"/>
        <v>43555</v>
      </c>
      <c r="K467" s="227">
        <f t="shared" si="94"/>
        <v>43921</v>
      </c>
    </row>
    <row r="468" spans="1:11" ht="12.75" customHeight="1">
      <c r="A468" s="167"/>
      <c r="B468" s="168"/>
      <c r="C468" s="166"/>
      <c r="D468" s="175"/>
      <c r="E468" s="205"/>
      <c r="F468" s="205"/>
      <c r="G468" s="205"/>
      <c r="H468" s="205"/>
      <c r="I468" s="205"/>
      <c r="J468" s="205"/>
      <c r="K468" s="205"/>
    </row>
    <row r="469" spans="1:11" ht="12.75" customHeight="1">
      <c r="A469" s="167"/>
      <c r="B469" s="168"/>
      <c r="C469" s="166"/>
      <c r="D469" s="175"/>
      <c r="E469" s="178" t="str">
        <f t="shared" ref="E469:K469" si="95">+E11</f>
        <v>Audited</v>
      </c>
      <c r="F469" s="178" t="str">
        <f t="shared" si="95"/>
        <v>Audited</v>
      </c>
      <c r="G469" s="178" t="str">
        <f t="shared" si="95"/>
        <v>Audited</v>
      </c>
      <c r="H469" s="178" t="str">
        <f t="shared" si="95"/>
        <v>Estimated</v>
      </c>
      <c r="I469" s="178" t="str">
        <f t="shared" si="95"/>
        <v>Projection</v>
      </c>
      <c r="J469" s="178" t="str">
        <f t="shared" si="95"/>
        <v>Projection</v>
      </c>
      <c r="K469" s="178" t="str">
        <f t="shared" si="95"/>
        <v>Projection</v>
      </c>
    </row>
    <row r="470" spans="1:11" ht="12.75" customHeight="1">
      <c r="A470" s="180"/>
      <c r="B470" s="210"/>
      <c r="C470" s="182"/>
      <c r="D470" s="183"/>
      <c r="E470" s="251"/>
      <c r="F470" s="251"/>
      <c r="G470" s="251"/>
      <c r="H470" s="251"/>
      <c r="I470" s="251"/>
      <c r="J470" s="251"/>
      <c r="K470" s="251"/>
    </row>
    <row r="471" spans="1:11" ht="12.75" customHeight="1">
      <c r="A471" s="167"/>
      <c r="B471" s="168"/>
      <c r="C471" s="166"/>
      <c r="D471" s="175"/>
      <c r="E471" s="177"/>
      <c r="F471" s="177"/>
      <c r="G471" s="177"/>
      <c r="H471" s="177"/>
      <c r="I471" s="177"/>
      <c r="J471" s="177"/>
      <c r="K471" s="177"/>
    </row>
    <row r="472" spans="1:11" ht="12.75" customHeight="1">
      <c r="A472" s="221">
        <v>1</v>
      </c>
      <c r="B472" s="168"/>
      <c r="C472" s="185" t="s">
        <v>654</v>
      </c>
      <c r="D472" s="186"/>
      <c r="E472" s="177"/>
      <c r="F472" s="177"/>
      <c r="G472" s="177"/>
      <c r="H472" s="177"/>
      <c r="I472" s="177"/>
      <c r="J472" s="177"/>
      <c r="K472" s="177"/>
    </row>
    <row r="473" spans="1:11" ht="12.75" customHeight="1">
      <c r="A473" s="221"/>
      <c r="B473" s="168"/>
      <c r="C473" s="185" t="s">
        <v>655</v>
      </c>
      <c r="D473" s="186"/>
      <c r="E473" s="205"/>
      <c r="F473" s="230" t="e">
        <f t="shared" ref="F473:K473" si="96">F431</f>
        <v>#REF!</v>
      </c>
      <c r="G473" s="230" t="e">
        <f t="shared" si="96"/>
        <v>#REF!</v>
      </c>
      <c r="H473" s="230" t="e">
        <f t="shared" si="96"/>
        <v>#REF!</v>
      </c>
      <c r="I473" s="230" t="e">
        <f t="shared" si="96"/>
        <v>#REF!</v>
      </c>
      <c r="J473" s="230" t="e">
        <f t="shared" si="96"/>
        <v>#REF!</v>
      </c>
      <c r="K473" s="230" t="e">
        <f t="shared" si="96"/>
        <v>#REF!</v>
      </c>
    </row>
    <row r="474" spans="1:11" ht="12.75" customHeight="1">
      <c r="A474" s="221"/>
      <c r="B474" s="168"/>
      <c r="C474" s="166"/>
      <c r="D474" s="175"/>
      <c r="E474" s="177"/>
      <c r="F474" s="194"/>
      <c r="G474" s="194"/>
      <c r="H474" s="194"/>
      <c r="I474" s="194"/>
      <c r="J474" s="194"/>
      <c r="K474" s="194"/>
    </row>
    <row r="475" spans="1:11" ht="12.75" customHeight="1">
      <c r="A475" s="221">
        <v>2</v>
      </c>
      <c r="B475" s="168"/>
      <c r="C475" s="185" t="s">
        <v>656</v>
      </c>
      <c r="D475" s="186"/>
      <c r="E475" s="177"/>
      <c r="F475" s="194"/>
      <c r="G475" s="194"/>
      <c r="H475" s="194"/>
      <c r="I475" s="194"/>
      <c r="J475" s="194"/>
      <c r="K475" s="194"/>
    </row>
    <row r="476" spans="1:11" ht="12.75" customHeight="1">
      <c r="A476" s="221"/>
      <c r="B476" s="168"/>
      <c r="C476" s="185" t="s">
        <v>657</v>
      </c>
      <c r="D476" s="186"/>
      <c r="E476" s="177"/>
      <c r="F476" s="194"/>
      <c r="G476" s="194"/>
      <c r="H476" s="194"/>
      <c r="I476" s="194"/>
      <c r="J476" s="194"/>
      <c r="K476" s="194"/>
    </row>
    <row r="477" spans="1:11" ht="12.75" customHeight="1">
      <c r="A477" s="221"/>
      <c r="B477" s="168"/>
      <c r="C477" s="185" t="s">
        <v>658</v>
      </c>
      <c r="D477" s="186"/>
      <c r="E477" s="205"/>
      <c r="F477" s="230" t="e">
        <f t="shared" ref="F477:K477" si="97">F460</f>
        <v>#REF!</v>
      </c>
      <c r="G477" s="230" t="e">
        <f t="shared" si="97"/>
        <v>#REF!</v>
      </c>
      <c r="H477" s="230" t="e">
        <f t="shared" si="97"/>
        <v>#REF!</v>
      </c>
      <c r="I477" s="230" t="e">
        <f t="shared" si="97"/>
        <v>#REF!</v>
      </c>
      <c r="J477" s="230" t="e">
        <f t="shared" si="97"/>
        <v>#REF!</v>
      </c>
      <c r="K477" s="230" t="e">
        <f t="shared" si="97"/>
        <v>#REF!</v>
      </c>
    </row>
    <row r="478" spans="1:11" ht="12.75" customHeight="1">
      <c r="A478" s="221"/>
      <c r="B478" s="168"/>
      <c r="C478" s="166"/>
      <c r="D478" s="175"/>
      <c r="E478" s="177"/>
      <c r="F478" s="194"/>
      <c r="G478" s="194"/>
      <c r="H478" s="194"/>
      <c r="I478" s="194"/>
      <c r="J478" s="194"/>
      <c r="K478" s="194"/>
    </row>
    <row r="479" spans="1:11" ht="12.75" customHeight="1">
      <c r="A479" s="221">
        <v>3</v>
      </c>
      <c r="B479" s="168"/>
      <c r="C479" s="185" t="s">
        <v>659</v>
      </c>
      <c r="D479" s="186"/>
      <c r="E479" s="177"/>
      <c r="F479" s="194"/>
      <c r="G479" s="194"/>
      <c r="H479" s="194"/>
      <c r="I479" s="194"/>
      <c r="J479" s="194"/>
      <c r="K479" s="194"/>
    </row>
    <row r="480" spans="1:11" ht="12.75" customHeight="1">
      <c r="A480" s="221"/>
      <c r="B480" s="168"/>
      <c r="C480" s="185"/>
      <c r="D480" s="186"/>
      <c r="E480" s="205"/>
      <c r="F480" s="230" t="e">
        <f t="shared" ref="F480:K480" si="98">F473-F477</f>
        <v>#REF!</v>
      </c>
      <c r="G480" s="230" t="e">
        <f t="shared" si="98"/>
        <v>#REF!</v>
      </c>
      <c r="H480" s="230" t="e">
        <f t="shared" si="98"/>
        <v>#REF!</v>
      </c>
      <c r="I480" s="230" t="e">
        <f t="shared" si="98"/>
        <v>#REF!</v>
      </c>
      <c r="J480" s="230" t="e">
        <f t="shared" si="98"/>
        <v>#REF!</v>
      </c>
      <c r="K480" s="230" t="e">
        <f t="shared" si="98"/>
        <v>#REF!</v>
      </c>
    </row>
    <row r="481" spans="1:11" ht="12.75" customHeight="1">
      <c r="A481" s="221" t="s">
        <v>660</v>
      </c>
      <c r="C481" s="166" t="s">
        <v>661</v>
      </c>
      <c r="D481" s="186"/>
      <c r="E481" s="205"/>
      <c r="F481" s="230"/>
      <c r="G481" s="230"/>
      <c r="H481" s="230"/>
      <c r="I481" s="230"/>
      <c r="J481" s="230"/>
      <c r="K481" s="230"/>
    </row>
    <row r="482" spans="1:11" ht="12.75" customHeight="1">
      <c r="A482" s="221"/>
      <c r="C482" s="166"/>
      <c r="D482" s="186"/>
      <c r="E482" s="205"/>
      <c r="F482" s="230" t="e">
        <f>+F473*Assum!$B$63</f>
        <v>#REF!</v>
      </c>
      <c r="G482" s="230" t="e">
        <f>+G473*Assum!$B$63</f>
        <v>#REF!</v>
      </c>
      <c r="H482" s="230" t="e">
        <f>+H473*Assum!$B$63</f>
        <v>#REF!</v>
      </c>
      <c r="I482" s="230" t="e">
        <f>+I473*Assum!$B$63</f>
        <v>#REF!</v>
      </c>
      <c r="J482" s="230" t="e">
        <f>+J473*Assum!$B$63</f>
        <v>#REF!</v>
      </c>
      <c r="K482" s="230" t="e">
        <f>+K473*Assum!$B$63</f>
        <v>#REF!</v>
      </c>
    </row>
    <row r="483" spans="1:11" ht="12.75" customHeight="1">
      <c r="A483" s="221"/>
      <c r="B483" s="168"/>
      <c r="C483" s="166"/>
      <c r="D483" s="175"/>
      <c r="E483" s="177"/>
      <c r="F483" s="194"/>
      <c r="G483" s="194"/>
      <c r="H483" s="194"/>
      <c r="I483" s="194"/>
      <c r="J483" s="194"/>
      <c r="K483" s="194"/>
    </row>
    <row r="484" spans="1:11" ht="12.75" customHeight="1">
      <c r="A484" s="221">
        <v>5</v>
      </c>
      <c r="B484" s="168"/>
      <c r="C484" s="185" t="s">
        <v>662</v>
      </c>
      <c r="D484" s="186"/>
      <c r="E484" s="177"/>
      <c r="F484" s="194"/>
      <c r="G484" s="194"/>
      <c r="H484" s="194"/>
      <c r="I484" s="194"/>
      <c r="J484" s="194"/>
      <c r="K484" s="194"/>
    </row>
    <row r="485" spans="1:11" ht="12.75" customHeight="1">
      <c r="A485" s="167"/>
      <c r="B485" s="168"/>
      <c r="C485" s="185" t="s">
        <v>663</v>
      </c>
      <c r="D485" s="186"/>
      <c r="E485" s="205"/>
      <c r="F485" s="230" t="e">
        <f t="shared" ref="F485:K485" si="99">F331</f>
        <v>#REF!</v>
      </c>
      <c r="G485" s="230" t="e">
        <f t="shared" si="99"/>
        <v>#REF!</v>
      </c>
      <c r="H485" s="230" t="e">
        <f t="shared" si="99"/>
        <v>#REF!</v>
      </c>
      <c r="I485" s="230" t="e">
        <f t="shared" si="99"/>
        <v>#REF!</v>
      </c>
      <c r="J485" s="230" t="e">
        <f t="shared" si="99"/>
        <v>#REF!</v>
      </c>
      <c r="K485" s="230" t="e">
        <f t="shared" si="99"/>
        <v>#REF!</v>
      </c>
    </row>
    <row r="486" spans="1:11" ht="12.75" customHeight="1">
      <c r="A486" s="167"/>
      <c r="B486" s="168"/>
      <c r="C486" s="166"/>
      <c r="D486" s="175"/>
      <c r="E486" s="177"/>
      <c r="F486" s="194"/>
      <c r="G486" s="194"/>
      <c r="H486" s="194"/>
      <c r="I486" s="194"/>
      <c r="J486" s="194"/>
      <c r="K486" s="194"/>
    </row>
    <row r="487" spans="1:11" ht="12.75" customHeight="1">
      <c r="A487" s="221">
        <v>6</v>
      </c>
      <c r="B487" s="168"/>
      <c r="C487" s="185" t="s">
        <v>664</v>
      </c>
      <c r="D487" s="186"/>
      <c r="E487" s="237"/>
      <c r="F487" s="194" t="e">
        <f t="shared" ref="F487:K487" si="100">+F480-F482</f>
        <v>#REF!</v>
      </c>
      <c r="G487" s="194" t="e">
        <f t="shared" si="100"/>
        <v>#REF!</v>
      </c>
      <c r="H487" s="194" t="e">
        <f t="shared" si="100"/>
        <v>#REF!</v>
      </c>
      <c r="I487" s="194" t="e">
        <f t="shared" si="100"/>
        <v>#REF!</v>
      </c>
      <c r="J487" s="194" t="e">
        <f t="shared" si="100"/>
        <v>#REF!</v>
      </c>
      <c r="K487" s="194" t="e">
        <f t="shared" si="100"/>
        <v>#REF!</v>
      </c>
    </row>
    <row r="488" spans="1:11" ht="12.75" customHeight="1">
      <c r="A488" s="221"/>
      <c r="B488" s="168"/>
      <c r="C488" s="185"/>
      <c r="D488" s="186"/>
      <c r="E488" s="237"/>
      <c r="F488" s="194"/>
      <c r="G488" s="194"/>
      <c r="H488" s="194"/>
      <c r="I488" s="194"/>
      <c r="J488" s="194"/>
      <c r="K488" s="194"/>
    </row>
    <row r="489" spans="1:11" ht="12.75" customHeight="1">
      <c r="A489" s="221">
        <v>7</v>
      </c>
      <c r="B489" s="168"/>
      <c r="C489" s="185" t="s">
        <v>665</v>
      </c>
      <c r="D489" s="186"/>
      <c r="E489" s="237"/>
      <c r="F489" s="194" t="e">
        <f t="shared" ref="F489:K489" si="101">+F480-F485</f>
        <v>#REF!</v>
      </c>
      <c r="G489" s="194" t="e">
        <f t="shared" si="101"/>
        <v>#REF!</v>
      </c>
      <c r="H489" s="194" t="e">
        <f t="shared" si="101"/>
        <v>#REF!</v>
      </c>
      <c r="I489" s="194" t="e">
        <f t="shared" si="101"/>
        <v>#REF!</v>
      </c>
      <c r="J489" s="194" t="e">
        <f t="shared" si="101"/>
        <v>#REF!</v>
      </c>
      <c r="K489" s="194" t="e">
        <f t="shared" si="101"/>
        <v>#REF!</v>
      </c>
    </row>
    <row r="490" spans="1:11" ht="12.75" customHeight="1">
      <c r="A490" s="167"/>
      <c r="B490" s="168"/>
      <c r="C490" s="166"/>
      <c r="D490" s="175"/>
      <c r="E490" s="177"/>
      <c r="F490" s="194"/>
      <c r="G490" s="194"/>
      <c r="H490" s="194"/>
      <c r="I490" s="194"/>
      <c r="J490" s="194"/>
      <c r="K490" s="194"/>
    </row>
    <row r="491" spans="1:11" ht="12.75" customHeight="1">
      <c r="A491" s="221">
        <v>8</v>
      </c>
      <c r="B491" s="168"/>
      <c r="C491" s="185" t="s">
        <v>666</v>
      </c>
      <c r="D491" s="186"/>
      <c r="E491" s="237"/>
      <c r="F491" s="194" t="e">
        <f t="shared" ref="F491:K491" si="102">MIN(F489,F487)</f>
        <v>#REF!</v>
      </c>
      <c r="G491" s="194" t="e">
        <f t="shared" si="102"/>
        <v>#REF!</v>
      </c>
      <c r="H491" s="194" t="e">
        <f t="shared" si="102"/>
        <v>#REF!</v>
      </c>
      <c r="I491" s="194" t="e">
        <f t="shared" si="102"/>
        <v>#REF!</v>
      </c>
      <c r="J491" s="194" t="e">
        <f t="shared" si="102"/>
        <v>#REF!</v>
      </c>
      <c r="K491" s="194" t="e">
        <f t="shared" si="102"/>
        <v>#REF!</v>
      </c>
    </row>
    <row r="492" spans="1:11" ht="12.75" customHeight="1">
      <c r="A492" s="228"/>
      <c r="B492" s="210"/>
      <c r="C492" s="243"/>
      <c r="D492" s="290"/>
      <c r="E492" s="318"/>
      <c r="F492" s="319"/>
      <c r="G492" s="319"/>
      <c r="H492" s="319"/>
      <c r="I492" s="319"/>
      <c r="J492" s="319"/>
      <c r="K492" s="319"/>
    </row>
    <row r="493" spans="1:11" ht="12.75" customHeight="1">
      <c r="A493" s="270"/>
      <c r="B493" s="225"/>
      <c r="C493" s="263"/>
      <c r="D493" s="320"/>
      <c r="E493" s="321"/>
      <c r="F493" s="321"/>
      <c r="G493" s="321"/>
      <c r="H493" s="321"/>
      <c r="I493" s="321"/>
      <c r="J493" s="321"/>
      <c r="K493" s="321"/>
    </row>
    <row r="494" spans="1:11" ht="12.75" customHeight="1">
      <c r="A494" s="218" t="s">
        <v>667</v>
      </c>
      <c r="B494" s="250"/>
      <c r="C494" s="163"/>
      <c r="D494" s="163"/>
      <c r="E494" s="237"/>
      <c r="F494" s="237"/>
      <c r="G494" s="237"/>
      <c r="H494" s="237"/>
      <c r="I494" s="237"/>
      <c r="J494" s="237"/>
      <c r="K494" s="237"/>
    </row>
    <row r="495" spans="1:11" ht="12.75" customHeight="1">
      <c r="A495" s="167" t="s">
        <v>668</v>
      </c>
      <c r="B495" s="322"/>
      <c r="C495" s="185"/>
      <c r="D495" s="185"/>
      <c r="E495" s="177"/>
      <c r="F495" s="177"/>
      <c r="G495" s="177"/>
      <c r="H495" s="177"/>
      <c r="I495" s="177"/>
      <c r="J495" s="177"/>
      <c r="K495" s="177"/>
    </row>
    <row r="496" spans="1:11" ht="12.75" customHeight="1">
      <c r="A496" s="180"/>
      <c r="B496" s="210"/>
      <c r="C496" s="182"/>
      <c r="D496" s="182"/>
      <c r="E496" s="177"/>
      <c r="F496" s="177"/>
      <c r="G496" s="177"/>
      <c r="H496" s="177"/>
      <c r="I496" s="177"/>
      <c r="J496" s="177"/>
      <c r="K496" s="177"/>
    </row>
    <row r="497" spans="1:11" ht="12.75" customHeight="1">
      <c r="A497" s="270"/>
      <c r="B497" s="225"/>
      <c r="C497" s="226"/>
      <c r="D497" s="172"/>
      <c r="E497" s="227">
        <f t="shared" ref="E497:K497" si="103">+E8</f>
        <v>41729</v>
      </c>
      <c r="F497" s="227">
        <f t="shared" si="103"/>
        <v>42094</v>
      </c>
      <c r="G497" s="227">
        <f t="shared" si="103"/>
        <v>42460</v>
      </c>
      <c r="H497" s="227">
        <f t="shared" si="103"/>
        <v>42825</v>
      </c>
      <c r="I497" s="227">
        <f t="shared" si="103"/>
        <v>43190</v>
      </c>
      <c r="J497" s="227">
        <f t="shared" si="103"/>
        <v>43555</v>
      </c>
      <c r="K497" s="227">
        <f t="shared" si="103"/>
        <v>43921</v>
      </c>
    </row>
    <row r="498" spans="1:11" ht="12.75" customHeight="1">
      <c r="A498" s="167"/>
      <c r="B498" s="168"/>
      <c r="C498" s="166"/>
      <c r="D498" s="175"/>
      <c r="E498" s="202"/>
      <c r="F498" s="202"/>
      <c r="G498" s="202"/>
      <c r="H498" s="202"/>
      <c r="I498" s="202"/>
      <c r="J498" s="202"/>
      <c r="K498" s="202"/>
    </row>
    <row r="499" spans="1:11" ht="12.75" customHeight="1">
      <c r="A499" s="167"/>
      <c r="B499" s="168"/>
      <c r="C499" s="166"/>
      <c r="D499" s="175"/>
      <c r="E499" s="178" t="str">
        <f t="shared" ref="E499:K499" si="104">+E11</f>
        <v>Audited</v>
      </c>
      <c r="F499" s="178" t="str">
        <f t="shared" si="104"/>
        <v>Audited</v>
      </c>
      <c r="G499" s="178" t="str">
        <f t="shared" si="104"/>
        <v>Audited</v>
      </c>
      <c r="H499" s="178" t="str">
        <f t="shared" si="104"/>
        <v>Estimated</v>
      </c>
      <c r="I499" s="178" t="str">
        <f t="shared" si="104"/>
        <v>Projection</v>
      </c>
      <c r="J499" s="178" t="str">
        <f t="shared" si="104"/>
        <v>Projection</v>
      </c>
      <c r="K499" s="178" t="str">
        <f t="shared" si="104"/>
        <v>Projection</v>
      </c>
    </row>
    <row r="500" spans="1:11" ht="12.75" customHeight="1">
      <c r="A500" s="180"/>
      <c r="B500" s="210"/>
      <c r="C500" s="182"/>
      <c r="D500" s="183"/>
      <c r="E500" s="306"/>
      <c r="F500" s="306"/>
      <c r="G500" s="306"/>
      <c r="H500" s="306"/>
      <c r="I500" s="306"/>
      <c r="J500" s="306"/>
      <c r="K500" s="306"/>
    </row>
    <row r="501" spans="1:11" ht="12.75" customHeight="1">
      <c r="A501" s="167"/>
      <c r="B501" s="168"/>
      <c r="C501" s="166"/>
      <c r="D501" s="175"/>
      <c r="E501" s="177"/>
      <c r="F501" s="177"/>
      <c r="G501" s="177"/>
      <c r="H501" s="177"/>
      <c r="I501" s="177"/>
      <c r="J501" s="177"/>
      <c r="K501" s="177"/>
    </row>
    <row r="502" spans="1:11" ht="12.75" customHeight="1">
      <c r="A502" s="167">
        <v>1</v>
      </c>
      <c r="B502" s="168"/>
      <c r="C502" s="185" t="s">
        <v>669</v>
      </c>
      <c r="D502" s="186"/>
      <c r="E502" s="177"/>
      <c r="F502" s="177"/>
      <c r="G502" s="177"/>
      <c r="H502" s="177"/>
      <c r="I502" s="177"/>
      <c r="J502" s="177"/>
      <c r="K502" s="177"/>
    </row>
    <row r="503" spans="1:11" ht="12.75" customHeight="1">
      <c r="A503" s="167"/>
      <c r="B503" s="168"/>
      <c r="C503" s="185"/>
      <c r="D503" s="186"/>
      <c r="E503" s="177"/>
      <c r="F503" s="177"/>
      <c r="G503" s="177"/>
      <c r="H503" s="177"/>
      <c r="I503" s="177"/>
      <c r="J503" s="177"/>
      <c r="K503" s="177"/>
    </row>
    <row r="504" spans="1:11" ht="12.75" customHeight="1">
      <c r="A504" s="167"/>
      <c r="B504" s="168"/>
      <c r="C504" s="185" t="s">
        <v>670</v>
      </c>
      <c r="D504" s="186"/>
      <c r="E504" s="323"/>
      <c r="F504" s="230">
        <f t="shared" ref="F504:K504" si="105">F89</f>
        <v>34.554212699999951</v>
      </c>
      <c r="G504" s="230">
        <f t="shared" si="105"/>
        <v>237.94936840000008</v>
      </c>
      <c r="H504" s="230">
        <f t="shared" si="105"/>
        <v>-321.92999999999995</v>
      </c>
      <c r="I504" s="230" t="e">
        <f t="shared" si="105"/>
        <v>#REF!</v>
      </c>
      <c r="J504" s="230" t="e">
        <f t="shared" si="105"/>
        <v>#REF!</v>
      </c>
      <c r="K504" s="230" t="e">
        <f t="shared" si="105"/>
        <v>#REF!</v>
      </c>
    </row>
    <row r="505" spans="1:11" ht="12.75" customHeight="1">
      <c r="A505" s="167"/>
      <c r="B505" s="168"/>
      <c r="C505" s="185" t="s">
        <v>671</v>
      </c>
      <c r="D505" s="186"/>
      <c r="E505" s="323"/>
      <c r="F505" s="230">
        <f t="shared" ref="F505:K505" si="106">F41</f>
        <v>32.601556199999997</v>
      </c>
      <c r="G505" s="230">
        <f t="shared" si="106"/>
        <v>120.49</v>
      </c>
      <c r="H505" s="230">
        <f t="shared" si="106"/>
        <v>196.54</v>
      </c>
      <c r="I505" s="230">
        <f t="shared" si="106"/>
        <v>534.10037782379527</v>
      </c>
      <c r="J505" s="230">
        <f t="shared" si="106"/>
        <v>201.57</v>
      </c>
      <c r="K505" s="230">
        <f t="shared" si="106"/>
        <v>200.79</v>
      </c>
    </row>
    <row r="506" spans="1:11" ht="12.75" customHeight="1">
      <c r="A506" s="167"/>
      <c r="B506" s="168"/>
      <c r="C506" s="185" t="s">
        <v>672</v>
      </c>
      <c r="D506" s="186"/>
      <c r="E506" s="323"/>
      <c r="F506" s="230">
        <f t="shared" ref="F506:K506" si="107">F191-E191+F203-E203</f>
        <v>106.219275</v>
      </c>
      <c r="G506" s="230">
        <f t="shared" si="107"/>
        <v>-2.8761999999999959</v>
      </c>
      <c r="H506" s="230">
        <f t="shared" si="107"/>
        <v>0</v>
      </c>
      <c r="I506" s="230">
        <f t="shared" si="107"/>
        <v>-103.343075</v>
      </c>
      <c r="J506" s="230">
        <f t="shared" si="107"/>
        <v>103.343075</v>
      </c>
      <c r="K506" s="230">
        <f t="shared" si="107"/>
        <v>0</v>
      </c>
    </row>
    <row r="507" spans="1:11" ht="12.75" customHeight="1">
      <c r="A507" s="167"/>
      <c r="B507" s="168"/>
      <c r="C507" s="185" t="s">
        <v>673</v>
      </c>
      <c r="D507" s="186"/>
      <c r="E507" s="177"/>
      <c r="F507" s="194"/>
      <c r="G507" s="194"/>
      <c r="H507" s="194"/>
      <c r="I507" s="194"/>
      <c r="J507" s="194"/>
      <c r="K507" s="194"/>
    </row>
    <row r="508" spans="1:11" ht="12.75" customHeight="1">
      <c r="A508" s="167"/>
      <c r="B508" s="168"/>
      <c r="C508" s="185" t="s">
        <v>674</v>
      </c>
      <c r="D508" s="186"/>
      <c r="E508" s="323"/>
      <c r="F508" s="230" t="e">
        <f>Financials!C99-Financials!#REF!</f>
        <v>#REF!</v>
      </c>
      <c r="G508" s="230" t="e">
        <f>Financials!D99+Financials!#REF!-Financials!C99-Financials!#REF!</f>
        <v>#REF!</v>
      </c>
      <c r="H508" s="230" t="e">
        <f>Financials!E99+Financials!#REF!-Financials!D99-Financials!#REF!</f>
        <v>#REF!</v>
      </c>
      <c r="I508" s="230" t="e">
        <f>Financials!G99+Financials!#REF!-Financials!E99-Financials!#REF!</f>
        <v>#REF!</v>
      </c>
      <c r="J508" s="230" t="e">
        <f>Financials!I99+Financials!#REF!-Financials!G99-Financials!#REF!</f>
        <v>#REF!</v>
      </c>
      <c r="K508" s="230" t="e">
        <f>Financials!J99+Financials!#REF!-Financials!I99-Financials!#REF!</f>
        <v>#REF!</v>
      </c>
    </row>
    <row r="509" spans="1:11" ht="12.75" customHeight="1">
      <c r="A509" s="167"/>
      <c r="B509" s="168"/>
      <c r="C509" s="185" t="s">
        <v>675</v>
      </c>
      <c r="D509" s="186"/>
      <c r="E509" s="177"/>
      <c r="F509" s="194"/>
      <c r="G509" s="194"/>
      <c r="H509" s="194"/>
      <c r="I509" s="194"/>
      <c r="J509" s="194"/>
      <c r="K509" s="194"/>
    </row>
    <row r="510" spans="1:11" ht="12.75" customHeight="1">
      <c r="A510" s="167"/>
      <c r="B510" s="168"/>
      <c r="C510" s="185" t="s">
        <v>676</v>
      </c>
      <c r="D510" s="186"/>
      <c r="E510" s="323"/>
      <c r="F510" s="230"/>
      <c r="G510" s="230"/>
      <c r="H510" s="230"/>
      <c r="I510" s="230">
        <v>0</v>
      </c>
      <c r="J510" s="230">
        <v>0</v>
      </c>
      <c r="K510" s="230">
        <v>0</v>
      </c>
    </row>
    <row r="511" spans="1:11" ht="12.75" customHeight="1">
      <c r="A511" s="167"/>
      <c r="B511" s="168"/>
      <c r="C511" s="185" t="s">
        <v>677</v>
      </c>
      <c r="D511" s="186"/>
      <c r="E511" s="323"/>
      <c r="F511" s="230">
        <v>0</v>
      </c>
      <c r="G511" s="230">
        <v>0</v>
      </c>
      <c r="H511" s="230">
        <v>0</v>
      </c>
      <c r="I511" s="230">
        <v>0</v>
      </c>
      <c r="J511" s="230">
        <v>0</v>
      </c>
      <c r="K511" s="230">
        <v>0</v>
      </c>
    </row>
    <row r="512" spans="1:11" ht="12.75" customHeight="1">
      <c r="A512" s="167"/>
      <c r="B512" s="168"/>
      <c r="C512" s="505" t="s">
        <v>678</v>
      </c>
      <c r="D512" s="186"/>
      <c r="E512" s="323"/>
      <c r="F512" s="230">
        <f t="shared" ref="F512:K512" si="108">+F202-E202</f>
        <v>0</v>
      </c>
      <c r="G512" s="230">
        <f t="shared" si="108"/>
        <v>0</v>
      </c>
      <c r="H512" s="230">
        <f t="shared" si="108"/>
        <v>0</v>
      </c>
      <c r="I512" s="230">
        <f t="shared" si="108"/>
        <v>0</v>
      </c>
      <c r="J512" s="230">
        <f t="shared" si="108"/>
        <v>0</v>
      </c>
      <c r="K512" s="230">
        <f t="shared" si="108"/>
        <v>0</v>
      </c>
    </row>
    <row r="513" spans="1:11" ht="12.75" customHeight="1">
      <c r="A513" s="167"/>
      <c r="B513" s="168"/>
      <c r="C513" s="505" t="s">
        <v>679</v>
      </c>
      <c r="D513" s="186"/>
      <c r="E513" s="323"/>
      <c r="F513" s="230" t="e">
        <f t="shared" ref="F513:K513" si="109">F181-E181</f>
        <v>#REF!</v>
      </c>
      <c r="G513" s="230" t="e">
        <f t="shared" si="109"/>
        <v>#REF!</v>
      </c>
      <c r="H513" s="230" t="e">
        <f t="shared" si="109"/>
        <v>#REF!</v>
      </c>
      <c r="I513" s="230" t="e">
        <f t="shared" si="109"/>
        <v>#REF!</v>
      </c>
      <c r="J513" s="230" t="e">
        <f t="shared" si="109"/>
        <v>#REF!</v>
      </c>
      <c r="K513" s="230" t="e">
        <f t="shared" si="109"/>
        <v>#REF!</v>
      </c>
    </row>
    <row r="514" spans="1:11" ht="12.75" customHeight="1">
      <c r="A514" s="167"/>
      <c r="B514" s="168"/>
      <c r="C514" s="166"/>
      <c r="D514" s="175"/>
      <c r="E514" s="177"/>
      <c r="F514" s="194"/>
      <c r="G514" s="194"/>
      <c r="H514" s="194"/>
      <c r="I514" s="194"/>
      <c r="J514" s="194"/>
      <c r="K514" s="194"/>
    </row>
    <row r="515" spans="1:11" ht="12.75" customHeight="1">
      <c r="A515" s="167"/>
      <c r="B515" s="168"/>
      <c r="C515" s="185" t="s">
        <v>680</v>
      </c>
      <c r="D515" s="186"/>
      <c r="E515" s="324">
        <f t="shared" ref="E515:K515" si="110">SUM(E504:E513)</f>
        <v>0</v>
      </c>
      <c r="F515" s="231" t="e">
        <f t="shared" si="110"/>
        <v>#REF!</v>
      </c>
      <c r="G515" s="231" t="e">
        <f t="shared" si="110"/>
        <v>#REF!</v>
      </c>
      <c r="H515" s="231" t="e">
        <f t="shared" si="110"/>
        <v>#REF!</v>
      </c>
      <c r="I515" s="231" t="e">
        <f t="shared" si="110"/>
        <v>#REF!</v>
      </c>
      <c r="J515" s="231" t="e">
        <f t="shared" si="110"/>
        <v>#REF!</v>
      </c>
      <c r="K515" s="231" t="e">
        <f t="shared" si="110"/>
        <v>#REF!</v>
      </c>
    </row>
    <row r="516" spans="1:11" ht="12.75" customHeight="1">
      <c r="A516" s="167"/>
      <c r="B516" s="168"/>
      <c r="C516" s="166"/>
      <c r="D516" s="175"/>
      <c r="E516" s="177"/>
      <c r="F516" s="194"/>
      <c r="G516" s="194"/>
      <c r="H516" s="194"/>
      <c r="I516" s="194"/>
      <c r="J516" s="194"/>
      <c r="K516" s="194"/>
    </row>
    <row r="517" spans="1:11" ht="12.75" customHeight="1">
      <c r="A517" s="167"/>
      <c r="B517" s="168"/>
      <c r="C517" s="166"/>
      <c r="D517" s="175"/>
      <c r="E517" s="177"/>
      <c r="F517" s="194"/>
      <c r="G517" s="194"/>
      <c r="H517" s="194"/>
      <c r="I517" s="194"/>
      <c r="J517" s="194"/>
      <c r="K517" s="194"/>
    </row>
    <row r="518" spans="1:11" ht="12.75" customHeight="1">
      <c r="A518" s="167">
        <v>2</v>
      </c>
      <c r="B518" s="168"/>
      <c r="C518" s="185" t="s">
        <v>681</v>
      </c>
      <c r="D518" s="186"/>
      <c r="E518" s="177"/>
      <c r="F518" s="194"/>
      <c r="G518" s="194"/>
      <c r="H518" s="194"/>
      <c r="I518" s="194"/>
      <c r="J518" s="194"/>
      <c r="K518" s="194"/>
    </row>
    <row r="519" spans="1:11" ht="12.75" customHeight="1">
      <c r="A519" s="167"/>
      <c r="B519" s="168"/>
      <c r="C519" s="185" t="s">
        <v>682</v>
      </c>
      <c r="D519" s="186"/>
      <c r="E519" s="177"/>
      <c r="F519" s="194"/>
      <c r="G519" s="194"/>
      <c r="H519" s="194"/>
      <c r="I519" s="194"/>
      <c r="J519" s="194"/>
      <c r="K519" s="194"/>
    </row>
    <row r="520" spans="1:11" ht="12.75" customHeight="1">
      <c r="A520" s="167"/>
      <c r="B520" s="168"/>
      <c r="C520" s="185" t="s">
        <v>683</v>
      </c>
      <c r="D520" s="186"/>
      <c r="E520" s="323"/>
      <c r="F520" s="230">
        <v>0</v>
      </c>
      <c r="G520" s="230">
        <v>0</v>
      </c>
      <c r="H520" s="230">
        <v>0</v>
      </c>
      <c r="I520" s="230">
        <v>0</v>
      </c>
      <c r="J520" s="230">
        <v>0</v>
      </c>
      <c r="K520" s="230">
        <v>0</v>
      </c>
    </row>
    <row r="521" spans="1:11" ht="12.75" customHeight="1">
      <c r="A521" s="167"/>
      <c r="B521" s="168"/>
      <c r="C521" s="185" t="s">
        <v>684</v>
      </c>
      <c r="D521" s="186"/>
      <c r="E521" s="177"/>
      <c r="F521" s="194"/>
      <c r="G521" s="194"/>
      <c r="H521" s="194"/>
      <c r="I521" s="194"/>
      <c r="J521" s="194"/>
      <c r="K521" s="194"/>
    </row>
    <row r="522" spans="1:11" ht="12.75" customHeight="1">
      <c r="A522" s="167"/>
      <c r="B522" s="168"/>
      <c r="C522" s="185" t="s">
        <v>685</v>
      </c>
      <c r="D522" s="186"/>
      <c r="E522" s="323"/>
      <c r="F522" s="230">
        <v>0</v>
      </c>
      <c r="G522" s="230">
        <v>0</v>
      </c>
      <c r="H522" s="230">
        <v>0</v>
      </c>
      <c r="I522" s="230">
        <v>0</v>
      </c>
      <c r="J522" s="230">
        <v>0</v>
      </c>
      <c r="K522" s="230">
        <v>0</v>
      </c>
    </row>
    <row r="523" spans="1:11" ht="12.75" customHeight="1">
      <c r="A523" s="167"/>
      <c r="B523" s="168"/>
      <c r="C523" s="185" t="s">
        <v>686</v>
      </c>
      <c r="D523" s="186"/>
      <c r="E523" s="177"/>
      <c r="F523" s="194"/>
      <c r="G523" s="194"/>
      <c r="H523" s="194"/>
      <c r="I523" s="194"/>
      <c r="J523" s="194"/>
      <c r="K523" s="194"/>
    </row>
    <row r="524" spans="1:11" ht="12.75" customHeight="1">
      <c r="A524" s="167"/>
      <c r="B524" s="168"/>
      <c r="C524" s="185" t="s">
        <v>676</v>
      </c>
      <c r="D524" s="186"/>
      <c r="E524" s="323"/>
      <c r="F524" s="230">
        <f t="shared" ref="F524:K524" si="111">F287-E287+F288-E288+F41+E195-F195</f>
        <v>7214.0383099000001</v>
      </c>
      <c r="G524" s="230">
        <f t="shared" si="111"/>
        <v>671.97343419999902</v>
      </c>
      <c r="H524" s="230" t="e">
        <f t="shared" si="111"/>
        <v>#REF!</v>
      </c>
      <c r="I524" s="230" t="e">
        <f t="shared" si="111"/>
        <v>#REF!</v>
      </c>
      <c r="J524" s="230">
        <f t="shared" si="111"/>
        <v>7577.67</v>
      </c>
      <c r="K524" s="230">
        <f t="shared" si="111"/>
        <v>0.67999999999940997</v>
      </c>
    </row>
    <row r="525" spans="1:11" ht="12.75" customHeight="1">
      <c r="A525" s="167"/>
      <c r="B525" s="168"/>
      <c r="C525" s="185" t="s">
        <v>677</v>
      </c>
      <c r="D525" s="186"/>
      <c r="E525" s="323"/>
      <c r="F525" s="230" t="e">
        <f t="shared" ref="F525:K525" si="112">F310-E310</f>
        <v>#REF!</v>
      </c>
      <c r="G525" s="230" t="e">
        <f t="shared" si="112"/>
        <v>#REF!</v>
      </c>
      <c r="H525" s="230" t="e">
        <f t="shared" si="112"/>
        <v>#REF!</v>
      </c>
      <c r="I525" s="230" t="e">
        <f t="shared" si="112"/>
        <v>#REF!</v>
      </c>
      <c r="J525" s="230" t="e">
        <f t="shared" si="112"/>
        <v>#REF!</v>
      </c>
      <c r="K525" s="230" t="e">
        <f t="shared" si="112"/>
        <v>#REF!</v>
      </c>
    </row>
    <row r="526" spans="1:11" ht="12.75" customHeight="1">
      <c r="A526" s="167"/>
      <c r="B526" s="168"/>
      <c r="C526" s="185" t="s">
        <v>687</v>
      </c>
      <c r="D526" s="186"/>
      <c r="E526" s="323"/>
      <c r="F526" s="230">
        <f t="shared" ref="F526:K526" si="113">F92+F93</f>
        <v>0</v>
      </c>
      <c r="G526" s="230">
        <f t="shared" si="113"/>
        <v>0</v>
      </c>
      <c r="H526" s="230">
        <f t="shared" si="113"/>
        <v>0</v>
      </c>
      <c r="I526" s="230">
        <f t="shared" si="113"/>
        <v>0</v>
      </c>
      <c r="J526" s="230">
        <f t="shared" si="113"/>
        <v>0</v>
      </c>
      <c r="K526" s="230">
        <f t="shared" si="113"/>
        <v>0</v>
      </c>
    </row>
    <row r="527" spans="1:11" ht="12.75" customHeight="1">
      <c r="A527" s="167"/>
      <c r="B527" s="168"/>
      <c r="C527" s="185" t="s">
        <v>688</v>
      </c>
      <c r="D527" s="186"/>
      <c r="E527" s="323"/>
      <c r="F527" s="230">
        <f t="shared" ref="F527:K527" si="114">+F314-E314</f>
        <v>0</v>
      </c>
      <c r="G527" s="230">
        <f t="shared" si="114"/>
        <v>0</v>
      </c>
      <c r="H527" s="230">
        <f t="shared" si="114"/>
        <v>0</v>
      </c>
      <c r="I527" s="230">
        <f t="shared" si="114"/>
        <v>0</v>
      </c>
      <c r="J527" s="230">
        <f t="shared" si="114"/>
        <v>0</v>
      </c>
      <c r="K527" s="230">
        <f t="shared" si="114"/>
        <v>0</v>
      </c>
    </row>
    <row r="528" spans="1:11" ht="12.75" customHeight="1">
      <c r="A528" s="167"/>
      <c r="B528" s="168"/>
      <c r="C528" s="166"/>
      <c r="D528" s="175"/>
      <c r="E528" s="177"/>
      <c r="F528" s="194"/>
      <c r="G528" s="194"/>
      <c r="H528" s="194"/>
      <c r="I528" s="194"/>
      <c r="J528" s="194"/>
      <c r="K528" s="194"/>
    </row>
    <row r="529" spans="1:11" ht="12.75" customHeight="1">
      <c r="A529" s="167"/>
      <c r="B529" s="168"/>
      <c r="C529" s="185" t="s">
        <v>689</v>
      </c>
      <c r="D529" s="186"/>
      <c r="E529" s="324">
        <f t="shared" ref="E529:K529" si="115">SUM(E520:E527)</f>
        <v>0</v>
      </c>
      <c r="F529" s="231" t="e">
        <f t="shared" si="115"/>
        <v>#REF!</v>
      </c>
      <c r="G529" s="231" t="e">
        <f t="shared" si="115"/>
        <v>#REF!</v>
      </c>
      <c r="H529" s="231" t="e">
        <f t="shared" si="115"/>
        <v>#REF!</v>
      </c>
      <c r="I529" s="231" t="e">
        <f t="shared" si="115"/>
        <v>#REF!</v>
      </c>
      <c r="J529" s="231" t="e">
        <f t="shared" si="115"/>
        <v>#REF!</v>
      </c>
      <c r="K529" s="231" t="e">
        <f t="shared" si="115"/>
        <v>#REF!</v>
      </c>
    </row>
    <row r="530" spans="1:11" ht="12.75" customHeight="1">
      <c r="A530" s="167"/>
      <c r="B530" s="168"/>
      <c r="C530" s="166"/>
      <c r="D530" s="175"/>
      <c r="E530" s="177"/>
      <c r="F530" s="177"/>
      <c r="G530" s="177"/>
      <c r="H530" s="177"/>
      <c r="I530" s="177"/>
      <c r="J530" s="177"/>
      <c r="K530" s="177"/>
    </row>
    <row r="531" spans="1:11" ht="12.75" customHeight="1">
      <c r="A531" s="167"/>
      <c r="B531" s="168"/>
      <c r="C531" s="166"/>
      <c r="D531" s="175"/>
      <c r="E531" s="325">
        <f t="shared" ref="E531:K531" si="116">+E497</f>
        <v>41729</v>
      </c>
      <c r="F531" s="325">
        <f t="shared" si="116"/>
        <v>42094</v>
      </c>
      <c r="G531" s="325">
        <f t="shared" si="116"/>
        <v>42460</v>
      </c>
      <c r="H531" s="325">
        <f t="shared" si="116"/>
        <v>42825</v>
      </c>
      <c r="I531" s="325">
        <f t="shared" si="116"/>
        <v>43190</v>
      </c>
      <c r="J531" s="325">
        <f t="shared" si="116"/>
        <v>43555</v>
      </c>
      <c r="K531" s="325">
        <f t="shared" si="116"/>
        <v>43921</v>
      </c>
    </row>
    <row r="532" spans="1:11" ht="12.75" customHeight="1">
      <c r="A532" s="167"/>
      <c r="B532" s="168"/>
      <c r="C532" s="166"/>
      <c r="D532" s="175"/>
      <c r="E532" s="177"/>
      <c r="F532" s="177"/>
      <c r="G532" s="177"/>
      <c r="H532" s="177"/>
      <c r="I532" s="177"/>
      <c r="J532" s="177"/>
      <c r="K532" s="177"/>
    </row>
    <row r="533" spans="1:11" ht="12.75" customHeight="1">
      <c r="A533" s="167">
        <v>3</v>
      </c>
      <c r="B533" s="168"/>
      <c r="C533" s="185" t="s">
        <v>690</v>
      </c>
      <c r="D533" s="186"/>
      <c r="E533" s="323"/>
      <c r="F533" s="230" t="e">
        <f t="shared" ref="F533:K533" si="117">ROUND(+F515-F529,2)</f>
        <v>#REF!</v>
      </c>
      <c r="G533" s="230" t="e">
        <f t="shared" si="117"/>
        <v>#REF!</v>
      </c>
      <c r="H533" s="230" t="e">
        <f t="shared" si="117"/>
        <v>#REF!</v>
      </c>
      <c r="I533" s="230" t="e">
        <f t="shared" si="117"/>
        <v>#REF!</v>
      </c>
      <c r="J533" s="230" t="e">
        <f t="shared" si="117"/>
        <v>#REF!</v>
      </c>
      <c r="K533" s="230" t="e">
        <f t="shared" si="117"/>
        <v>#REF!</v>
      </c>
    </row>
    <row r="534" spans="1:11" ht="12.75" customHeight="1">
      <c r="A534" s="167">
        <v>4</v>
      </c>
      <c r="B534" s="168"/>
      <c r="C534" s="185" t="s">
        <v>691</v>
      </c>
      <c r="D534" s="186"/>
      <c r="E534" s="326"/>
      <c r="F534" s="234"/>
      <c r="G534" s="234"/>
      <c r="H534" s="234"/>
      <c r="I534" s="234"/>
      <c r="J534" s="234"/>
      <c r="K534" s="234"/>
    </row>
    <row r="535" spans="1:11" ht="12.75" customHeight="1">
      <c r="A535" s="167"/>
      <c r="B535" s="168"/>
      <c r="C535" s="185" t="s">
        <v>692</v>
      </c>
      <c r="D535" s="186"/>
      <c r="E535" s="323"/>
      <c r="F535" s="230" t="e">
        <f t="shared" ref="F535:K535" si="118">F563</f>
        <v>#REF!</v>
      </c>
      <c r="G535" s="230" t="e">
        <f t="shared" si="118"/>
        <v>#REF!</v>
      </c>
      <c r="H535" s="230" t="e">
        <f t="shared" si="118"/>
        <v>#REF!</v>
      </c>
      <c r="I535" s="230" t="e">
        <f t="shared" si="118"/>
        <v>#REF!</v>
      </c>
      <c r="J535" s="230" t="e">
        <f t="shared" si="118"/>
        <v>#REF!</v>
      </c>
      <c r="K535" s="230" t="e">
        <f t="shared" si="118"/>
        <v>#REF!</v>
      </c>
    </row>
    <row r="536" spans="1:11" ht="12.75" customHeight="1">
      <c r="A536" s="167">
        <v>5</v>
      </c>
      <c r="B536" s="168"/>
      <c r="C536" s="185" t="s">
        <v>691</v>
      </c>
      <c r="D536" s="186"/>
      <c r="E536" s="177"/>
      <c r="F536" s="194"/>
      <c r="G536" s="194"/>
      <c r="H536" s="194"/>
      <c r="I536" s="194"/>
      <c r="J536" s="194"/>
      <c r="K536" s="194"/>
    </row>
    <row r="537" spans="1:11" ht="12.75" customHeight="1">
      <c r="A537" s="167"/>
      <c r="B537" s="168"/>
      <c r="C537" s="185" t="s">
        <v>693</v>
      </c>
      <c r="D537" s="186"/>
      <c r="E537" s="177"/>
      <c r="F537" s="194"/>
      <c r="G537" s="194"/>
      <c r="H537" s="194"/>
      <c r="I537" s="194"/>
      <c r="J537" s="194"/>
      <c r="K537" s="194"/>
    </row>
    <row r="538" spans="1:11" ht="12.75" customHeight="1">
      <c r="A538" s="167"/>
      <c r="B538" s="168"/>
      <c r="C538" s="185" t="s">
        <v>694</v>
      </c>
      <c r="D538" s="186"/>
      <c r="E538" s="323"/>
      <c r="F538" s="230" t="e">
        <f t="shared" ref="F538:K538" si="119">F154-E154</f>
        <v>#REF!</v>
      </c>
      <c r="G538" s="230" t="e">
        <f t="shared" si="119"/>
        <v>#REF!</v>
      </c>
      <c r="H538" s="230" t="e">
        <f t="shared" si="119"/>
        <v>#REF!</v>
      </c>
      <c r="I538" s="230" t="e">
        <f t="shared" si="119"/>
        <v>#REF!</v>
      </c>
      <c r="J538" s="230" t="e">
        <f t="shared" si="119"/>
        <v>#REF!</v>
      </c>
      <c r="K538" s="230" t="e">
        <f t="shared" si="119"/>
        <v>#REF!</v>
      </c>
    </row>
    <row r="539" spans="1:11" ht="12.75" customHeight="1">
      <c r="A539" s="167">
        <v>6</v>
      </c>
      <c r="B539" s="168"/>
      <c r="C539" s="185" t="s">
        <v>695</v>
      </c>
      <c r="D539" s="186"/>
      <c r="E539" s="323"/>
      <c r="F539" s="230" t="e">
        <f t="shared" ref="F539:K539" si="120">F535-F538</f>
        <v>#REF!</v>
      </c>
      <c r="G539" s="230" t="e">
        <f t="shared" si="120"/>
        <v>#REF!</v>
      </c>
      <c r="H539" s="230" t="e">
        <f t="shared" si="120"/>
        <v>#REF!</v>
      </c>
      <c r="I539" s="230" t="e">
        <f t="shared" si="120"/>
        <v>#REF!</v>
      </c>
      <c r="J539" s="230" t="e">
        <f t="shared" si="120"/>
        <v>#REF!</v>
      </c>
      <c r="K539" s="230" t="e">
        <f t="shared" si="120"/>
        <v>#REF!</v>
      </c>
    </row>
    <row r="540" spans="1:11" ht="12.75" customHeight="1">
      <c r="A540" s="167">
        <v>7</v>
      </c>
      <c r="B540" s="168"/>
      <c r="C540" s="185" t="s">
        <v>696</v>
      </c>
      <c r="D540" s="186"/>
      <c r="E540" s="177"/>
      <c r="F540" s="194"/>
      <c r="G540" s="194"/>
      <c r="H540" s="194"/>
      <c r="I540" s="194"/>
      <c r="J540" s="194"/>
      <c r="K540" s="194"/>
    </row>
    <row r="541" spans="1:11" ht="12.75" customHeight="1">
      <c r="A541" s="167"/>
      <c r="B541" s="168"/>
      <c r="C541" s="185" t="s">
        <v>697</v>
      </c>
      <c r="D541" s="186"/>
      <c r="E541" s="323"/>
      <c r="F541" s="230" t="e">
        <f t="shared" ref="F541:K541" si="121">F533-F539</f>
        <v>#REF!</v>
      </c>
      <c r="G541" s="230" t="e">
        <f t="shared" si="121"/>
        <v>#REF!</v>
      </c>
      <c r="H541" s="230" t="e">
        <f t="shared" si="121"/>
        <v>#REF!</v>
      </c>
      <c r="I541" s="230" t="e">
        <f t="shared" si="121"/>
        <v>#REF!</v>
      </c>
      <c r="J541" s="230" t="e">
        <f t="shared" si="121"/>
        <v>#REF!</v>
      </c>
      <c r="K541" s="230" t="e">
        <f t="shared" si="121"/>
        <v>#REF!</v>
      </c>
    </row>
    <row r="542" spans="1:11" ht="12.75" customHeight="1">
      <c r="A542" s="167">
        <v>8</v>
      </c>
      <c r="B542" s="168"/>
      <c r="C542" s="185" t="s">
        <v>698</v>
      </c>
      <c r="D542" s="186"/>
      <c r="E542" s="177"/>
      <c r="F542" s="194"/>
      <c r="G542" s="194"/>
      <c r="H542" s="194"/>
      <c r="I542" s="194"/>
      <c r="J542" s="194"/>
      <c r="K542" s="194"/>
    </row>
    <row r="543" spans="1:11" ht="12.75" customHeight="1">
      <c r="A543" s="167"/>
      <c r="B543" s="168"/>
      <c r="C543" s="185" t="s">
        <v>699</v>
      </c>
      <c r="D543" s="186"/>
      <c r="E543" s="323"/>
      <c r="F543" s="230">
        <f t="shared" ref="F543:K543" si="122">F122-E122</f>
        <v>179.19661690000001</v>
      </c>
      <c r="G543" s="230">
        <f t="shared" si="122"/>
        <v>151.85420730000001</v>
      </c>
      <c r="H543" s="230">
        <f t="shared" si="122"/>
        <v>500.48329603999997</v>
      </c>
      <c r="I543" s="230">
        <f t="shared" si="122"/>
        <v>-831.53412023999999</v>
      </c>
      <c r="J543" s="230">
        <f t="shared" si="122"/>
        <v>936.85</v>
      </c>
      <c r="K543" s="230">
        <f t="shared" si="122"/>
        <v>-15.649999999999977</v>
      </c>
    </row>
    <row r="544" spans="1:11" ht="12.75" customHeight="1">
      <c r="A544" s="167"/>
      <c r="B544" s="168"/>
      <c r="C544" s="166"/>
      <c r="D544" s="175"/>
      <c r="E544" s="327">
        <f t="shared" ref="E544:K544" si="123">E543+E541</f>
        <v>0</v>
      </c>
      <c r="F544" s="275" t="e">
        <f t="shared" si="123"/>
        <v>#REF!</v>
      </c>
      <c r="G544" s="275" t="e">
        <f t="shared" si="123"/>
        <v>#REF!</v>
      </c>
      <c r="H544" s="275" t="e">
        <f t="shared" si="123"/>
        <v>#REF!</v>
      </c>
      <c r="I544" s="275" t="e">
        <f t="shared" si="123"/>
        <v>#REF!</v>
      </c>
      <c r="J544" s="275" t="e">
        <f t="shared" si="123"/>
        <v>#REF!</v>
      </c>
      <c r="K544" s="275" t="e">
        <f t="shared" si="123"/>
        <v>#REF!</v>
      </c>
    </row>
    <row r="545" spans="1:11" ht="12.75" customHeight="1">
      <c r="B545" s="167" t="s">
        <v>700</v>
      </c>
      <c r="C545" s="168"/>
      <c r="D545" s="185"/>
      <c r="E545" s="324">
        <f t="shared" ref="E545:K545" si="124">E23-D23</f>
        <v>0</v>
      </c>
      <c r="F545" s="231">
        <f t="shared" si="124"/>
        <v>453.36440069999998</v>
      </c>
      <c r="G545" s="231">
        <f t="shared" si="124"/>
        <v>1163.2555993000001</v>
      </c>
      <c r="H545" s="231">
        <f t="shared" si="124"/>
        <v>221.65999999999985</v>
      </c>
      <c r="I545" s="231" t="e">
        <f t="shared" si="124"/>
        <v>#REF!</v>
      </c>
      <c r="J545" s="231" t="e">
        <f t="shared" si="124"/>
        <v>#REF!</v>
      </c>
      <c r="K545" s="231" t="e">
        <f t="shared" si="124"/>
        <v>#REF!</v>
      </c>
    </row>
    <row r="546" spans="1:11" ht="12.75" customHeight="1">
      <c r="A546" s="167"/>
      <c r="B546" s="168"/>
      <c r="C546" s="185"/>
      <c r="D546" s="186"/>
      <c r="E546" s="323"/>
      <c r="F546" s="230"/>
      <c r="G546" s="230"/>
      <c r="H546" s="230"/>
      <c r="I546" s="230"/>
      <c r="J546" s="230"/>
      <c r="K546" s="230"/>
    </row>
    <row r="547" spans="1:11" ht="12.75" customHeight="1">
      <c r="A547" s="167"/>
      <c r="B547" s="168"/>
      <c r="C547" s="185" t="s">
        <v>701</v>
      </c>
      <c r="D547" s="186"/>
      <c r="E547" s="177"/>
      <c r="F547" s="194"/>
      <c r="G547" s="194"/>
      <c r="H547" s="194"/>
      <c r="I547" s="194"/>
      <c r="J547" s="194"/>
      <c r="K547" s="194"/>
    </row>
    <row r="548" spans="1:11" ht="12.75" customHeight="1">
      <c r="A548" s="167"/>
      <c r="B548" s="168"/>
      <c r="C548" s="185" t="s">
        <v>702</v>
      </c>
      <c r="D548" s="186"/>
      <c r="E548" s="177"/>
      <c r="F548" s="194"/>
      <c r="G548" s="194"/>
      <c r="H548" s="194"/>
      <c r="I548" s="194"/>
      <c r="J548" s="194"/>
      <c r="K548" s="194"/>
    </row>
    <row r="549" spans="1:11" ht="12.75" customHeight="1">
      <c r="A549" s="167"/>
      <c r="B549" s="168"/>
      <c r="C549" s="185" t="s">
        <v>703</v>
      </c>
      <c r="D549" s="186"/>
      <c r="E549" s="323">
        <f t="shared" ref="E549:K549" si="125">E248+E247-D248-D247</f>
        <v>0</v>
      </c>
      <c r="F549" s="230">
        <f t="shared" si="125"/>
        <v>83.963287700000009</v>
      </c>
      <c r="G549" s="230">
        <f t="shared" si="125"/>
        <v>-37.311669300000005</v>
      </c>
      <c r="H549" s="230">
        <f t="shared" si="125"/>
        <v>18.658381600000006</v>
      </c>
      <c r="I549" s="230">
        <f t="shared" si="125"/>
        <v>-65.31</v>
      </c>
      <c r="J549" s="230">
        <f t="shared" si="125"/>
        <v>102.61999999999999</v>
      </c>
      <c r="K549" s="230">
        <f t="shared" si="125"/>
        <v>-100.78999999999999</v>
      </c>
    </row>
    <row r="550" spans="1:11" ht="12.75" customHeight="1">
      <c r="A550" s="167"/>
      <c r="B550" s="168"/>
      <c r="C550" s="185" t="s">
        <v>704</v>
      </c>
      <c r="D550" s="186"/>
      <c r="E550" s="323"/>
      <c r="F550" s="230"/>
      <c r="G550" s="230"/>
      <c r="H550" s="230"/>
      <c r="I550" s="230"/>
      <c r="J550" s="230"/>
      <c r="K550" s="230"/>
    </row>
    <row r="551" spans="1:11" ht="12.75" customHeight="1">
      <c r="A551" s="167"/>
      <c r="B551" s="168"/>
      <c r="C551" s="185" t="s">
        <v>705</v>
      </c>
      <c r="D551" s="186"/>
      <c r="E551" s="323">
        <f t="shared" ref="E551:K551" si="126">E249-D249</f>
        <v>0</v>
      </c>
      <c r="F551" s="230">
        <f t="shared" si="126"/>
        <v>0</v>
      </c>
      <c r="G551" s="230">
        <f t="shared" si="126"/>
        <v>0</v>
      </c>
      <c r="H551" s="230">
        <f t="shared" si="126"/>
        <v>0</v>
      </c>
      <c r="I551" s="230">
        <f t="shared" si="126"/>
        <v>0</v>
      </c>
      <c r="J551" s="230">
        <f t="shared" si="126"/>
        <v>0</v>
      </c>
      <c r="K551" s="230">
        <f t="shared" si="126"/>
        <v>0</v>
      </c>
    </row>
    <row r="552" spans="1:11" ht="12.75" customHeight="1">
      <c r="A552" s="167"/>
      <c r="B552" s="168"/>
      <c r="C552" s="185" t="s">
        <v>706</v>
      </c>
      <c r="D552" s="186"/>
      <c r="E552" s="323"/>
      <c r="F552" s="230"/>
      <c r="G552" s="230"/>
      <c r="H552" s="230"/>
      <c r="I552" s="230"/>
      <c r="J552" s="230"/>
      <c r="K552" s="230"/>
    </row>
    <row r="553" spans="1:11" ht="12.75" customHeight="1">
      <c r="A553" s="167"/>
      <c r="B553" s="168"/>
      <c r="C553" s="185" t="s">
        <v>707</v>
      </c>
      <c r="D553" s="186"/>
      <c r="E553" s="323">
        <f t="shared" ref="E553:K553" si="127">E250-D250</f>
        <v>0</v>
      </c>
      <c r="F553" s="230">
        <f t="shared" si="127"/>
        <v>0</v>
      </c>
      <c r="G553" s="230">
        <f t="shared" si="127"/>
        <v>0</v>
      </c>
      <c r="H553" s="230">
        <f t="shared" si="127"/>
        <v>0</v>
      </c>
      <c r="I553" s="230">
        <f t="shared" si="127"/>
        <v>0</v>
      </c>
      <c r="J553" s="230">
        <f t="shared" si="127"/>
        <v>0</v>
      </c>
      <c r="K553" s="230">
        <f t="shared" si="127"/>
        <v>0</v>
      </c>
    </row>
    <row r="554" spans="1:11" ht="12.75" customHeight="1">
      <c r="A554" s="167"/>
      <c r="B554" s="168"/>
      <c r="C554" s="185" t="s">
        <v>708</v>
      </c>
      <c r="D554" s="186"/>
      <c r="E554" s="323"/>
      <c r="F554" s="230"/>
      <c r="G554" s="230"/>
      <c r="H554" s="230"/>
      <c r="I554" s="230"/>
      <c r="J554" s="230"/>
      <c r="K554" s="230"/>
    </row>
    <row r="555" spans="1:11" ht="12.75" customHeight="1">
      <c r="A555" s="167"/>
      <c r="B555" s="168"/>
      <c r="C555" s="185" t="s">
        <v>709</v>
      </c>
      <c r="D555" s="186"/>
      <c r="E555" s="323"/>
      <c r="F555" s="230"/>
      <c r="G555" s="230"/>
      <c r="H555" s="230"/>
      <c r="I555" s="230"/>
      <c r="J555" s="230"/>
      <c r="K555" s="230"/>
    </row>
    <row r="556" spans="1:11" ht="12.75" customHeight="1">
      <c r="A556" s="167"/>
      <c r="B556" s="168"/>
      <c r="C556" s="185" t="s">
        <v>710</v>
      </c>
      <c r="D556" s="186"/>
      <c r="E556" s="323">
        <f t="shared" ref="E556:K556" si="128">E235-D235</f>
        <v>0</v>
      </c>
      <c r="F556" s="230">
        <f t="shared" si="128"/>
        <v>284.7934262</v>
      </c>
      <c r="G556" s="230">
        <f t="shared" si="128"/>
        <v>336.56657380000001</v>
      </c>
      <c r="H556" s="230">
        <f t="shared" si="128"/>
        <v>35.019999999999982</v>
      </c>
      <c r="I556" s="230">
        <f t="shared" si="128"/>
        <v>-656.38</v>
      </c>
      <c r="J556" s="230">
        <f t="shared" si="128"/>
        <v>987.87</v>
      </c>
      <c r="K556" s="230">
        <f t="shared" si="128"/>
        <v>346.30000000000007</v>
      </c>
    </row>
    <row r="557" spans="1:11" ht="12.75" customHeight="1">
      <c r="A557" s="167"/>
      <c r="B557" s="168"/>
      <c r="C557" s="185" t="s">
        <v>711</v>
      </c>
      <c r="D557" s="186"/>
      <c r="E557" s="323">
        <v>0</v>
      </c>
      <c r="F557" s="230">
        <v>0</v>
      </c>
      <c r="G557" s="230">
        <v>0</v>
      </c>
      <c r="H557" s="230">
        <v>0</v>
      </c>
      <c r="I557" s="230">
        <v>0</v>
      </c>
      <c r="J557" s="230">
        <v>0</v>
      </c>
      <c r="K557" s="230">
        <v>0</v>
      </c>
    </row>
    <row r="558" spans="1:11" ht="12.75" customHeight="1">
      <c r="A558" s="167"/>
      <c r="B558" s="168"/>
      <c r="C558" s="185" t="s">
        <v>712</v>
      </c>
      <c r="D558" s="186"/>
      <c r="E558" s="323"/>
      <c r="F558" s="230"/>
      <c r="G558" s="230"/>
      <c r="H558" s="230"/>
      <c r="I558" s="230"/>
      <c r="J558" s="230"/>
      <c r="K558" s="230"/>
    </row>
    <row r="559" spans="1:11" ht="12.75" customHeight="1">
      <c r="A559" s="167"/>
      <c r="B559" s="168"/>
      <c r="C559" s="185" t="s">
        <v>713</v>
      </c>
      <c r="D559" s="186"/>
      <c r="E559" s="323">
        <f t="shared" ref="E559:K559" si="129">E253+E252-D253-D252</f>
        <v>0</v>
      </c>
      <c r="F559" s="230">
        <f t="shared" si="129"/>
        <v>0</v>
      </c>
      <c r="G559" s="230">
        <f t="shared" si="129"/>
        <v>14.8626252</v>
      </c>
      <c r="H559" s="230">
        <f t="shared" si="129"/>
        <v>7.3354748000000001</v>
      </c>
      <c r="I559" s="230">
        <f t="shared" si="129"/>
        <v>-22.1981</v>
      </c>
      <c r="J559" s="230">
        <f t="shared" si="129"/>
        <v>6.65</v>
      </c>
      <c r="K559" s="230">
        <f t="shared" si="129"/>
        <v>4.32</v>
      </c>
    </row>
    <row r="560" spans="1:11" ht="12.75" customHeight="1">
      <c r="A560" s="167"/>
      <c r="B560" s="168"/>
      <c r="C560" s="185" t="s">
        <v>714</v>
      </c>
      <c r="D560" s="186"/>
      <c r="E560" s="323"/>
      <c r="F560" s="230"/>
      <c r="G560" s="230"/>
      <c r="H560" s="230"/>
      <c r="I560" s="230"/>
      <c r="J560" s="230"/>
      <c r="K560" s="230"/>
    </row>
    <row r="561" spans="1:11" ht="12.75" customHeight="1">
      <c r="A561" s="167"/>
      <c r="B561" s="168"/>
      <c r="C561" s="185" t="s">
        <v>715</v>
      </c>
      <c r="D561" s="186"/>
      <c r="E561" s="323">
        <f t="shared" ref="E561:K561" si="130">(+E224+E255+E258+E262+E264+E266+E268)-(D224+D255+D258+D262+D264+D266+D268)</f>
        <v>0</v>
      </c>
      <c r="F561" s="230" t="e">
        <f t="shared" si="130"/>
        <v>#REF!</v>
      </c>
      <c r="G561" s="230" t="e">
        <f t="shared" si="130"/>
        <v>#REF!</v>
      </c>
      <c r="H561" s="230" t="e">
        <f t="shared" si="130"/>
        <v>#REF!</v>
      </c>
      <c r="I561" s="230" t="e">
        <f t="shared" si="130"/>
        <v>#REF!</v>
      </c>
      <c r="J561" s="230" t="e">
        <f t="shared" si="130"/>
        <v>#REF!</v>
      </c>
      <c r="K561" s="230" t="e">
        <f t="shared" si="130"/>
        <v>#REF!</v>
      </c>
    </row>
    <row r="562" spans="1:11" ht="12.75" customHeight="1">
      <c r="A562" s="167"/>
      <c r="B562" s="168"/>
      <c r="C562" s="166"/>
      <c r="D562" s="175"/>
      <c r="E562" s="177"/>
      <c r="F562" s="194"/>
      <c r="G562" s="194"/>
      <c r="H562" s="194"/>
      <c r="I562" s="194"/>
      <c r="J562" s="194"/>
      <c r="K562" s="194"/>
    </row>
    <row r="563" spans="1:11" ht="12.75" customHeight="1">
      <c r="A563" s="167"/>
      <c r="B563" s="168"/>
      <c r="C563" s="185" t="s">
        <v>716</v>
      </c>
      <c r="D563" s="186"/>
      <c r="E563" s="328">
        <f t="shared" ref="E563:K563" si="131">SUM(E549:E561)</f>
        <v>0</v>
      </c>
      <c r="F563" s="231" t="e">
        <f t="shared" si="131"/>
        <v>#REF!</v>
      </c>
      <c r="G563" s="231" t="e">
        <f t="shared" si="131"/>
        <v>#REF!</v>
      </c>
      <c r="H563" s="231" t="e">
        <f t="shared" si="131"/>
        <v>#REF!</v>
      </c>
      <c r="I563" s="231" t="e">
        <f t="shared" si="131"/>
        <v>#REF!</v>
      </c>
      <c r="J563" s="231" t="e">
        <f t="shared" si="131"/>
        <v>#REF!</v>
      </c>
      <c r="K563" s="231" t="e">
        <f t="shared" si="131"/>
        <v>#REF!</v>
      </c>
    </row>
    <row r="564" spans="1:11" ht="12.75" customHeight="1">
      <c r="A564" s="180"/>
      <c r="B564" s="210"/>
      <c r="C564" s="182"/>
      <c r="D564" s="183"/>
      <c r="E564" s="291"/>
      <c r="F564" s="291"/>
      <c r="G564" s="291"/>
      <c r="H564" s="291"/>
      <c r="I564" s="291"/>
      <c r="J564" s="291"/>
      <c r="K564" s="291"/>
    </row>
    <row r="565" spans="1:11" ht="12.75" customHeight="1">
      <c r="A565" s="166"/>
      <c r="B565" s="168"/>
      <c r="C565" s="166"/>
      <c r="D565" s="166"/>
    </row>
    <row r="566" spans="1:11" ht="12.75" customHeight="1">
      <c r="A566" s="166"/>
      <c r="B566" s="168"/>
      <c r="C566" s="189"/>
      <c r="D566" s="189"/>
    </row>
    <row r="567" spans="1:11" ht="12.75" customHeight="1">
      <c r="A567" s="166"/>
      <c r="B567" s="168"/>
      <c r="C567" s="189"/>
      <c r="D567" s="189"/>
    </row>
    <row r="568" spans="1:11" ht="12.75" customHeight="1">
      <c r="A568" s="166"/>
      <c r="B568" s="168"/>
      <c r="C568" s="166"/>
      <c r="D568" s="166"/>
    </row>
    <row r="569" spans="1:11" ht="12.75" customHeight="1">
      <c r="A569" s="166"/>
      <c r="B569" s="168"/>
      <c r="C569" s="817" t="s">
        <v>717</v>
      </c>
      <c r="D569" s="818"/>
      <c r="E569" s="329"/>
      <c r="F569" s="330">
        <f t="shared" ref="F569:K569" si="132">F8</f>
        <v>42094</v>
      </c>
      <c r="G569" s="330">
        <f t="shared" si="132"/>
        <v>42460</v>
      </c>
      <c r="H569" s="330">
        <f t="shared" si="132"/>
        <v>42825</v>
      </c>
      <c r="I569" s="330">
        <f t="shared" si="132"/>
        <v>43190</v>
      </c>
      <c r="J569" s="330">
        <f t="shared" si="132"/>
        <v>43555</v>
      </c>
      <c r="K569" s="330">
        <f t="shared" si="132"/>
        <v>43921</v>
      </c>
    </row>
    <row r="570" spans="1:11" ht="12.75" customHeight="1">
      <c r="A570" s="307"/>
      <c r="B570" s="168"/>
      <c r="C570" s="819"/>
      <c r="D570" s="820"/>
      <c r="E570" s="329"/>
      <c r="F570" s="330" t="str">
        <f t="shared" ref="F570:K570" si="133">F11</f>
        <v>Audited</v>
      </c>
      <c r="G570" s="330" t="str">
        <f t="shared" si="133"/>
        <v>Audited</v>
      </c>
      <c r="H570" s="330" t="str">
        <f t="shared" si="133"/>
        <v>Estimated</v>
      </c>
      <c r="I570" s="330" t="str">
        <f t="shared" si="133"/>
        <v>Projection</v>
      </c>
      <c r="J570" s="330" t="str">
        <f t="shared" si="133"/>
        <v>Projection</v>
      </c>
      <c r="K570" s="330" t="str">
        <f t="shared" si="133"/>
        <v>Projection</v>
      </c>
    </row>
    <row r="571" spans="1:11" ht="12.75" customHeight="1">
      <c r="A571" s="166"/>
      <c r="B571" s="168"/>
      <c r="C571" s="824" t="s">
        <v>718</v>
      </c>
      <c r="D571" s="329" t="s">
        <v>86</v>
      </c>
      <c r="E571" s="331" t="s">
        <v>719</v>
      </c>
      <c r="F571" s="332">
        <f t="shared" ref="F571:K571" si="134">F248</f>
        <v>4.7671916000000003</v>
      </c>
      <c r="G571" s="332">
        <f t="shared" si="134"/>
        <v>5.0837946000000001</v>
      </c>
      <c r="H571" s="332">
        <f t="shared" si="134"/>
        <v>2.64</v>
      </c>
      <c r="I571" s="332">
        <f t="shared" si="134"/>
        <v>0</v>
      </c>
      <c r="J571" s="332">
        <f t="shared" si="134"/>
        <v>2.13</v>
      </c>
      <c r="K571" s="332">
        <f t="shared" si="134"/>
        <v>0.76</v>
      </c>
    </row>
    <row r="572" spans="1:11" ht="12.75" customHeight="1">
      <c r="A572" s="166"/>
      <c r="B572" s="168"/>
      <c r="C572" s="824"/>
      <c r="D572" s="329" t="s">
        <v>720</v>
      </c>
      <c r="E572" s="331" t="s">
        <v>719</v>
      </c>
      <c r="F572" s="333">
        <f t="shared" ref="F572:K572" si="135">ROUND(F571/F33*365,0)</f>
        <v>270</v>
      </c>
      <c r="G572" s="333">
        <f t="shared" si="135"/>
        <v>118</v>
      </c>
      <c r="H572" s="333">
        <f t="shared" si="135"/>
        <v>63</v>
      </c>
      <c r="I572" s="333">
        <f t="shared" si="135"/>
        <v>0</v>
      </c>
      <c r="J572" s="333">
        <f t="shared" si="135"/>
        <v>77</v>
      </c>
      <c r="K572" s="333">
        <f t="shared" si="135"/>
        <v>24</v>
      </c>
    </row>
    <row r="573" spans="1:11" ht="12.75" customHeight="1">
      <c r="A573" s="166"/>
      <c r="B573" s="168"/>
      <c r="C573" s="824" t="s">
        <v>721</v>
      </c>
      <c r="D573" s="329" t="s">
        <v>86</v>
      </c>
      <c r="E573" s="331" t="s">
        <v>719</v>
      </c>
      <c r="F573" s="334">
        <f>F247</f>
        <v>79.196096100000005</v>
      </c>
      <c r="G573" s="334">
        <f>(G248+G247)</f>
        <v>46.651618399999997</v>
      </c>
      <c r="H573" s="334">
        <f>(H248+H247)</f>
        <v>65.31</v>
      </c>
      <c r="I573" s="334">
        <f>(I248+I247)</f>
        <v>0</v>
      </c>
      <c r="J573" s="334">
        <f>(J248+J247)</f>
        <v>102.61999999999999</v>
      </c>
      <c r="K573" s="334">
        <f>(K248+K247)</f>
        <v>1.83</v>
      </c>
    </row>
    <row r="574" spans="1:11" ht="12.75" customHeight="1">
      <c r="A574" s="166"/>
      <c r="B574" s="168"/>
      <c r="C574" s="824"/>
      <c r="D574" s="329" t="s">
        <v>720</v>
      </c>
      <c r="E574" s="331" t="s">
        <v>719</v>
      </c>
      <c r="F574" s="333">
        <f t="shared" ref="F574:K574" si="136">ROUND(F573/F32*365,0)</f>
        <v>126</v>
      </c>
      <c r="G574" s="333">
        <f t="shared" si="136"/>
        <v>26</v>
      </c>
      <c r="H574" s="333">
        <f t="shared" si="136"/>
        <v>26</v>
      </c>
      <c r="I574" s="333">
        <f t="shared" si="136"/>
        <v>0</v>
      </c>
      <c r="J574" s="333">
        <f t="shared" si="136"/>
        <v>37</v>
      </c>
      <c r="K574" s="333">
        <f t="shared" si="136"/>
        <v>1</v>
      </c>
    </row>
    <row r="575" spans="1:11" ht="12.75" customHeight="1">
      <c r="A575" s="166"/>
      <c r="B575" s="168"/>
      <c r="C575" s="824" t="s">
        <v>722</v>
      </c>
      <c r="D575" s="329" t="s">
        <v>86</v>
      </c>
      <c r="E575" s="331" t="s">
        <v>719</v>
      </c>
      <c r="F575" s="331" t="s">
        <v>719</v>
      </c>
      <c r="G575" s="331" t="s">
        <v>368</v>
      </c>
      <c r="H575" s="331" t="s">
        <v>368</v>
      </c>
      <c r="I575" s="331" t="s">
        <v>368</v>
      </c>
      <c r="J575" s="331" t="s">
        <v>368</v>
      </c>
      <c r="K575" s="331" t="s">
        <v>368</v>
      </c>
    </row>
    <row r="576" spans="1:11" ht="12.75" customHeight="1">
      <c r="A576" s="166"/>
      <c r="B576" s="168"/>
      <c r="C576" s="824"/>
      <c r="D576" s="329" t="s">
        <v>720</v>
      </c>
      <c r="E576" s="331" t="s">
        <v>719</v>
      </c>
      <c r="F576" s="331" t="s">
        <v>719</v>
      </c>
      <c r="G576" s="331" t="s">
        <v>368</v>
      </c>
      <c r="H576" s="331" t="s">
        <v>368</v>
      </c>
      <c r="I576" s="331" t="s">
        <v>368</v>
      </c>
      <c r="J576" s="331" t="s">
        <v>368</v>
      </c>
      <c r="K576" s="331" t="s">
        <v>368</v>
      </c>
    </row>
    <row r="577" spans="1:11" ht="12.75" customHeight="1">
      <c r="A577" s="166"/>
      <c r="B577" s="168"/>
      <c r="C577" s="824" t="s">
        <v>723</v>
      </c>
      <c r="D577" s="329" t="s">
        <v>86</v>
      </c>
      <c r="E577" s="331" t="s">
        <v>719</v>
      </c>
      <c r="F577" s="331" t="s">
        <v>719</v>
      </c>
      <c r="G577" s="331" t="s">
        <v>368</v>
      </c>
      <c r="H577" s="331" t="s">
        <v>368</v>
      </c>
      <c r="I577" s="331" t="s">
        <v>368</v>
      </c>
      <c r="J577" s="331" t="s">
        <v>368</v>
      </c>
      <c r="K577" s="331" t="s">
        <v>368</v>
      </c>
    </row>
    <row r="578" spans="1:11" ht="12.75" customHeight="1">
      <c r="A578" s="166"/>
      <c r="B578" s="168"/>
      <c r="C578" s="824"/>
      <c r="D578" s="329" t="s">
        <v>720</v>
      </c>
      <c r="E578" s="331" t="s">
        <v>719</v>
      </c>
      <c r="F578" s="331" t="s">
        <v>719</v>
      </c>
      <c r="G578" s="331" t="s">
        <v>368</v>
      </c>
      <c r="H578" s="331" t="s">
        <v>368</v>
      </c>
      <c r="I578" s="331" t="s">
        <v>368</v>
      </c>
      <c r="J578" s="331" t="s">
        <v>368</v>
      </c>
      <c r="K578" s="331" t="s">
        <v>368</v>
      </c>
    </row>
    <row r="579" spans="1:11" ht="12.75" customHeight="1">
      <c r="A579" s="166"/>
      <c r="B579" s="168"/>
      <c r="C579" s="824" t="s">
        <v>724</v>
      </c>
      <c r="D579" s="329" t="s">
        <v>86</v>
      </c>
      <c r="E579" s="331" t="s">
        <v>719</v>
      </c>
      <c r="F579" s="334">
        <f t="shared" ref="F579:K579" si="137">F235</f>
        <v>284.7934262</v>
      </c>
      <c r="G579" s="334">
        <f t="shared" si="137"/>
        <v>621.36</v>
      </c>
      <c r="H579" s="334">
        <f t="shared" si="137"/>
        <v>656.38</v>
      </c>
      <c r="I579" s="334">
        <f t="shared" si="137"/>
        <v>0</v>
      </c>
      <c r="J579" s="334">
        <f t="shared" si="137"/>
        <v>987.87</v>
      </c>
      <c r="K579" s="334">
        <f t="shared" si="137"/>
        <v>1334.17</v>
      </c>
    </row>
    <row r="580" spans="1:11" ht="12.75" customHeight="1">
      <c r="A580" s="166"/>
      <c r="B580" s="168"/>
      <c r="C580" s="824"/>
      <c r="D580" s="329" t="s">
        <v>720</v>
      </c>
      <c r="E580" s="331" t="s">
        <v>719</v>
      </c>
      <c r="F580" s="334">
        <f t="shared" ref="F580:K580" si="138">ROUND(F579/F19*365,0)</f>
        <v>229</v>
      </c>
      <c r="G580" s="334">
        <f t="shared" si="138"/>
        <v>140</v>
      </c>
      <c r="H580" s="334">
        <f t="shared" si="138"/>
        <v>130</v>
      </c>
      <c r="I580" s="334" t="e">
        <f t="shared" si="138"/>
        <v>#REF!</v>
      </c>
      <c r="J580" s="334" t="e">
        <f t="shared" si="138"/>
        <v>#REF!</v>
      </c>
      <c r="K580" s="334" t="e">
        <f t="shared" si="138"/>
        <v>#REF!</v>
      </c>
    </row>
    <row r="581" spans="1:11" ht="12.75" customHeight="1">
      <c r="A581" s="166"/>
      <c r="B581" s="168"/>
      <c r="C581" s="824" t="s">
        <v>725</v>
      </c>
      <c r="D581" s="329" t="s">
        <v>86</v>
      </c>
      <c r="E581" s="331" t="s">
        <v>719</v>
      </c>
      <c r="F581" s="331" t="s">
        <v>719</v>
      </c>
      <c r="G581" s="331"/>
      <c r="H581" s="331"/>
      <c r="I581" s="331"/>
      <c r="J581" s="331"/>
      <c r="K581" s="331"/>
    </row>
    <row r="582" spans="1:11" ht="12.75" customHeight="1">
      <c r="A582" s="166"/>
      <c r="B582" s="168"/>
      <c r="C582" s="824"/>
      <c r="D582" s="329" t="s">
        <v>720</v>
      </c>
      <c r="E582" s="331" t="s">
        <v>719</v>
      </c>
      <c r="F582" s="331" t="s">
        <v>719</v>
      </c>
      <c r="G582" s="331"/>
      <c r="H582" s="331"/>
      <c r="I582" s="331"/>
      <c r="J582" s="331"/>
      <c r="K582" s="331"/>
    </row>
    <row r="583" spans="1:11" ht="12.75" customHeight="1">
      <c r="A583" s="166"/>
      <c r="B583" s="168"/>
      <c r="C583" s="824" t="s">
        <v>726</v>
      </c>
      <c r="D583" s="329" t="s">
        <v>86</v>
      </c>
      <c r="E583" s="331" t="s">
        <v>719</v>
      </c>
      <c r="F583" s="332">
        <f t="shared" ref="F583:K583" si="139">F127</f>
        <v>234.97825460000001</v>
      </c>
      <c r="G583" s="332">
        <f t="shared" si="139"/>
        <v>214.81</v>
      </c>
      <c r="H583" s="332">
        <f t="shared" si="139"/>
        <v>386.87900000000002</v>
      </c>
      <c r="I583" s="332">
        <f t="shared" si="139"/>
        <v>0</v>
      </c>
      <c r="J583" s="332">
        <f t="shared" si="139"/>
        <v>139.04</v>
      </c>
      <c r="K583" s="332">
        <f t="shared" si="139"/>
        <v>323.26</v>
      </c>
    </row>
    <row r="584" spans="1:11" ht="12.75" customHeight="1">
      <c r="A584" s="166"/>
      <c r="B584" s="168"/>
      <c r="C584" s="824"/>
      <c r="D584" s="329" t="s">
        <v>720</v>
      </c>
      <c r="E584" s="331" t="s">
        <v>719</v>
      </c>
      <c r="F584" s="334">
        <f t="shared" ref="F584:K584" si="140">ROUND(F583/F32*365,0)</f>
        <v>374</v>
      </c>
      <c r="G584" s="334">
        <f t="shared" si="140"/>
        <v>118</v>
      </c>
      <c r="H584" s="334">
        <f t="shared" si="140"/>
        <v>153</v>
      </c>
      <c r="I584" s="334">
        <f t="shared" si="140"/>
        <v>0</v>
      </c>
      <c r="J584" s="334">
        <f t="shared" si="140"/>
        <v>50</v>
      </c>
      <c r="K584" s="334">
        <f t="shared" si="140"/>
        <v>112</v>
      </c>
    </row>
    <row r="585" spans="1:11" ht="12.75" customHeight="1">
      <c r="A585" s="166"/>
      <c r="B585" s="168"/>
      <c r="C585" s="335"/>
      <c r="D585" s="335"/>
      <c r="E585" s="336"/>
      <c r="F585" s="336"/>
      <c r="G585" s="337"/>
      <c r="H585" s="337"/>
      <c r="I585" s="337"/>
      <c r="J585" s="337"/>
      <c r="K585" s="337"/>
    </row>
    <row r="586" spans="1:11" ht="12.75" customHeight="1">
      <c r="A586" s="166"/>
      <c r="B586" s="168"/>
      <c r="C586" s="185"/>
      <c r="D586" s="185"/>
    </row>
    <row r="587" spans="1:11" ht="12.75" customHeight="1">
      <c r="A587" s="166"/>
      <c r="B587" s="168"/>
      <c r="C587" s="166"/>
      <c r="D587" s="166"/>
    </row>
    <row r="588" spans="1:11" ht="12.75" customHeight="1">
      <c r="A588" s="166"/>
      <c r="B588" s="168"/>
      <c r="C588" s="166"/>
      <c r="D588" s="166"/>
    </row>
    <row r="589" spans="1:11" ht="12.75" customHeight="1">
      <c r="A589" s="166"/>
      <c r="B589" s="168"/>
      <c r="C589" s="185"/>
      <c r="D589" s="185"/>
    </row>
    <row r="590" spans="1:11" ht="12.75" customHeight="1">
      <c r="A590" s="166"/>
      <c r="B590" s="168"/>
      <c r="C590" s="338"/>
      <c r="D590" s="825" t="s">
        <v>727</v>
      </c>
      <c r="E590" s="826"/>
      <c r="F590" s="339" t="s">
        <v>728</v>
      </c>
      <c r="G590" s="339" t="s">
        <v>729</v>
      </c>
    </row>
    <row r="591" spans="1:11" ht="12.75" customHeight="1">
      <c r="A591" s="166"/>
      <c r="B591" s="168"/>
      <c r="C591" s="340" t="s">
        <v>730</v>
      </c>
      <c r="D591" s="821"/>
      <c r="E591" s="823"/>
      <c r="F591" s="342"/>
      <c r="G591" s="343"/>
    </row>
    <row r="592" spans="1:11" ht="12.75" customHeight="1">
      <c r="A592" s="166"/>
      <c r="B592" s="168"/>
      <c r="C592" s="340" t="s">
        <v>731</v>
      </c>
      <c r="D592" s="821"/>
      <c r="E592" s="823"/>
      <c r="F592" s="344">
        <v>0.9</v>
      </c>
      <c r="G592" s="343"/>
    </row>
    <row r="593" spans="1:7" ht="12.75" customHeight="1">
      <c r="A593" s="166"/>
      <c r="B593" s="168"/>
      <c r="C593" s="340" t="s">
        <v>732</v>
      </c>
      <c r="D593" s="821"/>
      <c r="E593" s="823"/>
      <c r="F593" s="342">
        <f>F591*F592/12</f>
        <v>0</v>
      </c>
      <c r="G593" s="343"/>
    </row>
    <row r="594" spans="1:7" ht="12.75" customHeight="1">
      <c r="A594" s="166"/>
      <c r="B594" s="168"/>
      <c r="C594" s="340" t="s">
        <v>733</v>
      </c>
      <c r="D594" s="821"/>
      <c r="E594" s="823"/>
      <c r="F594" s="342">
        <v>3</v>
      </c>
      <c r="G594" s="343"/>
    </row>
    <row r="595" spans="1:7" ht="12.75" customHeight="1">
      <c r="A595" s="166"/>
      <c r="B595" s="168"/>
      <c r="C595" s="340" t="s">
        <v>734</v>
      </c>
      <c r="D595" s="821"/>
      <c r="E595" s="823"/>
      <c r="F595" s="342">
        <v>1</v>
      </c>
      <c r="G595" s="343"/>
    </row>
    <row r="596" spans="1:7" ht="12.75" customHeight="1">
      <c r="A596" s="166"/>
      <c r="B596" s="168"/>
      <c r="C596" s="340" t="s">
        <v>735</v>
      </c>
      <c r="D596" s="821"/>
      <c r="E596" s="823"/>
      <c r="F596" s="342">
        <v>4</v>
      </c>
      <c r="G596" s="343"/>
    </row>
    <row r="597" spans="1:7" ht="12.75" customHeight="1">
      <c r="A597" s="166"/>
      <c r="B597" s="168"/>
      <c r="C597" s="340" t="s">
        <v>736</v>
      </c>
      <c r="D597" s="821"/>
      <c r="E597" s="823"/>
      <c r="F597" s="342">
        <f>F593*F596</f>
        <v>0</v>
      </c>
      <c r="G597" s="343"/>
    </row>
    <row r="598" spans="1:7" ht="12.75" customHeight="1">
      <c r="A598" s="166"/>
      <c r="B598" s="168"/>
      <c r="C598" s="340" t="s">
        <v>737</v>
      </c>
      <c r="D598" s="821"/>
      <c r="E598" s="823"/>
      <c r="F598" s="342">
        <f>F597</f>
        <v>0</v>
      </c>
      <c r="G598" s="343"/>
    </row>
    <row r="599" spans="1:7" ht="12.75" customHeight="1">
      <c r="A599" s="166"/>
      <c r="B599" s="168"/>
      <c r="C599" s="345" t="s">
        <v>738</v>
      </c>
      <c r="D599" s="821"/>
      <c r="E599" s="823"/>
      <c r="F599" s="346">
        <f>F593*F595/30</f>
        <v>0</v>
      </c>
      <c r="G599" s="347"/>
    </row>
    <row r="600" spans="1:7" ht="12.75" customHeight="1">
      <c r="A600" s="166"/>
      <c r="B600" s="168"/>
      <c r="C600" s="338" t="s">
        <v>739</v>
      </c>
      <c r="D600" s="821"/>
      <c r="E600" s="823"/>
      <c r="F600" s="348">
        <f>F598-F599</f>
        <v>0</v>
      </c>
      <c r="G600" s="341"/>
    </row>
    <row r="601" spans="1:7" ht="12.75" customHeight="1">
      <c r="A601" s="166"/>
      <c r="B601" s="168"/>
      <c r="C601" s="340" t="s">
        <v>740</v>
      </c>
      <c r="D601" s="821"/>
      <c r="E601" s="823"/>
      <c r="F601" s="821">
        <v>2000</v>
      </c>
      <c r="G601" s="823"/>
    </row>
    <row r="602" spans="1:7" ht="12.75" customHeight="1">
      <c r="A602" s="166"/>
      <c r="B602" s="168"/>
      <c r="C602" s="340" t="s">
        <v>741</v>
      </c>
      <c r="D602" s="821"/>
      <c r="E602" s="822"/>
      <c r="F602" s="822"/>
      <c r="G602" s="823"/>
    </row>
    <row r="603" spans="1:7" ht="12.75" customHeight="1">
      <c r="A603" s="166"/>
      <c r="B603" s="168"/>
      <c r="C603" s="821" t="s">
        <v>742</v>
      </c>
      <c r="D603" s="823"/>
      <c r="E603" s="821" t="s">
        <v>743</v>
      </c>
      <c r="F603" s="822"/>
      <c r="G603" s="823"/>
    </row>
    <row r="604" spans="1:7" ht="12.75" customHeight="1">
      <c r="A604" s="166"/>
      <c r="B604" s="168"/>
      <c r="C604" s="821" t="s">
        <v>744</v>
      </c>
      <c r="D604" s="822"/>
      <c r="E604" s="822"/>
      <c r="F604" s="822"/>
      <c r="G604" s="823"/>
    </row>
    <row r="605" spans="1:7" ht="12.75" customHeight="1">
      <c r="A605" s="166"/>
      <c r="B605" s="168"/>
      <c r="C605" s="821" t="s">
        <v>745</v>
      </c>
      <c r="D605" s="822"/>
      <c r="E605" s="822"/>
      <c r="F605" s="822"/>
      <c r="G605" s="823"/>
    </row>
    <row r="606" spans="1:7" ht="12.75" customHeight="1">
      <c r="A606" s="166"/>
      <c r="B606" s="168"/>
      <c r="C606" s="166"/>
      <c r="D606" s="166"/>
    </row>
    <row r="607" spans="1:7" ht="12.75" customHeight="1">
      <c r="A607" s="166"/>
      <c r="B607" s="168"/>
      <c r="C607" s="166"/>
      <c r="D607" s="166"/>
    </row>
    <row r="608" spans="1:7" ht="12.75" customHeight="1">
      <c r="A608" s="166"/>
      <c r="B608" s="168"/>
      <c r="C608" s="185"/>
      <c r="D608" s="185"/>
    </row>
    <row r="609" spans="1:4" ht="12.75" customHeight="1">
      <c r="A609" s="166"/>
      <c r="B609" s="168"/>
      <c r="C609" s="166"/>
      <c r="D609" s="166"/>
    </row>
    <row r="610" spans="1:4" ht="12.75" customHeight="1">
      <c r="A610" s="166"/>
      <c r="B610" s="168"/>
      <c r="C610" s="166"/>
      <c r="D610" s="166"/>
    </row>
    <row r="611" spans="1:4" ht="12.75" customHeight="1">
      <c r="A611" s="166"/>
      <c r="B611" s="168"/>
      <c r="C611" s="166"/>
      <c r="D611" s="166"/>
    </row>
    <row r="612" spans="1:4" ht="12.75" customHeight="1">
      <c r="A612" s="166"/>
      <c r="B612" s="168"/>
      <c r="C612" s="185"/>
      <c r="D612" s="185"/>
    </row>
    <row r="613" spans="1:4" ht="12.75" customHeight="1">
      <c r="A613" s="166"/>
      <c r="B613" s="168"/>
      <c r="C613" s="185"/>
      <c r="D613" s="185"/>
    </row>
    <row r="614" spans="1:4" ht="12.75" customHeight="1">
      <c r="A614" s="166"/>
      <c r="B614" s="168"/>
      <c r="C614" s="185"/>
      <c r="D614" s="185"/>
    </row>
    <row r="615" spans="1:4" ht="12.75" customHeight="1">
      <c r="A615" s="166"/>
      <c r="B615" s="168"/>
      <c r="C615" s="166"/>
      <c r="D615" s="166"/>
    </row>
    <row r="616" spans="1:4" ht="12.75" customHeight="1">
      <c r="A616" s="166"/>
      <c r="B616" s="168"/>
      <c r="C616" s="185"/>
      <c r="D616" s="185"/>
    </row>
    <row r="617" spans="1:4" ht="12.75" customHeight="1">
      <c r="A617" s="166"/>
      <c r="B617" s="168"/>
      <c r="C617" s="185"/>
      <c r="D617" s="185"/>
    </row>
    <row r="618" spans="1:4" ht="12.75" customHeight="1">
      <c r="A618" s="166"/>
      <c r="B618" s="168"/>
      <c r="C618" s="185"/>
      <c r="D618" s="185"/>
    </row>
    <row r="619" spans="1:4" ht="12.75" customHeight="1">
      <c r="A619" s="166"/>
      <c r="B619" s="168"/>
      <c r="C619" s="185"/>
      <c r="D619" s="185"/>
    </row>
    <row r="620" spans="1:4" ht="12.75" customHeight="1">
      <c r="A620" s="166"/>
      <c r="B620" s="168"/>
      <c r="C620" s="185"/>
      <c r="D620" s="185"/>
    </row>
    <row r="621" spans="1:4" ht="12.75" customHeight="1">
      <c r="A621" s="166"/>
      <c r="B621" s="168"/>
      <c r="C621" s="185"/>
      <c r="D621" s="185"/>
    </row>
    <row r="622" spans="1:4" ht="12.75" customHeight="1">
      <c r="A622" s="166"/>
      <c r="B622" s="168"/>
      <c r="C622" s="185"/>
      <c r="D622" s="185"/>
    </row>
    <row r="623" spans="1:4" ht="12.75" customHeight="1">
      <c r="A623" s="166"/>
      <c r="B623" s="168"/>
      <c r="C623" s="185"/>
      <c r="D623" s="185"/>
    </row>
    <row r="624" spans="1:4" ht="12.75" customHeight="1">
      <c r="A624" s="166"/>
      <c r="B624" s="168"/>
      <c r="C624" s="185"/>
      <c r="D624" s="185"/>
    </row>
    <row r="625" spans="1:4" ht="12.75" customHeight="1">
      <c r="A625" s="166"/>
      <c r="B625" s="168"/>
      <c r="C625" s="185"/>
      <c r="D625" s="185"/>
    </row>
    <row r="626" spans="1:4" ht="12.75" customHeight="1">
      <c r="A626" s="166"/>
      <c r="B626" s="168"/>
      <c r="C626" s="185"/>
      <c r="D626" s="185"/>
    </row>
    <row r="627" spans="1:4" ht="12.75" customHeight="1">
      <c r="A627" s="166"/>
      <c r="B627" s="168"/>
      <c r="C627" s="185"/>
      <c r="D627" s="185"/>
    </row>
    <row r="628" spans="1:4" ht="12.75" customHeight="1">
      <c r="A628" s="166"/>
      <c r="B628" s="168"/>
      <c r="C628" s="166"/>
      <c r="D628" s="166"/>
    </row>
    <row r="629" spans="1:4" ht="12.75" customHeight="1">
      <c r="A629" s="166"/>
      <c r="B629" s="168"/>
      <c r="C629" s="166"/>
      <c r="D629" s="166"/>
    </row>
    <row r="630" spans="1:4" ht="12.75" customHeight="1">
      <c r="A630" s="166"/>
      <c r="B630" s="168"/>
      <c r="C630" s="166"/>
      <c r="D630" s="166"/>
    </row>
    <row r="631" spans="1:4" ht="12.75" customHeight="1">
      <c r="A631" s="166"/>
      <c r="B631" s="168"/>
      <c r="C631" s="185"/>
      <c r="D631" s="185"/>
    </row>
    <row r="632" spans="1:4" ht="12.75" customHeight="1">
      <c r="A632" s="166"/>
      <c r="B632" s="349"/>
      <c r="C632" s="185"/>
      <c r="D632" s="185"/>
    </row>
    <row r="633" spans="1:4" ht="12.75" customHeight="1">
      <c r="A633" s="166"/>
      <c r="B633" s="349"/>
      <c r="C633" s="185"/>
      <c r="D633" s="185"/>
    </row>
    <row r="634" spans="1:4" ht="12.75" customHeight="1">
      <c r="A634" s="166"/>
      <c r="B634" s="349"/>
      <c r="C634" s="185"/>
      <c r="D634" s="185"/>
    </row>
    <row r="635" spans="1:4" ht="12.75" customHeight="1">
      <c r="A635" s="166"/>
      <c r="B635" s="168"/>
      <c r="C635" s="185"/>
      <c r="D635" s="185"/>
    </row>
    <row r="636" spans="1:4" ht="12.75" customHeight="1">
      <c r="A636" s="166"/>
      <c r="B636" s="168"/>
      <c r="C636" s="185"/>
      <c r="D636" s="185"/>
    </row>
    <row r="637" spans="1:4" ht="12.75" customHeight="1">
      <c r="A637" s="166"/>
      <c r="B637" s="168"/>
      <c r="C637" s="185"/>
      <c r="D637" s="185"/>
    </row>
    <row r="638" spans="1:4" ht="12.75" customHeight="1">
      <c r="A638" s="166"/>
      <c r="B638" s="168"/>
      <c r="C638" s="185"/>
      <c r="D638" s="185"/>
    </row>
    <row r="639" spans="1:4" ht="12.75" customHeight="1">
      <c r="A639" s="166"/>
      <c r="B639" s="168"/>
      <c r="C639" s="166"/>
      <c r="D639" s="166"/>
    </row>
    <row r="640" spans="1:4" ht="12.75" customHeight="1">
      <c r="A640" s="166"/>
      <c r="B640" s="168"/>
      <c r="C640" s="166"/>
      <c r="D640" s="166"/>
    </row>
    <row r="641" spans="1:4" ht="12.75" customHeight="1">
      <c r="A641" s="166"/>
      <c r="B641" s="168"/>
      <c r="C641" s="166"/>
      <c r="D641" s="166"/>
    </row>
    <row r="642" spans="1:4" ht="12.75" customHeight="1">
      <c r="A642" s="185"/>
      <c r="B642" s="168"/>
      <c r="C642" s="166"/>
      <c r="D642" s="166"/>
    </row>
    <row r="643" spans="1:4" ht="12.75" customHeight="1">
      <c r="A643" s="166"/>
      <c r="B643" s="168"/>
      <c r="C643" s="166"/>
      <c r="D643" s="166"/>
    </row>
    <row r="644" spans="1:4" ht="12.75" customHeight="1">
      <c r="A644" s="166"/>
      <c r="B644" s="168"/>
      <c r="C644" s="189"/>
      <c r="D644" s="189"/>
    </row>
    <row r="645" spans="1:4" ht="12.75" customHeight="1">
      <c r="A645" s="166"/>
      <c r="B645" s="168"/>
      <c r="C645" s="185"/>
      <c r="D645" s="185"/>
    </row>
    <row r="646" spans="1:4" ht="12.75" customHeight="1">
      <c r="A646" s="185"/>
      <c r="B646" s="168"/>
      <c r="C646" s="166"/>
      <c r="D646" s="166"/>
    </row>
    <row r="647" spans="1:4" ht="12.75" customHeight="1">
      <c r="A647" s="185"/>
      <c r="B647" s="168"/>
      <c r="C647" s="166"/>
      <c r="D647" s="166"/>
    </row>
    <row r="648" spans="1:4" ht="12.75" customHeight="1">
      <c r="A648" s="185"/>
      <c r="B648" s="168"/>
      <c r="C648" s="166"/>
      <c r="D648" s="166"/>
    </row>
    <row r="649" spans="1:4" ht="12.75" customHeight="1">
      <c r="A649" s="185"/>
      <c r="B649" s="168"/>
      <c r="C649" s="166"/>
      <c r="D649" s="166"/>
    </row>
    <row r="650" spans="1:4" ht="12.75" customHeight="1">
      <c r="A650" s="185"/>
      <c r="B650" s="168"/>
      <c r="C650" s="166"/>
      <c r="D650" s="166"/>
    </row>
    <row r="651" spans="1:4" ht="12.75" customHeight="1">
      <c r="A651" s="166"/>
      <c r="B651" s="168"/>
      <c r="C651" s="185"/>
      <c r="D651" s="185"/>
    </row>
    <row r="652" spans="1:4" ht="12.75" customHeight="1">
      <c r="A652" s="166"/>
      <c r="B652" s="168"/>
      <c r="C652" s="185"/>
      <c r="D652" s="185"/>
    </row>
    <row r="653" spans="1:4" ht="12.75" customHeight="1">
      <c r="A653" s="166"/>
      <c r="B653" s="168"/>
      <c r="C653" s="185"/>
      <c r="D653" s="185"/>
    </row>
    <row r="654" spans="1:4" ht="12.75" customHeight="1">
      <c r="A654" s="166"/>
      <c r="B654" s="168"/>
      <c r="C654" s="185"/>
      <c r="D654" s="185"/>
    </row>
    <row r="655" spans="1:4" ht="12.75" customHeight="1">
      <c r="A655" s="166"/>
      <c r="B655" s="168"/>
      <c r="C655" s="166"/>
      <c r="D655" s="166"/>
    </row>
    <row r="656" spans="1:4" ht="12.75" customHeight="1">
      <c r="A656" s="166"/>
      <c r="B656" s="168"/>
      <c r="C656" s="166"/>
      <c r="D656" s="166"/>
    </row>
    <row r="657" spans="1:4" ht="12.75" customHeight="1">
      <c r="A657" s="166"/>
      <c r="B657" s="168"/>
      <c r="C657" s="166"/>
      <c r="D657" s="166"/>
    </row>
    <row r="658" spans="1:4" ht="12.75" customHeight="1">
      <c r="A658" s="185"/>
      <c r="B658" s="168"/>
      <c r="C658" s="166"/>
      <c r="D658" s="166"/>
    </row>
    <row r="659" spans="1:4" ht="12.75" customHeight="1">
      <c r="A659" s="185"/>
      <c r="B659" s="168"/>
      <c r="C659" s="166"/>
      <c r="D659" s="166"/>
    </row>
    <row r="660" spans="1:4" ht="12.75" customHeight="1">
      <c r="A660" s="166"/>
      <c r="B660" s="168"/>
      <c r="C660" s="185"/>
      <c r="D660" s="185"/>
    </row>
    <row r="661" spans="1:4" ht="12.75" customHeight="1">
      <c r="A661" s="166"/>
      <c r="B661" s="168"/>
      <c r="C661" s="185"/>
      <c r="D661" s="185"/>
    </row>
    <row r="662" spans="1:4" ht="12.75" customHeight="1">
      <c r="A662" s="166"/>
      <c r="B662" s="168"/>
      <c r="C662" s="185"/>
      <c r="D662" s="185"/>
    </row>
    <row r="663" spans="1:4" ht="12.75" customHeight="1">
      <c r="A663" s="166"/>
      <c r="B663" s="168"/>
      <c r="C663" s="185"/>
      <c r="D663" s="185"/>
    </row>
    <row r="664" spans="1:4" ht="12.75" customHeight="1">
      <c r="A664" s="185"/>
      <c r="B664" s="168"/>
      <c r="C664" s="166"/>
      <c r="D664" s="166"/>
    </row>
    <row r="665" spans="1:4" ht="12.75" customHeight="1">
      <c r="A665" s="166"/>
      <c r="B665" s="168"/>
      <c r="C665" s="166"/>
      <c r="D665" s="166"/>
    </row>
    <row r="666" spans="1:4" ht="12.75" customHeight="1">
      <c r="A666" s="166"/>
      <c r="B666" s="168"/>
      <c r="C666" s="166"/>
      <c r="D666" s="166"/>
    </row>
    <row r="667" spans="1:4" ht="12.75" customHeight="1">
      <c r="A667" s="166"/>
      <c r="B667" s="168"/>
      <c r="C667" s="166"/>
      <c r="D667" s="166"/>
    </row>
    <row r="668" spans="1:4" ht="12.75" customHeight="1">
      <c r="A668" s="166"/>
      <c r="B668" s="168"/>
      <c r="C668" s="189"/>
      <c r="D668" s="189"/>
    </row>
    <row r="669" spans="1:4" ht="12.75" customHeight="1">
      <c r="A669" s="166"/>
      <c r="B669" s="168"/>
      <c r="C669" s="185"/>
      <c r="D669" s="185"/>
    </row>
    <row r="670" spans="1:4" ht="12.75" customHeight="1">
      <c r="A670" s="185"/>
      <c r="B670" s="168"/>
      <c r="C670" s="166"/>
      <c r="D670" s="166"/>
    </row>
    <row r="671" spans="1:4" ht="12.75" customHeight="1">
      <c r="A671" s="185"/>
      <c r="B671" s="168"/>
      <c r="C671" s="166"/>
      <c r="D671" s="166"/>
    </row>
    <row r="672" spans="1:4" ht="12.75" customHeight="1">
      <c r="A672" s="166"/>
      <c r="B672" s="168"/>
      <c r="C672" s="185"/>
      <c r="D672" s="185"/>
    </row>
    <row r="673" spans="1:4" ht="12.75" customHeight="1">
      <c r="A673" s="166"/>
      <c r="B673" s="168"/>
      <c r="C673" s="185"/>
      <c r="D673" s="185"/>
    </row>
    <row r="674" spans="1:4" ht="12.75" customHeight="1">
      <c r="A674" s="166"/>
      <c r="B674" s="168"/>
      <c r="C674" s="185"/>
      <c r="D674" s="185"/>
    </row>
    <row r="675" spans="1:4" ht="12.75" customHeight="1">
      <c r="A675" s="166"/>
      <c r="B675" s="168"/>
      <c r="C675" s="185"/>
      <c r="D675" s="185"/>
    </row>
    <row r="676" spans="1:4" ht="12.75" customHeight="1">
      <c r="A676" s="166"/>
      <c r="B676" s="168"/>
      <c r="C676" s="185"/>
      <c r="D676" s="185"/>
    </row>
    <row r="677" spans="1:4" ht="12.75" customHeight="1">
      <c r="A677" s="166"/>
      <c r="B677" s="168"/>
      <c r="C677" s="166"/>
      <c r="D677" s="166"/>
    </row>
    <row r="678" spans="1:4" ht="12.75" customHeight="1">
      <c r="A678" s="166"/>
      <c r="B678" s="168"/>
      <c r="C678" s="166"/>
      <c r="D678" s="166"/>
    </row>
    <row r="679" spans="1:4" ht="12.75" customHeight="1">
      <c r="A679" s="166"/>
      <c r="B679" s="168"/>
      <c r="C679" s="185"/>
      <c r="D679" s="185"/>
    </row>
    <row r="680" spans="1:4" ht="12.75" customHeight="1">
      <c r="A680" s="166"/>
      <c r="B680" s="168"/>
      <c r="C680" s="166"/>
      <c r="D680" s="166"/>
    </row>
    <row r="681" spans="1:4" ht="12.75" customHeight="1">
      <c r="A681" s="166"/>
      <c r="B681" s="168"/>
      <c r="C681" s="185"/>
      <c r="D681" s="185"/>
    </row>
    <row r="682" spans="1:4" ht="12.75" customHeight="1">
      <c r="A682" s="166"/>
      <c r="B682" s="168"/>
      <c r="C682" s="185"/>
      <c r="D682" s="185"/>
    </row>
    <row r="683" spans="1:4" ht="12.75" customHeight="1">
      <c r="A683" s="166"/>
      <c r="B683" s="168"/>
      <c r="C683" s="166"/>
      <c r="D683" s="166"/>
    </row>
    <row r="684" spans="1:4" ht="12.75" customHeight="1">
      <c r="A684" s="166"/>
      <c r="B684" s="168"/>
      <c r="C684" s="185"/>
      <c r="D684" s="185"/>
    </row>
    <row r="685" spans="1:4" ht="12.75" customHeight="1">
      <c r="A685" s="166"/>
      <c r="B685" s="168"/>
      <c r="C685" s="166"/>
      <c r="D685" s="166"/>
    </row>
    <row r="686" spans="1:4" ht="12.75" customHeight="1">
      <c r="A686" s="166"/>
      <c r="B686" s="168"/>
      <c r="C686" s="185"/>
      <c r="D686" s="185"/>
    </row>
    <row r="687" spans="1:4" ht="12.75" customHeight="1">
      <c r="A687" s="166"/>
      <c r="B687" s="168"/>
      <c r="C687" s="185"/>
      <c r="D687" s="185"/>
    </row>
    <row r="688" spans="1:4" ht="12.75" customHeight="1">
      <c r="A688" s="166"/>
      <c r="B688" s="168"/>
      <c r="C688" s="185"/>
      <c r="D688" s="185"/>
    </row>
    <row r="689" spans="1:4" ht="12.75" customHeight="1">
      <c r="A689" s="166"/>
      <c r="B689" s="168"/>
      <c r="C689" s="185"/>
      <c r="D689" s="185"/>
    </row>
    <row r="690" spans="1:4" ht="12.75" customHeight="1">
      <c r="A690" s="166"/>
      <c r="B690" s="168"/>
      <c r="C690" s="185"/>
      <c r="D690" s="185"/>
    </row>
    <row r="691" spans="1:4" ht="12.75" customHeight="1">
      <c r="A691" s="166"/>
      <c r="B691" s="168"/>
      <c r="C691" s="185"/>
      <c r="D691" s="185"/>
    </row>
    <row r="692" spans="1:4" ht="12.75" customHeight="1">
      <c r="A692" s="166"/>
      <c r="B692" s="168"/>
      <c r="C692" s="185"/>
      <c r="D692" s="185"/>
    </row>
    <row r="693" spans="1:4" ht="12.75" customHeight="1">
      <c r="A693" s="166"/>
      <c r="B693" s="168"/>
      <c r="C693" s="185"/>
      <c r="D693" s="185"/>
    </row>
    <row r="694" spans="1:4" ht="12.75" customHeight="1">
      <c r="A694" s="166"/>
      <c r="B694" s="168"/>
      <c r="C694" s="185"/>
      <c r="D694" s="185"/>
    </row>
    <row r="695" spans="1:4" ht="12.75" customHeight="1">
      <c r="A695" s="166"/>
      <c r="B695" s="168"/>
      <c r="C695" s="185"/>
      <c r="D695" s="185"/>
    </row>
    <row r="696" spans="1:4" ht="12.75" customHeight="1">
      <c r="A696" s="166"/>
      <c r="B696" s="168"/>
      <c r="C696" s="185"/>
      <c r="D696" s="185"/>
    </row>
    <row r="697" spans="1:4" ht="12.75" customHeight="1">
      <c r="A697" s="166"/>
      <c r="B697" s="168"/>
      <c r="C697" s="185"/>
      <c r="D697" s="185"/>
    </row>
    <row r="698" spans="1:4" ht="12.75" customHeight="1">
      <c r="A698" s="166"/>
      <c r="B698" s="168"/>
      <c r="C698" s="185"/>
      <c r="D698" s="185"/>
    </row>
    <row r="699" spans="1:4" ht="12.75" customHeight="1">
      <c r="A699" s="166"/>
      <c r="B699" s="168"/>
      <c r="C699" s="185"/>
      <c r="D699" s="185"/>
    </row>
    <row r="700" spans="1:4" ht="12.75" customHeight="1">
      <c r="A700" s="166"/>
      <c r="B700" s="168"/>
      <c r="C700" s="185"/>
      <c r="D700" s="185"/>
    </row>
    <row r="701" spans="1:4" ht="12.75" customHeight="1">
      <c r="A701" s="166"/>
      <c r="B701" s="168"/>
      <c r="C701" s="185"/>
      <c r="D701" s="185"/>
    </row>
    <row r="702" spans="1:4" ht="12.75" customHeight="1">
      <c r="A702" s="166"/>
      <c r="B702" s="168"/>
      <c r="C702" s="185"/>
      <c r="D702" s="185"/>
    </row>
    <row r="703" spans="1:4" ht="12.75" customHeight="1">
      <c r="A703" s="166"/>
      <c r="B703" s="168"/>
      <c r="C703" s="185"/>
      <c r="D703" s="185"/>
    </row>
    <row r="704" spans="1:4" ht="12.75" customHeight="1">
      <c r="A704" s="166"/>
      <c r="B704" s="168"/>
      <c r="C704" s="185"/>
      <c r="D704" s="185"/>
    </row>
    <row r="705" spans="1:4" ht="12.75" customHeight="1">
      <c r="A705" s="166"/>
      <c r="B705" s="168"/>
      <c r="C705" s="185"/>
      <c r="D705" s="185"/>
    </row>
    <row r="706" spans="1:4" ht="12.75" customHeight="1">
      <c r="A706" s="166"/>
      <c r="B706" s="168"/>
      <c r="C706" s="185"/>
      <c r="D706" s="185"/>
    </row>
    <row r="707" spans="1:4" ht="12.75" customHeight="1">
      <c r="A707" s="166"/>
      <c r="B707" s="168"/>
      <c r="C707" s="185"/>
      <c r="D707" s="185"/>
    </row>
    <row r="708" spans="1:4" ht="12.75" customHeight="1">
      <c r="A708" s="166"/>
      <c r="B708" s="168"/>
      <c r="C708" s="185"/>
      <c r="D708" s="185"/>
    </row>
    <row r="709" spans="1:4" ht="12.75" customHeight="1">
      <c r="A709" s="166"/>
      <c r="B709" s="168"/>
      <c r="C709" s="185"/>
      <c r="D709" s="185"/>
    </row>
    <row r="710" spans="1:4" ht="12.75" customHeight="1">
      <c r="A710" s="166"/>
      <c r="B710" s="168"/>
      <c r="C710" s="185"/>
      <c r="D710" s="185"/>
    </row>
    <row r="711" spans="1:4" ht="12.75" customHeight="1">
      <c r="A711" s="166"/>
      <c r="B711" s="168"/>
      <c r="C711" s="185"/>
      <c r="D711" s="185"/>
    </row>
    <row r="712" spans="1:4" ht="12.75" customHeight="1">
      <c r="A712" s="166"/>
      <c r="B712" s="168"/>
      <c r="C712" s="185"/>
      <c r="D712" s="185"/>
    </row>
    <row r="713" spans="1:4" ht="12.75" customHeight="1">
      <c r="A713" s="166"/>
      <c r="B713" s="168"/>
      <c r="C713" s="166"/>
      <c r="D713" s="166"/>
    </row>
    <row r="714" spans="1:4" ht="12.75" customHeight="1">
      <c r="A714" s="166"/>
      <c r="B714" s="168"/>
      <c r="C714" s="166"/>
      <c r="D714" s="166"/>
    </row>
    <row r="715" spans="1:4" ht="12.75" customHeight="1">
      <c r="A715" s="166"/>
      <c r="B715" s="168"/>
      <c r="C715" s="185"/>
      <c r="D715" s="185"/>
    </row>
    <row r="716" spans="1:4" ht="12.75" customHeight="1">
      <c r="A716" s="166"/>
      <c r="B716" s="168"/>
      <c r="C716" s="166"/>
      <c r="D716" s="166"/>
    </row>
    <row r="717" spans="1:4" ht="12.75" customHeight="1">
      <c r="A717" s="166"/>
      <c r="B717" s="168"/>
      <c r="C717" s="185"/>
      <c r="D717" s="185"/>
    </row>
    <row r="718" spans="1:4" ht="12.75" customHeight="1">
      <c r="A718" s="166"/>
      <c r="B718" s="168"/>
      <c r="C718" s="166"/>
      <c r="D718" s="166"/>
    </row>
    <row r="719" spans="1:4" ht="12.75" customHeight="1">
      <c r="A719" s="166"/>
      <c r="B719" s="168"/>
      <c r="C719" s="185"/>
      <c r="D719" s="185"/>
    </row>
    <row r="720" spans="1:4" ht="12.75" customHeight="1">
      <c r="A720" s="166"/>
      <c r="B720" s="168"/>
      <c r="C720" s="185"/>
      <c r="D720" s="185"/>
    </row>
    <row r="721" spans="1:4" ht="12.75" customHeight="1">
      <c r="A721" s="166"/>
      <c r="B721" s="168"/>
      <c r="C721" s="185"/>
      <c r="D721" s="185"/>
    </row>
    <row r="722" spans="1:4" ht="12.75" customHeight="1">
      <c r="A722" s="166"/>
      <c r="B722" s="168"/>
      <c r="C722" s="185"/>
      <c r="D722" s="185"/>
    </row>
    <row r="723" spans="1:4" ht="12.75" customHeight="1">
      <c r="A723" s="166"/>
      <c r="B723" s="168"/>
      <c r="C723" s="166"/>
      <c r="D723" s="166"/>
    </row>
    <row r="724" spans="1:4" ht="12.75" customHeight="1">
      <c r="A724" s="166"/>
      <c r="B724" s="168"/>
      <c r="C724" s="166"/>
      <c r="D724" s="166"/>
    </row>
    <row r="725" spans="1:4" ht="12.75" customHeight="1">
      <c r="A725" s="166"/>
      <c r="B725" s="168"/>
      <c r="C725" s="166"/>
      <c r="D725" s="166"/>
    </row>
    <row r="726" spans="1:4" ht="12.75" customHeight="1">
      <c r="A726" s="166"/>
      <c r="B726" s="168"/>
      <c r="C726" s="166"/>
      <c r="D726" s="166"/>
    </row>
    <row r="727" spans="1:4" ht="12.75" customHeight="1">
      <c r="A727" s="166"/>
      <c r="B727" s="168"/>
      <c r="C727" s="185"/>
      <c r="D727" s="185"/>
    </row>
    <row r="728" spans="1:4" ht="12.75" customHeight="1">
      <c r="A728" s="166"/>
      <c r="B728" s="168"/>
      <c r="C728" s="185"/>
      <c r="D728" s="185"/>
    </row>
    <row r="729" spans="1:4" ht="12.75" customHeight="1">
      <c r="A729" s="166"/>
      <c r="B729" s="168"/>
      <c r="C729" s="185"/>
      <c r="D729" s="185"/>
    </row>
    <row r="730" spans="1:4" ht="12.75" customHeight="1">
      <c r="A730" s="166"/>
      <c r="B730" s="168"/>
      <c r="C730" s="185"/>
      <c r="D730" s="185"/>
    </row>
    <row r="731" spans="1:4" ht="12.75" customHeight="1">
      <c r="A731" s="166"/>
      <c r="B731" s="168"/>
      <c r="C731" s="185"/>
      <c r="D731" s="185"/>
    </row>
    <row r="732" spans="1:4" ht="12.75" customHeight="1">
      <c r="A732" s="166"/>
      <c r="B732" s="168"/>
      <c r="C732" s="185"/>
      <c r="D732" s="185"/>
    </row>
    <row r="733" spans="1:4" ht="12.75" customHeight="1">
      <c r="A733" s="166"/>
      <c r="B733" s="168"/>
      <c r="C733" s="185"/>
      <c r="D733" s="185"/>
    </row>
    <row r="734" spans="1:4" ht="12.75" customHeight="1">
      <c r="A734" s="166"/>
      <c r="B734" s="168"/>
      <c r="C734" s="185"/>
      <c r="D734" s="185"/>
    </row>
    <row r="735" spans="1:4" ht="12.75" customHeight="1">
      <c r="A735" s="166"/>
      <c r="B735" s="168"/>
      <c r="C735" s="185"/>
      <c r="D735" s="185"/>
    </row>
    <row r="736" spans="1:4" ht="12.75" customHeight="1">
      <c r="A736" s="166"/>
      <c r="B736" s="168"/>
      <c r="C736" s="185"/>
      <c r="D736" s="185"/>
    </row>
    <row r="737" spans="1:4" ht="12.75" customHeight="1">
      <c r="A737" s="166"/>
      <c r="B737" s="168"/>
      <c r="C737" s="185"/>
      <c r="D737" s="185"/>
    </row>
    <row r="738" spans="1:4" ht="12.75" customHeight="1">
      <c r="A738" s="166"/>
      <c r="B738" s="168"/>
      <c r="C738" s="185"/>
      <c r="D738" s="185"/>
    </row>
    <row r="739" spans="1:4" ht="12.75" customHeight="1">
      <c r="A739" s="166"/>
      <c r="B739" s="168"/>
      <c r="C739" s="185"/>
      <c r="D739" s="185"/>
    </row>
    <row r="740" spans="1:4" ht="12.75" customHeight="1">
      <c r="A740" s="166"/>
      <c r="B740" s="168"/>
      <c r="C740" s="185"/>
      <c r="D740" s="185"/>
    </row>
    <row r="741" spans="1:4" ht="12.75" customHeight="1">
      <c r="A741" s="166"/>
      <c r="B741" s="168"/>
      <c r="C741" s="185"/>
      <c r="D741" s="185"/>
    </row>
    <row r="742" spans="1:4" ht="12.75" customHeight="1">
      <c r="A742" s="166"/>
      <c r="B742" s="168"/>
      <c r="C742" s="166"/>
      <c r="D742" s="166"/>
    </row>
    <row r="743" spans="1:4" ht="12.75" customHeight="1">
      <c r="A743" s="166"/>
      <c r="B743" s="168"/>
      <c r="C743" s="166"/>
      <c r="D743" s="166"/>
    </row>
    <row r="744" spans="1:4" ht="12.75" customHeight="1">
      <c r="A744" s="166"/>
      <c r="B744" s="168"/>
      <c r="C744" s="185"/>
      <c r="D744" s="185"/>
    </row>
    <row r="745" spans="1:4" ht="12.75" customHeight="1">
      <c r="A745" s="166"/>
      <c r="B745" s="168"/>
      <c r="C745" s="185"/>
      <c r="D745" s="185"/>
    </row>
    <row r="746" spans="1:4" ht="12.75" customHeight="1">
      <c r="A746" s="166"/>
      <c r="B746" s="168"/>
      <c r="C746" s="166"/>
      <c r="D746" s="166"/>
    </row>
    <row r="747" spans="1:4" ht="12.75" customHeight="1">
      <c r="A747" s="166"/>
      <c r="B747" s="168"/>
      <c r="C747" s="185"/>
      <c r="D747" s="185"/>
    </row>
    <row r="748" spans="1:4" ht="12.75" customHeight="1">
      <c r="A748" s="166"/>
      <c r="B748" s="168"/>
      <c r="C748" s="185"/>
      <c r="D748" s="185"/>
    </row>
    <row r="749" spans="1:4" ht="12.75" customHeight="1">
      <c r="A749" s="166"/>
      <c r="B749" s="168"/>
      <c r="C749" s="185"/>
      <c r="D749" s="185"/>
    </row>
    <row r="750" spans="1:4" ht="12.75" customHeight="1">
      <c r="A750" s="166"/>
      <c r="B750" s="168"/>
      <c r="C750" s="166"/>
      <c r="D750" s="166"/>
    </row>
    <row r="751" spans="1:4" ht="12.75" customHeight="1">
      <c r="A751" s="185"/>
      <c r="B751" s="168"/>
      <c r="C751" s="166"/>
      <c r="D751" s="166"/>
    </row>
    <row r="752" spans="1:4" ht="12.75" customHeight="1">
      <c r="A752" s="166"/>
      <c r="B752" s="168"/>
      <c r="C752" s="185"/>
      <c r="D752" s="185"/>
    </row>
    <row r="753" spans="1:4" ht="12.75" customHeight="1">
      <c r="A753" s="166"/>
      <c r="B753" s="168"/>
      <c r="C753" s="185"/>
      <c r="D753" s="185"/>
    </row>
    <row r="754" spans="1:4" ht="12.75" customHeight="1">
      <c r="A754" s="166"/>
      <c r="B754" s="168"/>
      <c r="C754" s="185"/>
      <c r="D754" s="185"/>
    </row>
    <row r="755" spans="1:4" ht="12.75" customHeight="1">
      <c r="A755" s="166"/>
      <c r="B755" s="168"/>
      <c r="C755" s="185"/>
      <c r="D755" s="185"/>
    </row>
    <row r="756" spans="1:4" ht="12.75" customHeight="1">
      <c r="A756" s="166"/>
      <c r="B756" s="168"/>
      <c r="C756" s="185"/>
      <c r="D756" s="185"/>
    </row>
    <row r="757" spans="1:4" ht="12.75" customHeight="1">
      <c r="A757" s="166"/>
      <c r="B757" s="168"/>
      <c r="C757" s="185"/>
      <c r="D757" s="185"/>
    </row>
    <row r="758" spans="1:4" ht="12.75" customHeight="1">
      <c r="A758" s="166"/>
      <c r="B758" s="168"/>
      <c r="C758" s="185"/>
      <c r="D758" s="185"/>
    </row>
    <row r="759" spans="1:4" ht="12.75" customHeight="1">
      <c r="A759" s="166"/>
      <c r="B759" s="168"/>
      <c r="C759" s="166"/>
      <c r="D759" s="166"/>
    </row>
    <row r="760" spans="1:4" ht="12.75" customHeight="1">
      <c r="A760" s="166"/>
      <c r="B760" s="168"/>
      <c r="C760" s="166"/>
      <c r="D760" s="166"/>
    </row>
    <row r="761" spans="1:4" ht="12.75" customHeight="1">
      <c r="A761" s="166"/>
      <c r="B761" s="168"/>
      <c r="C761" s="166"/>
      <c r="D761" s="166"/>
    </row>
    <row r="762" spans="1:4" ht="12.75" customHeight="1">
      <c r="A762" s="166"/>
      <c r="B762" s="168"/>
      <c r="C762" s="185"/>
      <c r="D762" s="185"/>
    </row>
    <row r="763" spans="1:4" ht="12.75" customHeight="1">
      <c r="A763" s="166"/>
      <c r="B763" s="168"/>
      <c r="C763" s="185"/>
      <c r="D763" s="185"/>
    </row>
    <row r="764" spans="1:4" ht="12.75" customHeight="1">
      <c r="A764" s="166"/>
      <c r="B764" s="168"/>
      <c r="C764" s="185"/>
      <c r="D764" s="185"/>
    </row>
    <row r="765" spans="1:4" ht="12.75" customHeight="1">
      <c r="A765" s="166"/>
      <c r="B765" s="168"/>
      <c r="C765" s="185"/>
      <c r="D765" s="185"/>
    </row>
    <row r="766" spans="1:4" ht="12.75" customHeight="1">
      <c r="A766" s="166"/>
      <c r="B766" s="168"/>
      <c r="C766" s="166"/>
      <c r="D766" s="166"/>
    </row>
    <row r="767" spans="1:4" ht="12.75" customHeight="1">
      <c r="A767" s="166"/>
      <c r="B767" s="168"/>
      <c r="C767" s="166"/>
      <c r="D767" s="166"/>
    </row>
    <row r="768" spans="1:4" ht="12.75" customHeight="1">
      <c r="A768" s="166"/>
      <c r="B768" s="168"/>
      <c r="C768" s="166"/>
      <c r="D768" s="166"/>
    </row>
    <row r="769" spans="1:4" ht="12.75" customHeight="1">
      <c r="A769" s="166"/>
      <c r="B769" s="168"/>
      <c r="C769" s="185"/>
      <c r="D769" s="185"/>
    </row>
    <row r="770" spans="1:4" ht="12.75" customHeight="1">
      <c r="A770" s="166"/>
      <c r="B770" s="168"/>
      <c r="C770" s="185"/>
      <c r="D770" s="185"/>
    </row>
    <row r="771" spans="1:4" ht="12.75" customHeight="1">
      <c r="A771" s="166"/>
      <c r="B771" s="168"/>
      <c r="C771" s="185"/>
      <c r="D771" s="185"/>
    </row>
    <row r="772" spans="1:4" ht="12.75" customHeight="1">
      <c r="A772" s="166"/>
      <c r="B772" s="168"/>
      <c r="C772" s="185"/>
      <c r="D772" s="185"/>
    </row>
    <row r="773" spans="1:4" ht="12.75" customHeight="1">
      <c r="A773" s="166"/>
      <c r="B773" s="168"/>
      <c r="C773" s="166"/>
      <c r="D773" s="166"/>
    </row>
    <row r="774" spans="1:4" ht="12.75" customHeight="1">
      <c r="A774" s="166"/>
      <c r="B774" s="168"/>
      <c r="C774" s="166"/>
      <c r="D774" s="166"/>
    </row>
    <row r="775" spans="1:4" ht="12.75" customHeight="1">
      <c r="A775" s="166"/>
      <c r="B775" s="168"/>
      <c r="C775" s="166"/>
      <c r="D775" s="166"/>
    </row>
    <row r="776" spans="1:4" ht="12.75" customHeight="1">
      <c r="A776" s="166"/>
      <c r="B776" s="168"/>
      <c r="C776" s="185"/>
      <c r="D776" s="185"/>
    </row>
    <row r="777" spans="1:4" ht="12.75" customHeight="1">
      <c r="A777" s="166"/>
      <c r="B777" s="168"/>
      <c r="C777" s="166"/>
      <c r="D777" s="166"/>
    </row>
    <row r="778" spans="1:4" ht="12.75" customHeight="1">
      <c r="A778" s="166"/>
      <c r="B778" s="168"/>
      <c r="C778" s="166"/>
      <c r="D778" s="166"/>
    </row>
    <row r="779" spans="1:4" ht="12.75" customHeight="1">
      <c r="A779" s="166"/>
      <c r="B779" s="168"/>
      <c r="C779" s="166"/>
      <c r="D779" s="166"/>
    </row>
    <row r="780" spans="1:4" ht="12.75" customHeight="1">
      <c r="A780" s="166"/>
      <c r="B780" s="168"/>
      <c r="C780" s="166"/>
      <c r="D780" s="166"/>
    </row>
    <row r="781" spans="1:4" ht="12.75" customHeight="1">
      <c r="A781" s="166"/>
      <c r="B781" s="168"/>
      <c r="C781" s="185"/>
      <c r="D781" s="185"/>
    </row>
    <row r="782" spans="1:4" ht="12.75" customHeight="1">
      <c r="A782" s="166"/>
      <c r="B782" s="168"/>
      <c r="C782" s="185"/>
      <c r="D782" s="185"/>
    </row>
    <row r="783" spans="1:4" ht="12.75" customHeight="1">
      <c r="A783" s="166"/>
      <c r="B783" s="168"/>
      <c r="C783" s="185"/>
      <c r="D783" s="185"/>
    </row>
    <row r="784" spans="1:4" ht="12.75" customHeight="1">
      <c r="A784" s="166"/>
      <c r="B784" s="168"/>
      <c r="C784" s="185"/>
      <c r="D784" s="185"/>
    </row>
    <row r="785" spans="1:10" ht="12.75" customHeight="1">
      <c r="A785" s="166"/>
      <c r="B785" s="168"/>
      <c r="C785" s="185"/>
      <c r="D785" s="185"/>
    </row>
    <row r="786" spans="1:10" ht="12.75" customHeight="1">
      <c r="A786" s="166"/>
      <c r="B786" s="168"/>
      <c r="C786" s="185"/>
      <c r="D786" s="185"/>
    </row>
    <row r="787" spans="1:10" ht="12.75" customHeight="1">
      <c r="A787" s="166"/>
      <c r="B787" s="168"/>
      <c r="C787" s="185"/>
      <c r="D787" s="185"/>
    </row>
    <row r="788" spans="1:10" ht="12.75" customHeight="1">
      <c r="A788" s="166"/>
      <c r="B788" s="168"/>
      <c r="C788" s="166"/>
      <c r="D788" s="166"/>
    </row>
    <row r="789" spans="1:10" ht="12.75" customHeight="1">
      <c r="A789" s="166"/>
      <c r="B789" s="168"/>
      <c r="C789" s="166"/>
      <c r="D789" s="166"/>
    </row>
    <row r="790" spans="1:10" ht="12.75" customHeight="1">
      <c r="A790" s="166"/>
      <c r="B790" s="168"/>
      <c r="C790" s="166"/>
      <c r="D790" s="166"/>
    </row>
    <row r="791" spans="1:10" ht="12.75" customHeight="1">
      <c r="A791" s="166"/>
      <c r="B791" s="168"/>
      <c r="C791" s="185"/>
      <c r="D791" s="185"/>
    </row>
    <row r="792" spans="1:10" ht="12.75" customHeight="1">
      <c r="A792" s="166"/>
      <c r="B792" s="168"/>
      <c r="C792" s="185"/>
      <c r="D792" s="185"/>
    </row>
    <row r="793" spans="1:10" ht="12.75" customHeight="1">
      <c r="A793" s="166"/>
      <c r="B793" s="168"/>
      <c r="C793" s="185"/>
      <c r="D793" s="185"/>
    </row>
    <row r="794" spans="1:10" ht="12.75" customHeight="1">
      <c r="A794" s="166"/>
      <c r="B794" s="168"/>
      <c r="C794" s="185"/>
      <c r="D794" s="185"/>
    </row>
    <row r="795" spans="1:10" ht="12.75" customHeight="1">
      <c r="A795" s="166"/>
      <c r="B795" s="168"/>
      <c r="C795" s="166"/>
      <c r="D795" s="166"/>
    </row>
    <row r="796" spans="1:10" ht="12.75" customHeight="1">
      <c r="A796" s="166"/>
      <c r="B796" s="168"/>
      <c r="C796" s="185"/>
      <c r="D796" s="185"/>
      <c r="E796" s="350"/>
      <c r="F796" s="350"/>
      <c r="G796" s="350"/>
      <c r="H796" s="350"/>
      <c r="I796" s="350"/>
      <c r="J796" s="350"/>
    </row>
    <row r="797" spans="1:10" ht="12.75" customHeight="1">
      <c r="A797" s="166"/>
      <c r="B797" s="168"/>
      <c r="C797" s="185"/>
      <c r="D797" s="185"/>
      <c r="E797" s="249"/>
      <c r="F797" s="249"/>
      <c r="G797" s="249"/>
      <c r="H797" s="249"/>
      <c r="I797" s="249"/>
      <c r="J797" s="249"/>
    </row>
    <row r="798" spans="1:10" ht="12.75" customHeight="1">
      <c r="A798" s="166"/>
      <c r="B798" s="168"/>
      <c r="C798" s="185"/>
      <c r="D798" s="185"/>
      <c r="E798" s="351"/>
      <c r="F798" s="351"/>
      <c r="G798" s="351"/>
      <c r="H798" s="351"/>
      <c r="I798" s="351"/>
      <c r="J798" s="351"/>
    </row>
    <row r="799" spans="1:10" ht="12.75" customHeight="1">
      <c r="A799" s="166"/>
      <c r="B799" s="168"/>
      <c r="C799" s="185"/>
      <c r="D799" s="185"/>
      <c r="E799" s="350"/>
      <c r="F799" s="350"/>
      <c r="G799" s="350"/>
      <c r="H799" s="350"/>
      <c r="I799" s="350"/>
      <c r="J799" s="350"/>
    </row>
    <row r="800" spans="1:10" ht="12.75" customHeight="1">
      <c r="A800" s="166"/>
      <c r="B800" s="168"/>
      <c r="C800" s="185"/>
      <c r="D800" s="185"/>
      <c r="E800" s="350"/>
      <c r="F800" s="350"/>
      <c r="G800" s="350"/>
      <c r="H800" s="350"/>
      <c r="I800" s="350"/>
      <c r="J800" s="350"/>
    </row>
    <row r="801" spans="1:10" ht="12.75" customHeight="1">
      <c r="A801" s="166"/>
      <c r="B801" s="168"/>
      <c r="C801" s="166"/>
      <c r="D801" s="166"/>
      <c r="E801" s="352"/>
      <c r="F801" s="352"/>
    </row>
    <row r="802" spans="1:10" ht="12.75" customHeight="1">
      <c r="A802" s="166"/>
      <c r="B802" s="168"/>
      <c r="C802" s="166"/>
      <c r="D802" s="166"/>
      <c r="E802" s="350"/>
      <c r="F802" s="350"/>
      <c r="G802" s="350"/>
      <c r="H802" s="350"/>
      <c r="I802" s="350"/>
      <c r="J802" s="350"/>
    </row>
    <row r="803" spans="1:10" ht="12.75" customHeight="1">
      <c r="A803" s="166"/>
      <c r="B803" s="168"/>
      <c r="C803" s="185"/>
      <c r="D803" s="185"/>
      <c r="E803" s="249"/>
      <c r="F803" s="249"/>
      <c r="G803" s="249"/>
      <c r="H803" s="249"/>
      <c r="I803" s="249"/>
      <c r="J803" s="249"/>
    </row>
    <row r="804" spans="1:10" ht="12.75" customHeight="1">
      <c r="A804" s="166"/>
      <c r="B804" s="168"/>
      <c r="C804" s="185"/>
      <c r="D804" s="185"/>
      <c r="E804" s="350"/>
      <c r="F804" s="350"/>
      <c r="G804" s="350"/>
      <c r="H804" s="350"/>
      <c r="I804" s="350"/>
      <c r="J804" s="350"/>
    </row>
    <row r="805" spans="1:10" ht="12.75" customHeight="1">
      <c r="A805" s="166"/>
      <c r="B805" s="168"/>
      <c r="C805" s="166"/>
      <c r="D805" s="166"/>
      <c r="E805" s="352"/>
      <c r="F805" s="352"/>
    </row>
    <row r="806" spans="1:10" ht="12.75" customHeight="1">
      <c r="A806" s="166"/>
      <c r="B806" s="168"/>
      <c r="C806" s="185"/>
      <c r="D806" s="185"/>
      <c r="E806" s="350"/>
      <c r="F806" s="350"/>
      <c r="G806" s="350"/>
      <c r="H806" s="350"/>
      <c r="I806" s="350"/>
      <c r="J806" s="350"/>
    </row>
    <row r="807" spans="1:10" ht="12.75" customHeight="1">
      <c r="A807" s="166"/>
      <c r="B807" s="168"/>
      <c r="C807" s="166"/>
      <c r="D807" s="166"/>
      <c r="E807" s="352"/>
      <c r="F807" s="352"/>
    </row>
    <row r="808" spans="1:10" ht="12.75" customHeight="1">
      <c r="A808" s="166"/>
      <c r="B808" s="168"/>
      <c r="C808" s="185"/>
      <c r="D808" s="185"/>
      <c r="E808" s="249"/>
      <c r="F808" s="249"/>
    </row>
    <row r="809" spans="1:10" ht="12.75" customHeight="1">
      <c r="A809" s="166"/>
      <c r="B809" s="168"/>
      <c r="C809" s="185"/>
      <c r="D809" s="185"/>
      <c r="E809" s="350"/>
      <c r="F809" s="350"/>
      <c r="G809" s="350"/>
      <c r="H809" s="350"/>
      <c r="I809" s="350"/>
      <c r="J809" s="350"/>
    </row>
    <row r="810" spans="1:10" ht="12.75" customHeight="1">
      <c r="A810" s="166"/>
      <c r="B810" s="168"/>
      <c r="C810" s="185"/>
      <c r="D810" s="185"/>
      <c r="E810" s="350"/>
      <c r="F810" s="350"/>
    </row>
    <row r="811" spans="1:10" ht="12.75" customHeight="1">
      <c r="A811" s="166"/>
      <c r="B811" s="168"/>
      <c r="C811" s="185"/>
      <c r="D811" s="185"/>
      <c r="E811" s="350"/>
      <c r="F811" s="350"/>
      <c r="G811" s="350"/>
      <c r="H811" s="350"/>
      <c r="I811" s="350"/>
      <c r="J811" s="350"/>
    </row>
    <row r="812" spans="1:10" ht="12.75" customHeight="1">
      <c r="A812" s="166"/>
      <c r="B812" s="168"/>
      <c r="C812" s="185"/>
      <c r="D812" s="185"/>
      <c r="E812" s="350"/>
      <c r="F812" s="350"/>
      <c r="G812" s="350"/>
      <c r="H812" s="350"/>
      <c r="I812" s="350"/>
      <c r="J812" s="350"/>
    </row>
    <row r="813" spans="1:10" ht="12.75" customHeight="1">
      <c r="A813" s="166"/>
      <c r="B813" s="168"/>
      <c r="C813" s="166"/>
      <c r="D813" s="166"/>
      <c r="E813" s="352"/>
      <c r="F813" s="352"/>
    </row>
    <row r="814" spans="1:10" ht="12.75" customHeight="1">
      <c r="A814" s="166"/>
      <c r="B814" s="168"/>
      <c r="C814" s="166"/>
      <c r="D814" s="166"/>
      <c r="E814" s="350"/>
      <c r="F814" s="350"/>
      <c r="G814" s="350"/>
      <c r="H814" s="350"/>
      <c r="I814" s="350"/>
      <c r="J814" s="350"/>
    </row>
    <row r="815" spans="1:10" ht="12.75" customHeight="1">
      <c r="A815" s="166"/>
      <c r="B815" s="168"/>
      <c r="C815" s="166"/>
      <c r="D815" s="166"/>
      <c r="E815" s="352"/>
      <c r="F815" s="352"/>
    </row>
    <row r="816" spans="1:10" ht="12.75" customHeight="1">
      <c r="A816" s="166"/>
      <c r="B816" s="168"/>
      <c r="C816" s="166"/>
      <c r="D816" s="166"/>
    </row>
    <row r="817" spans="1:4" ht="12.75" customHeight="1">
      <c r="A817" s="166"/>
      <c r="B817" s="168"/>
      <c r="C817" s="185"/>
      <c r="D817" s="185"/>
    </row>
    <row r="818" spans="1:4" ht="12.75" customHeight="1">
      <c r="A818" s="166"/>
      <c r="B818" s="168"/>
      <c r="C818" s="185"/>
      <c r="D818" s="185"/>
    </row>
    <row r="819" spans="1:4" ht="12.75" customHeight="1">
      <c r="A819" s="166"/>
      <c r="B819" s="168"/>
      <c r="C819" s="185"/>
      <c r="D819" s="185"/>
    </row>
    <row r="820" spans="1:4" ht="12.75" customHeight="1">
      <c r="A820" s="166"/>
      <c r="B820" s="168"/>
      <c r="C820" s="185"/>
      <c r="D820" s="185"/>
    </row>
    <row r="821" spans="1:4" ht="12.75" customHeight="1">
      <c r="A821" s="166"/>
      <c r="B821" s="168"/>
      <c r="C821" s="185"/>
      <c r="D821" s="185"/>
    </row>
    <row r="822" spans="1:4" ht="12.75" customHeight="1">
      <c r="A822" s="166"/>
      <c r="B822" s="168"/>
      <c r="C822" s="166"/>
      <c r="D822" s="166"/>
    </row>
    <row r="823" spans="1:4" ht="12.75" customHeight="1">
      <c r="A823" s="166"/>
      <c r="B823" s="168"/>
      <c r="C823" s="185"/>
      <c r="D823" s="185"/>
    </row>
    <row r="824" spans="1:4" ht="12.75" customHeight="1">
      <c r="A824" s="166"/>
      <c r="B824" s="168"/>
      <c r="C824" s="166"/>
      <c r="D824" s="166"/>
    </row>
    <row r="825" spans="1:4" ht="12.75" customHeight="1">
      <c r="A825" s="166"/>
      <c r="B825" s="168"/>
      <c r="C825" s="185"/>
      <c r="D825" s="185"/>
    </row>
    <row r="826" spans="1:4" ht="12.75" customHeight="1">
      <c r="A826" s="166"/>
      <c r="B826" s="168"/>
      <c r="C826" s="185"/>
      <c r="D826" s="185"/>
    </row>
    <row r="827" spans="1:4" ht="12.75" customHeight="1">
      <c r="A827" s="166"/>
      <c r="B827" s="168"/>
      <c r="C827" s="185"/>
      <c r="D827" s="185"/>
    </row>
    <row r="828" spans="1:4" ht="12.75" customHeight="1">
      <c r="A828" s="166"/>
      <c r="B828" s="168"/>
      <c r="C828" s="185"/>
      <c r="D828" s="185"/>
    </row>
    <row r="829" spans="1:4" ht="12.75" customHeight="1">
      <c r="A829" s="166"/>
      <c r="B829" s="168"/>
      <c r="C829" s="166"/>
      <c r="D829" s="166"/>
    </row>
    <row r="830" spans="1:4" ht="12.75" customHeight="1">
      <c r="A830" s="166"/>
      <c r="B830" s="168"/>
      <c r="C830" s="166"/>
      <c r="D830" s="166"/>
    </row>
    <row r="831" spans="1:4" ht="12.75" customHeight="1">
      <c r="A831" s="166"/>
      <c r="B831" s="168"/>
      <c r="C831" s="185"/>
      <c r="D831" s="185"/>
    </row>
    <row r="832" spans="1:4" ht="12.75" customHeight="1">
      <c r="A832" s="166"/>
      <c r="B832" s="168"/>
      <c r="C832" s="185"/>
      <c r="D832" s="185"/>
    </row>
    <row r="833" spans="1:4" ht="12.75" customHeight="1">
      <c r="A833" s="166"/>
      <c r="B833" s="168"/>
      <c r="C833" s="166"/>
      <c r="D833" s="166"/>
    </row>
    <row r="834" spans="1:4" ht="12.75" customHeight="1">
      <c r="A834" s="166"/>
      <c r="B834" s="168"/>
      <c r="C834" s="185"/>
      <c r="D834" s="185"/>
    </row>
    <row r="835" spans="1:4" ht="12.75" customHeight="1">
      <c r="A835" s="166"/>
      <c r="B835" s="168"/>
      <c r="C835" s="166"/>
      <c r="D835" s="166"/>
    </row>
    <row r="836" spans="1:4" ht="12.75" customHeight="1">
      <c r="A836" s="166"/>
      <c r="B836" s="168"/>
      <c r="C836" s="185"/>
      <c r="D836" s="185"/>
    </row>
    <row r="837" spans="1:4" ht="12.75" customHeight="1">
      <c r="A837" s="166"/>
      <c r="B837" s="168"/>
      <c r="C837" s="185"/>
      <c r="D837" s="185"/>
    </row>
    <row r="838" spans="1:4" ht="12.75" customHeight="1">
      <c r="A838" s="166"/>
      <c r="B838" s="168"/>
      <c r="C838" s="185"/>
      <c r="D838" s="185"/>
    </row>
    <row r="839" spans="1:4" ht="12.75" customHeight="1">
      <c r="A839" s="166"/>
      <c r="B839" s="168"/>
      <c r="C839" s="185"/>
      <c r="D839" s="185"/>
    </row>
    <row r="840" spans="1:4" ht="12.75" customHeight="1">
      <c r="A840" s="166"/>
      <c r="B840" s="168"/>
      <c r="C840" s="166"/>
      <c r="D840" s="166"/>
    </row>
    <row r="841" spans="1:4" ht="12.75" customHeight="1">
      <c r="A841" s="166"/>
      <c r="B841" s="168"/>
      <c r="C841" s="166"/>
      <c r="D841" s="166"/>
    </row>
    <row r="842" spans="1:4" ht="12.75" customHeight="1">
      <c r="A842" s="166"/>
      <c r="B842" s="168"/>
      <c r="C842" s="185"/>
      <c r="D842" s="185"/>
    </row>
    <row r="843" spans="1:4" ht="12.75" customHeight="1">
      <c r="A843" s="166"/>
      <c r="B843" s="168"/>
      <c r="C843" s="185"/>
      <c r="D843" s="185"/>
    </row>
    <row r="844" spans="1:4" ht="12.75" customHeight="1">
      <c r="A844" s="166"/>
      <c r="B844" s="168"/>
      <c r="C844" s="185"/>
      <c r="D844" s="185"/>
    </row>
    <row r="845" spans="1:4" ht="12.75" customHeight="1">
      <c r="A845" s="166"/>
      <c r="B845" s="168"/>
      <c r="C845" s="185"/>
      <c r="D845" s="185"/>
    </row>
    <row r="846" spans="1:4" ht="12.75" customHeight="1">
      <c r="A846" s="166"/>
      <c r="B846" s="168"/>
      <c r="C846" s="185"/>
      <c r="D846" s="185"/>
    </row>
    <row r="847" spans="1:4" ht="12.75" customHeight="1">
      <c r="A847" s="166"/>
      <c r="B847" s="168"/>
      <c r="C847" s="185"/>
      <c r="D847" s="185"/>
    </row>
    <row r="848" spans="1:4" ht="12.75" customHeight="1">
      <c r="A848" s="166"/>
      <c r="B848" s="168"/>
      <c r="C848" s="185"/>
      <c r="D848" s="185"/>
    </row>
    <row r="849" spans="1:4" ht="12.75" customHeight="1">
      <c r="A849" s="166"/>
      <c r="B849" s="168"/>
      <c r="C849" s="185"/>
      <c r="D849" s="185"/>
    </row>
    <row r="850" spans="1:4" ht="12.75" customHeight="1">
      <c r="A850" s="166"/>
      <c r="B850" s="168"/>
      <c r="C850" s="166"/>
      <c r="D850" s="166"/>
    </row>
    <row r="851" spans="1:4" ht="12.75" customHeight="1">
      <c r="A851" s="166"/>
      <c r="B851" s="168"/>
      <c r="C851" s="166"/>
      <c r="D851" s="166"/>
    </row>
    <row r="852" spans="1:4" ht="12.75" customHeight="1">
      <c r="A852" s="166"/>
      <c r="B852" s="168"/>
      <c r="C852" s="166"/>
      <c r="D852" s="166"/>
    </row>
    <row r="853" spans="1:4" ht="12.75" customHeight="1">
      <c r="A853" s="166"/>
      <c r="B853" s="168"/>
      <c r="C853" s="185"/>
      <c r="D853" s="185"/>
    </row>
    <row r="854" spans="1:4" ht="12.75" customHeight="1">
      <c r="A854" s="166"/>
      <c r="B854" s="168"/>
      <c r="C854" s="185"/>
      <c r="D854" s="185"/>
    </row>
    <row r="855" spans="1:4" ht="12.75" customHeight="1">
      <c r="A855" s="166"/>
      <c r="B855" s="168"/>
      <c r="C855" s="185"/>
      <c r="D855" s="185"/>
    </row>
    <row r="856" spans="1:4" ht="12.75" customHeight="1">
      <c r="A856" s="166"/>
      <c r="B856" s="168"/>
      <c r="C856" s="166"/>
      <c r="D856" s="166"/>
    </row>
    <row r="857" spans="1:4" ht="12.75" customHeight="1">
      <c r="A857" s="166"/>
      <c r="B857" s="168"/>
      <c r="C857" s="185"/>
      <c r="D857" s="185"/>
    </row>
    <row r="858" spans="1:4" ht="12.75" customHeight="1">
      <c r="A858" s="166"/>
      <c r="B858" s="168"/>
      <c r="C858" s="185"/>
      <c r="D858" s="185"/>
    </row>
    <row r="859" spans="1:4" ht="12.75" customHeight="1">
      <c r="A859" s="166"/>
      <c r="B859" s="168"/>
      <c r="C859" s="185"/>
      <c r="D859" s="185"/>
    </row>
    <row r="860" spans="1:4" ht="12.75" customHeight="1">
      <c r="A860" s="166"/>
      <c r="B860" s="168"/>
      <c r="C860" s="185"/>
      <c r="D860" s="185"/>
    </row>
    <row r="861" spans="1:4" ht="12.75" customHeight="1">
      <c r="A861" s="166"/>
      <c r="B861" s="168"/>
      <c r="C861" s="185"/>
      <c r="D861" s="185"/>
    </row>
    <row r="862" spans="1:4" ht="12.75" customHeight="1">
      <c r="A862" s="166"/>
      <c r="B862" s="168"/>
      <c r="C862" s="185"/>
      <c r="D862" s="185"/>
    </row>
    <row r="863" spans="1:4" ht="12.75" customHeight="1">
      <c r="A863" s="166"/>
      <c r="B863" s="168"/>
      <c r="C863" s="185"/>
      <c r="D863" s="185"/>
    </row>
    <row r="864" spans="1:4" ht="12.75" customHeight="1">
      <c r="A864" s="166"/>
      <c r="B864" s="168"/>
      <c r="C864" s="185"/>
      <c r="D864" s="185"/>
    </row>
    <row r="865" spans="1:4" ht="12.75" customHeight="1">
      <c r="A865" s="166"/>
      <c r="B865" s="168"/>
      <c r="C865" s="185"/>
      <c r="D865" s="185"/>
    </row>
    <row r="866" spans="1:4" ht="12.75" customHeight="1">
      <c r="A866" s="166"/>
      <c r="B866" s="168"/>
      <c r="C866" s="185"/>
      <c r="D866" s="185"/>
    </row>
    <row r="867" spans="1:4" ht="12.75" customHeight="1">
      <c r="A867" s="166"/>
      <c r="B867" s="168"/>
      <c r="C867" s="185"/>
      <c r="D867" s="185"/>
    </row>
    <row r="868" spans="1:4" ht="12.75" customHeight="1">
      <c r="A868" s="166"/>
      <c r="B868" s="168"/>
      <c r="C868" s="166"/>
      <c r="D868" s="166"/>
    </row>
    <row r="869" spans="1:4" ht="12.75" customHeight="1">
      <c r="A869" s="166"/>
      <c r="B869" s="168"/>
      <c r="C869" s="166"/>
      <c r="D869" s="166"/>
    </row>
    <row r="870" spans="1:4" ht="12.75" customHeight="1">
      <c r="A870" s="166"/>
      <c r="B870" s="168"/>
      <c r="C870" s="166"/>
      <c r="D870" s="166"/>
    </row>
    <row r="871" spans="1:4" ht="12.75" customHeight="1">
      <c r="A871" s="166"/>
      <c r="B871" s="168"/>
      <c r="C871" s="185"/>
      <c r="D871" s="185"/>
    </row>
    <row r="872" spans="1:4" ht="12.75" customHeight="1">
      <c r="A872" s="166"/>
      <c r="B872" s="168"/>
      <c r="C872" s="185"/>
      <c r="D872" s="185"/>
    </row>
    <row r="873" spans="1:4" ht="12.75" customHeight="1">
      <c r="A873" s="166"/>
      <c r="B873" s="168"/>
      <c r="C873" s="307"/>
      <c r="D873" s="307"/>
    </row>
    <row r="874" spans="1:4" ht="12.75" customHeight="1">
      <c r="A874" s="166"/>
      <c r="B874" s="168"/>
      <c r="C874" s="185"/>
      <c r="D874" s="185"/>
    </row>
    <row r="875" spans="1:4" ht="12.75" customHeight="1">
      <c r="A875" s="166"/>
      <c r="B875" s="168"/>
      <c r="C875" s="185"/>
      <c r="D875" s="185"/>
    </row>
    <row r="876" spans="1:4" ht="12.75" customHeight="1">
      <c r="A876" s="166"/>
      <c r="B876" s="168"/>
      <c r="C876" s="185"/>
      <c r="D876" s="185"/>
    </row>
    <row r="877" spans="1:4" ht="12.75" customHeight="1">
      <c r="A877" s="166"/>
      <c r="B877" s="168"/>
      <c r="C877" s="185"/>
      <c r="D877" s="185"/>
    </row>
    <row r="878" spans="1:4" ht="12.75" customHeight="1">
      <c r="A878" s="166"/>
      <c r="B878" s="168"/>
      <c r="C878" s="166"/>
      <c r="D878" s="166"/>
    </row>
    <row r="879" spans="1:4" ht="12.75" customHeight="1">
      <c r="A879" s="166"/>
      <c r="B879" s="168"/>
      <c r="C879" s="166"/>
      <c r="D879" s="166"/>
    </row>
    <row r="880" spans="1:4" ht="12.75" customHeight="1">
      <c r="A880" s="166"/>
      <c r="B880" s="168"/>
      <c r="C880" s="166"/>
      <c r="D880" s="166"/>
    </row>
    <row r="881" spans="1:4" ht="12.75" customHeight="1">
      <c r="A881" s="185"/>
      <c r="B881" s="168"/>
      <c r="C881" s="166"/>
      <c r="D881" s="166"/>
    </row>
    <row r="882" spans="1:4" ht="12.75" customHeight="1">
      <c r="A882" s="166"/>
      <c r="B882" s="168"/>
      <c r="C882" s="166"/>
      <c r="D882" s="166"/>
    </row>
    <row r="883" spans="1:4" ht="12.75" customHeight="1">
      <c r="A883" s="166"/>
      <c r="B883" s="168"/>
      <c r="C883" s="185"/>
      <c r="D883" s="185"/>
    </row>
    <row r="884" spans="1:4" ht="12.75" customHeight="1">
      <c r="A884" s="166"/>
      <c r="B884" s="168"/>
      <c r="C884" s="185"/>
      <c r="D884" s="185"/>
    </row>
    <row r="885" spans="1:4" ht="12.75" customHeight="1">
      <c r="A885" s="166"/>
      <c r="B885" s="168"/>
      <c r="C885" s="185"/>
      <c r="D885" s="185"/>
    </row>
    <row r="886" spans="1:4" ht="12.75" customHeight="1">
      <c r="A886" s="166"/>
      <c r="B886" s="168"/>
      <c r="C886" s="185"/>
      <c r="D886" s="185"/>
    </row>
    <row r="887" spans="1:4" ht="12.75" customHeight="1">
      <c r="A887" s="166"/>
      <c r="B887" s="168"/>
      <c r="C887" s="185"/>
      <c r="D887" s="185"/>
    </row>
    <row r="888" spans="1:4" ht="12.75" customHeight="1">
      <c r="A888" s="166"/>
      <c r="B888" s="168"/>
      <c r="C888" s="166"/>
      <c r="D888" s="166"/>
    </row>
    <row r="889" spans="1:4" ht="12.75" customHeight="1">
      <c r="A889" s="166"/>
      <c r="B889" s="168"/>
      <c r="C889" s="185"/>
      <c r="D889" s="185"/>
    </row>
    <row r="890" spans="1:4" ht="12.75" customHeight="1">
      <c r="A890" s="166"/>
      <c r="B890" s="168"/>
      <c r="C890" s="185"/>
      <c r="D890" s="185"/>
    </row>
    <row r="891" spans="1:4" ht="12.75" customHeight="1">
      <c r="A891" s="166"/>
      <c r="B891" s="168"/>
      <c r="C891" s="166"/>
      <c r="D891" s="166"/>
    </row>
    <row r="892" spans="1:4" ht="12.75" customHeight="1">
      <c r="A892" s="166"/>
      <c r="B892" s="168"/>
      <c r="C892" s="166"/>
      <c r="D892" s="166"/>
    </row>
    <row r="893" spans="1:4" ht="12.75" customHeight="1">
      <c r="A893" s="166"/>
      <c r="B893" s="168"/>
      <c r="C893" s="185"/>
      <c r="D893" s="185"/>
    </row>
    <row r="894" spans="1:4" ht="12.75" customHeight="1">
      <c r="A894" s="166"/>
      <c r="B894" s="168"/>
      <c r="C894" s="166"/>
      <c r="D894" s="166"/>
    </row>
    <row r="895" spans="1:4" ht="12.75" customHeight="1">
      <c r="A895" s="166"/>
      <c r="B895" s="168"/>
      <c r="C895" s="185"/>
      <c r="D895" s="185"/>
    </row>
    <row r="896" spans="1:4" ht="12.75" customHeight="1">
      <c r="A896" s="166"/>
      <c r="B896" s="168"/>
      <c r="C896" s="185"/>
      <c r="D896" s="185"/>
    </row>
    <row r="897" spans="1:4" ht="12.75" customHeight="1">
      <c r="A897" s="166"/>
      <c r="B897" s="168"/>
      <c r="C897" s="185"/>
      <c r="D897" s="185"/>
    </row>
    <row r="898" spans="1:4" ht="12.75" customHeight="1">
      <c r="A898" s="166"/>
      <c r="B898" s="168"/>
      <c r="C898" s="185"/>
      <c r="D898" s="185"/>
    </row>
    <row r="899" spans="1:4" ht="12.75" customHeight="1">
      <c r="A899" s="166"/>
      <c r="B899" s="168"/>
      <c r="C899" s="166"/>
      <c r="D899" s="166"/>
    </row>
    <row r="900" spans="1:4" ht="12.75" customHeight="1">
      <c r="A900" s="166"/>
      <c r="B900" s="168"/>
      <c r="C900" s="185"/>
      <c r="D900" s="185"/>
    </row>
    <row r="901" spans="1:4" ht="12.75" customHeight="1">
      <c r="A901" s="166"/>
      <c r="B901" s="168"/>
      <c r="C901" s="166"/>
      <c r="D901" s="166"/>
    </row>
    <row r="902" spans="1:4" ht="12.75" customHeight="1">
      <c r="A902" s="166"/>
      <c r="B902" s="168"/>
      <c r="C902" s="185"/>
      <c r="D902" s="185"/>
    </row>
    <row r="903" spans="1:4" ht="12.75" customHeight="1">
      <c r="A903" s="166"/>
      <c r="B903" s="168"/>
      <c r="C903" s="166"/>
      <c r="D903" s="166"/>
    </row>
    <row r="904" spans="1:4" ht="12.75" customHeight="1">
      <c r="A904" s="166"/>
      <c r="B904" s="168"/>
      <c r="C904" s="166"/>
      <c r="D904" s="166"/>
    </row>
    <row r="905" spans="1:4" ht="12.75" customHeight="1">
      <c r="A905" s="166"/>
      <c r="B905" s="168"/>
      <c r="C905" s="166"/>
      <c r="D905" s="166"/>
    </row>
    <row r="906" spans="1:4" ht="12.75" customHeight="1">
      <c r="A906" s="166"/>
      <c r="B906" s="168"/>
      <c r="C906" s="166"/>
      <c r="D906" s="166"/>
    </row>
    <row r="907" spans="1:4" ht="12.75" customHeight="1">
      <c r="A907" s="166"/>
      <c r="B907" s="168"/>
      <c r="C907" s="185"/>
      <c r="D907" s="185"/>
    </row>
    <row r="908" spans="1:4" ht="12.75" customHeight="1">
      <c r="A908" s="166"/>
      <c r="B908" s="168"/>
      <c r="C908" s="185"/>
      <c r="D908" s="185"/>
    </row>
    <row r="909" spans="1:4" ht="12.75" customHeight="1">
      <c r="A909" s="353"/>
      <c r="B909" s="168"/>
      <c r="C909" s="185"/>
      <c r="D909" s="185"/>
    </row>
    <row r="910" spans="1:4" ht="12.75" customHeight="1">
      <c r="A910" s="353"/>
      <c r="B910" s="168"/>
      <c r="C910" s="185"/>
      <c r="D910" s="185"/>
    </row>
    <row r="911" spans="1:4" ht="12.75" customHeight="1">
      <c r="A911" s="353"/>
      <c r="B911" s="168"/>
      <c r="C911" s="185"/>
      <c r="D911" s="185"/>
    </row>
    <row r="912" spans="1:4" ht="12.75" customHeight="1">
      <c r="A912" s="353"/>
      <c r="B912" s="168"/>
      <c r="C912" s="185"/>
      <c r="D912" s="185"/>
    </row>
    <row r="913" spans="1:4" ht="12.75" customHeight="1">
      <c r="A913" s="353"/>
      <c r="B913" s="168"/>
      <c r="C913" s="185"/>
      <c r="D913" s="185"/>
    </row>
    <row r="914" spans="1:4" ht="12.75" customHeight="1">
      <c r="A914" s="353"/>
      <c r="B914" s="168"/>
      <c r="C914" s="185"/>
      <c r="D914" s="185"/>
    </row>
    <row r="915" spans="1:4" ht="12.75" customHeight="1">
      <c r="A915" s="353"/>
      <c r="B915" s="168"/>
      <c r="C915" s="185"/>
      <c r="D915" s="185"/>
    </row>
    <row r="916" spans="1:4" ht="12.75" customHeight="1">
      <c r="A916" s="353"/>
      <c r="B916" s="168"/>
      <c r="C916" s="185"/>
      <c r="D916" s="185"/>
    </row>
    <row r="917" spans="1:4" ht="12.75" customHeight="1">
      <c r="A917" s="353"/>
      <c r="B917" s="168"/>
      <c r="C917" s="185"/>
      <c r="D917" s="185"/>
    </row>
    <row r="918" spans="1:4" ht="12.75" customHeight="1">
      <c r="A918" s="353"/>
      <c r="B918" s="168"/>
      <c r="C918" s="185"/>
      <c r="D918" s="185"/>
    </row>
    <row r="919" spans="1:4" ht="12.75" customHeight="1">
      <c r="A919" s="353"/>
      <c r="B919" s="168"/>
      <c r="C919" s="185"/>
      <c r="D919" s="185"/>
    </row>
    <row r="920" spans="1:4" ht="12.75" customHeight="1">
      <c r="A920" s="353"/>
      <c r="B920" s="168"/>
      <c r="C920" s="185"/>
      <c r="D920" s="185"/>
    </row>
    <row r="921" spans="1:4" ht="12.75" customHeight="1">
      <c r="A921" s="353"/>
      <c r="B921" s="168"/>
      <c r="C921" s="185"/>
      <c r="D921" s="185"/>
    </row>
    <row r="922" spans="1:4" ht="12.75" customHeight="1">
      <c r="A922" s="353"/>
      <c r="B922" s="168"/>
      <c r="C922" s="185"/>
      <c r="D922" s="185"/>
    </row>
    <row r="923" spans="1:4" ht="12.75" customHeight="1">
      <c r="A923" s="353"/>
      <c r="B923" s="168"/>
      <c r="C923" s="185"/>
      <c r="D923" s="185"/>
    </row>
    <row r="924" spans="1:4" ht="12.75" customHeight="1">
      <c r="A924" s="353"/>
      <c r="B924" s="168"/>
      <c r="C924" s="166"/>
      <c r="D924" s="166"/>
    </row>
    <row r="925" spans="1:4" ht="12.75" customHeight="1">
      <c r="A925" s="353"/>
      <c r="B925" s="168"/>
      <c r="C925" s="185"/>
      <c r="D925" s="185"/>
    </row>
    <row r="926" spans="1:4" ht="12.75" customHeight="1">
      <c r="A926" s="353"/>
      <c r="B926" s="168"/>
      <c r="C926" s="166"/>
      <c r="D926" s="166"/>
    </row>
    <row r="927" spans="1:4" ht="12.75" customHeight="1">
      <c r="A927" s="353"/>
      <c r="B927" s="168"/>
      <c r="C927" s="185"/>
      <c r="D927" s="185"/>
    </row>
    <row r="928" spans="1:4" ht="12.75" customHeight="1">
      <c r="A928" s="353"/>
      <c r="B928" s="168"/>
      <c r="C928" s="166"/>
      <c r="D928" s="166"/>
    </row>
    <row r="929" spans="1:4" ht="12.75" customHeight="1">
      <c r="A929" s="353"/>
      <c r="B929" s="168"/>
      <c r="C929" s="185"/>
      <c r="D929" s="185"/>
    </row>
    <row r="930" spans="1:4" ht="12.75" customHeight="1">
      <c r="A930" s="353"/>
      <c r="B930" s="168"/>
      <c r="C930" s="185"/>
      <c r="D930" s="185"/>
    </row>
    <row r="931" spans="1:4" ht="12.75" customHeight="1">
      <c r="A931" s="353"/>
      <c r="B931" s="168"/>
      <c r="C931" s="185"/>
      <c r="D931" s="185"/>
    </row>
    <row r="932" spans="1:4" ht="12.75" customHeight="1">
      <c r="A932" s="353"/>
      <c r="B932" s="168"/>
      <c r="C932" s="185"/>
      <c r="D932" s="185"/>
    </row>
    <row r="933" spans="1:4" ht="12.75" customHeight="1">
      <c r="A933" s="353"/>
      <c r="B933" s="168"/>
      <c r="C933" s="185"/>
      <c r="D933" s="185"/>
    </row>
    <row r="934" spans="1:4" ht="12.75" customHeight="1">
      <c r="A934" s="353"/>
      <c r="B934" s="168"/>
      <c r="C934" s="185"/>
      <c r="D934" s="185"/>
    </row>
    <row r="935" spans="1:4" ht="12.75" customHeight="1">
      <c r="A935" s="353"/>
      <c r="B935" s="168"/>
      <c r="C935" s="185"/>
      <c r="D935" s="185"/>
    </row>
    <row r="936" spans="1:4" ht="12.75" customHeight="1">
      <c r="A936" s="353"/>
      <c r="B936" s="168"/>
      <c r="C936" s="185"/>
      <c r="D936" s="185"/>
    </row>
    <row r="937" spans="1:4" ht="12.75" customHeight="1">
      <c r="A937" s="166"/>
      <c r="B937" s="168"/>
      <c r="C937" s="185"/>
      <c r="D937" s="185"/>
    </row>
    <row r="938" spans="1:4" ht="12.75" customHeight="1">
      <c r="A938" s="353"/>
      <c r="B938" s="168"/>
      <c r="C938" s="185"/>
      <c r="D938" s="185"/>
    </row>
    <row r="939" spans="1:4" ht="12.75" customHeight="1">
      <c r="A939" s="353"/>
      <c r="B939" s="168"/>
      <c r="C939" s="185"/>
      <c r="D939" s="185"/>
    </row>
    <row r="940" spans="1:4" ht="12.75" customHeight="1">
      <c r="A940" s="353"/>
      <c r="B940" s="168"/>
      <c r="C940" s="185"/>
      <c r="D940" s="185"/>
    </row>
    <row r="941" spans="1:4" ht="12.75" customHeight="1">
      <c r="A941" s="353"/>
      <c r="B941" s="168"/>
      <c r="C941" s="166"/>
      <c r="D941" s="166"/>
    </row>
    <row r="942" spans="1:4" ht="12.75" customHeight="1">
      <c r="A942" s="353"/>
      <c r="B942" s="168"/>
      <c r="C942" s="166"/>
      <c r="D942" s="166"/>
    </row>
    <row r="943" spans="1:4" ht="12.75" customHeight="1">
      <c r="A943" s="353"/>
      <c r="B943" s="168"/>
      <c r="C943" s="166"/>
      <c r="D943" s="166"/>
    </row>
    <row r="944" spans="1:4" ht="12.75" customHeight="1">
      <c r="A944" s="353"/>
      <c r="B944" s="168"/>
      <c r="C944" s="166"/>
      <c r="D944" s="166"/>
    </row>
    <row r="945" spans="1:4" ht="12.75" customHeight="1">
      <c r="A945" s="353"/>
      <c r="B945" s="168"/>
      <c r="C945" s="166"/>
      <c r="D945" s="166"/>
    </row>
    <row r="946" spans="1:4" ht="12.75" customHeight="1">
      <c r="A946" s="353"/>
      <c r="B946" s="168"/>
      <c r="C946" s="166"/>
      <c r="D946" s="166"/>
    </row>
    <row r="947" spans="1:4" ht="12.75" customHeight="1">
      <c r="A947" s="353"/>
      <c r="B947" s="168"/>
      <c r="C947" s="166"/>
      <c r="D947" s="166"/>
    </row>
    <row r="948" spans="1:4" ht="12.75" customHeight="1">
      <c r="A948" s="353"/>
      <c r="B948" s="168"/>
      <c r="C948" s="166"/>
      <c r="D948" s="166"/>
    </row>
    <row r="949" spans="1:4" ht="12.75" customHeight="1">
      <c r="A949" s="353"/>
      <c r="B949" s="168"/>
      <c r="C949" s="185"/>
      <c r="D949" s="185"/>
    </row>
    <row r="950" spans="1:4" ht="12.75" customHeight="1">
      <c r="A950" s="353"/>
      <c r="B950" s="168"/>
      <c r="C950" s="185"/>
      <c r="D950" s="185"/>
    </row>
    <row r="951" spans="1:4" ht="12.75" customHeight="1">
      <c r="A951" s="353"/>
      <c r="B951" s="168"/>
      <c r="C951" s="185"/>
      <c r="D951" s="185"/>
    </row>
    <row r="952" spans="1:4" ht="12.75" customHeight="1">
      <c r="A952" s="353"/>
      <c r="B952" s="168"/>
      <c r="C952" s="185"/>
      <c r="D952" s="185"/>
    </row>
    <row r="953" spans="1:4" ht="12.75" customHeight="1">
      <c r="A953" s="353"/>
      <c r="B953" s="168"/>
      <c r="C953" s="166"/>
      <c r="D953" s="166"/>
    </row>
    <row r="954" spans="1:4" ht="12.75" customHeight="1">
      <c r="A954" s="353"/>
      <c r="B954" s="168"/>
      <c r="C954" s="185"/>
      <c r="D954" s="185"/>
    </row>
    <row r="955" spans="1:4" ht="12.75" customHeight="1">
      <c r="A955" s="353"/>
      <c r="B955" s="168"/>
      <c r="C955" s="166"/>
      <c r="D955" s="166"/>
    </row>
    <row r="956" spans="1:4" ht="12.75" customHeight="1">
      <c r="A956" s="353"/>
      <c r="B956" s="168"/>
      <c r="C956" s="185"/>
      <c r="D956" s="185"/>
    </row>
    <row r="957" spans="1:4" ht="12.75" customHeight="1">
      <c r="A957" s="353"/>
      <c r="B957" s="168"/>
      <c r="C957" s="166"/>
      <c r="D957" s="166"/>
    </row>
    <row r="958" spans="1:4" ht="12.75" customHeight="1">
      <c r="A958" s="353"/>
      <c r="B958" s="168"/>
      <c r="C958" s="185"/>
      <c r="D958" s="185"/>
    </row>
    <row r="959" spans="1:4" ht="12.75" customHeight="1">
      <c r="A959" s="166"/>
      <c r="B959" s="168"/>
      <c r="C959" s="166"/>
      <c r="D959" s="166"/>
    </row>
    <row r="960" spans="1:4" ht="12.75" customHeight="1">
      <c r="A960" s="166"/>
      <c r="B960" s="168"/>
      <c r="C960" s="166"/>
      <c r="D960" s="166"/>
    </row>
    <row r="961" spans="1:4" ht="12.75" customHeight="1">
      <c r="A961" s="353"/>
      <c r="B961" s="168"/>
      <c r="C961" s="185"/>
      <c r="D961" s="185"/>
    </row>
    <row r="962" spans="1:4" ht="12.75" customHeight="1">
      <c r="A962" s="353"/>
      <c r="B962" s="168"/>
      <c r="C962" s="185"/>
      <c r="D962" s="185"/>
    </row>
    <row r="963" spans="1:4" ht="12.75" customHeight="1">
      <c r="A963" s="353"/>
      <c r="B963" s="168"/>
      <c r="C963" s="185"/>
      <c r="D963" s="185"/>
    </row>
    <row r="964" spans="1:4" ht="12.75" customHeight="1">
      <c r="A964" s="353"/>
      <c r="B964" s="168"/>
      <c r="C964" s="185"/>
      <c r="D964" s="185"/>
    </row>
    <row r="965" spans="1:4" ht="12.75" customHeight="1">
      <c r="A965" s="353"/>
      <c r="B965" s="168"/>
      <c r="C965" s="185"/>
      <c r="D965" s="185"/>
    </row>
    <row r="966" spans="1:4" ht="12.75" customHeight="1">
      <c r="A966" s="353"/>
      <c r="B966" s="168"/>
      <c r="C966" s="185"/>
      <c r="D966" s="185"/>
    </row>
    <row r="967" spans="1:4" ht="12.75" customHeight="1">
      <c r="A967" s="353"/>
      <c r="B967" s="168"/>
      <c r="C967" s="185"/>
      <c r="D967" s="185"/>
    </row>
    <row r="968" spans="1:4" ht="12.75" customHeight="1">
      <c r="A968" s="353"/>
      <c r="B968" s="168"/>
      <c r="C968" s="185"/>
      <c r="D968" s="185"/>
    </row>
    <row r="969" spans="1:4" ht="12.75" customHeight="1">
      <c r="A969" s="353"/>
      <c r="B969" s="168"/>
      <c r="C969" s="185"/>
      <c r="D969" s="185"/>
    </row>
    <row r="970" spans="1:4" ht="12.75" customHeight="1">
      <c r="A970" s="353"/>
      <c r="B970" s="168"/>
      <c r="C970" s="185"/>
      <c r="D970" s="185"/>
    </row>
    <row r="971" spans="1:4" ht="12.75" customHeight="1">
      <c r="A971" s="353"/>
      <c r="B971" s="168"/>
      <c r="C971" s="185"/>
      <c r="D971" s="185"/>
    </row>
    <row r="972" spans="1:4" ht="12.75" customHeight="1">
      <c r="A972" s="166"/>
      <c r="B972" s="168"/>
      <c r="C972" s="185"/>
      <c r="D972" s="185"/>
    </row>
    <row r="973" spans="1:4" ht="12.75" customHeight="1">
      <c r="A973" s="166"/>
      <c r="B973" s="168"/>
      <c r="C973" s="185"/>
      <c r="D973" s="185"/>
    </row>
    <row r="974" spans="1:4" ht="12.75" customHeight="1">
      <c r="A974" s="166"/>
      <c r="B974" s="168"/>
      <c r="C974" s="185"/>
      <c r="D974" s="185"/>
    </row>
    <row r="975" spans="1:4" ht="12.75" customHeight="1">
      <c r="A975" s="166"/>
      <c r="B975" s="168"/>
      <c r="C975" s="185"/>
      <c r="D975" s="185"/>
    </row>
    <row r="976" spans="1:4" ht="12.75" customHeight="1">
      <c r="A976" s="166"/>
      <c r="B976" s="168"/>
      <c r="C976" s="185"/>
      <c r="D976" s="185"/>
    </row>
    <row r="977" spans="1:4" ht="12.75" customHeight="1">
      <c r="A977" s="166"/>
      <c r="B977" s="168"/>
      <c r="C977" s="185"/>
      <c r="D977" s="185"/>
    </row>
    <row r="978" spans="1:4" ht="12.75" customHeight="1">
      <c r="A978" s="166"/>
      <c r="B978" s="168"/>
      <c r="C978" s="185"/>
      <c r="D978" s="185"/>
    </row>
    <row r="979" spans="1:4" ht="12.75" customHeight="1">
      <c r="A979" s="166"/>
      <c r="B979" s="168"/>
      <c r="C979" s="185"/>
      <c r="D979" s="185"/>
    </row>
    <row r="980" spans="1:4" ht="12.75" customHeight="1">
      <c r="A980" s="166"/>
      <c r="B980" s="168"/>
      <c r="C980" s="166"/>
      <c r="D980" s="166"/>
    </row>
    <row r="981" spans="1:4" ht="12.75" customHeight="1">
      <c r="A981" s="166"/>
      <c r="B981" s="168"/>
      <c r="C981" s="166"/>
      <c r="D981" s="166"/>
    </row>
    <row r="982" spans="1:4" ht="12.75" customHeight="1">
      <c r="A982" s="166"/>
      <c r="B982" s="168"/>
      <c r="C982" s="166"/>
      <c r="D982" s="166"/>
    </row>
    <row r="983" spans="1:4" ht="12.75" customHeight="1">
      <c r="A983" s="166"/>
      <c r="B983" s="168"/>
      <c r="C983" s="185"/>
      <c r="D983" s="185"/>
    </row>
    <row r="984" spans="1:4" ht="12.75" customHeight="1">
      <c r="A984" s="166"/>
      <c r="B984" s="168"/>
      <c r="C984" s="166"/>
      <c r="D984" s="166"/>
    </row>
    <row r="985" spans="1:4" ht="12.75" customHeight="1">
      <c r="A985" s="166"/>
      <c r="B985" s="168"/>
      <c r="C985" s="185"/>
      <c r="D985" s="185"/>
    </row>
    <row r="986" spans="1:4" ht="12.75" customHeight="1">
      <c r="A986" s="166"/>
      <c r="B986" s="168"/>
      <c r="C986" s="185"/>
      <c r="D986" s="185"/>
    </row>
    <row r="987" spans="1:4" ht="12.75" customHeight="1">
      <c r="A987" s="166"/>
      <c r="B987" s="168"/>
      <c r="C987" s="166"/>
      <c r="D987" s="166"/>
    </row>
    <row r="988" spans="1:4" ht="12.75" customHeight="1">
      <c r="A988" s="166"/>
      <c r="B988" s="168"/>
      <c r="C988" s="185"/>
      <c r="D988" s="185"/>
    </row>
    <row r="989" spans="1:4" ht="12.75" customHeight="1">
      <c r="A989" s="353"/>
      <c r="B989" s="168"/>
      <c r="C989" s="166"/>
      <c r="D989" s="166"/>
    </row>
    <row r="990" spans="1:4" ht="12.75" customHeight="1">
      <c r="A990" s="166"/>
      <c r="B990" s="168"/>
      <c r="C990" s="166"/>
      <c r="D990" s="166"/>
    </row>
    <row r="991" spans="1:4" ht="12.75" customHeight="1">
      <c r="A991" s="166"/>
      <c r="B991" s="168"/>
      <c r="C991" s="166"/>
      <c r="D991" s="166"/>
    </row>
    <row r="992" spans="1:4" ht="12.75" customHeight="1">
      <c r="A992" s="166"/>
      <c r="B992" s="168"/>
      <c r="C992" s="185"/>
      <c r="D992" s="185"/>
    </row>
    <row r="993" spans="1:4" ht="12.75" customHeight="1">
      <c r="A993" s="166"/>
      <c r="B993" s="168"/>
      <c r="C993" s="354"/>
      <c r="D993" s="354"/>
    </row>
    <row r="994" spans="1:4" ht="12.75" customHeight="1">
      <c r="A994" s="166"/>
      <c r="B994" s="168"/>
      <c r="C994" s="166"/>
      <c r="D994" s="166"/>
    </row>
    <row r="995" spans="1:4" ht="12.75" customHeight="1">
      <c r="A995" s="166"/>
      <c r="B995" s="168"/>
      <c r="C995" s="185"/>
      <c r="D995" s="185"/>
    </row>
    <row r="996" spans="1:4" ht="12.75" customHeight="1">
      <c r="A996" s="166"/>
      <c r="B996" s="168"/>
      <c r="C996" s="354"/>
      <c r="D996" s="354"/>
    </row>
    <row r="997" spans="1:4" ht="12.75" customHeight="1">
      <c r="A997" s="166"/>
      <c r="B997" s="168"/>
      <c r="C997" s="354"/>
      <c r="D997" s="354"/>
    </row>
    <row r="998" spans="1:4" ht="12.75" customHeight="1">
      <c r="A998" s="166"/>
      <c r="B998" s="168"/>
      <c r="C998" s="166"/>
      <c r="D998" s="166"/>
    </row>
    <row r="999" spans="1:4" ht="12.75" customHeight="1">
      <c r="A999" s="166"/>
      <c r="B999" s="168"/>
      <c r="C999" s="166"/>
      <c r="D999" s="166"/>
    </row>
    <row r="1000" spans="1:4" ht="12.75" customHeight="1">
      <c r="A1000" s="166"/>
      <c r="B1000" s="168"/>
      <c r="C1000" s="166"/>
      <c r="D1000" s="166"/>
    </row>
    <row r="1001" spans="1:4" ht="12.75" customHeight="1">
      <c r="A1001" s="166"/>
      <c r="B1001" s="168"/>
      <c r="C1001" s="166"/>
      <c r="D1001" s="166"/>
    </row>
    <row r="1002" spans="1:4" ht="12.75" customHeight="1">
      <c r="A1002" s="166"/>
      <c r="B1002" s="168"/>
      <c r="C1002" s="166"/>
      <c r="D1002" s="166"/>
    </row>
    <row r="1003" spans="1:4" ht="12.75" customHeight="1">
      <c r="A1003" s="166"/>
      <c r="B1003" s="168"/>
      <c r="C1003" s="354"/>
      <c r="D1003" s="354"/>
    </row>
    <row r="1004" spans="1:4" ht="12.75" customHeight="1">
      <c r="A1004" s="166"/>
      <c r="B1004" s="168"/>
      <c r="C1004" s="354"/>
      <c r="D1004" s="354"/>
    </row>
    <row r="1005" spans="1:4" ht="12.75" customHeight="1">
      <c r="A1005" s="166"/>
      <c r="B1005" s="168"/>
      <c r="C1005" s="354"/>
      <c r="D1005" s="354"/>
    </row>
    <row r="1006" spans="1:4" ht="12.75" customHeight="1">
      <c r="A1006" s="166"/>
      <c r="B1006" s="168"/>
      <c r="C1006" s="166"/>
      <c r="D1006" s="166"/>
    </row>
    <row r="1007" spans="1:4" ht="12.75" customHeight="1">
      <c r="A1007" s="166"/>
      <c r="B1007" s="168"/>
      <c r="C1007" s="166"/>
      <c r="D1007" s="166"/>
    </row>
    <row r="1008" spans="1:4" ht="12.75" customHeight="1">
      <c r="A1008" s="166"/>
      <c r="B1008" s="168"/>
      <c r="C1008" s="166"/>
      <c r="D1008" s="166"/>
    </row>
    <row r="1009" spans="1:4" ht="12.75" customHeight="1">
      <c r="A1009" s="166"/>
      <c r="B1009" s="168"/>
      <c r="C1009" s="166"/>
      <c r="D1009" s="166"/>
    </row>
    <row r="1010" spans="1:4" ht="12.75" customHeight="1">
      <c r="A1010" s="166"/>
      <c r="B1010" s="168"/>
      <c r="C1010" s="166"/>
      <c r="D1010" s="166"/>
    </row>
    <row r="1011" spans="1:4" ht="12.75" customHeight="1">
      <c r="A1011" s="166"/>
      <c r="B1011" s="168"/>
      <c r="C1011" s="166"/>
      <c r="D1011" s="166"/>
    </row>
    <row r="1012" spans="1:4" ht="12.75" customHeight="1">
      <c r="A1012" s="166"/>
      <c r="B1012" s="168"/>
      <c r="C1012" s="166"/>
      <c r="D1012" s="166"/>
    </row>
    <row r="1013" spans="1:4" ht="12.75" customHeight="1">
      <c r="A1013" s="166"/>
      <c r="B1013" s="168"/>
      <c r="C1013" s="166"/>
      <c r="D1013" s="166"/>
    </row>
    <row r="1014" spans="1:4" ht="12.75" customHeight="1">
      <c r="A1014" s="166"/>
      <c r="B1014" s="168"/>
      <c r="C1014" s="166"/>
      <c r="D1014" s="166"/>
    </row>
    <row r="1015" spans="1:4" ht="12.75" customHeight="1">
      <c r="A1015" s="166"/>
      <c r="B1015" s="168"/>
      <c r="C1015" s="166"/>
      <c r="D1015" s="166"/>
    </row>
    <row r="1016" spans="1:4" ht="12.75" customHeight="1">
      <c r="A1016" s="166"/>
      <c r="B1016" s="168"/>
      <c r="C1016" s="166"/>
      <c r="D1016" s="166"/>
    </row>
    <row r="1017" spans="1:4" ht="12.75" customHeight="1">
      <c r="A1017" s="166"/>
      <c r="B1017" s="168"/>
      <c r="C1017" s="166"/>
      <c r="D1017" s="166"/>
    </row>
    <row r="1018" spans="1:4" ht="12.75" customHeight="1">
      <c r="A1018" s="166"/>
      <c r="B1018" s="168"/>
      <c r="C1018" s="166"/>
      <c r="D1018" s="166"/>
    </row>
    <row r="1019" spans="1:4" ht="12.75" customHeight="1">
      <c r="A1019" s="166"/>
      <c r="B1019" s="168"/>
      <c r="C1019" s="166"/>
      <c r="D1019" s="166"/>
    </row>
    <row r="1020" spans="1:4" ht="12.75" customHeight="1">
      <c r="A1020" s="166"/>
      <c r="B1020" s="168"/>
      <c r="C1020" s="166"/>
      <c r="D1020" s="166"/>
    </row>
    <row r="1021" spans="1:4" ht="12.75" customHeight="1">
      <c r="A1021" s="166"/>
      <c r="B1021" s="168"/>
      <c r="C1021" s="166"/>
      <c r="D1021" s="166"/>
    </row>
    <row r="1022" spans="1:4" ht="12.75" customHeight="1">
      <c r="A1022" s="166"/>
      <c r="B1022" s="168"/>
      <c r="C1022" s="166"/>
      <c r="D1022" s="166"/>
    </row>
    <row r="1023" spans="1:4" ht="12.75" customHeight="1">
      <c r="A1023" s="166"/>
      <c r="B1023" s="168"/>
      <c r="C1023" s="166"/>
      <c r="D1023" s="166"/>
    </row>
    <row r="1024" spans="1:4" ht="12.75" customHeight="1">
      <c r="A1024" s="166"/>
      <c r="B1024" s="168"/>
      <c r="C1024" s="166"/>
      <c r="D1024" s="166"/>
    </row>
    <row r="1025" spans="1:4" ht="12.75" customHeight="1">
      <c r="A1025" s="166"/>
      <c r="B1025" s="168"/>
      <c r="C1025" s="166"/>
      <c r="D1025" s="166"/>
    </row>
    <row r="1026" spans="1:4" ht="12.75" customHeight="1">
      <c r="A1026" s="166"/>
      <c r="B1026" s="168"/>
      <c r="C1026" s="166"/>
      <c r="D1026" s="166"/>
    </row>
    <row r="1027" spans="1:4" ht="12.75" customHeight="1">
      <c r="A1027" s="166"/>
      <c r="B1027" s="168"/>
      <c r="C1027" s="354"/>
      <c r="D1027" s="354"/>
    </row>
    <row r="1028" spans="1:4" ht="12.75" customHeight="1">
      <c r="A1028" s="166"/>
      <c r="B1028" s="168"/>
      <c r="C1028" s="166"/>
      <c r="D1028" s="166"/>
    </row>
    <row r="1029" spans="1:4" ht="12.75" customHeight="1">
      <c r="A1029" s="166"/>
      <c r="B1029" s="168"/>
      <c r="C1029" s="166"/>
      <c r="D1029" s="166"/>
    </row>
    <row r="1030" spans="1:4" ht="12.75" customHeight="1">
      <c r="A1030" s="166"/>
      <c r="B1030" s="168"/>
      <c r="C1030" s="166"/>
      <c r="D1030" s="166"/>
    </row>
    <row r="1031" spans="1:4" ht="12.75" customHeight="1">
      <c r="A1031" s="166"/>
      <c r="B1031" s="168"/>
      <c r="C1031" s="185"/>
      <c r="D1031" s="185"/>
    </row>
    <row r="1032" spans="1:4" ht="12.75" customHeight="1">
      <c r="A1032" s="166"/>
      <c r="B1032" s="168"/>
      <c r="C1032" s="185"/>
      <c r="D1032" s="185"/>
    </row>
    <row r="1033" spans="1:4" ht="12.75" customHeight="1">
      <c r="A1033" s="166"/>
      <c r="B1033" s="168"/>
      <c r="C1033" s="185"/>
      <c r="D1033" s="185"/>
    </row>
    <row r="1034" spans="1:4" ht="12.75" customHeight="1">
      <c r="A1034" s="166"/>
      <c r="B1034" s="168"/>
      <c r="C1034" s="307"/>
      <c r="D1034" s="307"/>
    </row>
    <row r="1035" spans="1:4" ht="12.75" customHeight="1">
      <c r="A1035" s="166"/>
      <c r="B1035" s="168"/>
      <c r="C1035" s="185"/>
      <c r="D1035" s="185"/>
    </row>
    <row r="1036" spans="1:4" ht="12.75" customHeight="1">
      <c r="A1036" s="166"/>
      <c r="B1036" s="168"/>
      <c r="C1036" s="185"/>
      <c r="D1036" s="185"/>
    </row>
    <row r="1037" spans="1:4" ht="12.75" customHeight="1">
      <c r="A1037" s="166"/>
      <c r="B1037" s="168"/>
      <c r="C1037" s="350"/>
      <c r="D1037" s="350"/>
    </row>
    <row r="1038" spans="1:4" ht="12.75" customHeight="1">
      <c r="A1038" s="166"/>
      <c r="B1038" s="168"/>
      <c r="C1038" s="350"/>
      <c r="D1038" s="350"/>
    </row>
    <row r="1039" spans="1:4" ht="12.75" customHeight="1">
      <c r="A1039" s="166"/>
      <c r="B1039" s="168"/>
      <c r="C1039" s="350"/>
      <c r="D1039" s="350"/>
    </row>
    <row r="1040" spans="1:4" ht="12.75" customHeight="1">
      <c r="A1040" s="166"/>
      <c r="B1040" s="168"/>
      <c r="C1040" s="169"/>
      <c r="D1040" s="169"/>
    </row>
    <row r="1041" spans="1:4" ht="12.75" customHeight="1">
      <c r="A1041" s="166"/>
      <c r="B1041" s="168"/>
      <c r="C1041" s="350"/>
      <c r="D1041" s="350"/>
    </row>
    <row r="1042" spans="1:4" ht="12.75" customHeight="1">
      <c r="A1042" s="166"/>
      <c r="B1042" s="168"/>
      <c r="C1042" s="169"/>
      <c r="D1042" s="169"/>
    </row>
    <row r="1043" spans="1:4" ht="12.75" customHeight="1">
      <c r="A1043" s="166"/>
      <c r="B1043" s="168"/>
      <c r="C1043" s="355"/>
      <c r="D1043" s="355"/>
    </row>
    <row r="1044" spans="1:4" ht="12.75" customHeight="1">
      <c r="A1044" s="166"/>
      <c r="B1044" s="168"/>
      <c r="C1044" s="355"/>
      <c r="D1044" s="355"/>
    </row>
    <row r="1045" spans="1:4" ht="12.75" customHeight="1">
      <c r="A1045" s="166"/>
      <c r="B1045" s="168"/>
      <c r="C1045" s="350"/>
      <c r="D1045" s="350"/>
    </row>
    <row r="1046" spans="1:4" ht="12.75" customHeight="1">
      <c r="A1046" s="166"/>
      <c r="B1046" s="168"/>
      <c r="C1046" s="169"/>
      <c r="D1046" s="169"/>
    </row>
    <row r="1047" spans="1:4" ht="12.75" customHeight="1">
      <c r="A1047" s="166"/>
      <c r="B1047" s="168"/>
      <c r="C1047" s="350"/>
      <c r="D1047" s="350"/>
    </row>
    <row r="1048" spans="1:4" ht="12.75" customHeight="1">
      <c r="A1048" s="166"/>
      <c r="B1048" s="168"/>
      <c r="C1048" s="169"/>
      <c r="D1048" s="169"/>
    </row>
    <row r="1049" spans="1:4" ht="12.75" customHeight="1">
      <c r="A1049" s="166"/>
      <c r="B1049" s="168"/>
      <c r="C1049" s="350"/>
      <c r="D1049" s="350"/>
    </row>
    <row r="1050" spans="1:4" ht="12.75" customHeight="1">
      <c r="A1050" s="166"/>
      <c r="B1050" s="168"/>
      <c r="C1050" s="169"/>
      <c r="D1050" s="169"/>
    </row>
    <row r="1051" spans="1:4" ht="12.75" customHeight="1">
      <c r="A1051" s="166"/>
      <c r="B1051" s="168"/>
      <c r="C1051" s="185"/>
      <c r="D1051" s="185"/>
    </row>
    <row r="1052" spans="1:4" ht="12.75" customHeight="1">
      <c r="A1052" s="166"/>
      <c r="B1052" s="168"/>
      <c r="C1052" s="185"/>
      <c r="D1052" s="185"/>
    </row>
    <row r="1053" spans="1:4" ht="12.75" customHeight="1">
      <c r="A1053" s="166"/>
      <c r="B1053" s="168"/>
      <c r="C1053" s="185"/>
      <c r="D1053" s="185"/>
    </row>
    <row r="1054" spans="1:4" ht="12.75" customHeight="1">
      <c r="A1054" s="166"/>
      <c r="B1054" s="168"/>
      <c r="C1054" s="355"/>
      <c r="D1054" s="355"/>
    </row>
    <row r="1055" spans="1:4" ht="12.75" customHeight="1">
      <c r="A1055" s="166"/>
      <c r="B1055" s="168"/>
      <c r="C1055" s="185"/>
      <c r="D1055" s="185"/>
    </row>
    <row r="1056" spans="1:4" ht="12.75" customHeight="1">
      <c r="A1056" s="166"/>
      <c r="B1056" s="168"/>
      <c r="C1056" s="355"/>
      <c r="D1056" s="355"/>
    </row>
    <row r="1057" spans="1:4" ht="12.75" customHeight="1">
      <c r="A1057" s="166"/>
      <c r="B1057" s="168"/>
      <c r="C1057" s="185"/>
      <c r="D1057" s="185"/>
    </row>
    <row r="1058" spans="1:4" ht="12.75" customHeight="1">
      <c r="A1058" s="166"/>
      <c r="B1058" s="168"/>
      <c r="C1058" s="355"/>
      <c r="D1058" s="355"/>
    </row>
    <row r="1059" spans="1:4" ht="12.75" customHeight="1">
      <c r="A1059" s="166"/>
      <c r="B1059" s="168"/>
      <c r="C1059" s="166"/>
      <c r="D1059" s="166"/>
    </row>
    <row r="1060" spans="1:4" ht="12.75" customHeight="1">
      <c r="A1060" s="166"/>
      <c r="B1060" s="168"/>
      <c r="C1060" s="166"/>
      <c r="D1060" s="166"/>
    </row>
    <row r="1061" spans="1:4" ht="12.75" customHeight="1">
      <c r="A1061" s="166"/>
      <c r="B1061" s="168"/>
      <c r="C1061" s="166"/>
      <c r="D1061" s="166"/>
    </row>
    <row r="1062" spans="1:4" ht="12.75" customHeight="1">
      <c r="A1062" s="166"/>
      <c r="B1062" s="168"/>
      <c r="C1062" s="185"/>
      <c r="D1062" s="185"/>
    </row>
    <row r="1063" spans="1:4" ht="12.75" customHeight="1">
      <c r="A1063" s="166"/>
      <c r="B1063" s="168"/>
      <c r="C1063" s="185"/>
      <c r="D1063" s="185"/>
    </row>
    <row r="1064" spans="1:4" ht="12.75" customHeight="1">
      <c r="A1064" s="166"/>
      <c r="B1064" s="168"/>
      <c r="C1064" s="185"/>
      <c r="D1064" s="185"/>
    </row>
    <row r="1065" spans="1:4" ht="12.75" customHeight="1">
      <c r="A1065" s="166"/>
      <c r="B1065" s="168"/>
      <c r="C1065" s="185"/>
      <c r="D1065" s="185"/>
    </row>
    <row r="1066" spans="1:4" ht="12.75" customHeight="1">
      <c r="A1066" s="166"/>
      <c r="B1066" s="168"/>
      <c r="C1066" s="185"/>
      <c r="D1066" s="185"/>
    </row>
    <row r="1067" spans="1:4" ht="12.75" customHeight="1">
      <c r="A1067" s="166"/>
      <c r="B1067" s="168"/>
      <c r="C1067" s="185"/>
      <c r="D1067" s="185"/>
    </row>
    <row r="1068" spans="1:4" ht="12.75" customHeight="1">
      <c r="A1068" s="166"/>
      <c r="B1068" s="168"/>
      <c r="C1068" s="185"/>
      <c r="D1068" s="185"/>
    </row>
    <row r="1069" spans="1:4" ht="12.75" customHeight="1">
      <c r="A1069" s="166"/>
      <c r="B1069" s="168"/>
      <c r="C1069" s="185"/>
      <c r="D1069" s="185"/>
    </row>
    <row r="1070" spans="1:4" ht="12.75" customHeight="1">
      <c r="A1070" s="166"/>
      <c r="B1070" s="168"/>
      <c r="C1070" s="185"/>
      <c r="D1070" s="185"/>
    </row>
    <row r="1071" spans="1:4" ht="12.75" customHeight="1">
      <c r="A1071" s="166"/>
      <c r="B1071" s="168"/>
      <c r="C1071" s="185"/>
      <c r="D1071" s="185"/>
    </row>
    <row r="1072" spans="1:4" ht="12.75" customHeight="1">
      <c r="A1072" s="166"/>
      <c r="B1072" s="168"/>
      <c r="C1072" s="185"/>
      <c r="D1072" s="185"/>
    </row>
    <row r="1073" spans="1:4" ht="12.75" customHeight="1">
      <c r="A1073" s="166"/>
      <c r="B1073" s="168"/>
      <c r="C1073" s="185"/>
      <c r="D1073" s="185"/>
    </row>
    <row r="1074" spans="1:4" ht="12.75" customHeight="1">
      <c r="A1074" s="166"/>
      <c r="B1074" s="168"/>
      <c r="C1074" s="166"/>
      <c r="D1074" s="166"/>
    </row>
    <row r="1075" spans="1:4" ht="12.75" customHeight="1">
      <c r="A1075" s="166"/>
      <c r="B1075" s="168"/>
      <c r="C1075" s="166"/>
      <c r="D1075" s="166"/>
    </row>
    <row r="1076" spans="1:4" ht="12.75" customHeight="1">
      <c r="A1076" s="166"/>
      <c r="B1076" s="168"/>
      <c r="C1076" s="166"/>
      <c r="D1076" s="166"/>
    </row>
    <row r="1077" spans="1:4" ht="12.75" customHeight="1">
      <c r="A1077" s="185"/>
      <c r="B1077" s="168"/>
      <c r="C1077" s="166"/>
      <c r="D1077" s="166"/>
    </row>
    <row r="1078" spans="1:4" ht="12.75" customHeight="1">
      <c r="A1078" s="355"/>
      <c r="B1078" s="168"/>
      <c r="C1078" s="166"/>
      <c r="D1078" s="166"/>
    </row>
    <row r="1079" spans="1:4" ht="12.75" customHeight="1">
      <c r="A1079" s="166"/>
      <c r="B1079" s="168"/>
      <c r="C1079" s="166"/>
      <c r="D1079" s="166"/>
    </row>
    <row r="1080" spans="1:4" ht="12.75" customHeight="1">
      <c r="A1080" s="166"/>
      <c r="B1080" s="168"/>
      <c r="C1080" s="166"/>
      <c r="D1080" s="166"/>
    </row>
    <row r="1081" spans="1:4" ht="12.75" customHeight="1">
      <c r="A1081" s="166"/>
      <c r="B1081" s="168"/>
      <c r="C1081" s="166"/>
      <c r="D1081" s="166"/>
    </row>
    <row r="1082" spans="1:4" ht="12.75" customHeight="1">
      <c r="A1082" s="166"/>
      <c r="B1082" s="168"/>
      <c r="C1082" s="185"/>
      <c r="D1082" s="185"/>
    </row>
    <row r="1083" spans="1:4" ht="12.75" customHeight="1">
      <c r="A1083" s="166"/>
      <c r="B1083" s="168"/>
      <c r="C1083" s="185"/>
      <c r="D1083" s="185"/>
    </row>
  </sheetData>
  <mergeCells count="26"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C569:D570"/>
    <mergeCell ref="C604:G604"/>
    <mergeCell ref="C605:G605"/>
    <mergeCell ref="C571:C572"/>
    <mergeCell ref="C573:C574"/>
    <mergeCell ref="C575:C576"/>
    <mergeCell ref="C577:C578"/>
    <mergeCell ref="C579:C580"/>
    <mergeCell ref="C581:C582"/>
    <mergeCell ref="C583:C584"/>
    <mergeCell ref="D600:E600"/>
    <mergeCell ref="D601:E601"/>
    <mergeCell ref="F601:G601"/>
    <mergeCell ref="D602:G602"/>
    <mergeCell ref="C603:D603"/>
    <mergeCell ref="E603:G603"/>
  </mergeCells>
  <pageMargins left="0.69930555555555596" right="0.69930555555555596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C75"/>
  <sheetViews>
    <sheetView workbookViewId="0">
      <pane xSplit="2" ySplit="5" topLeftCell="C29" activePane="bottomRight" state="frozen"/>
      <selection pane="topRight"/>
      <selection pane="bottomLeft"/>
      <selection pane="bottomRight" activeCell="D36" sqref="D36:AA36"/>
    </sheetView>
  </sheetViews>
  <sheetFormatPr defaultColWidth="9.109375" defaultRowHeight="14.4"/>
  <cols>
    <col min="1" max="1" width="5.6640625" style="87" customWidth="1"/>
    <col min="2" max="2" width="54.6640625" style="80" customWidth="1"/>
    <col min="3" max="3" width="12.5546875" style="121" customWidth="1"/>
    <col min="4" max="30" width="10.5546875" style="121" customWidth="1"/>
    <col min="31" max="54" width="9.109375" style="80"/>
    <col min="55" max="55" width="11" style="80" customWidth="1"/>
    <col min="56" max="16384" width="9.109375" style="80"/>
  </cols>
  <sheetData>
    <row r="1" spans="1:55">
      <c r="B1" s="88" t="s">
        <v>746</v>
      </c>
      <c r="C1" s="147" t="s">
        <v>747</v>
      </c>
      <c r="D1" s="147" t="s">
        <v>748</v>
      </c>
      <c r="E1" s="147" t="s">
        <v>749</v>
      </c>
      <c r="F1" s="147" t="s">
        <v>750</v>
      </c>
      <c r="G1" s="147" t="s">
        <v>751</v>
      </c>
      <c r="H1" s="147" t="s">
        <v>752</v>
      </c>
      <c r="I1" s="147" t="s">
        <v>753</v>
      </c>
      <c r="J1" s="147" t="s">
        <v>754</v>
      </c>
      <c r="K1" s="147" t="s">
        <v>755</v>
      </c>
      <c r="L1" s="147" t="s">
        <v>756</v>
      </c>
      <c r="M1" s="147" t="s">
        <v>757</v>
      </c>
      <c r="N1" s="147" t="s">
        <v>758</v>
      </c>
      <c r="O1" s="147" t="s">
        <v>759</v>
      </c>
      <c r="P1" s="147" t="s">
        <v>760</v>
      </c>
      <c r="Q1" s="147" t="s">
        <v>761</v>
      </c>
      <c r="R1" s="147" t="s">
        <v>762</v>
      </c>
      <c r="S1" s="147" t="s">
        <v>763</v>
      </c>
      <c r="T1" s="147" t="s">
        <v>764</v>
      </c>
      <c r="U1" s="147" t="s">
        <v>765</v>
      </c>
      <c r="V1" s="147" t="s">
        <v>766</v>
      </c>
      <c r="W1" s="147" t="s">
        <v>767</v>
      </c>
      <c r="X1" s="147" t="s">
        <v>768</v>
      </c>
      <c r="Y1" s="147" t="s">
        <v>769</v>
      </c>
      <c r="Z1" s="147" t="s">
        <v>770</v>
      </c>
      <c r="AA1" s="147" t="s">
        <v>771</v>
      </c>
      <c r="AB1" s="147"/>
      <c r="AC1" s="147"/>
      <c r="AD1" s="147"/>
      <c r="BB1" s="86"/>
      <c r="BC1" s="86" t="s">
        <v>369</v>
      </c>
    </row>
    <row r="2" spans="1:55">
      <c r="B2" s="88" t="s">
        <v>772</v>
      </c>
      <c r="C2" s="147" t="s">
        <v>773</v>
      </c>
      <c r="D2" s="147" t="s">
        <v>774</v>
      </c>
      <c r="E2" s="147" t="s">
        <v>775</v>
      </c>
      <c r="F2" s="147" t="s">
        <v>776</v>
      </c>
      <c r="G2" s="147" t="s">
        <v>777</v>
      </c>
      <c r="H2" s="147" t="s">
        <v>778</v>
      </c>
      <c r="I2" s="147" t="s">
        <v>779</v>
      </c>
      <c r="J2" s="147" t="s">
        <v>780</v>
      </c>
      <c r="K2" s="147" t="s">
        <v>781</v>
      </c>
      <c r="L2" s="147" t="s">
        <v>782</v>
      </c>
      <c r="M2" s="147" t="s">
        <v>783</v>
      </c>
      <c r="N2" s="147" t="s">
        <v>784</v>
      </c>
      <c r="O2" s="147" t="s">
        <v>785</v>
      </c>
      <c r="P2" s="147" t="s">
        <v>786</v>
      </c>
      <c r="Q2" s="147" t="s">
        <v>787</v>
      </c>
      <c r="R2" s="147" t="s">
        <v>788</v>
      </c>
      <c r="S2" s="147" t="s">
        <v>789</v>
      </c>
      <c r="T2" s="147" t="s">
        <v>790</v>
      </c>
      <c r="U2" s="147" t="s">
        <v>791</v>
      </c>
      <c r="V2" s="147" t="s">
        <v>792</v>
      </c>
      <c r="W2" s="147" t="s">
        <v>793</v>
      </c>
      <c r="X2" s="147" t="s">
        <v>794</v>
      </c>
      <c r="Y2" s="147" t="s">
        <v>795</v>
      </c>
      <c r="Z2" s="147" t="s">
        <v>796</v>
      </c>
      <c r="AA2" s="147" t="s">
        <v>797</v>
      </c>
      <c r="AB2" s="147"/>
      <c r="AC2" s="147"/>
      <c r="AD2" s="147"/>
      <c r="BB2" s="86"/>
      <c r="BC2" s="86" t="s">
        <v>370</v>
      </c>
    </row>
    <row r="3" spans="1:55">
      <c r="B3" s="90" t="s">
        <v>798</v>
      </c>
      <c r="C3" s="128" t="s">
        <v>799</v>
      </c>
      <c r="D3" s="128" t="s">
        <v>800</v>
      </c>
      <c r="E3" s="128" t="s">
        <v>800</v>
      </c>
      <c r="F3" s="128" t="s">
        <v>800</v>
      </c>
      <c r="G3" s="128" t="s">
        <v>800</v>
      </c>
      <c r="H3" s="128" t="s">
        <v>800</v>
      </c>
      <c r="I3" s="128" t="s">
        <v>800</v>
      </c>
      <c r="J3" s="128" t="s">
        <v>800</v>
      </c>
      <c r="K3" s="128" t="s">
        <v>800</v>
      </c>
      <c r="L3" s="128" t="s">
        <v>800</v>
      </c>
      <c r="M3" s="128" t="s">
        <v>800</v>
      </c>
      <c r="N3" s="128" t="s">
        <v>800</v>
      </c>
      <c r="O3" s="128" t="s">
        <v>800</v>
      </c>
      <c r="P3" s="128" t="s">
        <v>800</v>
      </c>
      <c r="Q3" s="128" t="s">
        <v>800</v>
      </c>
      <c r="R3" s="128" t="s">
        <v>800</v>
      </c>
      <c r="S3" s="128" t="s">
        <v>800</v>
      </c>
      <c r="T3" s="128" t="s">
        <v>800</v>
      </c>
      <c r="U3" s="128" t="s">
        <v>800</v>
      </c>
      <c r="V3" s="128" t="s">
        <v>800</v>
      </c>
      <c r="W3" s="128" t="s">
        <v>800</v>
      </c>
      <c r="X3" s="128" t="s">
        <v>800</v>
      </c>
      <c r="Y3" s="128" t="s">
        <v>800</v>
      </c>
      <c r="Z3" s="128" t="s">
        <v>800</v>
      </c>
      <c r="AA3" s="128" t="s">
        <v>800</v>
      </c>
      <c r="AB3" s="128"/>
      <c r="AC3" s="128"/>
      <c r="AD3" s="128"/>
      <c r="BB3" s="86"/>
      <c r="BC3" s="118" t="s">
        <v>800</v>
      </c>
    </row>
    <row r="4" spans="1:55">
      <c r="B4" s="90" t="s">
        <v>801</v>
      </c>
      <c r="C4" s="148" t="str">
        <f t="shared" ref="C4:AD4" si="0">CONCATENATE(MID(C1,7,4),"-",MID(C2,9,2))</f>
        <v>2016-17</v>
      </c>
      <c r="D4" s="148" t="str">
        <f t="shared" si="0"/>
        <v>2017-18</v>
      </c>
      <c r="E4" s="148" t="str">
        <f t="shared" si="0"/>
        <v>2018-19</v>
      </c>
      <c r="F4" s="148" t="str">
        <f t="shared" si="0"/>
        <v>2019-20</v>
      </c>
      <c r="G4" s="148" t="str">
        <f t="shared" si="0"/>
        <v>2020-21</v>
      </c>
      <c r="H4" s="148" t="str">
        <f t="shared" si="0"/>
        <v>2021-22</v>
      </c>
      <c r="I4" s="148" t="str">
        <f t="shared" si="0"/>
        <v>2022-23</v>
      </c>
      <c r="J4" s="148" t="str">
        <f t="shared" si="0"/>
        <v>2023-24</v>
      </c>
      <c r="K4" s="148" t="str">
        <f t="shared" si="0"/>
        <v>2024-25</v>
      </c>
      <c r="L4" s="148" t="str">
        <f t="shared" si="0"/>
        <v>2025-26</v>
      </c>
      <c r="M4" s="148" t="str">
        <f t="shared" si="0"/>
        <v>2026-27</v>
      </c>
      <c r="N4" s="148" t="str">
        <f t="shared" si="0"/>
        <v>2027-28</v>
      </c>
      <c r="O4" s="148" t="str">
        <f t="shared" si="0"/>
        <v>2028-29</v>
      </c>
      <c r="P4" s="148" t="str">
        <f t="shared" si="0"/>
        <v>2029-30</v>
      </c>
      <c r="Q4" s="148" t="str">
        <f t="shared" si="0"/>
        <v>2030-31</v>
      </c>
      <c r="R4" s="148" t="str">
        <f t="shared" si="0"/>
        <v>2031-32</v>
      </c>
      <c r="S4" s="148" t="str">
        <f t="shared" si="0"/>
        <v>2032-33</v>
      </c>
      <c r="T4" s="148" t="str">
        <f t="shared" si="0"/>
        <v>2033-34</v>
      </c>
      <c r="U4" s="148" t="str">
        <f t="shared" si="0"/>
        <v>2034-35</v>
      </c>
      <c r="V4" s="148" t="str">
        <f t="shared" si="0"/>
        <v>2035-36</v>
      </c>
      <c r="W4" s="148" t="str">
        <f t="shared" si="0"/>
        <v>2036-37</v>
      </c>
      <c r="X4" s="148" t="str">
        <f t="shared" si="0"/>
        <v>2037-38</v>
      </c>
      <c r="Y4" s="148" t="str">
        <f t="shared" si="0"/>
        <v>2038-39</v>
      </c>
      <c r="Z4" s="148" t="str">
        <f t="shared" si="0"/>
        <v>2039-40</v>
      </c>
      <c r="AA4" s="148" t="str">
        <f t="shared" si="0"/>
        <v>2040-41</v>
      </c>
      <c r="AB4" s="148" t="str">
        <f t="shared" si="0"/>
        <v>-</v>
      </c>
      <c r="AC4" s="148" t="str">
        <f t="shared" si="0"/>
        <v>-</v>
      </c>
      <c r="AD4" s="148" t="str">
        <f t="shared" si="0"/>
        <v>-</v>
      </c>
      <c r="BB4" s="86"/>
      <c r="BC4" s="86" t="s">
        <v>799</v>
      </c>
    </row>
    <row r="5" spans="1:55" ht="30" customHeight="1">
      <c r="A5" s="91" t="s">
        <v>802</v>
      </c>
      <c r="B5" s="91" t="s">
        <v>803</v>
      </c>
      <c r="C5" s="149" t="s">
        <v>804</v>
      </c>
      <c r="D5" s="149" t="s">
        <v>804</v>
      </c>
      <c r="E5" s="149" t="s">
        <v>804</v>
      </c>
      <c r="F5" s="149" t="s">
        <v>804</v>
      </c>
      <c r="G5" s="149" t="s">
        <v>804</v>
      </c>
      <c r="H5" s="149" t="s">
        <v>804</v>
      </c>
      <c r="I5" s="149" t="s">
        <v>804</v>
      </c>
      <c r="J5" s="149" t="s">
        <v>804</v>
      </c>
      <c r="K5" s="149" t="s">
        <v>804</v>
      </c>
      <c r="L5" s="149" t="s">
        <v>804</v>
      </c>
      <c r="M5" s="149" t="s">
        <v>804</v>
      </c>
      <c r="N5" s="149" t="s">
        <v>804</v>
      </c>
      <c r="O5" s="149" t="s">
        <v>804</v>
      </c>
      <c r="P5" s="149" t="s">
        <v>804</v>
      </c>
      <c r="Q5" s="149" t="s">
        <v>804</v>
      </c>
      <c r="R5" s="149" t="s">
        <v>804</v>
      </c>
      <c r="S5" s="149" t="s">
        <v>804</v>
      </c>
      <c r="T5" s="149" t="s">
        <v>804</v>
      </c>
      <c r="U5" s="149" t="s">
        <v>804</v>
      </c>
      <c r="V5" s="149" t="s">
        <v>804</v>
      </c>
      <c r="W5" s="149" t="s">
        <v>804</v>
      </c>
      <c r="X5" s="149" t="s">
        <v>804</v>
      </c>
      <c r="Y5" s="149" t="s">
        <v>804</v>
      </c>
      <c r="Z5" s="149" t="s">
        <v>804</v>
      </c>
      <c r="AA5" s="149" t="s">
        <v>804</v>
      </c>
      <c r="AB5" s="149" t="s">
        <v>804</v>
      </c>
      <c r="AC5" s="149" t="s">
        <v>804</v>
      </c>
      <c r="AD5" s="149" t="s">
        <v>804</v>
      </c>
    </row>
    <row r="6" spans="1:55" s="81" customFormat="1">
      <c r="A6" s="122"/>
      <c r="B6" s="150" t="s">
        <v>805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</row>
    <row r="7" spans="1:55">
      <c r="A7" s="122">
        <v>1</v>
      </c>
      <c r="B7" s="127" t="s">
        <v>806</v>
      </c>
      <c r="C7" s="128">
        <f>Financials!E3</f>
        <v>1833.56</v>
      </c>
      <c r="D7" s="128">
        <f>Financials!H3</f>
        <v>1815.88</v>
      </c>
      <c r="E7" s="128">
        <f>Financials!I3</f>
        <v>1523.48</v>
      </c>
      <c r="F7" s="128">
        <f>Financials!J3</f>
        <v>1550.95</v>
      </c>
      <c r="G7" s="128">
        <f>Financials!K3</f>
        <v>1897.29</v>
      </c>
      <c r="H7" s="128">
        <f>Financials!L3</f>
        <v>913.89</v>
      </c>
      <c r="I7" s="128">
        <f>Financials!M3</f>
        <v>1886.48</v>
      </c>
      <c r="J7" s="128">
        <f>Financials!N3</f>
        <v>3155.4006019199996</v>
      </c>
      <c r="K7" s="128">
        <f>Financials!O3</f>
        <v>3146.7792887999999</v>
      </c>
      <c r="L7" s="128">
        <f>Financials!P3</f>
        <v>3146.7792887999999</v>
      </c>
      <c r="M7" s="128">
        <f>Financials!Q3</f>
        <v>3379.9469883479996</v>
      </c>
      <c r="N7" s="128">
        <f>Financials!R3</f>
        <v>3389.2071170831996</v>
      </c>
      <c r="O7" s="128">
        <f>Financials!S3</f>
        <v>3601.2439330560001</v>
      </c>
      <c r="P7" s="128">
        <f>Financials!T3</f>
        <v>3700.6124436288001</v>
      </c>
      <c r="Q7" s="128">
        <f>Financials!U3</f>
        <v>3852.2805494922</v>
      </c>
      <c r="R7" s="128">
        <f>Financials!V3</f>
        <v>3862.8347427784802</v>
      </c>
      <c r="S7" s="128">
        <f>Financials!W3</f>
        <v>4114.8066499633806</v>
      </c>
      <c r="T7" s="128">
        <f>Financials!X3</f>
        <v>4204.1460881233816</v>
      </c>
      <c r="U7" s="128">
        <f>Financials!Y3</f>
        <v>4363.3975992799506</v>
      </c>
      <c r="V7" s="128">
        <f>Financials!Z3</f>
        <v>4495.5048494691091</v>
      </c>
      <c r="W7" s="128">
        <f>Financials!AA3</f>
        <v>4574.0024461739486</v>
      </c>
      <c r="X7" s="128">
        <f>Financials!AB3</f>
        <v>4634.5227107339488</v>
      </c>
      <c r="Y7" s="128">
        <f>Financials!AC3</f>
        <v>4866.248846270646</v>
      </c>
      <c r="Z7" s="128">
        <f>Financials!AD3</f>
        <v>4270.2331656905644</v>
      </c>
      <c r="AA7" s="128">
        <f>Financials!AE3</f>
        <v>2077.5097493129183</v>
      </c>
      <c r="AB7" s="128"/>
      <c r="AC7" s="128"/>
      <c r="AD7" s="128"/>
    </row>
    <row r="8" spans="1:55">
      <c r="A8" s="122">
        <v>2</v>
      </c>
      <c r="B8" s="127" t="s">
        <v>807</v>
      </c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</row>
    <row r="9" spans="1:55">
      <c r="A9" s="122">
        <v>3</v>
      </c>
      <c r="B9" s="127" t="s">
        <v>808</v>
      </c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</row>
    <row r="10" spans="1:55">
      <c r="A10" s="122">
        <v>4</v>
      </c>
      <c r="B10" s="152" t="s">
        <v>809</v>
      </c>
      <c r="C10" s="153">
        <f t="shared" ref="C10:AD10" si="1">C7+C8+C9</f>
        <v>1833.56</v>
      </c>
      <c r="D10" s="153">
        <f t="shared" si="1"/>
        <v>1815.88</v>
      </c>
      <c r="E10" s="153">
        <f t="shared" si="1"/>
        <v>1523.48</v>
      </c>
      <c r="F10" s="153">
        <f t="shared" si="1"/>
        <v>1550.95</v>
      </c>
      <c r="G10" s="153">
        <f t="shared" si="1"/>
        <v>1897.29</v>
      </c>
      <c r="H10" s="153">
        <f t="shared" si="1"/>
        <v>913.89</v>
      </c>
      <c r="I10" s="153">
        <f t="shared" si="1"/>
        <v>1886.48</v>
      </c>
      <c r="J10" s="153">
        <f t="shared" si="1"/>
        <v>3155.4006019199996</v>
      </c>
      <c r="K10" s="153">
        <f t="shared" si="1"/>
        <v>3146.7792887999999</v>
      </c>
      <c r="L10" s="153">
        <f t="shared" si="1"/>
        <v>3146.7792887999999</v>
      </c>
      <c r="M10" s="153">
        <f t="shared" si="1"/>
        <v>3379.9469883479996</v>
      </c>
      <c r="N10" s="153">
        <f t="shared" si="1"/>
        <v>3389.2071170831996</v>
      </c>
      <c r="O10" s="153">
        <f t="shared" si="1"/>
        <v>3601.2439330560001</v>
      </c>
      <c r="P10" s="153">
        <f t="shared" si="1"/>
        <v>3700.6124436288001</v>
      </c>
      <c r="Q10" s="153">
        <f t="shared" si="1"/>
        <v>3852.2805494922</v>
      </c>
      <c r="R10" s="153">
        <f t="shared" si="1"/>
        <v>3862.8347427784802</v>
      </c>
      <c r="S10" s="153">
        <f t="shared" si="1"/>
        <v>4114.8066499633806</v>
      </c>
      <c r="T10" s="153">
        <f t="shared" si="1"/>
        <v>4204.1460881233816</v>
      </c>
      <c r="U10" s="153">
        <f t="shared" si="1"/>
        <v>4363.3975992799506</v>
      </c>
      <c r="V10" s="153">
        <f t="shared" si="1"/>
        <v>4495.5048494691091</v>
      </c>
      <c r="W10" s="153">
        <f t="shared" si="1"/>
        <v>4574.0024461739486</v>
      </c>
      <c r="X10" s="153">
        <f t="shared" si="1"/>
        <v>4634.5227107339488</v>
      </c>
      <c r="Y10" s="153">
        <f t="shared" si="1"/>
        <v>4866.248846270646</v>
      </c>
      <c r="Z10" s="153">
        <f t="shared" si="1"/>
        <v>4270.2331656905644</v>
      </c>
      <c r="AA10" s="153">
        <f t="shared" si="1"/>
        <v>2077.5097493129183</v>
      </c>
      <c r="AB10" s="153">
        <f t="shared" si="1"/>
        <v>0</v>
      </c>
      <c r="AC10" s="153">
        <f t="shared" si="1"/>
        <v>0</v>
      </c>
      <c r="AD10" s="153">
        <f t="shared" si="1"/>
        <v>0</v>
      </c>
    </row>
    <row r="11" spans="1:55">
      <c r="A11" s="122">
        <v>5</v>
      </c>
      <c r="B11" s="127" t="s">
        <v>810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</row>
    <row r="12" spans="1:55">
      <c r="A12" s="122">
        <v>6</v>
      </c>
      <c r="B12" s="127" t="s">
        <v>811</v>
      </c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</row>
    <row r="13" spans="1:55">
      <c r="A13" s="122">
        <v>7</v>
      </c>
      <c r="B13" s="152" t="s">
        <v>812</v>
      </c>
      <c r="C13" s="153">
        <f t="shared" ref="C13:AD13" si="2">C10-C11-C12</f>
        <v>1833.56</v>
      </c>
      <c r="D13" s="153">
        <f t="shared" si="2"/>
        <v>1815.88</v>
      </c>
      <c r="E13" s="153">
        <f t="shared" si="2"/>
        <v>1523.48</v>
      </c>
      <c r="F13" s="153">
        <f t="shared" si="2"/>
        <v>1550.95</v>
      </c>
      <c r="G13" s="153">
        <f t="shared" si="2"/>
        <v>1897.29</v>
      </c>
      <c r="H13" s="153">
        <f t="shared" si="2"/>
        <v>913.89</v>
      </c>
      <c r="I13" s="153">
        <f t="shared" si="2"/>
        <v>1886.48</v>
      </c>
      <c r="J13" s="153">
        <f t="shared" si="2"/>
        <v>3155.4006019199996</v>
      </c>
      <c r="K13" s="153">
        <f t="shared" si="2"/>
        <v>3146.7792887999999</v>
      </c>
      <c r="L13" s="153">
        <f t="shared" si="2"/>
        <v>3146.7792887999999</v>
      </c>
      <c r="M13" s="153">
        <f t="shared" si="2"/>
        <v>3379.9469883479996</v>
      </c>
      <c r="N13" s="153">
        <f t="shared" si="2"/>
        <v>3389.2071170831996</v>
      </c>
      <c r="O13" s="153">
        <f t="shared" si="2"/>
        <v>3601.2439330560001</v>
      </c>
      <c r="P13" s="153">
        <f t="shared" si="2"/>
        <v>3700.6124436288001</v>
      </c>
      <c r="Q13" s="153">
        <f t="shared" si="2"/>
        <v>3852.2805494922</v>
      </c>
      <c r="R13" s="153">
        <f t="shared" si="2"/>
        <v>3862.8347427784802</v>
      </c>
      <c r="S13" s="153">
        <f t="shared" si="2"/>
        <v>4114.8066499633806</v>
      </c>
      <c r="T13" s="153">
        <f t="shared" si="2"/>
        <v>4204.1460881233816</v>
      </c>
      <c r="U13" s="153">
        <f t="shared" si="2"/>
        <v>4363.3975992799506</v>
      </c>
      <c r="V13" s="153">
        <f t="shared" si="2"/>
        <v>4495.5048494691091</v>
      </c>
      <c r="W13" s="153">
        <f t="shared" si="2"/>
        <v>4574.0024461739486</v>
      </c>
      <c r="X13" s="153">
        <f t="shared" si="2"/>
        <v>4634.5227107339488</v>
      </c>
      <c r="Y13" s="153">
        <f t="shared" si="2"/>
        <v>4866.248846270646</v>
      </c>
      <c r="Z13" s="153">
        <f t="shared" si="2"/>
        <v>4270.2331656905644</v>
      </c>
      <c r="AA13" s="153">
        <f t="shared" si="2"/>
        <v>2077.5097493129183</v>
      </c>
      <c r="AB13" s="153">
        <f t="shared" si="2"/>
        <v>0</v>
      </c>
      <c r="AC13" s="153">
        <f t="shared" si="2"/>
        <v>0</v>
      </c>
      <c r="AD13" s="153">
        <f t="shared" si="2"/>
        <v>0</v>
      </c>
    </row>
    <row r="14" spans="1:55">
      <c r="A14" s="122">
        <v>8</v>
      </c>
      <c r="B14" s="125" t="s">
        <v>813</v>
      </c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</row>
    <row r="15" spans="1:55" ht="30" customHeight="1">
      <c r="A15" s="122">
        <v>9</v>
      </c>
      <c r="B15" s="154" t="s">
        <v>814</v>
      </c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</row>
    <row r="16" spans="1:55">
      <c r="A16" s="122">
        <v>10</v>
      </c>
      <c r="B16" s="127" t="s">
        <v>815</v>
      </c>
      <c r="C16" s="128">
        <f>Financials!E5</f>
        <v>924.92</v>
      </c>
      <c r="D16" s="128">
        <f>Financials!H5</f>
        <v>1174.0999999999999</v>
      </c>
      <c r="E16" s="128">
        <f>Financials!I5</f>
        <v>1020.59</v>
      </c>
      <c r="F16" s="128">
        <f>Financials!J5</f>
        <v>1049.8800000000001</v>
      </c>
      <c r="G16" s="128" t="e">
        <f>Financials!#REF!</f>
        <v>#REF!</v>
      </c>
      <c r="H16" s="128">
        <f>Financials!L5</f>
        <v>587.4</v>
      </c>
      <c r="I16" s="128">
        <f>Financials!M5</f>
        <v>1651.77</v>
      </c>
      <c r="J16" s="128">
        <f>Financials!N5</f>
        <v>3727.239251185511</v>
      </c>
      <c r="K16" s="128">
        <f>Financials!O5</f>
        <v>3792.7168775876962</v>
      </c>
      <c r="L16" s="128">
        <f>Financials!P5</f>
        <v>3870.0261392942884</v>
      </c>
      <c r="M16" s="128">
        <f>Financials!Q5</f>
        <v>4129.7087531421039</v>
      </c>
      <c r="N16" s="128">
        <f>Financials!R5</f>
        <v>4225.6688090327425</v>
      </c>
      <c r="O16" s="128">
        <f>Financials!S5</f>
        <v>4488.5391728953582</v>
      </c>
      <c r="P16" s="128">
        <f>Financials!T5</f>
        <v>4580.5473106422724</v>
      </c>
      <c r="Q16" s="128">
        <f>Financials!U5</f>
        <v>4870.5275395857443</v>
      </c>
      <c r="R16" s="128">
        <f>Financials!V5</f>
        <v>4984.2676469389462</v>
      </c>
      <c r="S16" s="128">
        <f>Financials!W5</f>
        <v>5277.0733538681361</v>
      </c>
      <c r="T16" s="128">
        <f>Financials!X5</f>
        <v>5385.8630093158699</v>
      </c>
      <c r="U16" s="128">
        <f>Financials!Y5</f>
        <v>5709.6613760406999</v>
      </c>
      <c r="V16" s="128">
        <f>Financials!Z5</f>
        <v>5843.6753118995784</v>
      </c>
      <c r="W16" s="128">
        <f>Financials!AA5</f>
        <v>6083.6682895522554</v>
      </c>
      <c r="X16" s="128">
        <f>Financials!AB5</f>
        <v>6301.8828794577857</v>
      </c>
      <c r="Y16" s="128">
        <f>Financials!AC5</f>
        <v>6432.7465492341707</v>
      </c>
      <c r="Z16" s="128">
        <f>Financials!AD5</f>
        <v>5664.6016352577935</v>
      </c>
      <c r="AA16" s="128">
        <f>Financials!AE5</f>
        <v>2575.664755802743</v>
      </c>
      <c r="AB16" s="128"/>
      <c r="AC16" s="128"/>
      <c r="AD16" s="128"/>
    </row>
    <row r="17" spans="1:30">
      <c r="A17" s="122">
        <v>11</v>
      </c>
      <c r="B17" s="127" t="s">
        <v>816</v>
      </c>
      <c r="C17" s="128">
        <f>Financials!E6</f>
        <v>15.35</v>
      </c>
      <c r="D17" s="128">
        <f>Financials!H6</f>
        <v>6.67</v>
      </c>
      <c r="E17" s="128">
        <f>Financials!I6</f>
        <v>10.1</v>
      </c>
      <c r="F17" s="128">
        <f>Financials!J6</f>
        <v>11.78</v>
      </c>
      <c r="G17" s="128">
        <f>Financials!K6</f>
        <v>8.73</v>
      </c>
      <c r="H17" s="128">
        <f>Financials!L6</f>
        <v>10.66</v>
      </c>
      <c r="I17" s="128">
        <f>Financials!M6</f>
        <v>15.11</v>
      </c>
      <c r="J17" s="128">
        <f>Financials!N6</f>
        <v>99.159338541585242</v>
      </c>
      <c r="K17" s="128">
        <f>Financials!O6</f>
        <v>100.86617961484205</v>
      </c>
      <c r="L17" s="128">
        <f>Financials!P6</f>
        <v>102.88350320713892</v>
      </c>
      <c r="M17" s="128">
        <f>Financials!Q6</f>
        <v>109.71122660179446</v>
      </c>
      <c r="N17" s="128">
        <f>Financials!R6</f>
        <v>112.21204141090936</v>
      </c>
      <c r="O17" s="128">
        <f>Financials!S6</f>
        <v>119.10632364157252</v>
      </c>
      <c r="P17" s="128">
        <f>Financials!T6</f>
        <v>121.48845011440395</v>
      </c>
      <c r="Q17" s="128">
        <f>Financials!U6</f>
        <v>129.08147824655418</v>
      </c>
      <c r="R17" s="128">
        <f>Financials!V6</f>
        <v>132.02382865480439</v>
      </c>
      <c r="S17" s="128">
        <f>Financials!W6</f>
        <v>139.66822476642358</v>
      </c>
      <c r="T17" s="128">
        <f>Financials!X6</f>
        <v>142.46158926175207</v>
      </c>
      <c r="U17" s="128">
        <f>Financials!Y6</f>
        <v>150.89969877956355</v>
      </c>
      <c r="V17" s="128">
        <f>Financials!Z6</f>
        <v>154.33938506407304</v>
      </c>
      <c r="W17" s="128">
        <f>Financials!AA6</f>
        <v>160.48484764604143</v>
      </c>
      <c r="X17" s="128">
        <f>Financials!AB6</f>
        <v>166.06692930329501</v>
      </c>
      <c r="Y17" s="128">
        <f>Financials!AC6</f>
        <v>169.38826788936092</v>
      </c>
      <c r="Z17" s="128">
        <f>Financials!AD6</f>
        <v>149.58144248246251</v>
      </c>
      <c r="AA17" s="128">
        <f>Financials!AE6</f>
        <v>69.285556127082401</v>
      </c>
      <c r="AB17" s="128"/>
      <c r="AC17" s="128"/>
      <c r="AD17" s="128"/>
    </row>
    <row r="18" spans="1:30">
      <c r="A18" s="122">
        <v>12</v>
      </c>
      <c r="B18" s="129" t="s">
        <v>817</v>
      </c>
      <c r="C18" s="153">
        <f t="shared" ref="C18:AD18" si="3">C16+C17</f>
        <v>940.27</v>
      </c>
      <c r="D18" s="153">
        <f t="shared" si="3"/>
        <v>1180.77</v>
      </c>
      <c r="E18" s="153">
        <f t="shared" si="3"/>
        <v>1030.69</v>
      </c>
      <c r="F18" s="153">
        <f t="shared" si="3"/>
        <v>1061.6600000000001</v>
      </c>
      <c r="G18" s="153" t="e">
        <f t="shared" si="3"/>
        <v>#REF!</v>
      </c>
      <c r="H18" s="153">
        <f t="shared" si="3"/>
        <v>598.05999999999995</v>
      </c>
      <c r="I18" s="153">
        <f t="shared" si="3"/>
        <v>1666.8799999999999</v>
      </c>
      <c r="J18" s="153">
        <f t="shared" si="3"/>
        <v>3826.3985897270964</v>
      </c>
      <c r="K18" s="153">
        <f t="shared" si="3"/>
        <v>3893.5830572025384</v>
      </c>
      <c r="L18" s="153">
        <f t="shared" si="3"/>
        <v>3972.9096425014272</v>
      </c>
      <c r="M18" s="153">
        <f t="shared" si="3"/>
        <v>4239.4199797438987</v>
      </c>
      <c r="N18" s="153">
        <f t="shared" si="3"/>
        <v>4337.880850443652</v>
      </c>
      <c r="O18" s="153">
        <f t="shared" si="3"/>
        <v>4607.6454965369303</v>
      </c>
      <c r="P18" s="153">
        <f t="shared" si="3"/>
        <v>4702.0357607566766</v>
      </c>
      <c r="Q18" s="153">
        <f t="shared" si="3"/>
        <v>4999.6090178322984</v>
      </c>
      <c r="R18" s="153">
        <f t="shared" si="3"/>
        <v>5116.2914755937509</v>
      </c>
      <c r="S18" s="153">
        <f t="shared" si="3"/>
        <v>5416.74157863456</v>
      </c>
      <c r="T18" s="153">
        <f t="shared" si="3"/>
        <v>5528.3245985776221</v>
      </c>
      <c r="U18" s="153">
        <f t="shared" si="3"/>
        <v>5860.5610748202635</v>
      </c>
      <c r="V18" s="153">
        <f t="shared" si="3"/>
        <v>5998.0146969636517</v>
      </c>
      <c r="W18" s="153">
        <f t="shared" si="3"/>
        <v>6244.1531371982965</v>
      </c>
      <c r="X18" s="153">
        <f t="shared" si="3"/>
        <v>6467.9498087610809</v>
      </c>
      <c r="Y18" s="153">
        <f t="shared" si="3"/>
        <v>6602.1348171235313</v>
      </c>
      <c r="Z18" s="153">
        <f t="shared" si="3"/>
        <v>5814.1830777402556</v>
      </c>
      <c r="AA18" s="153">
        <f t="shared" si="3"/>
        <v>2644.9503119298256</v>
      </c>
      <c r="AB18" s="153">
        <f t="shared" si="3"/>
        <v>0</v>
      </c>
      <c r="AC18" s="153">
        <f t="shared" si="3"/>
        <v>0</v>
      </c>
      <c r="AD18" s="153">
        <f t="shared" si="3"/>
        <v>0</v>
      </c>
    </row>
    <row r="19" spans="1:30">
      <c r="A19" s="122">
        <v>13</v>
      </c>
      <c r="B19" s="127" t="s">
        <v>818</v>
      </c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</row>
    <row r="20" spans="1:30">
      <c r="A20" s="122">
        <v>14</v>
      </c>
      <c r="B20" s="127" t="s">
        <v>819</v>
      </c>
      <c r="C20" s="155">
        <f>0.177025781583359*SUM(Financials!E8:E9)</f>
        <v>18.141602096662627</v>
      </c>
      <c r="D20" s="155">
        <f>0.177025781583359*SUM(Financials!H8:H9)</f>
        <v>17.242311126219168</v>
      </c>
      <c r="E20" s="155">
        <f>0.177025781583359*SUM(Financials!I8:I9)</f>
        <v>15.650849349784767</v>
      </c>
      <c r="F20" s="155">
        <f>0.177025781583359*SUM(Financials!J8:J9)</f>
        <v>20.989946922338873</v>
      </c>
      <c r="G20" s="155">
        <f>0.177025781583359*SUM(Financials!K8:K9)</f>
        <v>14.514343832019604</v>
      </c>
      <c r="H20" s="155">
        <f>0.177025781583359*SUM(Financials!L8:L9)</f>
        <v>29.435846961680934</v>
      </c>
      <c r="I20" s="155">
        <f>0.177025781583359*SUM(Financials!M8:M9)</f>
        <v>24.126843771995997</v>
      </c>
      <c r="J20" s="155">
        <f>0.177025781583359*SUM(Financials!N8:N9)</f>
        <v>43.305546484025342</v>
      </c>
      <c r="K20" s="155">
        <f>0.177025781583359*SUM(Financials!O8:O9)</f>
        <v>44.063013986901026</v>
      </c>
      <c r="L20" s="155">
        <f>0.177025781583359*SUM(Financials!P8:P9)</f>
        <v>44.84320551486298</v>
      </c>
      <c r="M20" s="155">
        <f>0.177025781583359*SUM(Financials!Q8:Q9)</f>
        <v>45.646802788663798</v>
      </c>
      <c r="N20" s="155">
        <f>0.177025781583359*SUM(Financials!R8:R9)</f>
        <v>46.474507980678638</v>
      </c>
      <c r="O20" s="155">
        <f>0.177025781583359*SUM(Financials!S8:S9)</f>
        <v>47.327044328453908</v>
      </c>
      <c r="P20" s="155">
        <f>0.177025781583359*SUM(Financials!T8:T9)</f>
        <v>48.205156766662448</v>
      </c>
      <c r="Q20" s="155">
        <f>0.177025781583359*SUM(Financials!U8:U9)</f>
        <v>49.109612578017249</v>
      </c>
      <c r="R20" s="155">
        <f>0.177025781583359*SUM(Financials!V8:V9)</f>
        <v>50.041202063712689</v>
      </c>
      <c r="S20" s="155">
        <f>0.177025781583359*SUM(Financials!W8:W9)</f>
        <v>51.000739233978997</v>
      </c>
      <c r="T20" s="155">
        <f>0.177025781583359*SUM(Financials!X8:X9)</f>
        <v>51.98906251935329</v>
      </c>
      <c r="U20" s="155">
        <f>0.177025781583359*SUM(Financials!Y8:Y9)</f>
        <v>53.007035503288812</v>
      </c>
      <c r="V20" s="155">
        <f>0.177025781583359*SUM(Financials!Z8:Z9)</f>
        <v>54.055547676742393</v>
      </c>
      <c r="W20" s="155">
        <f>0.177025781583359*SUM(Financials!AA8:AA9)</f>
        <v>55.135515215399586</v>
      </c>
      <c r="X20" s="155">
        <f>0.177025781583359*SUM(Financials!AB8:AB9)</f>
        <v>56.247881780216495</v>
      </c>
      <c r="Y20" s="155">
        <f>0.177025781583359*SUM(Financials!AC8:AC9)</f>
        <v>55.13654062679008</v>
      </c>
      <c r="Z20" s="155">
        <f>0.177025781583359*SUM(Financials!AD8:AD9)</f>
        <v>44.010291313407862</v>
      </c>
      <c r="AA20" s="155">
        <f>0.177025781583359*SUM(Financials!AE8:AE9)</f>
        <v>23.555651666129066</v>
      </c>
      <c r="AB20" s="128"/>
      <c r="AC20" s="128"/>
      <c r="AD20" s="128"/>
    </row>
    <row r="21" spans="1:30">
      <c r="A21" s="122">
        <v>15</v>
      </c>
      <c r="B21" s="129" t="s">
        <v>820</v>
      </c>
      <c r="C21" s="153">
        <f t="shared" ref="C21:AD21" si="4">C19+C20</f>
        <v>18.141602096662627</v>
      </c>
      <c r="D21" s="153">
        <f t="shared" si="4"/>
        <v>17.242311126219168</v>
      </c>
      <c r="E21" s="153">
        <f t="shared" si="4"/>
        <v>15.650849349784767</v>
      </c>
      <c r="F21" s="153">
        <f t="shared" si="4"/>
        <v>20.989946922338873</v>
      </c>
      <c r="G21" s="153">
        <f t="shared" si="4"/>
        <v>14.514343832019604</v>
      </c>
      <c r="H21" s="153">
        <f t="shared" si="4"/>
        <v>29.435846961680934</v>
      </c>
      <c r="I21" s="153">
        <f t="shared" si="4"/>
        <v>24.126843771995997</v>
      </c>
      <c r="J21" s="153">
        <f t="shared" si="4"/>
        <v>43.305546484025342</v>
      </c>
      <c r="K21" s="153">
        <f t="shared" si="4"/>
        <v>44.063013986901026</v>
      </c>
      <c r="L21" s="153">
        <f t="shared" si="4"/>
        <v>44.84320551486298</v>
      </c>
      <c r="M21" s="153">
        <f t="shared" si="4"/>
        <v>45.646802788663798</v>
      </c>
      <c r="N21" s="153">
        <f t="shared" si="4"/>
        <v>46.474507980678638</v>
      </c>
      <c r="O21" s="153">
        <f t="shared" si="4"/>
        <v>47.327044328453908</v>
      </c>
      <c r="P21" s="153">
        <f t="shared" si="4"/>
        <v>48.205156766662448</v>
      </c>
      <c r="Q21" s="153">
        <f t="shared" si="4"/>
        <v>49.109612578017249</v>
      </c>
      <c r="R21" s="153">
        <f t="shared" si="4"/>
        <v>50.041202063712689</v>
      </c>
      <c r="S21" s="153">
        <f t="shared" si="4"/>
        <v>51.000739233978997</v>
      </c>
      <c r="T21" s="153">
        <f t="shared" si="4"/>
        <v>51.98906251935329</v>
      </c>
      <c r="U21" s="153">
        <f t="shared" si="4"/>
        <v>53.007035503288812</v>
      </c>
      <c r="V21" s="153">
        <f t="shared" si="4"/>
        <v>54.055547676742393</v>
      </c>
      <c r="W21" s="153">
        <f t="shared" si="4"/>
        <v>55.135515215399586</v>
      </c>
      <c r="X21" s="153">
        <f t="shared" si="4"/>
        <v>56.247881780216495</v>
      </c>
      <c r="Y21" s="153">
        <f t="shared" si="4"/>
        <v>55.13654062679008</v>
      </c>
      <c r="Z21" s="153">
        <f t="shared" si="4"/>
        <v>44.010291313407862</v>
      </c>
      <c r="AA21" s="153">
        <f t="shared" si="4"/>
        <v>23.555651666129066</v>
      </c>
      <c r="AB21" s="153">
        <f t="shared" si="4"/>
        <v>0</v>
      </c>
      <c r="AC21" s="153">
        <f t="shared" si="4"/>
        <v>0</v>
      </c>
      <c r="AD21" s="153">
        <f t="shared" si="4"/>
        <v>0</v>
      </c>
    </row>
    <row r="22" spans="1:30">
      <c r="A22" s="122">
        <v>16</v>
      </c>
      <c r="B22" s="135" t="s">
        <v>821</v>
      </c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</row>
    <row r="23" spans="1:30">
      <c r="A23" s="122">
        <v>17</v>
      </c>
      <c r="B23" s="135" t="s">
        <v>822</v>
      </c>
      <c r="C23" s="128">
        <f>0.11731417072646*(Financials!E8+Financials!E9)</f>
        <v>12.022356216047619</v>
      </c>
      <c r="D23" s="128">
        <f>0.11731417072646*(Financials!H8+Financials!H9)</f>
        <v>11.426400228757204</v>
      </c>
      <c r="E23" s="128">
        <f>0.11731417072646*(Financials!I8+Financials!I9)</f>
        <v>10.371745833926328</v>
      </c>
      <c r="F23" s="128">
        <f>0.11731417072646*(Financials!J8+Financials!J9)</f>
        <v>13.909941223036361</v>
      </c>
      <c r="G23" s="128">
        <f>0.11731417072646*(Financials!K8+Financials!K9)</f>
        <v>9.6185888578624539</v>
      </c>
      <c r="H23" s="128">
        <f>0.11731417072646*(Financials!L8+Financials!L9)</f>
        <v>19.507000308395767</v>
      </c>
      <c r="I23" s="128">
        <f>0.11731417072646*(Financials!M8+Financials!M9)</f>
        <v>15.988748328309232</v>
      </c>
      <c r="J23" s="128">
        <f>0.11731417072646*(Financials!N8+Financials!N9)</f>
        <v>28.698386349094186</v>
      </c>
      <c r="K23" s="128">
        <f>0.11731417072646*(Financials!O8+Financials!O9)</f>
        <v>29.200356577144046</v>
      </c>
      <c r="L23" s="128">
        <f>0.11731417072646*(Financials!P8+Financials!P9)</f>
        <v>29.7173859120354</v>
      </c>
      <c r="M23" s="128">
        <f>0.11731417072646*(Financials!Q8+Financials!Q9)</f>
        <v>30.249926126973499</v>
      </c>
      <c r="N23" s="128">
        <f>0.11731417072646*(Financials!R8+Financials!R9)</f>
        <v>30.798442548359738</v>
      </c>
      <c r="O23" s="128">
        <f>0.11731417072646*(Financials!S8+Financials!S9)</f>
        <v>31.363414462387556</v>
      </c>
      <c r="P23" s="128">
        <f>0.11731417072646*(Financials!T8+Financials!T9)</f>
        <v>31.945335533836214</v>
      </c>
      <c r="Q23" s="128">
        <f>0.11731417072646*(Financials!U8+Financials!U9)</f>
        <v>32.544714237428337</v>
      </c>
      <c r="R23" s="128">
        <f>0.11731417072646*(Financials!V8+Financials!V9)</f>
        <v>33.162074302128225</v>
      </c>
      <c r="S23" s="128">
        <f>0.11731417072646*(Financials!W8+Financials!W9)</f>
        <v>33.797955168769107</v>
      </c>
      <c r="T23" s="128">
        <f>0.11731417072646*(Financials!X8+Financials!X9)</f>
        <v>34.452912461409213</v>
      </c>
      <c r="U23" s="128">
        <f>0.11731417072646*(Financials!Y8+Financials!Y9)</f>
        <v>35.12751847282852</v>
      </c>
      <c r="V23" s="128">
        <f>0.11731417072646*(Financials!Z8+Financials!Z9)</f>
        <v>35.822362664590408</v>
      </c>
      <c r="W23" s="128">
        <f>0.11731417072646*(Financials!AA8+Financials!AA9)</f>
        <v>36.538052182105147</v>
      </c>
      <c r="X23" s="128">
        <f>0.11731417072646*(Financials!AB8+Financials!AB9)</f>
        <v>37.275212385145338</v>
      </c>
      <c r="Y23" s="128">
        <f>0.11731417072646*(Financials!AC8+Financials!AC9)</f>
        <v>36.538731717514366</v>
      </c>
      <c r="Z23" s="128">
        <f>0.11731417072646*(Financials!AD8+Financials!AD9)</f>
        <v>29.1654175040666</v>
      </c>
      <c r="AA23" s="128">
        <f>0.11731417072646*(Financials!AE8+Financials!AE9)</f>
        <v>15.610221948558577</v>
      </c>
      <c r="AB23" s="128"/>
      <c r="AC23" s="128"/>
      <c r="AD23" s="128"/>
    </row>
    <row r="24" spans="1:30">
      <c r="A24" s="122">
        <v>18</v>
      </c>
      <c r="B24" s="135" t="s">
        <v>823</v>
      </c>
      <c r="C24" s="128">
        <f>0.508320340959778*(Financials!E8+Financials!E9)</f>
        <v>52.092668541558041</v>
      </c>
      <c r="D24" s="128">
        <f>0.11731417072646*(Financials!H9+Financials!H17)</f>
        <v>167.88948286834415</v>
      </c>
      <c r="E24" s="128">
        <f>0.11731417072646*(Financials!I9+Financials!I17)</f>
        <v>153.99948505433133</v>
      </c>
      <c r="F24" s="128">
        <f>0.11731417072646*(Financials!J9+Financials!J17)</f>
        <v>164.30084238582177</v>
      </c>
      <c r="G24" s="128">
        <f>0.11731417072646*(Financials!K9+Financials!K17)</f>
        <v>124.13129718737457</v>
      </c>
      <c r="H24" s="128">
        <f>0.11731417072646*(Financials!L9+Financials!L17)</f>
        <v>99.549285853352146</v>
      </c>
      <c r="I24" s="128">
        <f>0.11731417072646*(Financials!M9+Financials!M17)</f>
        <v>228.34147504368894</v>
      </c>
      <c r="J24" s="128">
        <f>0.11731417072646*(Financials!N9+Financials!N17)</f>
        <v>499.71786597336416</v>
      </c>
      <c r="K24" s="128">
        <f>0.11731417072646*(Financials!O9+Financials!O17)</f>
        <v>508.29364396365764</v>
      </c>
      <c r="L24" s="128">
        <f>0.11731417072646*(Financials!P9+Financials!P17)</f>
        <v>518.32018070867923</v>
      </c>
      <c r="M24" s="128">
        <f>0.11731417072646*(Financials!Q9+Financials!Q17)</f>
        <v>550.33354934296779</v>
      </c>
      <c r="N24" s="128">
        <f>0.11731417072646*(Financials!R9+Financials!R17)</f>
        <v>562.66113630629911</v>
      </c>
      <c r="O24" s="128">
        <f>0.11731417072646*(Financials!S9+Financials!S17)</f>
        <v>595.11523499290479</v>
      </c>
      <c r="P24" s="128">
        <f>0.11731417072646*(Financials!T9+Financials!T17)</f>
        <v>607.0270112371237</v>
      </c>
      <c r="Q24" s="128">
        <f>0.11731417072646*(Financials!U9+Financials!U17)</f>
        <v>642.80811814445906</v>
      </c>
      <c r="R24" s="128">
        <f>0.11731417072646*(Financials!V9+Financials!V17)</f>
        <v>657.40285365491729</v>
      </c>
      <c r="S24" s="128">
        <f>0.11731417072646*(Financials!W9+Financials!W17)</f>
        <v>693.59251080636113</v>
      </c>
      <c r="T24" s="128">
        <f>0.11731417072646*(Financials!X9+Financials!X17)</f>
        <v>707.66354544039746</v>
      </c>
      <c r="U24" s="128">
        <f>0.11731417072646*(Financials!Y9+Financials!Y17)</f>
        <v>747.66041678120291</v>
      </c>
      <c r="V24" s="128">
        <f>0.11731417072646*(Financials!Z9+Financials!Z17)</f>
        <v>764.84856938887322</v>
      </c>
      <c r="W24" s="128">
        <f>0.11731417072646*(Financials!AA9+Financials!AA17)</f>
        <v>794.83119425599443</v>
      </c>
      <c r="X24" s="128">
        <f>0.11731417072646*(Financials!AB9+Financials!AB17)</f>
        <v>822.23927899073306</v>
      </c>
      <c r="Y24" s="128">
        <f>0.11731417072646*(Financials!AC9+Financials!AC17)</f>
        <v>836.1920026460017</v>
      </c>
      <c r="Z24" s="128">
        <f>0.11731417072646*(Financials!AD9+Financials!AD17)</f>
        <v>730.50317792478631</v>
      </c>
      <c r="AA24" s="128">
        <f>0.11731417072646*(Financials!AE9+Financials!AE17)</f>
        <v>343.84103339496869</v>
      </c>
      <c r="AB24" s="128"/>
      <c r="AC24" s="128"/>
      <c r="AD24" s="128"/>
    </row>
    <row r="25" spans="1:30">
      <c r="A25" s="122">
        <v>19</v>
      </c>
      <c r="B25" s="135" t="s">
        <v>824</v>
      </c>
      <c r="C25" s="128">
        <f>Financials!E19</f>
        <v>196.54</v>
      </c>
      <c r="D25" s="128">
        <f>Financials!H19</f>
        <v>200.35</v>
      </c>
      <c r="E25" s="128">
        <f>Financials!I19</f>
        <v>201.57</v>
      </c>
      <c r="F25" s="128">
        <f>Financials!J19</f>
        <v>200.79</v>
      </c>
      <c r="G25" s="128">
        <f>Financials!K19</f>
        <v>200.3</v>
      </c>
      <c r="H25" s="128">
        <f>Financials!L19</f>
        <v>199.75</v>
      </c>
      <c r="I25" s="128">
        <f>Financials!M19</f>
        <v>201.49</v>
      </c>
      <c r="J25" s="128">
        <f>Financials!N19</f>
        <v>293.76993008219182</v>
      </c>
      <c r="K25" s="128">
        <f>Financials!O19</f>
        <v>292.96728000000002</v>
      </c>
      <c r="L25" s="128">
        <f>Financials!P19</f>
        <v>292.96728000000002</v>
      </c>
      <c r="M25" s="128">
        <f>Financials!Q19</f>
        <v>292.96728000000002</v>
      </c>
      <c r="N25" s="128">
        <f>Financials!R19</f>
        <v>293.76993008219182</v>
      </c>
      <c r="O25" s="128">
        <f>Financials!S19</f>
        <v>292.96728000000002</v>
      </c>
      <c r="P25" s="128">
        <f>Financials!T19</f>
        <v>292.96728000000002</v>
      </c>
      <c r="Q25" s="128">
        <f>Financials!U19</f>
        <v>292.96728000000002</v>
      </c>
      <c r="R25" s="128">
        <f>Financials!V19</f>
        <v>293.76993008219182</v>
      </c>
      <c r="S25" s="128">
        <f>Financials!W19</f>
        <v>292.96728000000002</v>
      </c>
      <c r="T25" s="128">
        <f>Financials!X19</f>
        <v>292.96728000000002</v>
      </c>
      <c r="U25" s="128">
        <f>Financials!Y19</f>
        <v>292.96728000000002</v>
      </c>
      <c r="V25" s="128">
        <f>Financials!Z19</f>
        <v>293.76993008219182</v>
      </c>
      <c r="W25" s="128">
        <f>Financials!AA19</f>
        <v>292.96728000000002</v>
      </c>
      <c r="X25" s="128">
        <f>Financials!AB19</f>
        <v>292.96728000000002</v>
      </c>
      <c r="Y25" s="128">
        <f>Financials!AC19</f>
        <v>292.96728000000002</v>
      </c>
      <c r="Z25" s="128">
        <f>Financials!AD19</f>
        <v>293.76993008219182</v>
      </c>
      <c r="AA25" s="128">
        <f>Financials!AE19</f>
        <v>292.96728000000002</v>
      </c>
      <c r="AB25" s="128"/>
      <c r="AC25" s="128"/>
      <c r="AD25" s="128"/>
    </row>
    <row r="26" spans="1:30">
      <c r="A26" s="122">
        <v>20</v>
      </c>
      <c r="B26" s="127" t="s">
        <v>825</v>
      </c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</row>
    <row r="27" spans="1:30">
      <c r="A27" s="122">
        <v>21</v>
      </c>
      <c r="B27" s="127" t="s">
        <v>826</v>
      </c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</row>
    <row r="28" spans="1:30">
      <c r="A28" s="122">
        <v>22</v>
      </c>
      <c r="B28" s="129" t="s">
        <v>827</v>
      </c>
      <c r="C28" s="153">
        <f t="shared" ref="C28:AD28" si="5">C18+C21+C22+C23+C24+C25+C26-C27</f>
        <v>1219.0666268542682</v>
      </c>
      <c r="D28" s="153">
        <f t="shared" si="5"/>
        <v>1577.6781942233206</v>
      </c>
      <c r="E28" s="153">
        <f t="shared" si="5"/>
        <v>1412.2820802380422</v>
      </c>
      <c r="F28" s="153">
        <f t="shared" si="5"/>
        <v>1461.6507305311973</v>
      </c>
      <c r="G28" s="153" t="e">
        <f t="shared" si="5"/>
        <v>#REF!</v>
      </c>
      <c r="H28" s="153">
        <f t="shared" si="5"/>
        <v>946.30213312342869</v>
      </c>
      <c r="I28" s="153">
        <f t="shared" si="5"/>
        <v>2136.8270671439941</v>
      </c>
      <c r="J28" s="153">
        <f t="shared" si="5"/>
        <v>4691.8903186157713</v>
      </c>
      <c r="K28" s="153">
        <f t="shared" si="5"/>
        <v>4768.1073517302411</v>
      </c>
      <c r="L28" s="153">
        <f t="shared" si="5"/>
        <v>4858.7576946370045</v>
      </c>
      <c r="M28" s="153">
        <f t="shared" si="5"/>
        <v>5158.6175380025034</v>
      </c>
      <c r="N28" s="153">
        <f t="shared" si="5"/>
        <v>5271.5848673611818</v>
      </c>
      <c r="O28" s="153">
        <f t="shared" si="5"/>
        <v>5574.4184703206765</v>
      </c>
      <c r="P28" s="153">
        <f t="shared" si="5"/>
        <v>5682.1805442942987</v>
      </c>
      <c r="Q28" s="153">
        <f t="shared" si="5"/>
        <v>6017.0387427922024</v>
      </c>
      <c r="R28" s="153">
        <f t="shared" si="5"/>
        <v>6150.6675356967007</v>
      </c>
      <c r="S28" s="153">
        <f t="shared" si="5"/>
        <v>6488.1000638436699</v>
      </c>
      <c r="T28" s="153">
        <f t="shared" si="5"/>
        <v>6615.3973989987817</v>
      </c>
      <c r="U28" s="153">
        <f t="shared" si="5"/>
        <v>6989.3233255775831</v>
      </c>
      <c r="V28" s="153">
        <f t="shared" si="5"/>
        <v>7146.511106776049</v>
      </c>
      <c r="W28" s="153">
        <f t="shared" si="5"/>
        <v>7423.6251788517957</v>
      </c>
      <c r="X28" s="153">
        <f t="shared" si="5"/>
        <v>7676.6794619171751</v>
      </c>
      <c r="Y28" s="153">
        <f t="shared" si="5"/>
        <v>7822.9693721138383</v>
      </c>
      <c r="Z28" s="153">
        <f t="shared" si="5"/>
        <v>6911.6318945647081</v>
      </c>
      <c r="AA28" s="153">
        <f t="shared" si="5"/>
        <v>3320.924498939482</v>
      </c>
      <c r="AB28" s="153">
        <f t="shared" si="5"/>
        <v>0</v>
      </c>
      <c r="AC28" s="153">
        <f t="shared" si="5"/>
        <v>0</v>
      </c>
      <c r="AD28" s="153">
        <f t="shared" si="5"/>
        <v>0</v>
      </c>
    </row>
    <row r="29" spans="1:30">
      <c r="A29" s="122">
        <v>23</v>
      </c>
      <c r="B29" s="127" t="s">
        <v>828</v>
      </c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</row>
    <row r="30" spans="1:30">
      <c r="A30" s="122">
        <v>24</v>
      </c>
      <c r="B30" s="127" t="s">
        <v>829</v>
      </c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</row>
    <row r="31" spans="1:30">
      <c r="A31" s="122">
        <v>25</v>
      </c>
      <c r="B31" s="129" t="s">
        <v>830</v>
      </c>
      <c r="C31" s="153">
        <f t="shared" ref="C31:AD31" si="6">C28+C29-C30</f>
        <v>1219.0666268542682</v>
      </c>
      <c r="D31" s="153">
        <f t="shared" si="6"/>
        <v>1577.6781942233206</v>
      </c>
      <c r="E31" s="153">
        <f t="shared" si="6"/>
        <v>1412.2820802380422</v>
      </c>
      <c r="F31" s="153">
        <f t="shared" si="6"/>
        <v>1461.6507305311973</v>
      </c>
      <c r="G31" s="153" t="e">
        <f t="shared" si="6"/>
        <v>#REF!</v>
      </c>
      <c r="H31" s="153">
        <f t="shared" si="6"/>
        <v>946.30213312342869</v>
      </c>
      <c r="I31" s="153">
        <f t="shared" si="6"/>
        <v>2136.8270671439941</v>
      </c>
      <c r="J31" s="153">
        <f t="shared" si="6"/>
        <v>4691.8903186157713</v>
      </c>
      <c r="K31" s="153">
        <f t="shared" si="6"/>
        <v>4768.1073517302411</v>
      </c>
      <c r="L31" s="153">
        <f t="shared" si="6"/>
        <v>4858.7576946370045</v>
      </c>
      <c r="M31" s="153">
        <f t="shared" si="6"/>
        <v>5158.6175380025034</v>
      </c>
      <c r="N31" s="153">
        <f t="shared" si="6"/>
        <v>5271.5848673611818</v>
      </c>
      <c r="O31" s="153">
        <f t="shared" si="6"/>
        <v>5574.4184703206765</v>
      </c>
      <c r="P31" s="153">
        <f t="shared" si="6"/>
        <v>5682.1805442942987</v>
      </c>
      <c r="Q31" s="153">
        <f t="shared" si="6"/>
        <v>6017.0387427922024</v>
      </c>
      <c r="R31" s="153">
        <f t="shared" si="6"/>
        <v>6150.6675356967007</v>
      </c>
      <c r="S31" s="153">
        <f t="shared" si="6"/>
        <v>6488.1000638436699</v>
      </c>
      <c r="T31" s="153">
        <f t="shared" si="6"/>
        <v>6615.3973989987817</v>
      </c>
      <c r="U31" s="153">
        <f t="shared" si="6"/>
        <v>6989.3233255775831</v>
      </c>
      <c r="V31" s="153">
        <f t="shared" si="6"/>
        <v>7146.511106776049</v>
      </c>
      <c r="W31" s="153">
        <f t="shared" si="6"/>
        <v>7423.6251788517957</v>
      </c>
      <c r="X31" s="153">
        <f t="shared" si="6"/>
        <v>7676.6794619171751</v>
      </c>
      <c r="Y31" s="153">
        <f t="shared" si="6"/>
        <v>7822.9693721138383</v>
      </c>
      <c r="Z31" s="153">
        <f t="shared" si="6"/>
        <v>6911.6318945647081</v>
      </c>
      <c r="AA31" s="153">
        <f t="shared" si="6"/>
        <v>3320.924498939482</v>
      </c>
      <c r="AB31" s="153">
        <f t="shared" si="6"/>
        <v>0</v>
      </c>
      <c r="AC31" s="153">
        <f t="shared" si="6"/>
        <v>0</v>
      </c>
      <c r="AD31" s="153">
        <f t="shared" si="6"/>
        <v>0</v>
      </c>
    </row>
    <row r="32" spans="1:30">
      <c r="A32" s="122">
        <v>26</v>
      </c>
      <c r="B32" s="135" t="s">
        <v>831</v>
      </c>
      <c r="C32" s="128">
        <f>0.197339706730404*SUM(Financials!E8:E9)</f>
        <v>20.223373145731799</v>
      </c>
      <c r="D32" s="128">
        <f>0.197339706730404*SUM(Financials!H8:H9)</f>
        <v>19.22088743554135</v>
      </c>
      <c r="E32" s="128">
        <f>0.197339706730404*SUM(Financials!I8:I9)</f>
        <v>17.446803472035015</v>
      </c>
      <c r="F32" s="128">
        <f>0.197339706730404*SUM(Financials!J8:J9)</f>
        <v>23.398569027023999</v>
      </c>
      <c r="G32" s="128">
        <f>0.197339706730404*SUM(Financials!K8:K9)</f>
        <v>16.179882554825824</v>
      </c>
      <c r="H32" s="128">
        <f>0.197339706730404*SUM(Financials!L8:L9)</f>
        <v>32.813646435131574</v>
      </c>
      <c r="I32" s="128">
        <f>0.197339706730404*SUM(Financials!M8:M9)</f>
        <v>26.895428630286759</v>
      </c>
      <c r="J32" s="128">
        <f>0.197339706730404*SUM(Financials!N8:N9)</f>
        <v>48.27491095659019</v>
      </c>
      <c r="K32" s="128">
        <f>0.197339706730404*SUM(Financials!O8:O9)</f>
        <v>49.119298782692859</v>
      </c>
      <c r="L32" s="128">
        <f>0.197339706730404*SUM(Financials!P8:P9)</f>
        <v>49.989018243578613</v>
      </c>
      <c r="M32" s="128">
        <f>0.197339706730404*SUM(Financials!Q8:Q9)</f>
        <v>50.884829288290945</v>
      </c>
      <c r="N32" s="128">
        <f>0.197339706730404*SUM(Financials!R8:R9)</f>
        <v>51.807514664344637</v>
      </c>
      <c r="O32" s="128">
        <f>0.197339706730404*SUM(Financials!S8:S9)</f>
        <v>52.757880601679929</v>
      </c>
      <c r="P32" s="128">
        <f>0.197339706730404*SUM(Financials!T8:T9)</f>
        <v>53.736757517135295</v>
      </c>
      <c r="Q32" s="128">
        <f>0.197339706730404*SUM(Financials!U8:U9)</f>
        <v>54.745000740054323</v>
      </c>
      <c r="R32" s="128">
        <f>0.197339706730404*SUM(Financials!V8:V9)</f>
        <v>55.78349125966092</v>
      </c>
      <c r="S32" s="128">
        <f>0.197339706730404*SUM(Financials!W8:W9)</f>
        <v>56.853136494855711</v>
      </c>
      <c r="T32" s="128">
        <f>0.197339706730404*SUM(Financials!X8:X9)</f>
        <v>57.954871087106348</v>
      </c>
      <c r="U32" s="128">
        <f>0.197339706730404*SUM(Financials!Y8:Y9)</f>
        <v>59.089657717124503</v>
      </c>
      <c r="V32" s="128">
        <f>0.197339706730404*SUM(Financials!Z8:Z9)</f>
        <v>60.258487946043196</v>
      </c>
      <c r="W32" s="128">
        <f>0.197339706730404*SUM(Financials!AA8:AA9)</f>
        <v>61.462383081829458</v>
      </c>
      <c r="X32" s="128">
        <f>0.197339706730404*SUM(Financials!AB8:AB9)</f>
        <v>62.70239507168931</v>
      </c>
      <c r="Y32" s="128">
        <f>0.197339706730404*SUM(Financials!AC8:AC9)</f>
        <v>61.463526160432302</v>
      </c>
      <c r="Z32" s="128">
        <f>0.197339706730404*SUM(Financials!AD8:AD9)</f>
        <v>49.06052611787463</v>
      </c>
      <c r="AA32" s="128">
        <f>0.197339706730404*SUM(Financials!AE8:AE9)</f>
        <v>26.25869153103309</v>
      </c>
      <c r="AB32" s="128"/>
      <c r="AC32" s="128"/>
      <c r="AD32" s="128"/>
    </row>
    <row r="33" spans="1:30">
      <c r="A33" s="122">
        <v>27</v>
      </c>
      <c r="B33" s="129" t="s">
        <v>832</v>
      </c>
      <c r="C33" s="153">
        <f t="shared" ref="C33:AD33" si="7">C13-C31-C32</f>
        <v>594.27</v>
      </c>
      <c r="D33" s="153">
        <f t="shared" si="7"/>
        <v>218.98091834113816</v>
      </c>
      <c r="E33" s="153">
        <f t="shared" si="7"/>
        <v>93.751116289922777</v>
      </c>
      <c r="F33" s="153">
        <f t="shared" si="7"/>
        <v>65.900700441778781</v>
      </c>
      <c r="G33" s="153" t="e">
        <f t="shared" si="7"/>
        <v>#REF!</v>
      </c>
      <c r="H33" s="153">
        <f t="shared" si="7"/>
        <v>-65.225779558560276</v>
      </c>
      <c r="I33" s="153">
        <f t="shared" si="7"/>
        <v>-277.24249577428083</v>
      </c>
      <c r="J33" s="153">
        <f t="shared" si="7"/>
        <v>-1584.7646276523619</v>
      </c>
      <c r="K33" s="153">
        <f t="shared" si="7"/>
        <v>-1670.447361712934</v>
      </c>
      <c r="L33" s="153">
        <f t="shared" si="7"/>
        <v>-1761.9674240805832</v>
      </c>
      <c r="M33" s="153">
        <f t="shared" si="7"/>
        <v>-1829.5553789427947</v>
      </c>
      <c r="N33" s="153">
        <f t="shared" si="7"/>
        <v>-1934.1852649423267</v>
      </c>
      <c r="O33" s="153">
        <f t="shared" si="7"/>
        <v>-2025.9324178663564</v>
      </c>
      <c r="P33" s="153">
        <f t="shared" si="7"/>
        <v>-2035.304858182634</v>
      </c>
      <c r="Q33" s="153">
        <f t="shared" si="7"/>
        <v>-2219.5031940400568</v>
      </c>
      <c r="R33" s="153">
        <f t="shared" si="7"/>
        <v>-2343.6162841778814</v>
      </c>
      <c r="S33" s="153">
        <f t="shared" si="7"/>
        <v>-2430.1465503751451</v>
      </c>
      <c r="T33" s="153">
        <f t="shared" si="7"/>
        <v>-2469.2061819625064</v>
      </c>
      <c r="U33" s="153">
        <f t="shared" si="7"/>
        <v>-2685.0153840147568</v>
      </c>
      <c r="V33" s="153">
        <f t="shared" si="7"/>
        <v>-2711.2647452529832</v>
      </c>
      <c r="W33" s="153">
        <f t="shared" si="7"/>
        <v>-2911.0851157596767</v>
      </c>
      <c r="X33" s="153">
        <f t="shared" si="7"/>
        <v>-3104.8591462549157</v>
      </c>
      <c r="Y33" s="153">
        <f t="shared" si="7"/>
        <v>-3018.1840520036244</v>
      </c>
      <c r="Z33" s="153">
        <f t="shared" si="7"/>
        <v>-2690.4592549920185</v>
      </c>
      <c r="AA33" s="153">
        <f t="shared" si="7"/>
        <v>-1269.6734411575967</v>
      </c>
      <c r="AB33" s="153">
        <f t="shared" si="7"/>
        <v>0</v>
      </c>
      <c r="AC33" s="153">
        <f t="shared" si="7"/>
        <v>0</v>
      </c>
      <c r="AD33" s="153">
        <f t="shared" si="7"/>
        <v>0</v>
      </c>
    </row>
    <row r="34" spans="1:30">
      <c r="A34" s="122">
        <v>28</v>
      </c>
      <c r="B34" s="127" t="s">
        <v>833</v>
      </c>
      <c r="C34" s="128">
        <f>Financials!E21</f>
        <v>0</v>
      </c>
      <c r="D34" s="128">
        <f>Financials!H21</f>
        <v>0</v>
      </c>
      <c r="E34" s="128">
        <f>Financials!I21</f>
        <v>0</v>
      </c>
      <c r="F34" s="128">
        <f>Financials!J21</f>
        <v>0</v>
      </c>
      <c r="G34" s="128">
        <f>Financials!K21</f>
        <v>0</v>
      </c>
      <c r="H34" s="128">
        <f>Financials!L21</f>
        <v>0</v>
      </c>
      <c r="I34" s="128">
        <f>Financials!M21</f>
        <v>0</v>
      </c>
      <c r="J34" s="128">
        <f>Financials!N21</f>
        <v>110.42819158495566</v>
      </c>
      <c r="K34" s="128">
        <f>Financials!O21</f>
        <v>115.17087754822269</v>
      </c>
      <c r="L34" s="128">
        <f>Financials!P21</f>
        <v>115.15997343255441</v>
      </c>
      <c r="M34" s="128">
        <f>Financials!Q21</f>
        <v>123.19532385684194</v>
      </c>
      <c r="N34" s="128">
        <f>Financials!R21</f>
        <v>123.95160736463066</v>
      </c>
      <c r="O34" s="128">
        <f>Financials!S21</f>
        <v>131.25486651258413</v>
      </c>
      <c r="P34" s="128">
        <f>Financials!T21</f>
        <v>135.31541183137807</v>
      </c>
      <c r="Q34" s="128">
        <f>Financials!U21</f>
        <v>140.33666425693445</v>
      </c>
      <c r="R34" s="128">
        <f>Financials!V21</f>
        <v>141.16875717615278</v>
      </c>
      <c r="S34" s="128">
        <f>Financials!W21</f>
        <v>149.89341136898696</v>
      </c>
      <c r="T34" s="128">
        <f>Financials!X21</f>
        <v>153.61827402501825</v>
      </c>
      <c r="U34" s="128">
        <f>Financials!Y21</f>
        <v>158.86821428332465</v>
      </c>
      <c r="V34" s="128">
        <f>Financials!Z21</f>
        <v>164.16165272471022</v>
      </c>
      <c r="W34" s="128">
        <f>Financials!AA21</f>
        <v>166.75239288986958</v>
      </c>
      <c r="X34" s="128">
        <f>Financials!AB21</f>
        <v>169.00598683079815</v>
      </c>
      <c r="Y34" s="128">
        <f>Financials!AC21</f>
        <v>177.67894276513275</v>
      </c>
      <c r="Z34" s="128">
        <f>Financials!AD21</f>
        <v>158.34351006049096</v>
      </c>
      <c r="AA34" s="128">
        <f>Financials!AE21</f>
        <v>83.896975771249842</v>
      </c>
      <c r="AB34" s="128"/>
      <c r="AC34" s="128"/>
      <c r="AD34" s="128"/>
    </row>
    <row r="35" spans="1:30">
      <c r="A35" s="122">
        <v>29</v>
      </c>
      <c r="B35" s="127" t="s">
        <v>834</v>
      </c>
      <c r="C35" s="128">
        <f>Financials!E20</f>
        <v>920.92</v>
      </c>
      <c r="D35" s="128">
        <f>Financials!H20</f>
        <v>0</v>
      </c>
      <c r="E35" s="128">
        <f>Financials!I20</f>
        <v>0</v>
      </c>
      <c r="F35" s="128">
        <f>Financials!J20</f>
        <v>0</v>
      </c>
      <c r="G35" s="128">
        <f>Financials!K20</f>
        <v>0</v>
      </c>
      <c r="H35" s="128">
        <f>Financials!L20</f>
        <v>0</v>
      </c>
      <c r="I35" s="128">
        <f>Financials!M20</f>
        <v>0</v>
      </c>
      <c r="J35" s="128">
        <f>Financials!N20</f>
        <v>0</v>
      </c>
      <c r="K35" s="128">
        <f>Financials!O20</f>
        <v>0</v>
      </c>
      <c r="L35" s="128">
        <f>Financials!P20</f>
        <v>0</v>
      </c>
      <c r="M35" s="128">
        <f>Financials!Q20</f>
        <v>0</v>
      </c>
      <c r="N35" s="128">
        <f>Financials!R20</f>
        <v>0</v>
      </c>
      <c r="O35" s="128">
        <f>Financials!S20</f>
        <v>0</v>
      </c>
      <c r="P35" s="128">
        <f>Financials!T20</f>
        <v>0</v>
      </c>
      <c r="Q35" s="128">
        <f>Financials!U20</f>
        <v>0</v>
      </c>
      <c r="R35" s="128">
        <f>Financials!V20</f>
        <v>0</v>
      </c>
      <c r="S35" s="128">
        <f>Financials!W20</f>
        <v>0</v>
      </c>
      <c r="T35" s="128">
        <f>Financials!X20</f>
        <v>0</v>
      </c>
      <c r="U35" s="128">
        <f>Financials!Y20</f>
        <v>0</v>
      </c>
      <c r="V35" s="128">
        <f>Financials!Z20</f>
        <v>0</v>
      </c>
      <c r="W35" s="128">
        <f>Financials!AA20</f>
        <v>0</v>
      </c>
      <c r="X35" s="128">
        <f>Financials!AB20</f>
        <v>0</v>
      </c>
      <c r="Y35" s="128">
        <f>Financials!AC20</f>
        <v>0</v>
      </c>
      <c r="Z35" s="128">
        <f>Financials!AD20</f>
        <v>0</v>
      </c>
      <c r="AA35" s="128">
        <f>Financials!AE20</f>
        <v>0</v>
      </c>
      <c r="AB35" s="128"/>
      <c r="AC35" s="128"/>
      <c r="AD35" s="128"/>
    </row>
    <row r="36" spans="1:30">
      <c r="A36" s="122">
        <v>30</v>
      </c>
      <c r="B36" s="127" t="s">
        <v>835</v>
      </c>
      <c r="C36" s="128">
        <f>Financials!E23</f>
        <v>0</v>
      </c>
      <c r="D36" s="128">
        <f>Financials!H23</f>
        <v>0</v>
      </c>
      <c r="E36" s="128">
        <f>Financials!I23</f>
        <v>0</v>
      </c>
      <c r="F36" s="128">
        <f>Financials!J23</f>
        <v>0</v>
      </c>
      <c r="G36" s="128">
        <f>Financials!K23</f>
        <v>0</v>
      </c>
      <c r="H36" s="128">
        <f>Financials!L23</f>
        <v>0</v>
      </c>
      <c r="I36" s="128">
        <f>Financials!M23</f>
        <v>0</v>
      </c>
      <c r="J36" s="128">
        <f>Financials!N23</f>
        <v>0</v>
      </c>
      <c r="K36" s="128">
        <f>Financials!O23</f>
        <v>0</v>
      </c>
      <c r="L36" s="128">
        <f>Financials!P23</f>
        <v>0</v>
      </c>
      <c r="M36" s="128">
        <f>Financials!Q23</f>
        <v>0</v>
      </c>
      <c r="N36" s="128">
        <f>Financials!R23</f>
        <v>0</v>
      </c>
      <c r="O36" s="128">
        <f>Financials!S23</f>
        <v>0</v>
      </c>
      <c r="P36" s="128">
        <f>Financials!T23</f>
        <v>0</v>
      </c>
      <c r="Q36" s="128">
        <f>Financials!U23</f>
        <v>0</v>
      </c>
      <c r="R36" s="128">
        <f>Financials!V23</f>
        <v>0</v>
      </c>
      <c r="S36" s="128">
        <f>Financials!W23</f>
        <v>0</v>
      </c>
      <c r="T36" s="128">
        <f>Financials!X23</f>
        <v>0</v>
      </c>
      <c r="U36" s="128">
        <f>Financials!Y23</f>
        <v>0</v>
      </c>
      <c r="V36" s="128">
        <f>Financials!Z23</f>
        <v>0</v>
      </c>
      <c r="W36" s="128">
        <f>Financials!AA23</f>
        <v>0</v>
      </c>
      <c r="X36" s="128">
        <f>Financials!AB23</f>
        <v>0</v>
      </c>
      <c r="Y36" s="128">
        <f>Financials!AC23</f>
        <v>0</v>
      </c>
      <c r="Z36" s="128">
        <f>Financials!AD23</f>
        <v>0</v>
      </c>
      <c r="AA36" s="128">
        <f>Financials!AE23</f>
        <v>0</v>
      </c>
      <c r="AB36" s="128"/>
      <c r="AC36" s="128"/>
      <c r="AD36" s="128"/>
    </row>
    <row r="37" spans="1:30">
      <c r="A37" s="122">
        <v>31</v>
      </c>
      <c r="B37" s="129" t="s">
        <v>836</v>
      </c>
      <c r="C37" s="153">
        <f t="shared" ref="C37:AD37" si="8">C34+C35+C36</f>
        <v>920.92</v>
      </c>
      <c r="D37" s="153">
        <f t="shared" si="8"/>
        <v>0</v>
      </c>
      <c r="E37" s="153">
        <f t="shared" si="8"/>
        <v>0</v>
      </c>
      <c r="F37" s="153">
        <f t="shared" si="8"/>
        <v>0</v>
      </c>
      <c r="G37" s="153">
        <f t="shared" si="8"/>
        <v>0</v>
      </c>
      <c r="H37" s="153">
        <f t="shared" si="8"/>
        <v>0</v>
      </c>
      <c r="I37" s="153">
        <f t="shared" si="8"/>
        <v>0</v>
      </c>
      <c r="J37" s="153">
        <f t="shared" si="8"/>
        <v>110.42819158495566</v>
      </c>
      <c r="K37" s="153">
        <f t="shared" si="8"/>
        <v>115.17087754822269</v>
      </c>
      <c r="L37" s="153">
        <f t="shared" si="8"/>
        <v>115.15997343255441</v>
      </c>
      <c r="M37" s="153">
        <f t="shared" si="8"/>
        <v>123.19532385684194</v>
      </c>
      <c r="N37" s="153">
        <f t="shared" si="8"/>
        <v>123.95160736463066</v>
      </c>
      <c r="O37" s="153">
        <f t="shared" si="8"/>
        <v>131.25486651258413</v>
      </c>
      <c r="P37" s="153">
        <f t="shared" si="8"/>
        <v>135.31541183137807</v>
      </c>
      <c r="Q37" s="153">
        <f t="shared" si="8"/>
        <v>140.33666425693445</v>
      </c>
      <c r="R37" s="153">
        <f t="shared" si="8"/>
        <v>141.16875717615278</v>
      </c>
      <c r="S37" s="153">
        <f t="shared" si="8"/>
        <v>149.89341136898696</v>
      </c>
      <c r="T37" s="153">
        <f t="shared" si="8"/>
        <v>153.61827402501825</v>
      </c>
      <c r="U37" s="153">
        <f t="shared" si="8"/>
        <v>158.86821428332465</v>
      </c>
      <c r="V37" s="153">
        <f t="shared" si="8"/>
        <v>164.16165272471022</v>
      </c>
      <c r="W37" s="153">
        <f t="shared" si="8"/>
        <v>166.75239288986958</v>
      </c>
      <c r="X37" s="153">
        <f t="shared" si="8"/>
        <v>169.00598683079815</v>
      </c>
      <c r="Y37" s="153">
        <f t="shared" si="8"/>
        <v>177.67894276513275</v>
      </c>
      <c r="Z37" s="153">
        <f t="shared" si="8"/>
        <v>158.34351006049096</v>
      </c>
      <c r="AA37" s="153">
        <f t="shared" si="8"/>
        <v>83.896975771249842</v>
      </c>
      <c r="AB37" s="153">
        <f t="shared" si="8"/>
        <v>0</v>
      </c>
      <c r="AC37" s="153">
        <f t="shared" si="8"/>
        <v>0</v>
      </c>
      <c r="AD37" s="153">
        <f t="shared" si="8"/>
        <v>0</v>
      </c>
    </row>
    <row r="38" spans="1:30">
      <c r="A38" s="122">
        <v>32</v>
      </c>
      <c r="B38" s="129" t="s">
        <v>837</v>
      </c>
      <c r="C38" s="153">
        <f t="shared" ref="C38:AD38" si="9">C33-C37</f>
        <v>-326.64999999999998</v>
      </c>
      <c r="D38" s="153">
        <f t="shared" si="9"/>
        <v>218.98091834113816</v>
      </c>
      <c r="E38" s="153">
        <f t="shared" si="9"/>
        <v>93.751116289922777</v>
      </c>
      <c r="F38" s="153">
        <f t="shared" si="9"/>
        <v>65.900700441778781</v>
      </c>
      <c r="G38" s="153" t="e">
        <f t="shared" si="9"/>
        <v>#REF!</v>
      </c>
      <c r="H38" s="153">
        <f t="shared" si="9"/>
        <v>-65.225779558560276</v>
      </c>
      <c r="I38" s="153">
        <f t="shared" si="9"/>
        <v>-277.24249577428083</v>
      </c>
      <c r="J38" s="153">
        <f t="shared" si="9"/>
        <v>-1695.1928192373175</v>
      </c>
      <c r="K38" s="153">
        <f t="shared" si="9"/>
        <v>-1785.6182392611568</v>
      </c>
      <c r="L38" s="153">
        <f t="shared" si="9"/>
        <v>-1877.1273975131376</v>
      </c>
      <c r="M38" s="153">
        <f t="shared" si="9"/>
        <v>-1952.7507027996367</v>
      </c>
      <c r="N38" s="153">
        <f t="shared" si="9"/>
        <v>-2058.1368723069572</v>
      </c>
      <c r="O38" s="153">
        <f t="shared" si="9"/>
        <v>-2157.1872843789406</v>
      </c>
      <c r="P38" s="153">
        <f t="shared" si="9"/>
        <v>-2170.620270014012</v>
      </c>
      <c r="Q38" s="153">
        <f t="shared" si="9"/>
        <v>-2359.8398582969912</v>
      </c>
      <c r="R38" s="153">
        <f t="shared" si="9"/>
        <v>-2484.7850413540341</v>
      </c>
      <c r="S38" s="153">
        <f t="shared" si="9"/>
        <v>-2580.0399617441321</v>
      </c>
      <c r="T38" s="153">
        <f t="shared" si="9"/>
        <v>-2622.8244559875247</v>
      </c>
      <c r="U38" s="153">
        <f t="shared" si="9"/>
        <v>-2843.8835982980813</v>
      </c>
      <c r="V38" s="153">
        <f t="shared" si="9"/>
        <v>-2875.4263979776933</v>
      </c>
      <c r="W38" s="153">
        <f t="shared" si="9"/>
        <v>-3077.8375086495462</v>
      </c>
      <c r="X38" s="153">
        <f t="shared" si="9"/>
        <v>-3273.8651330857138</v>
      </c>
      <c r="Y38" s="153">
        <f t="shared" si="9"/>
        <v>-3195.8629947687573</v>
      </c>
      <c r="Z38" s="153">
        <f t="shared" si="9"/>
        <v>-2848.8027650525096</v>
      </c>
      <c r="AA38" s="153">
        <f t="shared" si="9"/>
        <v>-1353.5704169288465</v>
      </c>
      <c r="AB38" s="153">
        <f t="shared" si="9"/>
        <v>0</v>
      </c>
      <c r="AC38" s="153">
        <f t="shared" si="9"/>
        <v>0</v>
      </c>
      <c r="AD38" s="153">
        <f t="shared" si="9"/>
        <v>0</v>
      </c>
    </row>
    <row r="39" spans="1:30">
      <c r="A39" s="122">
        <v>33</v>
      </c>
      <c r="B39" s="125" t="s">
        <v>838</v>
      </c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</row>
    <row r="40" spans="1:30">
      <c r="A40" s="122">
        <v>34</v>
      </c>
      <c r="B40" s="127" t="s">
        <v>839</v>
      </c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</row>
    <row r="41" spans="1:30">
      <c r="A41" s="122">
        <v>35</v>
      </c>
      <c r="B41" s="127" t="s">
        <v>840</v>
      </c>
      <c r="C41" s="128">
        <f>Financials!E4</f>
        <v>4.72</v>
      </c>
      <c r="D41" s="128" t="e">
        <f>Financials!#REF!</f>
        <v>#REF!</v>
      </c>
      <c r="E41" s="128" t="e">
        <f>Financials!#REF!</f>
        <v>#REF!</v>
      </c>
      <c r="F41" s="128" t="e">
        <f>Financials!#REF!</f>
        <v>#REF!</v>
      </c>
      <c r="G41" s="128" t="e">
        <f>Financials!#REF!</f>
        <v>#REF!</v>
      </c>
      <c r="H41" s="128" t="e">
        <f>Financials!#REF!</f>
        <v>#REF!</v>
      </c>
      <c r="I41" s="128" t="e">
        <f>Financials!#REF!</f>
        <v>#REF!</v>
      </c>
      <c r="J41" s="128" t="e">
        <f>Financials!#REF!</f>
        <v>#REF!</v>
      </c>
      <c r="K41" s="128" t="e">
        <f>Financials!#REF!</f>
        <v>#REF!</v>
      </c>
      <c r="L41" s="128" t="e">
        <f>Financials!#REF!</f>
        <v>#REF!</v>
      </c>
      <c r="M41" s="128" t="e">
        <f>Financials!#REF!</f>
        <v>#REF!</v>
      </c>
      <c r="N41" s="128" t="e">
        <f>Financials!#REF!</f>
        <v>#REF!</v>
      </c>
      <c r="O41" s="128" t="e">
        <f>Financials!#REF!</f>
        <v>#REF!</v>
      </c>
      <c r="P41" s="128" t="e">
        <f>Financials!#REF!</f>
        <v>#REF!</v>
      </c>
      <c r="Q41" s="128" t="e">
        <f>Financials!#REF!</f>
        <v>#REF!</v>
      </c>
      <c r="R41" s="128" t="e">
        <f>Financials!#REF!</f>
        <v>#REF!</v>
      </c>
      <c r="S41" s="128" t="e">
        <f>Financials!#REF!</f>
        <v>#REF!</v>
      </c>
      <c r="T41" s="128" t="e">
        <f>Financials!#REF!</f>
        <v>#REF!</v>
      </c>
      <c r="U41" s="128" t="e">
        <f>Financials!#REF!</f>
        <v>#REF!</v>
      </c>
      <c r="V41" s="128" t="e">
        <f>Financials!#REF!</f>
        <v>#REF!</v>
      </c>
      <c r="W41" s="128" t="e">
        <f>Financials!#REF!</f>
        <v>#REF!</v>
      </c>
      <c r="X41" s="128" t="e">
        <f>Financials!#REF!</f>
        <v>#REF!</v>
      </c>
      <c r="Y41" s="128" t="e">
        <f>Financials!#REF!</f>
        <v>#REF!</v>
      </c>
      <c r="Z41" s="128" t="e">
        <f>Financials!#REF!</f>
        <v>#REF!</v>
      </c>
      <c r="AA41" s="128" t="e">
        <f>Financials!#REF!</f>
        <v>#REF!</v>
      </c>
      <c r="AB41" s="128"/>
      <c r="AC41" s="128"/>
      <c r="AD41" s="128"/>
    </row>
    <row r="42" spans="1:30">
      <c r="A42" s="122">
        <v>36</v>
      </c>
      <c r="B42" s="127" t="s">
        <v>841</v>
      </c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</row>
    <row r="43" spans="1:30">
      <c r="A43" s="122">
        <v>37</v>
      </c>
      <c r="B43" s="127" t="s">
        <v>842</v>
      </c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</row>
    <row r="44" spans="1:30">
      <c r="A44" s="122">
        <v>38</v>
      </c>
      <c r="B44" s="127" t="s">
        <v>843</v>
      </c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</row>
    <row r="45" spans="1:30">
      <c r="A45" s="122">
        <v>39</v>
      </c>
      <c r="B45" s="127" t="s">
        <v>844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</row>
    <row r="46" spans="1:30">
      <c r="A46" s="122" t="s">
        <v>845</v>
      </c>
      <c r="B46" s="132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</row>
    <row r="47" spans="1:30">
      <c r="A47" s="122" t="s">
        <v>846</v>
      </c>
      <c r="B47" s="132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</row>
    <row r="48" spans="1:30" ht="30" customHeight="1">
      <c r="A48" s="122" t="s">
        <v>847</v>
      </c>
      <c r="B48" s="132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</row>
    <row r="49" spans="1:30" ht="30" customHeight="1">
      <c r="A49" s="122" t="s">
        <v>848</v>
      </c>
      <c r="B49" s="132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</row>
    <row r="50" spans="1:30">
      <c r="A50" s="122" t="s">
        <v>849</v>
      </c>
      <c r="B50" s="132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</row>
    <row r="51" spans="1:30">
      <c r="A51" s="122">
        <v>40</v>
      </c>
      <c r="B51" s="129" t="s">
        <v>850</v>
      </c>
      <c r="C51" s="153">
        <f t="shared" ref="C51:AD51" si="10">SUM(C40:C50)</f>
        <v>4.72</v>
      </c>
      <c r="D51" s="153" t="e">
        <f t="shared" si="10"/>
        <v>#REF!</v>
      </c>
      <c r="E51" s="153" t="e">
        <f t="shared" si="10"/>
        <v>#REF!</v>
      </c>
      <c r="F51" s="153" t="e">
        <f t="shared" si="10"/>
        <v>#REF!</v>
      </c>
      <c r="G51" s="153" t="e">
        <f t="shared" si="10"/>
        <v>#REF!</v>
      </c>
      <c r="H51" s="153" t="e">
        <f t="shared" si="10"/>
        <v>#REF!</v>
      </c>
      <c r="I51" s="153" t="e">
        <f t="shared" si="10"/>
        <v>#REF!</v>
      </c>
      <c r="J51" s="153" t="e">
        <f t="shared" si="10"/>
        <v>#REF!</v>
      </c>
      <c r="K51" s="153" t="e">
        <f t="shared" si="10"/>
        <v>#REF!</v>
      </c>
      <c r="L51" s="153" t="e">
        <f t="shared" si="10"/>
        <v>#REF!</v>
      </c>
      <c r="M51" s="153" t="e">
        <f t="shared" si="10"/>
        <v>#REF!</v>
      </c>
      <c r="N51" s="153" t="e">
        <f t="shared" si="10"/>
        <v>#REF!</v>
      </c>
      <c r="O51" s="153" t="e">
        <f t="shared" si="10"/>
        <v>#REF!</v>
      </c>
      <c r="P51" s="153" t="e">
        <f t="shared" si="10"/>
        <v>#REF!</v>
      </c>
      <c r="Q51" s="153" t="e">
        <f t="shared" si="10"/>
        <v>#REF!</v>
      </c>
      <c r="R51" s="153" t="e">
        <f t="shared" si="10"/>
        <v>#REF!</v>
      </c>
      <c r="S51" s="153" t="e">
        <f t="shared" si="10"/>
        <v>#REF!</v>
      </c>
      <c r="T51" s="153" t="e">
        <f t="shared" si="10"/>
        <v>#REF!</v>
      </c>
      <c r="U51" s="153" t="e">
        <f t="shared" si="10"/>
        <v>#REF!</v>
      </c>
      <c r="V51" s="153" t="e">
        <f t="shared" si="10"/>
        <v>#REF!</v>
      </c>
      <c r="W51" s="153" t="e">
        <f t="shared" si="10"/>
        <v>#REF!</v>
      </c>
      <c r="X51" s="153" t="e">
        <f t="shared" si="10"/>
        <v>#REF!</v>
      </c>
      <c r="Y51" s="153" t="e">
        <f t="shared" si="10"/>
        <v>#REF!</v>
      </c>
      <c r="Z51" s="153" t="e">
        <f t="shared" si="10"/>
        <v>#REF!</v>
      </c>
      <c r="AA51" s="153" t="e">
        <f t="shared" si="10"/>
        <v>#REF!</v>
      </c>
      <c r="AB51" s="153">
        <f t="shared" si="10"/>
        <v>0</v>
      </c>
      <c r="AC51" s="153">
        <f t="shared" si="10"/>
        <v>0</v>
      </c>
      <c r="AD51" s="153">
        <f t="shared" si="10"/>
        <v>0</v>
      </c>
    </row>
    <row r="52" spans="1:30">
      <c r="A52" s="122">
        <v>41</v>
      </c>
      <c r="B52" s="125" t="s">
        <v>851</v>
      </c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</row>
    <row r="53" spans="1:30">
      <c r="A53" s="122">
        <v>42</v>
      </c>
      <c r="B53" s="127" t="s">
        <v>852</v>
      </c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</row>
    <row r="54" spans="1:30">
      <c r="A54" s="122">
        <v>43</v>
      </c>
      <c r="B54" s="127" t="s">
        <v>853</v>
      </c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</row>
    <row r="55" spans="1:30">
      <c r="A55" s="122">
        <v>44</v>
      </c>
      <c r="B55" s="127" t="s">
        <v>854</v>
      </c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</row>
    <row r="56" spans="1:30">
      <c r="A56" s="122">
        <v>45</v>
      </c>
      <c r="B56" s="127" t="s">
        <v>855</v>
      </c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</row>
    <row r="57" spans="1:30">
      <c r="A57" s="122">
        <v>46</v>
      </c>
      <c r="B57" s="127" t="s">
        <v>856</v>
      </c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</row>
    <row r="58" spans="1:30">
      <c r="A58" s="122">
        <v>47</v>
      </c>
      <c r="B58" s="127" t="s">
        <v>844</v>
      </c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</row>
    <row r="59" spans="1:30">
      <c r="A59" s="122" t="s">
        <v>857</v>
      </c>
      <c r="B59" s="132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</row>
    <row r="60" spans="1:30">
      <c r="A60" s="122" t="s">
        <v>858</v>
      </c>
      <c r="B60" s="132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</row>
    <row r="61" spans="1:30" ht="30" customHeight="1">
      <c r="A61" s="122" t="s">
        <v>859</v>
      </c>
      <c r="B61" s="132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</row>
    <row r="62" spans="1:30" ht="30" customHeight="1">
      <c r="A62" s="122" t="s">
        <v>860</v>
      </c>
      <c r="B62" s="132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>
      <c r="A63" s="122" t="s">
        <v>861</v>
      </c>
      <c r="B63" s="132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>
      <c r="A64" s="122">
        <v>48</v>
      </c>
      <c r="B64" s="129" t="s">
        <v>862</v>
      </c>
      <c r="C64" s="153">
        <f t="shared" ref="C64:AD64" si="11">SUM(C53:C63)</f>
        <v>0</v>
      </c>
      <c r="D64" s="153">
        <f t="shared" si="11"/>
        <v>0</v>
      </c>
      <c r="E64" s="153">
        <f t="shared" si="11"/>
        <v>0</v>
      </c>
      <c r="F64" s="153">
        <f t="shared" si="11"/>
        <v>0</v>
      </c>
      <c r="G64" s="153">
        <f t="shared" si="11"/>
        <v>0</v>
      </c>
      <c r="H64" s="153">
        <f t="shared" si="11"/>
        <v>0</v>
      </c>
      <c r="I64" s="153">
        <f t="shared" si="11"/>
        <v>0</v>
      </c>
      <c r="J64" s="153">
        <f t="shared" si="11"/>
        <v>0</v>
      </c>
      <c r="K64" s="153">
        <f t="shared" si="11"/>
        <v>0</v>
      </c>
      <c r="L64" s="153">
        <f t="shared" si="11"/>
        <v>0</v>
      </c>
      <c r="M64" s="153">
        <f t="shared" si="11"/>
        <v>0</v>
      </c>
      <c r="N64" s="153">
        <f t="shared" si="11"/>
        <v>0</v>
      </c>
      <c r="O64" s="153">
        <f t="shared" si="11"/>
        <v>0</v>
      </c>
      <c r="P64" s="153">
        <f t="shared" si="11"/>
        <v>0</v>
      </c>
      <c r="Q64" s="153">
        <f t="shared" si="11"/>
        <v>0</v>
      </c>
      <c r="R64" s="153">
        <f t="shared" si="11"/>
        <v>0</v>
      </c>
      <c r="S64" s="153">
        <f t="shared" si="11"/>
        <v>0</v>
      </c>
      <c r="T64" s="153">
        <f t="shared" si="11"/>
        <v>0</v>
      </c>
      <c r="U64" s="153">
        <f t="shared" si="11"/>
        <v>0</v>
      </c>
      <c r="V64" s="153">
        <f t="shared" si="11"/>
        <v>0</v>
      </c>
      <c r="W64" s="153">
        <f t="shared" si="11"/>
        <v>0</v>
      </c>
      <c r="X64" s="153">
        <f t="shared" si="11"/>
        <v>0</v>
      </c>
      <c r="Y64" s="153">
        <f t="shared" si="11"/>
        <v>0</v>
      </c>
      <c r="Z64" s="153">
        <f t="shared" si="11"/>
        <v>0</v>
      </c>
      <c r="AA64" s="153">
        <f t="shared" si="11"/>
        <v>0</v>
      </c>
      <c r="AB64" s="153">
        <f t="shared" si="11"/>
        <v>0</v>
      </c>
      <c r="AC64" s="153">
        <f t="shared" si="11"/>
        <v>0</v>
      </c>
      <c r="AD64" s="153">
        <f t="shared" si="11"/>
        <v>0</v>
      </c>
    </row>
    <row r="65" spans="1:30">
      <c r="A65" s="122">
        <v>49</v>
      </c>
      <c r="B65" s="129" t="s">
        <v>863</v>
      </c>
      <c r="C65" s="153">
        <f t="shared" ref="C65:AD65" si="12">C51-C64</f>
        <v>4.72</v>
      </c>
      <c r="D65" s="153" t="e">
        <f t="shared" si="12"/>
        <v>#REF!</v>
      </c>
      <c r="E65" s="153" t="e">
        <f t="shared" si="12"/>
        <v>#REF!</v>
      </c>
      <c r="F65" s="153" t="e">
        <f t="shared" si="12"/>
        <v>#REF!</v>
      </c>
      <c r="G65" s="153" t="e">
        <f t="shared" si="12"/>
        <v>#REF!</v>
      </c>
      <c r="H65" s="153" t="e">
        <f t="shared" si="12"/>
        <v>#REF!</v>
      </c>
      <c r="I65" s="153" t="e">
        <f t="shared" si="12"/>
        <v>#REF!</v>
      </c>
      <c r="J65" s="153" t="e">
        <f t="shared" si="12"/>
        <v>#REF!</v>
      </c>
      <c r="K65" s="153" t="e">
        <f t="shared" si="12"/>
        <v>#REF!</v>
      </c>
      <c r="L65" s="153" t="e">
        <f t="shared" si="12"/>
        <v>#REF!</v>
      </c>
      <c r="M65" s="153" t="e">
        <f t="shared" si="12"/>
        <v>#REF!</v>
      </c>
      <c r="N65" s="153" t="e">
        <f t="shared" si="12"/>
        <v>#REF!</v>
      </c>
      <c r="O65" s="153" t="e">
        <f t="shared" si="12"/>
        <v>#REF!</v>
      </c>
      <c r="P65" s="153" t="e">
        <f t="shared" si="12"/>
        <v>#REF!</v>
      </c>
      <c r="Q65" s="153" t="e">
        <f t="shared" si="12"/>
        <v>#REF!</v>
      </c>
      <c r="R65" s="153" t="e">
        <f t="shared" si="12"/>
        <v>#REF!</v>
      </c>
      <c r="S65" s="153" t="e">
        <f t="shared" si="12"/>
        <v>#REF!</v>
      </c>
      <c r="T65" s="153" t="e">
        <f t="shared" si="12"/>
        <v>#REF!</v>
      </c>
      <c r="U65" s="153" t="e">
        <f t="shared" si="12"/>
        <v>#REF!</v>
      </c>
      <c r="V65" s="153" t="e">
        <f t="shared" si="12"/>
        <v>#REF!</v>
      </c>
      <c r="W65" s="153" t="e">
        <f t="shared" si="12"/>
        <v>#REF!</v>
      </c>
      <c r="X65" s="153" t="e">
        <f t="shared" si="12"/>
        <v>#REF!</v>
      </c>
      <c r="Y65" s="153" t="e">
        <f t="shared" si="12"/>
        <v>#REF!</v>
      </c>
      <c r="Z65" s="153" t="e">
        <f t="shared" si="12"/>
        <v>#REF!</v>
      </c>
      <c r="AA65" s="153" t="e">
        <f t="shared" si="12"/>
        <v>#REF!</v>
      </c>
      <c r="AB65" s="153">
        <f t="shared" si="12"/>
        <v>0</v>
      </c>
      <c r="AC65" s="153">
        <f t="shared" si="12"/>
        <v>0</v>
      </c>
      <c r="AD65" s="153">
        <f t="shared" si="12"/>
        <v>0</v>
      </c>
    </row>
    <row r="66" spans="1:30">
      <c r="A66" s="122">
        <v>50</v>
      </c>
      <c r="B66" s="129" t="s">
        <v>864</v>
      </c>
      <c r="C66" s="153">
        <f t="shared" ref="C66:AD66" si="13">C38+C65</f>
        <v>-321.92999999999995</v>
      </c>
      <c r="D66" s="153" t="e">
        <f t="shared" si="13"/>
        <v>#REF!</v>
      </c>
      <c r="E66" s="153" t="e">
        <f t="shared" si="13"/>
        <v>#REF!</v>
      </c>
      <c r="F66" s="153" t="e">
        <f t="shared" si="13"/>
        <v>#REF!</v>
      </c>
      <c r="G66" s="153" t="e">
        <f t="shared" si="13"/>
        <v>#REF!</v>
      </c>
      <c r="H66" s="153" t="e">
        <f t="shared" si="13"/>
        <v>#REF!</v>
      </c>
      <c r="I66" s="153" t="e">
        <f t="shared" si="13"/>
        <v>#REF!</v>
      </c>
      <c r="J66" s="153" t="e">
        <f t="shared" si="13"/>
        <v>#REF!</v>
      </c>
      <c r="K66" s="153" t="e">
        <f t="shared" si="13"/>
        <v>#REF!</v>
      </c>
      <c r="L66" s="153" t="e">
        <f t="shared" si="13"/>
        <v>#REF!</v>
      </c>
      <c r="M66" s="153" t="e">
        <f t="shared" si="13"/>
        <v>#REF!</v>
      </c>
      <c r="N66" s="153" t="e">
        <f t="shared" si="13"/>
        <v>#REF!</v>
      </c>
      <c r="O66" s="153" t="e">
        <f t="shared" si="13"/>
        <v>#REF!</v>
      </c>
      <c r="P66" s="153" t="e">
        <f t="shared" si="13"/>
        <v>#REF!</v>
      </c>
      <c r="Q66" s="153" t="e">
        <f t="shared" si="13"/>
        <v>#REF!</v>
      </c>
      <c r="R66" s="153" t="e">
        <f t="shared" si="13"/>
        <v>#REF!</v>
      </c>
      <c r="S66" s="153" t="e">
        <f t="shared" si="13"/>
        <v>#REF!</v>
      </c>
      <c r="T66" s="153" t="e">
        <f t="shared" si="13"/>
        <v>#REF!</v>
      </c>
      <c r="U66" s="153" t="e">
        <f t="shared" si="13"/>
        <v>#REF!</v>
      </c>
      <c r="V66" s="153" t="e">
        <f t="shared" si="13"/>
        <v>#REF!</v>
      </c>
      <c r="W66" s="153" t="e">
        <f t="shared" si="13"/>
        <v>#REF!</v>
      </c>
      <c r="X66" s="153" t="e">
        <f t="shared" si="13"/>
        <v>#REF!</v>
      </c>
      <c r="Y66" s="153" t="e">
        <f t="shared" si="13"/>
        <v>#REF!</v>
      </c>
      <c r="Z66" s="153" t="e">
        <f t="shared" si="13"/>
        <v>#REF!</v>
      </c>
      <c r="AA66" s="153" t="e">
        <f t="shared" si="13"/>
        <v>#REF!</v>
      </c>
      <c r="AB66" s="153">
        <f t="shared" si="13"/>
        <v>0</v>
      </c>
      <c r="AC66" s="153">
        <f t="shared" si="13"/>
        <v>0</v>
      </c>
      <c r="AD66" s="153">
        <f t="shared" si="13"/>
        <v>0</v>
      </c>
    </row>
    <row r="67" spans="1:30">
      <c r="A67" s="122">
        <v>51</v>
      </c>
      <c r="B67" s="127" t="s">
        <v>865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2">
        <v>52</v>
      </c>
      <c r="B68" s="127" t="s">
        <v>866</v>
      </c>
      <c r="C68" s="128">
        <f>Financials!E26</f>
        <v>0</v>
      </c>
      <c r="D68" s="128">
        <f>Financials!H26</f>
        <v>0</v>
      </c>
      <c r="E68" s="128">
        <f>Financials!I26</f>
        <v>0</v>
      </c>
      <c r="F68" s="128">
        <f>Financials!J26</f>
        <v>0</v>
      </c>
      <c r="G68" s="128">
        <f>Financials!K26</f>
        <v>169.32</v>
      </c>
      <c r="H68" s="128">
        <f>Financials!L26</f>
        <v>-19.54</v>
      </c>
      <c r="I68" s="128">
        <f>Financials!M26</f>
        <v>-149.78</v>
      </c>
      <c r="J68" s="128">
        <f>Financials!N26</f>
        <v>0</v>
      </c>
      <c r="K68" s="128">
        <f>Financials!O26</f>
        <v>0</v>
      </c>
      <c r="L68" s="128">
        <f>Financials!P26</f>
        <v>0</v>
      </c>
      <c r="M68" s="128">
        <f>Financials!Q26</f>
        <v>0</v>
      </c>
      <c r="N68" s="128">
        <f>Financials!R26</f>
        <v>0</v>
      </c>
      <c r="O68" s="128">
        <f>Financials!S26</f>
        <v>0</v>
      </c>
      <c r="P68" s="128">
        <f>Financials!T26</f>
        <v>0</v>
      </c>
      <c r="Q68" s="128">
        <f>Financials!U26</f>
        <v>0</v>
      </c>
      <c r="R68" s="128">
        <f>Financials!V26</f>
        <v>0</v>
      </c>
      <c r="S68" s="128">
        <f>Financials!W26</f>
        <v>0</v>
      </c>
      <c r="T68" s="128">
        <f>Financials!X26</f>
        <v>0</v>
      </c>
      <c r="U68" s="128">
        <f>Financials!Y26</f>
        <v>0</v>
      </c>
      <c r="V68" s="128">
        <f>Financials!Z26</f>
        <v>0</v>
      </c>
      <c r="W68" s="128">
        <f>Financials!AA26</f>
        <v>0</v>
      </c>
      <c r="X68" s="128">
        <f>Financials!AB26</f>
        <v>0</v>
      </c>
      <c r="Y68" s="128">
        <f>Financials!AC26</f>
        <v>0</v>
      </c>
      <c r="Z68" s="128">
        <f>Financials!AD26</f>
        <v>0</v>
      </c>
      <c r="AA68" s="128">
        <f>Financials!AE26</f>
        <v>0</v>
      </c>
      <c r="AB68" s="128"/>
      <c r="AC68" s="128"/>
      <c r="AD68" s="128"/>
    </row>
    <row r="69" spans="1:30">
      <c r="A69" s="122">
        <v>53</v>
      </c>
      <c r="B69" s="127" t="s">
        <v>867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2">
        <v>54</v>
      </c>
      <c r="B70" s="129" t="s">
        <v>868</v>
      </c>
      <c r="C70" s="153">
        <f t="shared" ref="C70:AD70" si="14">C66-C67-C68-C69</f>
        <v>-321.92999999999995</v>
      </c>
      <c r="D70" s="153" t="e">
        <f t="shared" si="14"/>
        <v>#REF!</v>
      </c>
      <c r="E70" s="153" t="e">
        <f t="shared" si="14"/>
        <v>#REF!</v>
      </c>
      <c r="F70" s="153" t="e">
        <f t="shared" si="14"/>
        <v>#REF!</v>
      </c>
      <c r="G70" s="153" t="e">
        <f t="shared" si="14"/>
        <v>#REF!</v>
      </c>
      <c r="H70" s="153" t="e">
        <f t="shared" si="14"/>
        <v>#REF!</v>
      </c>
      <c r="I70" s="153" t="e">
        <f t="shared" si="14"/>
        <v>#REF!</v>
      </c>
      <c r="J70" s="153" t="e">
        <f t="shared" si="14"/>
        <v>#REF!</v>
      </c>
      <c r="K70" s="153" t="e">
        <f t="shared" si="14"/>
        <v>#REF!</v>
      </c>
      <c r="L70" s="153" t="e">
        <f t="shared" si="14"/>
        <v>#REF!</v>
      </c>
      <c r="M70" s="153" t="e">
        <f t="shared" si="14"/>
        <v>#REF!</v>
      </c>
      <c r="N70" s="153" t="e">
        <f t="shared" si="14"/>
        <v>#REF!</v>
      </c>
      <c r="O70" s="153" t="e">
        <f t="shared" si="14"/>
        <v>#REF!</v>
      </c>
      <c r="P70" s="153" t="e">
        <f t="shared" si="14"/>
        <v>#REF!</v>
      </c>
      <c r="Q70" s="153" t="e">
        <f t="shared" si="14"/>
        <v>#REF!</v>
      </c>
      <c r="R70" s="153" t="e">
        <f t="shared" si="14"/>
        <v>#REF!</v>
      </c>
      <c r="S70" s="153" t="e">
        <f t="shared" si="14"/>
        <v>#REF!</v>
      </c>
      <c r="T70" s="153" t="e">
        <f t="shared" si="14"/>
        <v>#REF!</v>
      </c>
      <c r="U70" s="153" t="e">
        <f t="shared" si="14"/>
        <v>#REF!</v>
      </c>
      <c r="V70" s="153" t="e">
        <f t="shared" si="14"/>
        <v>#REF!</v>
      </c>
      <c r="W70" s="153" t="e">
        <f t="shared" si="14"/>
        <v>#REF!</v>
      </c>
      <c r="X70" s="153" t="e">
        <f t="shared" si="14"/>
        <v>#REF!</v>
      </c>
      <c r="Y70" s="153" t="e">
        <f t="shared" si="14"/>
        <v>#REF!</v>
      </c>
      <c r="Z70" s="153" t="e">
        <f t="shared" si="14"/>
        <v>#REF!</v>
      </c>
      <c r="AA70" s="153" t="e">
        <f t="shared" si="14"/>
        <v>#REF!</v>
      </c>
      <c r="AB70" s="153">
        <f t="shared" si="14"/>
        <v>0</v>
      </c>
      <c r="AC70" s="153">
        <f t="shared" si="14"/>
        <v>0</v>
      </c>
      <c r="AD70" s="153">
        <f t="shared" si="14"/>
        <v>0</v>
      </c>
    </row>
    <row r="71" spans="1:30">
      <c r="A71" s="122">
        <v>55</v>
      </c>
      <c r="B71" s="127" t="s">
        <v>869</v>
      </c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>
      <c r="A72" s="122">
        <v>56</v>
      </c>
      <c r="B72" s="129" t="s">
        <v>870</v>
      </c>
      <c r="C72" s="153">
        <f t="shared" ref="C72:AD72" si="15">C70-C71</f>
        <v>-321.92999999999995</v>
      </c>
      <c r="D72" s="153" t="e">
        <f t="shared" si="15"/>
        <v>#REF!</v>
      </c>
      <c r="E72" s="153" t="e">
        <f t="shared" si="15"/>
        <v>#REF!</v>
      </c>
      <c r="F72" s="153" t="e">
        <f t="shared" si="15"/>
        <v>#REF!</v>
      </c>
      <c r="G72" s="153" t="e">
        <f t="shared" si="15"/>
        <v>#REF!</v>
      </c>
      <c r="H72" s="153" t="e">
        <f t="shared" si="15"/>
        <v>#REF!</v>
      </c>
      <c r="I72" s="153" t="e">
        <f t="shared" si="15"/>
        <v>#REF!</v>
      </c>
      <c r="J72" s="153" t="e">
        <f t="shared" si="15"/>
        <v>#REF!</v>
      </c>
      <c r="K72" s="153" t="e">
        <f t="shared" si="15"/>
        <v>#REF!</v>
      </c>
      <c r="L72" s="153" t="e">
        <f t="shared" si="15"/>
        <v>#REF!</v>
      </c>
      <c r="M72" s="153" t="e">
        <f t="shared" si="15"/>
        <v>#REF!</v>
      </c>
      <c r="N72" s="153" t="e">
        <f t="shared" si="15"/>
        <v>#REF!</v>
      </c>
      <c r="O72" s="153" t="e">
        <f t="shared" si="15"/>
        <v>#REF!</v>
      </c>
      <c r="P72" s="153" t="e">
        <f t="shared" si="15"/>
        <v>#REF!</v>
      </c>
      <c r="Q72" s="153" t="e">
        <f t="shared" si="15"/>
        <v>#REF!</v>
      </c>
      <c r="R72" s="153" t="e">
        <f t="shared" si="15"/>
        <v>#REF!</v>
      </c>
      <c r="S72" s="153" t="e">
        <f t="shared" si="15"/>
        <v>#REF!</v>
      </c>
      <c r="T72" s="153" t="e">
        <f t="shared" si="15"/>
        <v>#REF!</v>
      </c>
      <c r="U72" s="153" t="e">
        <f t="shared" si="15"/>
        <v>#REF!</v>
      </c>
      <c r="V72" s="153" t="e">
        <f t="shared" si="15"/>
        <v>#REF!</v>
      </c>
      <c r="W72" s="153" t="e">
        <f t="shared" si="15"/>
        <v>#REF!</v>
      </c>
      <c r="X72" s="153" t="e">
        <f t="shared" si="15"/>
        <v>#REF!</v>
      </c>
      <c r="Y72" s="153" t="e">
        <f t="shared" si="15"/>
        <v>#REF!</v>
      </c>
      <c r="Z72" s="153" t="e">
        <f t="shared" si="15"/>
        <v>#REF!</v>
      </c>
      <c r="AA72" s="153" t="e">
        <f t="shared" si="15"/>
        <v>#REF!</v>
      </c>
      <c r="AB72" s="153">
        <f t="shared" si="15"/>
        <v>0</v>
      </c>
      <c r="AC72" s="153">
        <f t="shared" si="15"/>
        <v>0</v>
      </c>
      <c r="AD72" s="153">
        <f t="shared" si="15"/>
        <v>0</v>
      </c>
    </row>
    <row r="73" spans="1:30">
      <c r="A73" s="122">
        <v>57</v>
      </c>
      <c r="B73" s="127" t="s">
        <v>871</v>
      </c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>
      <c r="A74" s="122">
        <v>58</v>
      </c>
      <c r="B74" s="129" t="s">
        <v>872</v>
      </c>
      <c r="C74" s="153">
        <f t="shared" ref="C74:AD74" si="16">C72-C73</f>
        <v>-321.92999999999995</v>
      </c>
      <c r="D74" s="153" t="e">
        <f t="shared" si="16"/>
        <v>#REF!</v>
      </c>
      <c r="E74" s="153" t="e">
        <f t="shared" si="16"/>
        <v>#REF!</v>
      </c>
      <c r="F74" s="153" t="e">
        <f t="shared" si="16"/>
        <v>#REF!</v>
      </c>
      <c r="G74" s="153" t="e">
        <f t="shared" si="16"/>
        <v>#REF!</v>
      </c>
      <c r="H74" s="153" t="e">
        <f t="shared" si="16"/>
        <v>#REF!</v>
      </c>
      <c r="I74" s="153" t="e">
        <f t="shared" si="16"/>
        <v>#REF!</v>
      </c>
      <c r="J74" s="153" t="e">
        <f t="shared" si="16"/>
        <v>#REF!</v>
      </c>
      <c r="K74" s="153" t="e">
        <f t="shared" si="16"/>
        <v>#REF!</v>
      </c>
      <c r="L74" s="153" t="e">
        <f t="shared" si="16"/>
        <v>#REF!</v>
      </c>
      <c r="M74" s="153" t="e">
        <f t="shared" si="16"/>
        <v>#REF!</v>
      </c>
      <c r="N74" s="153" t="e">
        <f t="shared" si="16"/>
        <v>#REF!</v>
      </c>
      <c r="O74" s="153" t="e">
        <f t="shared" si="16"/>
        <v>#REF!</v>
      </c>
      <c r="P74" s="153" t="e">
        <f t="shared" si="16"/>
        <v>#REF!</v>
      </c>
      <c r="Q74" s="153" t="e">
        <f t="shared" si="16"/>
        <v>#REF!</v>
      </c>
      <c r="R74" s="153" t="e">
        <f t="shared" si="16"/>
        <v>#REF!</v>
      </c>
      <c r="S74" s="153" t="e">
        <f t="shared" si="16"/>
        <v>#REF!</v>
      </c>
      <c r="T74" s="153" t="e">
        <f t="shared" si="16"/>
        <v>#REF!</v>
      </c>
      <c r="U74" s="153" t="e">
        <f t="shared" si="16"/>
        <v>#REF!</v>
      </c>
      <c r="V74" s="153" t="e">
        <f t="shared" si="16"/>
        <v>#REF!</v>
      </c>
      <c r="W74" s="153" t="e">
        <f t="shared" si="16"/>
        <v>#REF!</v>
      </c>
      <c r="X74" s="153" t="e">
        <f t="shared" si="16"/>
        <v>#REF!</v>
      </c>
      <c r="Y74" s="153" t="e">
        <f t="shared" si="16"/>
        <v>#REF!</v>
      </c>
      <c r="Z74" s="153" t="e">
        <f t="shared" si="16"/>
        <v>#REF!</v>
      </c>
      <c r="AA74" s="153" t="e">
        <f t="shared" si="16"/>
        <v>#REF!</v>
      </c>
      <c r="AB74" s="153">
        <f t="shared" si="16"/>
        <v>0</v>
      </c>
      <c r="AC74" s="153">
        <f t="shared" si="16"/>
        <v>0</v>
      </c>
      <c r="AD74" s="153">
        <f t="shared" si="16"/>
        <v>0</v>
      </c>
    </row>
    <row r="75" spans="1:30" ht="73.95" customHeight="1">
      <c r="A75" s="80"/>
      <c r="B75" s="156" t="s">
        <v>873</v>
      </c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</row>
  </sheetData>
  <sheetProtection password="CE16" sheet="1" objects="1" scenarios="1"/>
  <protectedRanges>
    <protectedRange sqref="C75:AD75" name="Range17" securityDescriptor=""/>
    <protectedRange sqref="C73:AD73" name="Range16" securityDescriptor=""/>
    <protectedRange sqref="C71:AD71" name="Range15" securityDescriptor=""/>
    <protectedRange sqref="C67:AD69" name="Range14" securityDescriptor=""/>
    <protectedRange sqref="B59:AD63" name="Range13" securityDescriptor=""/>
    <protectedRange sqref="C53:AD57" name="Range12" securityDescriptor=""/>
    <protectedRange sqref="B46:AD50" name="Range11" securityDescriptor=""/>
    <protectedRange sqref="C40:AD44" name="Range10" securityDescriptor=""/>
    <protectedRange sqref="C34:AD36" name="Range9" securityDescriptor=""/>
    <protectedRange sqref="C32:AD32" name="Range8" securityDescriptor=""/>
    <protectedRange sqref="C29:AD30" name="Range7" securityDescriptor=""/>
    <protectedRange sqref="C22:AD27" name="Range6" securityDescriptor=""/>
    <protectedRange sqref="C19:AD20" name="Range5" securityDescriptor=""/>
    <protectedRange sqref="C1:AD3" name="Range1" securityDescriptor=""/>
    <protectedRange sqref="C7:AD9" name="Range2" securityDescriptor=""/>
    <protectedRange sqref="C11:AD12" name="Range3" securityDescriptor=""/>
    <protectedRange sqref="C16:AD17" name="Range4" securityDescriptor=""/>
  </protectedRanges>
  <dataValidations count="1">
    <dataValidation type="list" allowBlank="1" showInputMessage="1" showErrorMessage="1" sqref="C3:AD3 IY3:JZ3 SU3:TV3 ACQ3:ADR3 AMM3:ANN3 AWI3:AXJ3 BGE3:BHF3 BQA3:BRB3 BZW3:CAX3 CJS3:CKT3 CTO3:CUP3 DDK3:DEL3 DNG3:DOH3 DXC3:DYD3 EGY3:EHZ3 EQU3:ERV3 FAQ3:FBR3 FKM3:FLN3 FUI3:FVJ3 GEE3:GFF3 GOA3:GPB3 GXW3:GYX3 HHS3:HIT3 HRO3:HSP3 IBK3:ICL3 ILG3:IMH3 IVC3:IWD3 JEY3:JFZ3 JOU3:JPV3 JYQ3:JZR3 KIM3:KJN3 KSI3:KTJ3 LCE3:LDF3 LMA3:LNB3 LVW3:LWX3 MFS3:MGT3 MPO3:MQP3 MZK3:NAL3 NJG3:NKH3 NTC3:NUD3 OCY3:ODZ3 OMU3:ONV3 OWQ3:OXR3 PGM3:PHN3 PQI3:PRJ3 QAE3:QBF3 QKA3:QLB3 QTW3:QUX3 RDS3:RET3 RNO3:ROP3 RXK3:RYL3 SHG3:SIH3 SRC3:SSD3 TAY3:TBZ3 TKU3:TLV3 TUQ3:TVR3 UEM3:UFN3 UOI3:UPJ3 UYE3:UZF3 VIA3:VJB3 VRW3:VSX3 WBS3:WCT3 WLO3:WMP3 WVK3:WWL3 C65539:AD65539 IY65539:JZ65539 SU65539:TV65539 ACQ65539:ADR65539 AMM65539:ANN65539 AWI65539:AXJ65539 BGE65539:BHF65539 BQA65539:BRB65539 BZW65539:CAX65539 CJS65539:CKT65539 CTO65539:CUP65539 DDK65539:DEL65539 DNG65539:DOH65539 DXC65539:DYD65539 EGY65539:EHZ65539 EQU65539:ERV65539 FAQ65539:FBR65539 FKM65539:FLN65539 FUI65539:FVJ65539 GEE65539:GFF65539 GOA65539:GPB65539 GXW65539:GYX65539 HHS65539:HIT65539 HRO65539:HSP65539 IBK65539:ICL65539 ILG65539:IMH65539 IVC65539:IWD65539 JEY65539:JFZ65539 JOU65539:JPV65539 JYQ65539:JZR65539 KIM65539:KJN65539 KSI65539:KTJ65539 LCE65539:LDF65539 LMA65539:LNB65539 LVW65539:LWX65539 MFS65539:MGT65539 MPO65539:MQP65539 MZK65539:NAL65539 NJG65539:NKH65539 NTC65539:NUD65539 OCY65539:ODZ65539 OMU65539:ONV65539 OWQ65539:OXR65539 PGM65539:PHN65539 PQI65539:PRJ65539 QAE65539:QBF65539 QKA65539:QLB65539 QTW65539:QUX65539 RDS65539:RET65539 RNO65539:ROP65539 RXK65539:RYL65539 SHG65539:SIH65539 SRC65539:SSD65539 TAY65539:TBZ65539 TKU65539:TLV65539 TUQ65539:TVR65539 UEM65539:UFN65539 UOI65539:UPJ65539 UYE65539:UZF65539 VIA65539:VJB65539 VRW65539:VSX65539 WBS65539:WCT65539 WLO65539:WMP65539 WVK65539:WWL65539 C131075:AD131075 IY131075:JZ131075 SU131075:TV131075 ACQ131075:ADR131075 AMM131075:ANN131075 AWI131075:AXJ131075 BGE131075:BHF131075 BQA131075:BRB131075 BZW131075:CAX131075 CJS131075:CKT131075 CTO131075:CUP131075 DDK131075:DEL131075 DNG131075:DOH131075 DXC131075:DYD131075 EGY131075:EHZ131075 EQU131075:ERV131075 FAQ131075:FBR131075 FKM131075:FLN131075 FUI131075:FVJ131075 GEE131075:GFF131075 GOA131075:GPB131075 GXW131075:GYX131075 HHS131075:HIT131075 HRO131075:HSP131075 IBK131075:ICL131075 ILG131075:IMH131075 IVC131075:IWD131075 JEY131075:JFZ131075 JOU131075:JPV131075 JYQ131075:JZR131075 KIM131075:KJN131075 KSI131075:KTJ131075 LCE131075:LDF131075 LMA131075:LNB131075 LVW131075:LWX131075 MFS131075:MGT131075 MPO131075:MQP131075 MZK131075:NAL131075 NJG131075:NKH131075 NTC131075:NUD131075 OCY131075:ODZ131075 OMU131075:ONV131075 OWQ131075:OXR131075 PGM131075:PHN131075 PQI131075:PRJ131075 QAE131075:QBF131075 QKA131075:QLB131075 QTW131075:QUX131075 RDS131075:RET131075 RNO131075:ROP131075 RXK131075:RYL131075 SHG131075:SIH131075 SRC131075:SSD131075 TAY131075:TBZ131075 TKU131075:TLV131075 TUQ131075:TVR131075 UEM131075:UFN131075 UOI131075:UPJ131075 UYE131075:UZF131075 VIA131075:VJB131075 VRW131075:VSX131075 WBS131075:WCT131075 WLO131075:WMP131075 WVK131075:WWL131075 C196611:AD196611 IY196611:JZ196611 SU196611:TV196611 ACQ196611:ADR196611 AMM196611:ANN196611 AWI196611:AXJ196611 BGE196611:BHF196611 BQA196611:BRB196611 BZW196611:CAX196611 CJS196611:CKT196611 CTO196611:CUP196611 DDK196611:DEL196611 DNG196611:DOH196611 DXC196611:DYD196611 EGY196611:EHZ196611 EQU196611:ERV196611 FAQ196611:FBR196611 FKM196611:FLN196611 FUI196611:FVJ196611 GEE196611:GFF196611 GOA196611:GPB196611 GXW196611:GYX196611 HHS196611:HIT196611 HRO196611:HSP196611 IBK196611:ICL196611 ILG196611:IMH196611 IVC196611:IWD196611 JEY196611:JFZ196611 JOU196611:JPV196611 JYQ196611:JZR196611 KIM196611:KJN196611 KSI196611:KTJ196611 LCE196611:LDF196611 LMA196611:LNB196611 LVW196611:LWX196611 MFS196611:MGT196611 MPO196611:MQP196611 MZK196611:NAL196611 NJG196611:NKH196611 NTC196611:NUD196611 OCY196611:ODZ196611 OMU196611:ONV196611 OWQ196611:OXR196611 PGM196611:PHN196611 PQI196611:PRJ196611 QAE196611:QBF196611 QKA196611:QLB196611 QTW196611:QUX196611 RDS196611:RET196611 RNO196611:ROP196611 RXK196611:RYL196611 SHG196611:SIH196611 SRC196611:SSD196611 TAY196611:TBZ196611 TKU196611:TLV196611 TUQ196611:TVR196611 UEM196611:UFN196611 UOI196611:UPJ196611 UYE196611:UZF196611 VIA196611:VJB196611 VRW196611:VSX196611 WBS196611:WCT196611 WLO196611:WMP196611 WVK196611:WWL196611 C262147:AD262147 IY262147:JZ262147 SU262147:TV262147 ACQ262147:ADR262147 AMM262147:ANN262147 AWI262147:AXJ262147 BGE262147:BHF262147 BQA262147:BRB262147 BZW262147:CAX262147 CJS262147:CKT262147 CTO262147:CUP262147 DDK262147:DEL262147 DNG262147:DOH262147 DXC262147:DYD262147 EGY262147:EHZ262147 EQU262147:ERV262147 FAQ262147:FBR262147 FKM262147:FLN262147 FUI262147:FVJ262147 GEE262147:GFF262147 GOA262147:GPB262147 GXW262147:GYX262147 HHS262147:HIT262147 HRO262147:HSP262147 IBK262147:ICL262147 ILG262147:IMH262147 IVC262147:IWD262147 JEY262147:JFZ262147 JOU262147:JPV262147 JYQ262147:JZR262147 KIM262147:KJN262147 KSI262147:KTJ262147 LCE262147:LDF262147 LMA262147:LNB262147 LVW262147:LWX262147 MFS262147:MGT262147 MPO262147:MQP262147 MZK262147:NAL262147 NJG262147:NKH262147 NTC262147:NUD262147 OCY262147:ODZ262147 OMU262147:ONV262147 OWQ262147:OXR262147 PGM262147:PHN262147 PQI262147:PRJ262147 QAE262147:QBF262147 QKA262147:QLB262147 QTW262147:QUX262147 RDS262147:RET262147 RNO262147:ROP262147 RXK262147:RYL262147 SHG262147:SIH262147 SRC262147:SSD262147 TAY262147:TBZ262147 TKU262147:TLV262147 TUQ262147:TVR262147 UEM262147:UFN262147 UOI262147:UPJ262147 UYE262147:UZF262147 VIA262147:VJB262147 VRW262147:VSX262147 WBS262147:WCT262147 WLO262147:WMP262147 WVK262147:WWL262147 C327683:AD327683 IY327683:JZ327683 SU327683:TV327683 ACQ327683:ADR327683 AMM327683:ANN327683 AWI327683:AXJ327683 BGE327683:BHF327683 BQA327683:BRB327683 BZW327683:CAX327683 CJS327683:CKT327683 CTO327683:CUP327683 DDK327683:DEL327683 DNG327683:DOH327683 DXC327683:DYD327683 EGY327683:EHZ327683 EQU327683:ERV327683 FAQ327683:FBR327683 FKM327683:FLN327683 FUI327683:FVJ327683 GEE327683:GFF327683 GOA327683:GPB327683 GXW327683:GYX327683 HHS327683:HIT327683 HRO327683:HSP327683 IBK327683:ICL327683 ILG327683:IMH327683 IVC327683:IWD327683 JEY327683:JFZ327683 JOU327683:JPV327683 JYQ327683:JZR327683 KIM327683:KJN327683 KSI327683:KTJ327683 LCE327683:LDF327683 LMA327683:LNB327683 LVW327683:LWX327683 MFS327683:MGT327683 MPO327683:MQP327683 MZK327683:NAL327683 NJG327683:NKH327683 NTC327683:NUD327683 OCY327683:ODZ327683 OMU327683:ONV327683 OWQ327683:OXR327683 PGM327683:PHN327683 PQI327683:PRJ327683 QAE327683:QBF327683 QKA327683:QLB327683 QTW327683:QUX327683 RDS327683:RET327683 RNO327683:ROP327683 RXK327683:RYL327683 SHG327683:SIH327683 SRC327683:SSD327683 TAY327683:TBZ327683 TKU327683:TLV327683 TUQ327683:TVR327683 UEM327683:UFN327683 UOI327683:UPJ327683 UYE327683:UZF327683 VIA327683:VJB327683 VRW327683:VSX327683 WBS327683:WCT327683 WLO327683:WMP327683 WVK327683:WWL327683 C393219:AD393219 IY393219:JZ393219 SU393219:TV393219 ACQ393219:ADR393219 AMM393219:ANN393219 AWI393219:AXJ393219 BGE393219:BHF393219 BQA393219:BRB393219 BZW393219:CAX393219 CJS393219:CKT393219 CTO393219:CUP393219 DDK393219:DEL393219 DNG393219:DOH393219 DXC393219:DYD393219 EGY393219:EHZ393219 EQU393219:ERV393219 FAQ393219:FBR393219 FKM393219:FLN393219 FUI393219:FVJ393219 GEE393219:GFF393219 GOA393219:GPB393219 GXW393219:GYX393219 HHS393219:HIT393219 HRO393219:HSP393219 IBK393219:ICL393219 ILG393219:IMH393219 IVC393219:IWD393219 JEY393219:JFZ393219 JOU393219:JPV393219 JYQ393219:JZR393219 KIM393219:KJN393219 KSI393219:KTJ393219 LCE393219:LDF393219 LMA393219:LNB393219 LVW393219:LWX393219 MFS393219:MGT393219 MPO393219:MQP393219 MZK393219:NAL393219 NJG393219:NKH393219 NTC393219:NUD393219 OCY393219:ODZ393219 OMU393219:ONV393219 OWQ393219:OXR393219 PGM393219:PHN393219 PQI393219:PRJ393219 QAE393219:QBF393219 QKA393219:QLB393219 QTW393219:QUX393219 RDS393219:RET393219 RNO393219:ROP393219 RXK393219:RYL393219 SHG393219:SIH393219 SRC393219:SSD393219 TAY393219:TBZ393219 TKU393219:TLV393219 TUQ393219:TVR393219 UEM393219:UFN393219 UOI393219:UPJ393219 UYE393219:UZF393219 VIA393219:VJB393219 VRW393219:VSX393219 WBS393219:WCT393219 WLO393219:WMP393219 WVK393219:WWL393219 C458755:AD458755 IY458755:JZ458755 SU458755:TV458755 ACQ458755:ADR458755 AMM458755:ANN458755 AWI458755:AXJ458755 BGE458755:BHF458755 BQA458755:BRB458755 BZW458755:CAX458755 CJS458755:CKT458755 CTO458755:CUP458755 DDK458755:DEL458755 DNG458755:DOH458755 DXC458755:DYD458755 EGY458755:EHZ458755 EQU458755:ERV458755 FAQ458755:FBR458755 FKM458755:FLN458755 FUI458755:FVJ458755 GEE458755:GFF458755 GOA458755:GPB458755 GXW458755:GYX458755 HHS458755:HIT458755 HRO458755:HSP458755 IBK458755:ICL458755 ILG458755:IMH458755 IVC458755:IWD458755 JEY458755:JFZ458755 JOU458755:JPV458755 JYQ458755:JZR458755 KIM458755:KJN458755 KSI458755:KTJ458755 LCE458755:LDF458755 LMA458755:LNB458755 LVW458755:LWX458755 MFS458755:MGT458755 MPO458755:MQP458755 MZK458755:NAL458755 NJG458755:NKH458755 NTC458755:NUD458755 OCY458755:ODZ458755 OMU458755:ONV458755 OWQ458755:OXR458755 PGM458755:PHN458755 PQI458755:PRJ458755 QAE458755:QBF458755 QKA458755:QLB458755 QTW458755:QUX458755 RDS458755:RET458755 RNO458755:ROP458755 RXK458755:RYL458755 SHG458755:SIH458755 SRC458755:SSD458755 TAY458755:TBZ458755 TKU458755:TLV458755 TUQ458755:TVR458755 UEM458755:UFN458755 UOI458755:UPJ458755 UYE458755:UZF458755 VIA458755:VJB458755 VRW458755:VSX458755 WBS458755:WCT458755 WLO458755:WMP458755 WVK458755:WWL458755 C524291:AD524291 IY524291:JZ524291 SU524291:TV524291 ACQ524291:ADR524291 AMM524291:ANN524291 AWI524291:AXJ524291 BGE524291:BHF524291 BQA524291:BRB524291 BZW524291:CAX524291 CJS524291:CKT524291 CTO524291:CUP524291 DDK524291:DEL524291 DNG524291:DOH524291 DXC524291:DYD524291 EGY524291:EHZ524291 EQU524291:ERV524291 FAQ524291:FBR524291 FKM524291:FLN524291 FUI524291:FVJ524291 GEE524291:GFF524291 GOA524291:GPB524291 GXW524291:GYX524291 HHS524291:HIT524291 HRO524291:HSP524291 IBK524291:ICL524291 ILG524291:IMH524291 IVC524291:IWD524291 JEY524291:JFZ524291 JOU524291:JPV524291 JYQ524291:JZR524291 KIM524291:KJN524291 KSI524291:KTJ524291 LCE524291:LDF524291 LMA524291:LNB524291 LVW524291:LWX524291 MFS524291:MGT524291 MPO524291:MQP524291 MZK524291:NAL524291 NJG524291:NKH524291 NTC524291:NUD524291 OCY524291:ODZ524291 OMU524291:ONV524291 OWQ524291:OXR524291 PGM524291:PHN524291 PQI524291:PRJ524291 QAE524291:QBF524291 QKA524291:QLB524291 QTW524291:QUX524291 RDS524291:RET524291 RNO524291:ROP524291 RXK524291:RYL524291 SHG524291:SIH524291 SRC524291:SSD524291 TAY524291:TBZ524291 TKU524291:TLV524291 TUQ524291:TVR524291 UEM524291:UFN524291 UOI524291:UPJ524291 UYE524291:UZF524291 VIA524291:VJB524291 VRW524291:VSX524291 WBS524291:WCT524291 WLO524291:WMP524291 WVK524291:WWL524291 C589827:AD589827 IY589827:JZ589827 SU589827:TV589827 ACQ589827:ADR589827 AMM589827:ANN589827 AWI589827:AXJ589827 BGE589827:BHF589827 BQA589827:BRB589827 BZW589827:CAX589827 CJS589827:CKT589827 CTO589827:CUP589827 DDK589827:DEL589827 DNG589827:DOH589827 DXC589827:DYD589827 EGY589827:EHZ589827 EQU589827:ERV589827 FAQ589827:FBR589827 FKM589827:FLN589827 FUI589827:FVJ589827 GEE589827:GFF589827 GOA589827:GPB589827 GXW589827:GYX589827 HHS589827:HIT589827 HRO589827:HSP589827 IBK589827:ICL589827 ILG589827:IMH589827 IVC589827:IWD589827 JEY589827:JFZ589827 JOU589827:JPV589827 JYQ589827:JZR589827 KIM589827:KJN589827 KSI589827:KTJ589827 LCE589827:LDF589827 LMA589827:LNB589827 LVW589827:LWX589827 MFS589827:MGT589827 MPO589827:MQP589827 MZK589827:NAL589827 NJG589827:NKH589827 NTC589827:NUD589827 OCY589827:ODZ589827 OMU589827:ONV589827 OWQ589827:OXR589827 PGM589827:PHN589827 PQI589827:PRJ589827 QAE589827:QBF589827 QKA589827:QLB589827 QTW589827:QUX589827 RDS589827:RET589827 RNO589827:ROP589827 RXK589827:RYL589827 SHG589827:SIH589827 SRC589827:SSD589827 TAY589827:TBZ589827 TKU589827:TLV589827 TUQ589827:TVR589827 UEM589827:UFN589827 UOI589827:UPJ589827 UYE589827:UZF589827 VIA589827:VJB589827 VRW589827:VSX589827 WBS589827:WCT589827 WLO589827:WMP589827 WVK589827:WWL589827 C655363:AD655363 IY655363:JZ655363 SU655363:TV655363 ACQ655363:ADR655363 AMM655363:ANN655363 AWI655363:AXJ655363 BGE655363:BHF655363 BQA655363:BRB655363 BZW655363:CAX655363 CJS655363:CKT655363 CTO655363:CUP655363 DDK655363:DEL655363 DNG655363:DOH655363 DXC655363:DYD655363 EGY655363:EHZ655363 EQU655363:ERV655363 FAQ655363:FBR655363 FKM655363:FLN655363 FUI655363:FVJ655363 GEE655363:GFF655363 GOA655363:GPB655363 GXW655363:GYX655363 HHS655363:HIT655363 HRO655363:HSP655363 IBK655363:ICL655363 ILG655363:IMH655363 IVC655363:IWD655363 JEY655363:JFZ655363 JOU655363:JPV655363 JYQ655363:JZR655363 KIM655363:KJN655363 KSI655363:KTJ655363 LCE655363:LDF655363 LMA655363:LNB655363 LVW655363:LWX655363 MFS655363:MGT655363 MPO655363:MQP655363 MZK655363:NAL655363 NJG655363:NKH655363 NTC655363:NUD655363 OCY655363:ODZ655363 OMU655363:ONV655363 OWQ655363:OXR655363 PGM655363:PHN655363 PQI655363:PRJ655363 QAE655363:QBF655363 QKA655363:QLB655363 QTW655363:QUX655363 RDS655363:RET655363 RNO655363:ROP655363 RXK655363:RYL655363 SHG655363:SIH655363 SRC655363:SSD655363 TAY655363:TBZ655363 TKU655363:TLV655363 TUQ655363:TVR655363 UEM655363:UFN655363 UOI655363:UPJ655363 UYE655363:UZF655363 VIA655363:VJB655363 VRW655363:VSX655363 WBS655363:WCT655363 WLO655363:WMP655363 WVK655363:WWL655363 C720899:AD720899 IY720899:JZ720899 SU720899:TV720899 ACQ720899:ADR720899 AMM720899:ANN720899 AWI720899:AXJ720899 BGE720899:BHF720899 BQA720899:BRB720899 BZW720899:CAX720899 CJS720899:CKT720899 CTO720899:CUP720899 DDK720899:DEL720899 DNG720899:DOH720899 DXC720899:DYD720899 EGY720899:EHZ720899 EQU720899:ERV720899 FAQ720899:FBR720899 FKM720899:FLN720899 FUI720899:FVJ720899 GEE720899:GFF720899 GOA720899:GPB720899 GXW720899:GYX720899 HHS720899:HIT720899 HRO720899:HSP720899 IBK720899:ICL720899 ILG720899:IMH720899 IVC720899:IWD720899 JEY720899:JFZ720899 JOU720899:JPV720899 JYQ720899:JZR720899 KIM720899:KJN720899 KSI720899:KTJ720899 LCE720899:LDF720899 LMA720899:LNB720899 LVW720899:LWX720899 MFS720899:MGT720899 MPO720899:MQP720899 MZK720899:NAL720899 NJG720899:NKH720899 NTC720899:NUD720899 OCY720899:ODZ720899 OMU720899:ONV720899 OWQ720899:OXR720899 PGM720899:PHN720899 PQI720899:PRJ720899 QAE720899:QBF720899 QKA720899:QLB720899 QTW720899:QUX720899 RDS720899:RET720899 RNO720899:ROP720899 RXK720899:RYL720899 SHG720899:SIH720899 SRC720899:SSD720899 TAY720899:TBZ720899 TKU720899:TLV720899 TUQ720899:TVR720899 UEM720899:UFN720899 UOI720899:UPJ720899 UYE720899:UZF720899 VIA720899:VJB720899 VRW720899:VSX720899 WBS720899:WCT720899 WLO720899:WMP720899 WVK720899:WWL720899 C786435:AD786435 IY786435:JZ786435 SU786435:TV786435 ACQ786435:ADR786435 AMM786435:ANN786435 AWI786435:AXJ786435 BGE786435:BHF786435 BQA786435:BRB786435 BZW786435:CAX786435 CJS786435:CKT786435 CTO786435:CUP786435 DDK786435:DEL786435 DNG786435:DOH786435 DXC786435:DYD786435 EGY786435:EHZ786435 EQU786435:ERV786435 FAQ786435:FBR786435 FKM786435:FLN786435 FUI786435:FVJ786435 GEE786435:GFF786435 GOA786435:GPB786435 GXW786435:GYX786435 HHS786435:HIT786435 HRO786435:HSP786435 IBK786435:ICL786435 ILG786435:IMH786435 IVC786435:IWD786435 JEY786435:JFZ786435 JOU786435:JPV786435 JYQ786435:JZR786435 KIM786435:KJN786435 KSI786435:KTJ786435 LCE786435:LDF786435 LMA786435:LNB786435 LVW786435:LWX786435 MFS786435:MGT786435 MPO786435:MQP786435 MZK786435:NAL786435 NJG786435:NKH786435 NTC786435:NUD786435 OCY786435:ODZ786435 OMU786435:ONV786435 OWQ786435:OXR786435 PGM786435:PHN786435 PQI786435:PRJ786435 QAE786435:QBF786435 QKA786435:QLB786435 QTW786435:QUX786435 RDS786435:RET786435 RNO786435:ROP786435 RXK786435:RYL786435 SHG786435:SIH786435 SRC786435:SSD786435 TAY786435:TBZ786435 TKU786435:TLV786435 TUQ786435:TVR786435 UEM786435:UFN786435 UOI786435:UPJ786435 UYE786435:UZF786435 VIA786435:VJB786435 VRW786435:VSX786435 WBS786435:WCT786435 WLO786435:WMP786435 WVK786435:WWL786435 C851971:AD851971 IY851971:JZ851971 SU851971:TV851971 ACQ851971:ADR851971 AMM851971:ANN851971 AWI851971:AXJ851971 BGE851971:BHF851971 BQA851971:BRB851971 BZW851971:CAX851971 CJS851971:CKT851971 CTO851971:CUP851971 DDK851971:DEL851971 DNG851971:DOH851971 DXC851971:DYD851971 EGY851971:EHZ851971 EQU851971:ERV851971 FAQ851971:FBR851971 FKM851971:FLN851971 FUI851971:FVJ851971 GEE851971:GFF851971 GOA851971:GPB851971 GXW851971:GYX851971 HHS851971:HIT851971 HRO851971:HSP851971 IBK851971:ICL851971 ILG851971:IMH851971 IVC851971:IWD851971 JEY851971:JFZ851971 JOU851971:JPV851971 JYQ851971:JZR851971 KIM851971:KJN851971 KSI851971:KTJ851971 LCE851971:LDF851971 LMA851971:LNB851971 LVW851971:LWX851971 MFS851971:MGT851971 MPO851971:MQP851971 MZK851971:NAL851971 NJG851971:NKH851971 NTC851971:NUD851971 OCY851971:ODZ851971 OMU851971:ONV851971 OWQ851971:OXR851971 PGM851971:PHN851971 PQI851971:PRJ851971 QAE851971:QBF851971 QKA851971:QLB851971 QTW851971:QUX851971 RDS851971:RET851971 RNO851971:ROP851971 RXK851971:RYL851971 SHG851971:SIH851971 SRC851971:SSD851971 TAY851971:TBZ851971 TKU851971:TLV851971 TUQ851971:TVR851971 UEM851971:UFN851971 UOI851971:UPJ851971 UYE851971:UZF851971 VIA851971:VJB851971 VRW851971:VSX851971 WBS851971:WCT851971 WLO851971:WMP851971 WVK851971:WWL851971 C917507:AD917507 IY917507:JZ917507 SU917507:TV917507 ACQ917507:ADR917507 AMM917507:ANN917507 AWI917507:AXJ917507 BGE917507:BHF917507 BQA917507:BRB917507 BZW917507:CAX917507 CJS917507:CKT917507 CTO917507:CUP917507 DDK917507:DEL917507 DNG917507:DOH917507 DXC917507:DYD917507 EGY917507:EHZ917507 EQU917507:ERV917507 FAQ917507:FBR917507 FKM917507:FLN917507 FUI917507:FVJ917507 GEE917507:GFF917507 GOA917507:GPB917507 GXW917507:GYX917507 HHS917507:HIT917507 HRO917507:HSP917507 IBK917507:ICL917507 ILG917507:IMH917507 IVC917507:IWD917507 JEY917507:JFZ917507 JOU917507:JPV917507 JYQ917507:JZR917507 KIM917507:KJN917507 KSI917507:KTJ917507 LCE917507:LDF917507 LMA917507:LNB917507 LVW917507:LWX917507 MFS917507:MGT917507 MPO917507:MQP917507 MZK917507:NAL917507 NJG917507:NKH917507 NTC917507:NUD917507 OCY917507:ODZ917507 OMU917507:ONV917507 OWQ917507:OXR917507 PGM917507:PHN917507 PQI917507:PRJ917507 QAE917507:QBF917507 QKA917507:QLB917507 QTW917507:QUX917507 RDS917507:RET917507 RNO917507:ROP917507 RXK917507:RYL917507 SHG917507:SIH917507 SRC917507:SSD917507 TAY917507:TBZ917507 TKU917507:TLV917507 TUQ917507:TVR917507 UEM917507:UFN917507 UOI917507:UPJ917507 UYE917507:UZF917507 VIA917507:VJB917507 VRW917507:VSX917507 WBS917507:WCT917507 WLO917507:WMP917507 WVK917507:WWL917507 C983043:AD983043 IY983043:JZ983043 SU983043:TV983043 ACQ983043:ADR983043 AMM983043:ANN983043 AWI983043:AXJ983043 BGE983043:BHF983043 BQA983043:BRB983043 BZW983043:CAX983043 CJS983043:CKT983043 CTO983043:CUP983043 DDK983043:DEL983043 DNG983043:DOH983043 DXC983043:DYD983043 EGY983043:EHZ983043 EQU983043:ERV983043 FAQ983043:FBR983043 FKM983043:FLN983043 FUI983043:FVJ983043 GEE983043:GFF983043 GOA983043:GPB983043 GXW983043:GYX983043 HHS983043:HIT983043 HRO983043:HSP983043 IBK983043:ICL983043 ILG983043:IMH983043 IVC983043:IWD983043 JEY983043:JFZ983043 JOU983043:JPV983043 JYQ983043:JZR983043 KIM983043:KJN983043 KSI983043:KTJ983043 LCE983043:LDF983043 LMA983043:LNB983043 LVW983043:LWX983043 MFS983043:MGT983043 MPO983043:MQP983043 MZK983043:NAL983043 NJG983043:NKH983043 NTC983043:NUD983043 OCY983043:ODZ983043 OMU983043:ONV983043 OWQ983043:OXR983043 PGM983043:PHN983043 PQI983043:PRJ983043 QAE983043:QBF983043 QKA983043:QLB983043 QTW983043:QUX983043 RDS983043:RET983043 RNO983043:ROP983043 RXK983043:RYL983043 SHG983043:SIH983043 SRC983043:SSD983043 TAY983043:TBZ983043 TKU983043:TLV983043 TUQ983043:TVR983043 UEM983043:UFN983043 UOI983043:UPJ983043 UYE983043:UZF983043 VIA983043:VJB983043 VRW983043:VSX983043 WBS983043:WCT983043 WLO983043:WMP983043 WVK983043:WWL983043" xr:uid="{00000000-0002-0000-1100-000000000000}">
      <formula1>$BC$1:$BC$4</formula1>
    </dataValidation>
  </dataValidations>
  <pageMargins left="0.15763888888888899" right="0.235416666666667" top="0.47152777777777799" bottom="0.74791666666666701" header="0.51180555555555596" footer="0.51180555555555596"/>
  <pageSetup paperSize="9" scale="97" firstPageNumber="0" orientation="landscape" useFirstPageNumber="1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J32"/>
  <sheetViews>
    <sheetView topLeftCell="A7" workbookViewId="0">
      <selection activeCell="D31" sqref="D31:I31"/>
    </sheetView>
  </sheetViews>
  <sheetFormatPr defaultRowHeight="14.4"/>
  <cols>
    <col min="3" max="3" width="28.6640625" bestFit="1" customWidth="1"/>
    <col min="4" max="9" width="15.6640625" style="749" customWidth="1"/>
  </cols>
  <sheetData>
    <row r="2" spans="3:10">
      <c r="C2" s="715" t="s">
        <v>717</v>
      </c>
      <c r="D2" s="743">
        <v>2018</v>
      </c>
      <c r="E2" s="743">
        <f>D2+1</f>
        <v>2019</v>
      </c>
      <c r="F2" s="743">
        <f t="shared" ref="F2:I2" si="0">E2+1</f>
        <v>2020</v>
      </c>
      <c r="G2" s="743">
        <f t="shared" si="0"/>
        <v>2021</v>
      </c>
      <c r="H2" s="744">
        <f t="shared" si="0"/>
        <v>2022</v>
      </c>
      <c r="I2" s="744">
        <f t="shared" si="0"/>
        <v>2023</v>
      </c>
    </row>
    <row r="3" spans="3:10" ht="14.4" customHeight="1">
      <c r="C3" s="10" t="s">
        <v>1124</v>
      </c>
      <c r="D3" s="745">
        <v>1815.88</v>
      </c>
      <c r="E3" s="745">
        <v>1523.48</v>
      </c>
      <c r="F3" s="745">
        <v>1550.95</v>
      </c>
      <c r="G3" s="745">
        <v>1897.29</v>
      </c>
      <c r="H3" s="745">
        <v>913.89</v>
      </c>
      <c r="I3" s="745">
        <v>1886.48</v>
      </c>
    </row>
    <row r="4" spans="3:10">
      <c r="C4" s="1" t="s">
        <v>1125</v>
      </c>
      <c r="D4" s="745">
        <v>99.84</v>
      </c>
      <c r="E4" s="745">
        <v>55.05</v>
      </c>
      <c r="F4" s="745">
        <v>23.01</v>
      </c>
      <c r="G4" s="745">
        <v>41.65</v>
      </c>
      <c r="H4" s="745">
        <v>40.72</v>
      </c>
      <c r="I4" s="745">
        <v>18.350000000000001</v>
      </c>
    </row>
    <row r="5" spans="3:10">
      <c r="C5" s="713" t="s">
        <v>1432</v>
      </c>
      <c r="D5" s="745">
        <f>D3+D4</f>
        <v>1915.72</v>
      </c>
      <c r="E5" s="745">
        <f t="shared" ref="E5:I5" si="1">E3+E4</f>
        <v>1578.53</v>
      </c>
      <c r="F5" s="745">
        <f t="shared" si="1"/>
        <v>1573.96</v>
      </c>
      <c r="G5" s="745">
        <f t="shared" si="1"/>
        <v>1938.94</v>
      </c>
      <c r="H5" s="745">
        <f t="shared" si="1"/>
        <v>954.61</v>
      </c>
      <c r="I5" s="745">
        <f t="shared" si="1"/>
        <v>1904.83</v>
      </c>
    </row>
    <row r="6" spans="3:10">
      <c r="C6" t="s">
        <v>1127</v>
      </c>
      <c r="D6" s="745">
        <v>1174.0999999999999</v>
      </c>
      <c r="E6" s="745">
        <v>1020.59</v>
      </c>
      <c r="F6" s="745">
        <v>1049.8800000000001</v>
      </c>
      <c r="G6" s="745">
        <v>707.68</v>
      </c>
      <c r="H6" s="745">
        <v>587.4</v>
      </c>
      <c r="I6" s="745">
        <v>1651.77</v>
      </c>
    </row>
    <row r="7" spans="3:10">
      <c r="C7" t="s">
        <v>1128</v>
      </c>
      <c r="D7" s="745">
        <v>6.67</v>
      </c>
      <c r="E7" s="745">
        <v>10.1</v>
      </c>
      <c r="F7" s="745">
        <v>11.78</v>
      </c>
      <c r="G7" s="745">
        <v>8.73</v>
      </c>
      <c r="H7" s="745">
        <v>10.66</v>
      </c>
      <c r="I7" s="745">
        <v>15.11</v>
      </c>
    </row>
    <row r="8" spans="3:10">
      <c r="C8" t="s">
        <v>1304</v>
      </c>
      <c r="D8" s="745">
        <v>48.22</v>
      </c>
      <c r="E8" s="745">
        <v>79.13</v>
      </c>
      <c r="F8" s="745">
        <v>81.81</v>
      </c>
      <c r="G8" s="745">
        <v>165.35</v>
      </c>
      <c r="H8" s="745">
        <v>0</v>
      </c>
      <c r="I8" s="745">
        <v>0</v>
      </c>
    </row>
    <row r="9" spans="3:10">
      <c r="C9" t="s">
        <v>1129</v>
      </c>
      <c r="D9" s="745">
        <v>62.19</v>
      </c>
      <c r="E9" s="745">
        <v>61.16</v>
      </c>
      <c r="F9" s="745">
        <v>67.81</v>
      </c>
      <c r="G9" s="745">
        <v>66.739999999999995</v>
      </c>
      <c r="H9" s="745">
        <v>149.56</v>
      </c>
      <c r="I9" s="745">
        <v>115.97</v>
      </c>
      <c r="J9" s="49">
        <f>I9/1200</f>
        <v>9.6641666666666667E-2</v>
      </c>
    </row>
    <row r="10" spans="3:10">
      <c r="C10" t="s">
        <v>1130</v>
      </c>
      <c r="D10" s="745">
        <v>35.21</v>
      </c>
      <c r="E10" s="745">
        <v>27.25</v>
      </c>
      <c r="F10" s="745">
        <v>50.76</v>
      </c>
      <c r="G10" s="745">
        <v>15.25</v>
      </c>
      <c r="H10" s="745">
        <v>16.72</v>
      </c>
      <c r="I10" s="745">
        <v>20.32</v>
      </c>
    </row>
    <row r="11" spans="3:10">
      <c r="C11" s="1" t="s">
        <v>1131</v>
      </c>
      <c r="D11" s="745">
        <v>19.989999999999998</v>
      </c>
      <c r="E11" s="745">
        <v>18.18</v>
      </c>
      <c r="F11" s="745">
        <v>17.010000000000002</v>
      </c>
      <c r="G11" s="745">
        <v>16.93</v>
      </c>
      <c r="H11" s="745">
        <v>12.56</v>
      </c>
      <c r="I11" s="745">
        <v>12.11</v>
      </c>
    </row>
    <row r="12" spans="3:10">
      <c r="C12" s="1" t="s">
        <v>1132</v>
      </c>
      <c r="D12" s="745">
        <f>0.31+2.82+5.49+0.33+1.05+1.09</f>
        <v>11.090000000000002</v>
      </c>
      <c r="E12" s="745">
        <f>0.94+2.71+4.86+0.32+0.93+0.85</f>
        <v>10.61</v>
      </c>
      <c r="F12" s="745">
        <f>1.66+2.83+1.43+0.21+0.87+1.56</f>
        <v>8.56</v>
      </c>
      <c r="G12" s="745">
        <f>0.2+1.16+1.4+0.13+9.1+0.53</f>
        <v>12.519999999999998</v>
      </c>
      <c r="H12" s="745">
        <f>0.2+1.17+0.84+0.07+5.58+0.48</f>
        <v>8.34</v>
      </c>
      <c r="I12" s="745">
        <f>3.33+1.36+0.63+1.09+6.9+1.87+0.14</f>
        <v>15.32</v>
      </c>
    </row>
    <row r="13" spans="3:10">
      <c r="C13" s="1" t="s">
        <v>1133</v>
      </c>
      <c r="D13" s="745">
        <v>12.82</v>
      </c>
      <c r="E13" s="745">
        <v>7.04</v>
      </c>
      <c r="F13" s="745">
        <v>7.28</v>
      </c>
      <c r="G13" s="745">
        <v>10.7</v>
      </c>
      <c r="H13" s="745">
        <v>8.4</v>
      </c>
      <c r="I13" s="745">
        <v>6.81</v>
      </c>
    </row>
    <row r="14" spans="3:10">
      <c r="C14" s="1" t="s">
        <v>1134</v>
      </c>
      <c r="D14" s="745">
        <v>16.059999999999999</v>
      </c>
      <c r="E14" s="745">
        <v>18.47</v>
      </c>
      <c r="F14" s="745">
        <v>10.63</v>
      </c>
      <c r="G14" s="745">
        <v>9.52</v>
      </c>
      <c r="H14" s="745">
        <v>16.309999999999999</v>
      </c>
      <c r="I14" s="745">
        <v>8.58</v>
      </c>
    </row>
    <row r="15" spans="3:10">
      <c r="C15" s="1" t="s">
        <v>1135</v>
      </c>
      <c r="D15" s="745">
        <v>4.49</v>
      </c>
      <c r="E15" s="745">
        <v>10.97</v>
      </c>
      <c r="F15" s="745">
        <v>12.52</v>
      </c>
      <c r="G15" s="745">
        <v>9.6300000000000008</v>
      </c>
      <c r="H15" s="745">
        <v>5.55</v>
      </c>
      <c r="I15" s="745">
        <v>5.24</v>
      </c>
    </row>
    <row r="16" spans="3:10">
      <c r="C16" s="1" t="s">
        <v>1136</v>
      </c>
      <c r="D16" s="745">
        <v>1.19</v>
      </c>
      <c r="E16" s="745">
        <v>0.73</v>
      </c>
      <c r="F16" s="745">
        <v>0.74</v>
      </c>
      <c r="G16" s="745">
        <v>0.68</v>
      </c>
      <c r="H16" s="745">
        <v>0.7</v>
      </c>
      <c r="I16" s="745">
        <v>0.52</v>
      </c>
    </row>
    <row r="17" spans="3:10">
      <c r="C17" s="1" t="s">
        <v>1138</v>
      </c>
      <c r="D17" s="745">
        <f>0.88+0.95+0.38+0.19+0.38+0.39+0.15+0.13+0.07+0.35</f>
        <v>3.8699999999999997</v>
      </c>
      <c r="E17" s="745">
        <f>0.71+0.14+0.47+0.2+0.28+0.52+0.07+0.13+0.05+18.25+0.41</f>
        <v>21.23</v>
      </c>
      <c r="F17" s="745">
        <f>1.13+0.18+0.39+0.37+0.2+0.32+0.07+0.13+0.11+0.08+27.59+0.41</f>
        <v>30.98</v>
      </c>
      <c r="G17" s="745">
        <f>1.94+0.12+0.31+0.5+0.47+0.16+0.08+0.13+14.59+0.51+0.23+0.09</f>
        <v>19.130000000000003</v>
      </c>
      <c r="H17" s="745">
        <f>1.75+0.14+0.36+0.36+0.35+0.12+0.06+0.13+0.31+0.12+0.18+11.5+0.27</f>
        <v>15.65</v>
      </c>
      <c r="I17" s="745">
        <f>2.16+0.12+0.25+0.07+0.57+0.04+0.13+0.07+43.39+27.32+0.22</f>
        <v>74.34</v>
      </c>
    </row>
    <row r="18" spans="3:10">
      <c r="C18" s="1" t="s">
        <v>1139</v>
      </c>
      <c r="D18" s="746">
        <f t="shared" ref="D18:I18" si="2">SUM(D6:D17)</f>
        <v>1395.8999999999999</v>
      </c>
      <c r="E18" s="746">
        <f t="shared" si="2"/>
        <v>1285.4600000000003</v>
      </c>
      <c r="F18" s="746">
        <f t="shared" si="2"/>
        <v>1349.76</v>
      </c>
      <c r="G18" s="746">
        <f t="shared" si="2"/>
        <v>1042.8599999999999</v>
      </c>
      <c r="H18" s="746">
        <f t="shared" si="2"/>
        <v>831.8499999999998</v>
      </c>
      <c r="I18" s="746">
        <f t="shared" si="2"/>
        <v>1926.0899999999995</v>
      </c>
    </row>
    <row r="19" spans="3:10">
      <c r="C19" s="1" t="s">
        <v>1140</v>
      </c>
      <c r="D19" s="746">
        <f t="shared" ref="D19:I19" si="3">D3+D4-D18</f>
        <v>519.82000000000016</v>
      </c>
      <c r="E19" s="746">
        <f t="shared" si="3"/>
        <v>293.06999999999971</v>
      </c>
      <c r="F19" s="746">
        <f t="shared" si="3"/>
        <v>224.20000000000005</v>
      </c>
      <c r="G19" s="746">
        <f t="shared" si="3"/>
        <v>896.08000000000015</v>
      </c>
      <c r="H19" s="746">
        <f t="shared" si="3"/>
        <v>122.76000000000022</v>
      </c>
      <c r="I19" s="746">
        <f t="shared" si="3"/>
        <v>-21.259999999999536</v>
      </c>
      <c r="J19" s="49">
        <f>H19*11.02</f>
        <v>1352.8152000000023</v>
      </c>
    </row>
    <row r="20" spans="3:10">
      <c r="C20" s="21" t="s">
        <v>93</v>
      </c>
      <c r="D20" s="745">
        <v>200.35</v>
      </c>
      <c r="E20" s="745">
        <v>201.57</v>
      </c>
      <c r="F20" s="745">
        <v>200.79</v>
      </c>
      <c r="G20" s="745">
        <v>200.3</v>
      </c>
      <c r="H20" s="745">
        <v>199.75</v>
      </c>
      <c r="I20" s="745">
        <v>201.49</v>
      </c>
    </row>
    <row r="21" spans="3:10">
      <c r="C21" s="1" t="s">
        <v>1241</v>
      </c>
      <c r="D21" s="746">
        <f t="shared" ref="D21:I21" si="4">D19-D20</f>
        <v>319.47000000000014</v>
      </c>
      <c r="E21" s="746">
        <f t="shared" si="4"/>
        <v>91.499999999999716</v>
      </c>
      <c r="F21" s="746">
        <f t="shared" si="4"/>
        <v>23.410000000000053</v>
      </c>
      <c r="G21" s="746">
        <f t="shared" si="4"/>
        <v>695.7800000000002</v>
      </c>
      <c r="H21" s="746">
        <f t="shared" si="4"/>
        <v>-76.989999999999782</v>
      </c>
      <c r="I21" s="746">
        <f t="shared" si="4"/>
        <v>-222.74999999999955</v>
      </c>
    </row>
    <row r="22" spans="3:10">
      <c r="C22" t="s">
        <v>1303</v>
      </c>
      <c r="D22" s="745">
        <v>974.67</v>
      </c>
      <c r="E22" s="745">
        <v>1080.08</v>
      </c>
      <c r="F22" s="745">
        <v>310.31</v>
      </c>
      <c r="G22" s="745">
        <v>4.3</v>
      </c>
      <c r="H22" s="745">
        <v>2.2200000000000002</v>
      </c>
      <c r="I22" s="745">
        <v>1.59</v>
      </c>
    </row>
    <row r="23" spans="3:10">
      <c r="C23" t="s">
        <v>1144</v>
      </c>
      <c r="D23" s="746">
        <f t="shared" ref="D23:I23" si="5">D21-D22</f>
        <v>-655.19999999999982</v>
      </c>
      <c r="E23" s="746">
        <f t="shared" si="5"/>
        <v>-988.58000000000015</v>
      </c>
      <c r="F23" s="746">
        <f t="shared" si="5"/>
        <v>-286.89999999999998</v>
      </c>
      <c r="G23" s="746">
        <f t="shared" si="5"/>
        <v>691.48000000000025</v>
      </c>
      <c r="H23" s="746">
        <f t="shared" si="5"/>
        <v>-79.209999999999781</v>
      </c>
      <c r="I23" s="746">
        <f t="shared" si="5"/>
        <v>-224.33999999999955</v>
      </c>
    </row>
    <row r="24" spans="3:10">
      <c r="C24" t="s">
        <v>96</v>
      </c>
      <c r="D24" s="747">
        <f>[176]Dep!C45</f>
        <v>0</v>
      </c>
      <c r="E24" s="747">
        <f>[176]Dep!D45</f>
        <v>0</v>
      </c>
      <c r="F24" s="747">
        <f>[176]Dep!E45</f>
        <v>0</v>
      </c>
      <c r="G24" s="747">
        <v>169.32</v>
      </c>
      <c r="H24" s="747">
        <v>-19.54</v>
      </c>
      <c r="I24" s="747">
        <v>-149.78</v>
      </c>
    </row>
    <row r="25" spans="3:10">
      <c r="C25" t="s">
        <v>1145</v>
      </c>
      <c r="D25" s="746">
        <f t="shared" ref="D25:I25" si="6">D23-D24</f>
        <v>-655.19999999999982</v>
      </c>
      <c r="E25" s="746">
        <f t="shared" si="6"/>
        <v>-988.58000000000015</v>
      </c>
      <c r="F25" s="746">
        <f t="shared" si="6"/>
        <v>-286.89999999999998</v>
      </c>
      <c r="G25" s="746">
        <f t="shared" si="6"/>
        <v>522.16000000000031</v>
      </c>
      <c r="H25" s="746">
        <f t="shared" si="6"/>
        <v>-59.669999999999781</v>
      </c>
      <c r="I25" s="746">
        <f t="shared" si="6"/>
        <v>-74.559999999999548</v>
      </c>
    </row>
    <row r="26" spans="3:10">
      <c r="C26" t="s">
        <v>1150</v>
      </c>
      <c r="D26" s="745">
        <v>0.43</v>
      </c>
      <c r="E26" s="745">
        <v>0.69</v>
      </c>
      <c r="F26" s="745">
        <v>-0.06</v>
      </c>
      <c r="G26" s="745">
        <v>0.64</v>
      </c>
      <c r="H26" s="745">
        <v>-0.28999999999999998</v>
      </c>
      <c r="I26" s="745">
        <v>0.12</v>
      </c>
    </row>
    <row r="27" spans="3:10">
      <c r="C27" t="s">
        <v>1151</v>
      </c>
      <c r="D27" s="746">
        <f>D26+D25</f>
        <v>-654.76999999999987</v>
      </c>
      <c r="E27" s="746">
        <f>E26+E25</f>
        <v>-987.8900000000001</v>
      </c>
      <c r="F27" s="746">
        <f>F26+F25</f>
        <v>-286.95999999999998</v>
      </c>
      <c r="G27" s="746">
        <f t="shared" ref="G27:I27" si="7">G26+G25</f>
        <v>522.8000000000003</v>
      </c>
      <c r="H27" s="746">
        <f t="shared" si="7"/>
        <v>-59.959999999999781</v>
      </c>
      <c r="I27" s="746">
        <f t="shared" si="7"/>
        <v>-74.439999999999543</v>
      </c>
    </row>
    <row r="29" spans="3:10">
      <c r="C29" s="714" t="s">
        <v>1433</v>
      </c>
      <c r="D29" s="748">
        <f>D19/D5</f>
        <v>0.27134445534838086</v>
      </c>
      <c r="E29" s="748">
        <f t="shared" ref="E29:I29" si="8">E19/E5</f>
        <v>0.18566007614679461</v>
      </c>
      <c r="F29" s="748">
        <f t="shared" si="8"/>
        <v>0.1424432641236118</v>
      </c>
      <c r="G29" s="748">
        <f t="shared" si="8"/>
        <v>0.46214942184905161</v>
      </c>
      <c r="H29" s="748">
        <f t="shared" si="8"/>
        <v>0.12859701867778486</v>
      </c>
      <c r="I29" s="748">
        <f t="shared" si="8"/>
        <v>-1.1161100990639342E-2</v>
      </c>
    </row>
    <row r="30" spans="3:10">
      <c r="C30" s="714" t="s">
        <v>1434</v>
      </c>
      <c r="D30" s="748">
        <f>D21/D5</f>
        <v>0.166762366107782</v>
      </c>
      <c r="E30" s="748">
        <f t="shared" ref="E30:I30" si="9">E21/E5</f>
        <v>5.7965322166825921E-2</v>
      </c>
      <c r="F30" s="748">
        <f t="shared" si="9"/>
        <v>1.4873313171872253E-2</v>
      </c>
      <c r="G30" s="748">
        <f t="shared" si="9"/>
        <v>0.35884555478766761</v>
      </c>
      <c r="H30" s="748">
        <f t="shared" si="9"/>
        <v>-8.0650736950167903E-2</v>
      </c>
      <c r="I30" s="748">
        <f t="shared" si="9"/>
        <v>-0.11693956941039334</v>
      </c>
    </row>
    <row r="31" spans="3:10">
      <c r="C31" s="714" t="s">
        <v>1435</v>
      </c>
      <c r="D31" s="748">
        <f>D25/D5</f>
        <v>-0.34201240264756844</v>
      </c>
      <c r="E31" s="748">
        <f t="shared" ref="E31:I31" si="10">E25/E5</f>
        <v>-0.62626620970143121</v>
      </c>
      <c r="F31" s="748">
        <f t="shared" si="10"/>
        <v>-0.18227909222597777</v>
      </c>
      <c r="G31" s="748">
        <f t="shared" si="10"/>
        <v>0.2693017834486886</v>
      </c>
      <c r="H31" s="748">
        <f t="shared" si="10"/>
        <v>-6.250720189396694E-2</v>
      </c>
      <c r="I31" s="748">
        <f t="shared" si="10"/>
        <v>-3.9142600652026453E-2</v>
      </c>
    </row>
    <row r="32" spans="3:10">
      <c r="C32" s="714" t="s">
        <v>1436</v>
      </c>
      <c r="E32" s="748">
        <f>E5/D5-1</f>
        <v>-0.17601215208903187</v>
      </c>
      <c r="F32" s="748">
        <f t="shared" ref="F32:I32" si="11">F5/E5-1</f>
        <v>-2.8950986043977389E-3</v>
      </c>
      <c r="G32" s="748">
        <f t="shared" si="11"/>
        <v>0.23188645200640434</v>
      </c>
      <c r="H32" s="748">
        <f t="shared" si="11"/>
        <v>-0.50766398135063495</v>
      </c>
      <c r="I32" s="748">
        <f t="shared" si="11"/>
        <v>0.99540126334314527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63"/>
  <sheetViews>
    <sheetView zoomScale="80" zoomScaleNormal="80" workbookViewId="0">
      <pane xSplit="2" ySplit="5" topLeftCell="C147" activePane="bottomRight" state="frozen"/>
      <selection pane="topRight"/>
      <selection pane="bottomLeft"/>
      <selection pane="bottomRight" activeCell="C160" sqref="C160:L160"/>
    </sheetView>
  </sheetViews>
  <sheetFormatPr defaultColWidth="9.109375" defaultRowHeight="14.4"/>
  <cols>
    <col min="1" max="1" width="6.44140625" style="87" customWidth="1"/>
    <col min="2" max="2" width="55.109375" style="80" customWidth="1"/>
    <col min="3" max="12" width="14" style="121" customWidth="1"/>
    <col min="13" max="13" width="14.6640625" style="121" customWidth="1"/>
    <col min="14" max="22" width="14" style="121" customWidth="1"/>
    <col min="23" max="23" width="15.5546875" style="121" customWidth="1"/>
    <col min="24" max="26" width="14" style="121" customWidth="1"/>
    <col min="27" max="27" width="15.44140625" style="121" customWidth="1"/>
    <col min="28" max="28" width="15.109375" style="121" customWidth="1"/>
    <col min="29" max="29" width="15.5546875" style="121" customWidth="1"/>
    <col min="30" max="30" width="15.6640625" style="121" customWidth="1"/>
    <col min="31" max="16384" width="9.109375" style="80"/>
  </cols>
  <sheetData>
    <row r="1" spans="1:54">
      <c r="B1" s="88" t="s">
        <v>746</v>
      </c>
      <c r="C1" s="89" t="str">
        <f>IF('Operating Statement'!C1=0," ",'Operating Statement'!C1)</f>
        <v>01/04/2016</v>
      </c>
      <c r="D1" s="89" t="str">
        <f>IF('Operating Statement'!D1=0," ",'Operating Statement'!D1)</f>
        <v>01/04/2017</v>
      </c>
      <c r="E1" s="89" t="str">
        <f>IF('Operating Statement'!E1=0," ",'Operating Statement'!E1)</f>
        <v>01/04/2018</v>
      </c>
      <c r="F1" s="89" t="str">
        <f>IF('Operating Statement'!F1=0," ",'Operating Statement'!F1)</f>
        <v>01/04/2019</v>
      </c>
      <c r="G1" s="89" t="str">
        <f>IF('Operating Statement'!G1=0," ",'Operating Statement'!G1)</f>
        <v>01/04/2020</v>
      </c>
      <c r="H1" s="89" t="str">
        <f>IF('Operating Statement'!H1=0," ",'Operating Statement'!H1)</f>
        <v>01/04/2021</v>
      </c>
      <c r="I1" s="89" t="str">
        <f>IF('Operating Statement'!I1=0," ",'Operating Statement'!I1)</f>
        <v>01/04/2022</v>
      </c>
      <c r="J1" s="89" t="str">
        <f>IF('Operating Statement'!J1=0," ",'Operating Statement'!J1)</f>
        <v>01/04/2023</v>
      </c>
      <c r="K1" s="89" t="str">
        <f>IF('Operating Statement'!K1=0," ",'Operating Statement'!K1)</f>
        <v>01/04/2024</v>
      </c>
      <c r="L1" s="89" t="str">
        <f>IF('Operating Statement'!L1=0," ",'Operating Statement'!L1)</f>
        <v>01/04/2025</v>
      </c>
      <c r="M1" s="89" t="str">
        <f>IF('Operating Statement'!M1=0," ",'Operating Statement'!M1)</f>
        <v>01/04/2026</v>
      </c>
      <c r="N1" s="89" t="str">
        <f>IF('Operating Statement'!N1=0," ",'Operating Statement'!N1)</f>
        <v>01/04/2027</v>
      </c>
      <c r="O1" s="89" t="str">
        <f>IF('Operating Statement'!O1=0," ",'Operating Statement'!O1)</f>
        <v>01/04/2028</v>
      </c>
      <c r="P1" s="89" t="str">
        <f>IF('Operating Statement'!P1=0," ",'Operating Statement'!P1)</f>
        <v>01/04/2029</v>
      </c>
      <c r="Q1" s="89" t="str">
        <f>IF('Operating Statement'!Q1=0," ",'Operating Statement'!Q1)</f>
        <v>01/04/2030</v>
      </c>
      <c r="R1" s="89" t="str">
        <f>IF('Operating Statement'!R1=0," ",'Operating Statement'!R1)</f>
        <v>01/04/2031</v>
      </c>
      <c r="S1" s="89" t="str">
        <f>IF('Operating Statement'!S1=0," ",'Operating Statement'!S1)</f>
        <v>01/04/2032</v>
      </c>
      <c r="T1" s="89" t="str">
        <f>IF('Operating Statement'!T1=0," ",'Operating Statement'!T1)</f>
        <v>01/04/2033</v>
      </c>
      <c r="U1" s="89" t="str">
        <f>IF('Operating Statement'!U1=0," ",'Operating Statement'!U1)</f>
        <v>01/04/2034</v>
      </c>
      <c r="V1" s="89" t="str">
        <f>IF('Operating Statement'!V1=0," ",'Operating Statement'!V1)</f>
        <v>01/04/2035</v>
      </c>
      <c r="W1" s="89" t="str">
        <f>IF('Operating Statement'!W1=0," ",'Operating Statement'!W1)</f>
        <v>01/04/2036</v>
      </c>
      <c r="X1" s="89" t="str">
        <f>IF('Operating Statement'!X1=0," ",'Operating Statement'!X1)</f>
        <v>01/04/2037</v>
      </c>
      <c r="Y1" s="89" t="str">
        <f>IF('Operating Statement'!Y1=0," ",'Operating Statement'!Y1)</f>
        <v>01/04/2038</v>
      </c>
      <c r="Z1" s="89" t="str">
        <f>IF('Operating Statement'!Z1=0," ",'Operating Statement'!Z1)</f>
        <v>01/04/2039</v>
      </c>
      <c r="AA1" s="89" t="str">
        <f>IF('Operating Statement'!AA1=0," ",'Operating Statement'!AA1)</f>
        <v>01/04/2040</v>
      </c>
      <c r="AB1" s="89" t="str">
        <f>IF('Operating Statement'!AB1=0," ",'Operating Statement'!AB1)</f>
        <v xml:space="preserve"> </v>
      </c>
      <c r="AC1" s="89" t="str">
        <f>IF('Operating Statement'!AC1=0," ",'Operating Statement'!AC1)</f>
        <v xml:space="preserve"> </v>
      </c>
      <c r="AD1" s="89" t="str">
        <f>IF('Operating Statement'!AD1=0," ",'Operating Statement'!AD1)</f>
        <v xml:space="preserve"> </v>
      </c>
      <c r="BB1" s="86"/>
    </row>
    <row r="2" spans="1:54">
      <c r="B2" s="88" t="s">
        <v>772</v>
      </c>
      <c r="C2" s="89" t="str">
        <f>IF('Operating Statement'!C2=0," ",'Operating Statement'!C2)</f>
        <v>31/03/2017</v>
      </c>
      <c r="D2" s="89" t="str">
        <f>IF('Operating Statement'!D2=0," ",'Operating Statement'!D2)</f>
        <v>31/03/2018</v>
      </c>
      <c r="E2" s="89" t="str">
        <f>IF('Operating Statement'!E2=0," ",'Operating Statement'!E2)</f>
        <v>31/03/2019</v>
      </c>
      <c r="F2" s="89" t="str">
        <f>IF('Operating Statement'!F2=0," ",'Operating Statement'!F2)</f>
        <v>31/03/2020</v>
      </c>
      <c r="G2" s="89" t="str">
        <f>IF('Operating Statement'!G2=0," ",'Operating Statement'!G2)</f>
        <v>31/03/2021</v>
      </c>
      <c r="H2" s="89" t="str">
        <f>IF('Operating Statement'!H2=0," ",'Operating Statement'!H2)</f>
        <v>31/03/2022</v>
      </c>
      <c r="I2" s="89" t="str">
        <f>IF('Operating Statement'!I2=0," ",'Operating Statement'!I2)</f>
        <v>31/03/2023</v>
      </c>
      <c r="J2" s="89" t="str">
        <f>IF('Operating Statement'!J2=0," ",'Operating Statement'!J2)</f>
        <v>31/03/2024</v>
      </c>
      <c r="K2" s="89" t="str">
        <f>IF('Operating Statement'!K2=0," ",'Operating Statement'!K2)</f>
        <v>31/03/2025</v>
      </c>
      <c r="L2" s="89" t="str">
        <f>IF('Operating Statement'!L2=0," ",'Operating Statement'!L2)</f>
        <v>31/03/2026</v>
      </c>
      <c r="M2" s="89" t="str">
        <f>IF('Operating Statement'!M2=0," ",'Operating Statement'!M2)</f>
        <v>31/03/2027</v>
      </c>
      <c r="N2" s="89" t="str">
        <f>IF('Operating Statement'!N2=0," ",'Operating Statement'!N2)</f>
        <v>31/03/2028</v>
      </c>
      <c r="O2" s="89" t="str">
        <f>IF('Operating Statement'!O2=0," ",'Operating Statement'!O2)</f>
        <v>31/03/2029</v>
      </c>
      <c r="P2" s="89" t="str">
        <f>IF('Operating Statement'!P2=0," ",'Operating Statement'!P2)</f>
        <v>31/03/2030</v>
      </c>
      <c r="Q2" s="89" t="str">
        <f>IF('Operating Statement'!Q2=0," ",'Operating Statement'!Q2)</f>
        <v>31/03/2031</v>
      </c>
      <c r="R2" s="89" t="str">
        <f>IF('Operating Statement'!R2=0," ",'Operating Statement'!R2)</f>
        <v>31/03/2032</v>
      </c>
      <c r="S2" s="89" t="str">
        <f>IF('Operating Statement'!S2=0," ",'Operating Statement'!S2)</f>
        <v>31/03/2033</v>
      </c>
      <c r="T2" s="89" t="str">
        <f>IF('Operating Statement'!T2=0," ",'Operating Statement'!T2)</f>
        <v>31/03/2034</v>
      </c>
      <c r="U2" s="89" t="str">
        <f>IF('Operating Statement'!U2=0," ",'Operating Statement'!U2)</f>
        <v>31/03/2035</v>
      </c>
      <c r="V2" s="89" t="str">
        <f>IF('Operating Statement'!V2=0," ",'Operating Statement'!V2)</f>
        <v>31/03/2036</v>
      </c>
      <c r="W2" s="89" t="str">
        <f>IF('Operating Statement'!W2=0," ",'Operating Statement'!W2)</f>
        <v>31/03/2037</v>
      </c>
      <c r="X2" s="89" t="str">
        <f>IF('Operating Statement'!X2=0," ",'Operating Statement'!X2)</f>
        <v>31/03/2038</v>
      </c>
      <c r="Y2" s="89" t="str">
        <f>IF('Operating Statement'!Y2=0," ",'Operating Statement'!Y2)</f>
        <v>31/03/2039</v>
      </c>
      <c r="Z2" s="89" t="str">
        <f>IF('Operating Statement'!Z2=0," ",'Operating Statement'!Z2)</f>
        <v>31/03/2040</v>
      </c>
      <c r="AA2" s="89" t="str">
        <f>IF('Operating Statement'!AA2=0," ",'Operating Statement'!AA2)</f>
        <v>31/03/2041</v>
      </c>
      <c r="AB2" s="89" t="str">
        <f>IF('Operating Statement'!AB2=0," ",'Operating Statement'!AB2)</f>
        <v xml:space="preserve"> </v>
      </c>
      <c r="AC2" s="89" t="str">
        <f>IF('Operating Statement'!AC2=0," ",'Operating Statement'!AC2)</f>
        <v xml:space="preserve"> </v>
      </c>
      <c r="AD2" s="89" t="str">
        <f>IF('Operating Statement'!AD2=0," ",'Operating Statement'!AD2)</f>
        <v xml:space="preserve"> </v>
      </c>
      <c r="BB2" s="86"/>
    </row>
    <row r="3" spans="1:54">
      <c r="B3" s="90" t="s">
        <v>798</v>
      </c>
      <c r="C3" s="89" t="str">
        <f>IF('Operating Statement'!C3=0," ",'Operating Statement'!C3)</f>
        <v>Provisional</v>
      </c>
      <c r="D3" s="89" t="str">
        <f>IF('Operating Statement'!D3=0," ",'Operating Statement'!D3)</f>
        <v>Projected</v>
      </c>
      <c r="E3" s="89" t="str">
        <f>IF('Operating Statement'!E3=0," ",'Operating Statement'!E3)</f>
        <v>Projected</v>
      </c>
      <c r="F3" s="89" t="str">
        <f>IF('Operating Statement'!F3=0," ",'Operating Statement'!F3)</f>
        <v>Projected</v>
      </c>
      <c r="G3" s="89" t="str">
        <f>IF('Operating Statement'!G3=0," ",'Operating Statement'!G3)</f>
        <v>Projected</v>
      </c>
      <c r="H3" s="89" t="str">
        <f>IF('Operating Statement'!H3=0," ",'Operating Statement'!H3)</f>
        <v>Projected</v>
      </c>
      <c r="I3" s="89" t="str">
        <f>IF('Operating Statement'!I3=0," ",'Operating Statement'!I3)</f>
        <v>Projected</v>
      </c>
      <c r="J3" s="89" t="str">
        <f>IF('Operating Statement'!J3=0," ",'Operating Statement'!J3)</f>
        <v>Projected</v>
      </c>
      <c r="K3" s="89" t="str">
        <f>IF('Operating Statement'!K3=0," ",'Operating Statement'!K3)</f>
        <v>Projected</v>
      </c>
      <c r="L3" s="89" t="str">
        <f>IF('Operating Statement'!L3=0," ",'Operating Statement'!L3)</f>
        <v>Projected</v>
      </c>
      <c r="M3" s="89" t="str">
        <f>IF('Operating Statement'!M3=0," ",'Operating Statement'!M3)</f>
        <v>Projected</v>
      </c>
      <c r="N3" s="89" t="str">
        <f>IF('Operating Statement'!N3=0," ",'Operating Statement'!N3)</f>
        <v>Projected</v>
      </c>
      <c r="O3" s="89" t="str">
        <f>IF('Operating Statement'!O3=0," ",'Operating Statement'!O3)</f>
        <v>Projected</v>
      </c>
      <c r="P3" s="89" t="str">
        <f>IF('Operating Statement'!P3=0," ",'Operating Statement'!P3)</f>
        <v>Projected</v>
      </c>
      <c r="Q3" s="89" t="str">
        <f>IF('Operating Statement'!Q3=0," ",'Operating Statement'!Q3)</f>
        <v>Projected</v>
      </c>
      <c r="R3" s="89" t="str">
        <f>IF('Operating Statement'!R3=0," ",'Operating Statement'!R3)</f>
        <v>Projected</v>
      </c>
      <c r="S3" s="89" t="str">
        <f>IF('Operating Statement'!S3=0," ",'Operating Statement'!S3)</f>
        <v>Projected</v>
      </c>
      <c r="T3" s="89" t="str">
        <f>IF('Operating Statement'!T3=0," ",'Operating Statement'!T3)</f>
        <v>Projected</v>
      </c>
      <c r="U3" s="89" t="str">
        <f>IF('Operating Statement'!U3=0," ",'Operating Statement'!U3)</f>
        <v>Projected</v>
      </c>
      <c r="V3" s="89" t="str">
        <f>IF('Operating Statement'!V3=0," ",'Operating Statement'!V3)</f>
        <v>Projected</v>
      </c>
      <c r="W3" s="89" t="str">
        <f>IF('Operating Statement'!W3=0," ",'Operating Statement'!W3)</f>
        <v>Projected</v>
      </c>
      <c r="X3" s="89" t="str">
        <f>IF('Operating Statement'!X3=0," ",'Operating Statement'!X3)</f>
        <v>Projected</v>
      </c>
      <c r="Y3" s="89" t="str">
        <f>IF('Operating Statement'!Y3=0," ",'Operating Statement'!Y3)</f>
        <v>Projected</v>
      </c>
      <c r="Z3" s="89" t="str">
        <f>IF('Operating Statement'!Z3=0," ",'Operating Statement'!Z3)</f>
        <v>Projected</v>
      </c>
      <c r="AA3" s="89" t="str">
        <f>IF('Operating Statement'!AA3=0," ",'Operating Statement'!AA3)</f>
        <v>Projected</v>
      </c>
      <c r="AB3" s="89" t="str">
        <f>IF('Operating Statement'!AB3=0," ",'Operating Statement'!AB3)</f>
        <v xml:space="preserve"> </v>
      </c>
      <c r="AC3" s="89" t="str">
        <f>IF('Operating Statement'!AC3=0," ",'Operating Statement'!AC3)</f>
        <v xml:space="preserve"> </v>
      </c>
      <c r="AD3" s="89" t="str">
        <f>IF('Operating Statement'!AD3=0," ",'Operating Statement'!AD3)</f>
        <v xml:space="preserve"> </v>
      </c>
      <c r="BB3" s="86"/>
    </row>
    <row r="4" spans="1:54">
      <c r="B4" s="90" t="s">
        <v>801</v>
      </c>
      <c r="C4" s="89" t="str">
        <f>IF('Operating Statement'!C4="-"," ",'Operating Statement'!C4)</f>
        <v>2016-17</v>
      </c>
      <c r="D4" s="89" t="str">
        <f>IF('Operating Statement'!D4="-"," ",'Operating Statement'!D4)</f>
        <v>2017-18</v>
      </c>
      <c r="E4" s="89" t="str">
        <f>IF('Operating Statement'!E4="-"," ",'Operating Statement'!E4)</f>
        <v>2018-19</v>
      </c>
      <c r="F4" s="89" t="str">
        <f>IF('Operating Statement'!F4="-"," ",'Operating Statement'!F4)</f>
        <v>2019-20</v>
      </c>
      <c r="G4" s="89" t="str">
        <f>IF('Operating Statement'!G4="-"," ",'Operating Statement'!G4)</f>
        <v>2020-21</v>
      </c>
      <c r="H4" s="89" t="str">
        <f>IF('Operating Statement'!H4="-"," ",'Operating Statement'!H4)</f>
        <v>2021-22</v>
      </c>
      <c r="I4" s="89" t="str">
        <f>IF('Operating Statement'!I4="-"," ",'Operating Statement'!I4)</f>
        <v>2022-23</v>
      </c>
      <c r="J4" s="89" t="str">
        <f>IF('Operating Statement'!J4="-"," ",'Operating Statement'!J4)</f>
        <v>2023-24</v>
      </c>
      <c r="K4" s="89" t="str">
        <f>IF('Operating Statement'!K4="-"," ",'Operating Statement'!K4)</f>
        <v>2024-25</v>
      </c>
      <c r="L4" s="89" t="str">
        <f>IF('Operating Statement'!L4="-"," ",'Operating Statement'!L4)</f>
        <v>2025-26</v>
      </c>
      <c r="M4" s="89" t="str">
        <f>IF('Operating Statement'!M4="-"," ",'Operating Statement'!M4)</f>
        <v>2026-27</v>
      </c>
      <c r="N4" s="89" t="str">
        <f>IF('Operating Statement'!N4="-"," ",'Operating Statement'!N4)</f>
        <v>2027-28</v>
      </c>
      <c r="O4" s="89" t="str">
        <f>IF('Operating Statement'!O4="-"," ",'Operating Statement'!O4)</f>
        <v>2028-29</v>
      </c>
      <c r="P4" s="89" t="str">
        <f>IF('Operating Statement'!P4="-"," ",'Operating Statement'!P4)</f>
        <v>2029-30</v>
      </c>
      <c r="Q4" s="89" t="str">
        <f>IF('Operating Statement'!Q4="-"," ",'Operating Statement'!Q4)</f>
        <v>2030-31</v>
      </c>
      <c r="R4" s="89" t="str">
        <f>IF('Operating Statement'!R4="-"," ",'Operating Statement'!R4)</f>
        <v>2031-32</v>
      </c>
      <c r="S4" s="89" t="str">
        <f>IF('Operating Statement'!S4="-"," ",'Operating Statement'!S4)</f>
        <v>2032-33</v>
      </c>
      <c r="T4" s="89" t="str">
        <f>IF('Operating Statement'!T4="-"," ",'Operating Statement'!T4)</f>
        <v>2033-34</v>
      </c>
      <c r="U4" s="89" t="str">
        <f>IF('Operating Statement'!U4="-"," ",'Operating Statement'!U4)</f>
        <v>2034-35</v>
      </c>
      <c r="V4" s="89" t="str">
        <f>IF('Operating Statement'!V4="-"," ",'Operating Statement'!V4)</f>
        <v>2035-36</v>
      </c>
      <c r="W4" s="89" t="str">
        <f>IF('Operating Statement'!W4="-"," ",'Operating Statement'!W4)</f>
        <v>2036-37</v>
      </c>
      <c r="X4" s="89" t="str">
        <f>IF('Operating Statement'!X4="-"," ",'Operating Statement'!X4)</f>
        <v>2037-38</v>
      </c>
      <c r="Y4" s="89" t="str">
        <f>IF('Operating Statement'!Y4="-"," ",'Operating Statement'!Y4)</f>
        <v>2038-39</v>
      </c>
      <c r="Z4" s="89" t="str">
        <f>IF('Operating Statement'!Z4="-"," ",'Operating Statement'!Z4)</f>
        <v>2039-40</v>
      </c>
      <c r="AA4" s="89" t="str">
        <f>IF('Operating Statement'!AA4="-"," ",'Operating Statement'!AA4)</f>
        <v>2040-41</v>
      </c>
      <c r="AB4" s="89" t="str">
        <f>IF('Operating Statement'!AB4="-"," ",'Operating Statement'!AB4)</f>
        <v xml:space="preserve"> </v>
      </c>
      <c r="AC4" s="89" t="str">
        <f>IF('Operating Statement'!AC4="-"," ",'Operating Statement'!AC4)</f>
        <v xml:space="preserve"> </v>
      </c>
      <c r="AD4" s="89" t="str">
        <f>IF('Operating Statement'!AD4="-"," ",'Operating Statement'!AD4)</f>
        <v xml:space="preserve"> </v>
      </c>
      <c r="BB4" s="86"/>
    </row>
    <row r="5" spans="1:54" s="81" customFormat="1" ht="45" customHeight="1">
      <c r="A5" s="91" t="s">
        <v>802</v>
      </c>
      <c r="B5" s="91" t="s">
        <v>803</v>
      </c>
      <c r="C5" s="92" t="s">
        <v>804</v>
      </c>
      <c r="D5" s="92" t="s">
        <v>804</v>
      </c>
      <c r="E5" s="92" t="s">
        <v>804</v>
      </c>
      <c r="F5" s="92" t="s">
        <v>804</v>
      </c>
      <c r="G5" s="92" t="s">
        <v>804</v>
      </c>
      <c r="H5" s="92" t="s">
        <v>804</v>
      </c>
      <c r="I5" s="92" t="s">
        <v>804</v>
      </c>
      <c r="J5" s="92" t="s">
        <v>804</v>
      </c>
      <c r="K5" s="92" t="s">
        <v>804</v>
      </c>
      <c r="L5" s="92" t="s">
        <v>804</v>
      </c>
      <c r="M5" s="92" t="s">
        <v>804</v>
      </c>
      <c r="N5" s="92" t="s">
        <v>804</v>
      </c>
      <c r="O5" s="92" t="s">
        <v>804</v>
      </c>
      <c r="P5" s="92" t="s">
        <v>804</v>
      </c>
      <c r="Q5" s="92" t="s">
        <v>804</v>
      </c>
      <c r="R5" s="92" t="s">
        <v>804</v>
      </c>
      <c r="S5" s="92" t="s">
        <v>804</v>
      </c>
      <c r="T5" s="92" t="s">
        <v>804</v>
      </c>
      <c r="U5" s="92" t="s">
        <v>804</v>
      </c>
      <c r="V5" s="92" t="s">
        <v>804</v>
      </c>
      <c r="W5" s="92" t="s">
        <v>804</v>
      </c>
      <c r="X5" s="92" t="s">
        <v>804</v>
      </c>
      <c r="Y5" s="92" t="s">
        <v>804</v>
      </c>
      <c r="Z5" s="92" t="s">
        <v>804</v>
      </c>
      <c r="AA5" s="92" t="s">
        <v>804</v>
      </c>
      <c r="AB5" s="92" t="s">
        <v>804</v>
      </c>
      <c r="AC5" s="92" t="s">
        <v>804</v>
      </c>
      <c r="AD5" s="92" t="s">
        <v>804</v>
      </c>
    </row>
    <row r="6" spans="1:54">
      <c r="A6" s="122"/>
      <c r="B6" s="123" t="s">
        <v>874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</row>
    <row r="7" spans="1:54">
      <c r="A7" s="122"/>
      <c r="B7" s="125" t="s">
        <v>875</v>
      </c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</row>
    <row r="8" spans="1:54">
      <c r="A8" s="122">
        <v>1</v>
      </c>
      <c r="B8" s="127" t="s">
        <v>876</v>
      </c>
      <c r="C8" s="128">
        <f>Financials!E106</f>
        <v>831.53412023999999</v>
      </c>
      <c r="D8" s="128">
        <f>731.2</f>
        <v>731.2</v>
      </c>
      <c r="E8" s="128">
        <f t="shared" ref="E8:AA8" si="0">731.2</f>
        <v>731.2</v>
      </c>
      <c r="F8" s="128">
        <f t="shared" si="0"/>
        <v>731.2</v>
      </c>
      <c r="G8" s="128">
        <f t="shared" si="0"/>
        <v>731.2</v>
      </c>
      <c r="H8" s="128">
        <f t="shared" si="0"/>
        <v>731.2</v>
      </c>
      <c r="I8" s="128">
        <f t="shared" si="0"/>
        <v>731.2</v>
      </c>
      <c r="J8" s="128">
        <f t="shared" si="0"/>
        <v>731.2</v>
      </c>
      <c r="K8" s="128">
        <f t="shared" si="0"/>
        <v>731.2</v>
      </c>
      <c r="L8" s="128">
        <f t="shared" si="0"/>
        <v>731.2</v>
      </c>
      <c r="M8" s="128">
        <f t="shared" si="0"/>
        <v>731.2</v>
      </c>
      <c r="N8" s="128">
        <f t="shared" si="0"/>
        <v>731.2</v>
      </c>
      <c r="O8" s="128">
        <f t="shared" si="0"/>
        <v>731.2</v>
      </c>
      <c r="P8" s="128">
        <f t="shared" si="0"/>
        <v>731.2</v>
      </c>
      <c r="Q8" s="128">
        <f t="shared" si="0"/>
        <v>731.2</v>
      </c>
      <c r="R8" s="128">
        <f t="shared" si="0"/>
        <v>731.2</v>
      </c>
      <c r="S8" s="128">
        <f t="shared" si="0"/>
        <v>731.2</v>
      </c>
      <c r="T8" s="128">
        <f t="shared" si="0"/>
        <v>731.2</v>
      </c>
      <c r="U8" s="128">
        <f t="shared" si="0"/>
        <v>731.2</v>
      </c>
      <c r="V8" s="128">
        <f t="shared" si="0"/>
        <v>731.2</v>
      </c>
      <c r="W8" s="128">
        <f t="shared" si="0"/>
        <v>731.2</v>
      </c>
      <c r="X8" s="128">
        <f t="shared" si="0"/>
        <v>731.2</v>
      </c>
      <c r="Y8" s="128">
        <f t="shared" si="0"/>
        <v>731.2</v>
      </c>
      <c r="Z8" s="128">
        <f t="shared" si="0"/>
        <v>731.2</v>
      </c>
      <c r="AA8" s="128">
        <f t="shared" si="0"/>
        <v>731.2</v>
      </c>
      <c r="AB8" s="128"/>
      <c r="AC8" s="128"/>
      <c r="AD8" s="128"/>
    </row>
    <row r="9" spans="1:54">
      <c r="A9" s="122">
        <v>2</v>
      </c>
      <c r="B9" s="127" t="s">
        <v>877</v>
      </c>
      <c r="C9" s="128"/>
      <c r="D9" s="128">
        <f>Financials!H106-D8</f>
        <v>154.03999999999996</v>
      </c>
      <c r="E9" s="128">
        <f>Financials!I106-E8</f>
        <v>205.64999999999998</v>
      </c>
      <c r="F9" s="128">
        <f>Financials!J106-F8</f>
        <v>190</v>
      </c>
      <c r="G9" s="128">
        <f>Financials!K106-G8</f>
        <v>2004.1899999999998</v>
      </c>
      <c r="H9" s="128">
        <f>Financials!L106-H8</f>
        <v>6387.41</v>
      </c>
      <c r="I9" s="128">
        <f>Financials!M106-I8</f>
        <v>6387.08</v>
      </c>
      <c r="J9" s="128">
        <f>Financials!N106-J8</f>
        <v>530.83647525663605</v>
      </c>
      <c r="K9" s="128">
        <f>Financials!O106-K8</f>
        <v>585.03860055111659</v>
      </c>
      <c r="L9" s="128">
        <f>Financials!P106-L8</f>
        <v>584.91398208633609</v>
      </c>
      <c r="M9" s="128">
        <f>Financials!Q106-M8</f>
        <v>676.74655836390798</v>
      </c>
      <c r="N9" s="128">
        <f>Financials!R106-N8</f>
        <v>685.38979845292192</v>
      </c>
      <c r="O9" s="128">
        <f>Financials!S106-O8</f>
        <v>768.85561728667585</v>
      </c>
      <c r="P9" s="128">
        <f>Financials!T106-P8</f>
        <v>815.26184950146376</v>
      </c>
      <c r="Q9" s="128">
        <f>Financials!U106-Q8</f>
        <v>872.64759150782243</v>
      </c>
      <c r="R9" s="128">
        <f>Financials!V106-R8</f>
        <v>882.15722487031758</v>
      </c>
      <c r="S9" s="128">
        <f>Financials!W106-S8</f>
        <v>981.86755850270833</v>
      </c>
      <c r="T9" s="128">
        <f>Financials!X106-T8</f>
        <v>1024.4374174287802</v>
      </c>
      <c r="U9" s="128">
        <f>Financials!Y106-U8</f>
        <v>1084.4367346665674</v>
      </c>
      <c r="V9" s="128">
        <f>Financials!Z106-V8</f>
        <v>1144.9331739966883</v>
      </c>
      <c r="W9" s="128">
        <f>Financials!AA106-W8</f>
        <v>1174.5416330270809</v>
      </c>
      <c r="X9" s="128">
        <f>Financials!AB106-X8</f>
        <v>1200.296992351979</v>
      </c>
      <c r="Y9" s="128">
        <f>Financials!AC106-Y8</f>
        <v>1299.4164887443744</v>
      </c>
      <c r="Z9" s="128">
        <f>Financials!AD106-Z8</f>
        <v>1078.4401149770395</v>
      </c>
      <c r="AA9" s="128">
        <f>Financials!AE106-AA8</f>
        <v>227.62258024285529</v>
      </c>
      <c r="AB9" s="128"/>
      <c r="AC9" s="128"/>
      <c r="AD9" s="128"/>
    </row>
    <row r="10" spans="1:54">
      <c r="A10" s="122">
        <v>3</v>
      </c>
      <c r="B10" s="127" t="s">
        <v>878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</row>
    <row r="11" spans="1:54">
      <c r="A11" s="122">
        <v>4</v>
      </c>
      <c r="B11" s="127" t="s">
        <v>879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</row>
    <row r="12" spans="1:54">
      <c r="A12" s="122">
        <v>5</v>
      </c>
      <c r="B12" s="129" t="s">
        <v>880</v>
      </c>
      <c r="C12" s="130">
        <f t="shared" ref="C12:AD12" si="1">C8+C9+C10</f>
        <v>831.53412023999999</v>
      </c>
      <c r="D12" s="130">
        <f t="shared" si="1"/>
        <v>885.24</v>
      </c>
      <c r="E12" s="130">
        <f t="shared" si="1"/>
        <v>936.85</v>
      </c>
      <c r="F12" s="130">
        <f t="shared" si="1"/>
        <v>921.2</v>
      </c>
      <c r="G12" s="130">
        <f t="shared" si="1"/>
        <v>2735.39</v>
      </c>
      <c r="H12" s="130">
        <f t="shared" si="1"/>
        <v>7118.61</v>
      </c>
      <c r="I12" s="130">
        <f t="shared" si="1"/>
        <v>7118.28</v>
      </c>
      <c r="J12" s="130">
        <f t="shared" si="1"/>
        <v>1262.0364752566361</v>
      </c>
      <c r="K12" s="130">
        <f t="shared" si="1"/>
        <v>1316.2386005511166</v>
      </c>
      <c r="L12" s="130">
        <f t="shared" si="1"/>
        <v>1316.1139820863361</v>
      </c>
      <c r="M12" s="130">
        <f t="shared" si="1"/>
        <v>1407.946558363908</v>
      </c>
      <c r="N12" s="130">
        <f t="shared" si="1"/>
        <v>1416.589798452922</v>
      </c>
      <c r="O12" s="130">
        <f t="shared" si="1"/>
        <v>1500.0556172866759</v>
      </c>
      <c r="P12" s="130">
        <f t="shared" si="1"/>
        <v>1546.4618495014638</v>
      </c>
      <c r="Q12" s="130">
        <f t="shared" si="1"/>
        <v>1603.8475915078225</v>
      </c>
      <c r="R12" s="130">
        <f t="shared" si="1"/>
        <v>1613.3572248703176</v>
      </c>
      <c r="S12" s="130">
        <f t="shared" si="1"/>
        <v>1713.0675585027084</v>
      </c>
      <c r="T12" s="130">
        <f t="shared" si="1"/>
        <v>1755.6374174287803</v>
      </c>
      <c r="U12" s="130">
        <f t="shared" si="1"/>
        <v>1815.6367346665675</v>
      </c>
      <c r="V12" s="130">
        <f t="shared" si="1"/>
        <v>1876.1331739966884</v>
      </c>
      <c r="W12" s="130">
        <f t="shared" si="1"/>
        <v>1905.741633027081</v>
      </c>
      <c r="X12" s="130">
        <f t="shared" si="1"/>
        <v>1931.4969923519791</v>
      </c>
      <c r="Y12" s="130">
        <f t="shared" si="1"/>
        <v>2030.6164887443745</v>
      </c>
      <c r="Z12" s="130">
        <f t="shared" si="1"/>
        <v>1809.6401149770395</v>
      </c>
      <c r="AA12" s="130">
        <f t="shared" si="1"/>
        <v>958.82258024285534</v>
      </c>
      <c r="AB12" s="130">
        <f t="shared" si="1"/>
        <v>0</v>
      </c>
      <c r="AC12" s="130">
        <f t="shared" si="1"/>
        <v>0</v>
      </c>
      <c r="AD12" s="130">
        <f t="shared" si="1"/>
        <v>0</v>
      </c>
    </row>
    <row r="13" spans="1:54">
      <c r="A13" s="122">
        <v>6</v>
      </c>
      <c r="B13" s="127" t="s">
        <v>881</v>
      </c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</row>
    <row r="14" spans="1:54">
      <c r="A14" s="122">
        <v>7</v>
      </c>
      <c r="B14" s="127" t="s">
        <v>882</v>
      </c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</row>
    <row r="15" spans="1:54">
      <c r="A15" s="122">
        <v>8</v>
      </c>
      <c r="B15" s="127" t="s">
        <v>883</v>
      </c>
      <c r="C15" s="128">
        <f>Financials!E107</f>
        <v>386.87900000000002</v>
      </c>
      <c r="D15" s="128">
        <f>Financials!H107</f>
        <v>264.32</v>
      </c>
      <c r="E15" s="128">
        <f>Financials!I107</f>
        <v>139.04</v>
      </c>
      <c r="F15" s="128">
        <f>Financials!J107</f>
        <v>323.26</v>
      </c>
      <c r="G15" s="128">
        <f>Financials!K107</f>
        <v>306.27</v>
      </c>
      <c r="H15" s="128">
        <f>Financials!L107</f>
        <v>331.58</v>
      </c>
      <c r="I15" s="128">
        <f>Financials!M107</f>
        <v>638.33000000000004</v>
      </c>
      <c r="J15" s="128">
        <f>Financials!N107</f>
        <v>722.59499606852216</v>
      </c>
      <c r="K15" s="128">
        <f>Financials!O107</f>
        <v>677.06817347731715</v>
      </c>
      <c r="L15" s="128">
        <f>Financials!P107</f>
        <v>691.49449146643201</v>
      </c>
      <c r="M15" s="128">
        <f>Financials!Q107</f>
        <v>741.95070956681104</v>
      </c>
      <c r="N15" s="128">
        <f>Financials!R107</f>
        <v>754.69235918468621</v>
      </c>
      <c r="O15" s="128">
        <f>Financials!S107</f>
        <v>805.32596611948793</v>
      </c>
      <c r="P15" s="128">
        <f>Financials!T107</f>
        <v>817.26191680599277</v>
      </c>
      <c r="Q15" s="128">
        <f>Financials!U107</f>
        <v>873.48160917634152</v>
      </c>
      <c r="R15" s="128">
        <f>Financials!V107</f>
        <v>889.0624645343446</v>
      </c>
      <c r="S15" s="128">
        <f>Financials!W107</f>
        <v>945.31416831757213</v>
      </c>
      <c r="T15" s="128">
        <f>Financials!X107</f>
        <v>959.9152962562099</v>
      </c>
      <c r="U15" s="128">
        <f>Financials!Y107</f>
        <v>1022.569631870223</v>
      </c>
      <c r="V15" s="128">
        <f>Financials!Z107</f>
        <v>1041.4183414970591</v>
      </c>
      <c r="W15" s="128">
        <f>Financials!AA107</f>
        <v>1086.756675741917</v>
      </c>
      <c r="X15" s="128">
        <f>Financials!AB107</f>
        <v>1124.8327302250643</v>
      </c>
      <c r="Y15" s="128">
        <f>Financials!AC107</f>
        <v>1146.1869562237855</v>
      </c>
      <c r="Z15" s="128">
        <f>Financials!AD107</f>
        <v>982.17845557098087</v>
      </c>
      <c r="AA15" s="128">
        <f>Financials!AE107</f>
        <v>368.11780025440561</v>
      </c>
      <c r="AB15" s="128"/>
      <c r="AC15" s="128"/>
      <c r="AD15" s="128"/>
    </row>
    <row r="16" spans="1:54" ht="30" customHeight="1">
      <c r="A16" s="122">
        <v>9</v>
      </c>
      <c r="B16" s="127" t="s">
        <v>884</v>
      </c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</row>
    <row r="17" spans="1:30">
      <c r="A17" s="122">
        <v>10</v>
      </c>
      <c r="B17" s="127" t="s">
        <v>885</v>
      </c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</row>
    <row r="18" spans="1:30">
      <c r="A18" s="122">
        <v>11</v>
      </c>
      <c r="B18" s="127" t="s">
        <v>886</v>
      </c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</row>
    <row r="19" spans="1:30">
      <c r="A19" s="122">
        <v>12</v>
      </c>
      <c r="B19" s="127" t="s">
        <v>887</v>
      </c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</row>
    <row r="20" spans="1:30" ht="30" customHeight="1">
      <c r="A20" s="122">
        <v>13</v>
      </c>
      <c r="B20" s="127" t="s">
        <v>888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</row>
    <row r="21" spans="1:30">
      <c r="A21" s="122">
        <v>14</v>
      </c>
      <c r="B21" s="127" t="s">
        <v>889</v>
      </c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</row>
    <row r="22" spans="1:30">
      <c r="A22" s="122">
        <v>15</v>
      </c>
      <c r="B22" s="127" t="s">
        <v>890</v>
      </c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</row>
    <row r="23" spans="1:30">
      <c r="A23" s="122">
        <v>16</v>
      </c>
      <c r="B23" s="127" t="s">
        <v>891</v>
      </c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</row>
    <row r="24" spans="1:30">
      <c r="A24" s="122">
        <v>17</v>
      </c>
      <c r="B24" s="127" t="s">
        <v>892</v>
      </c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</row>
    <row r="25" spans="1:30">
      <c r="A25" s="122">
        <v>18</v>
      </c>
      <c r="B25" s="127" t="s">
        <v>893</v>
      </c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</row>
    <row r="26" spans="1:30">
      <c r="A26" s="122" t="s">
        <v>894</v>
      </c>
      <c r="B26" s="132"/>
      <c r="C26" s="128" t="e">
        <f>Financials!#REF!</f>
        <v>#REF!</v>
      </c>
      <c r="D26" s="128" t="e">
        <f>Financials!#REF!</f>
        <v>#REF!</v>
      </c>
      <c r="E26" s="128" t="e">
        <f>Financials!#REF!</f>
        <v>#REF!</v>
      </c>
      <c r="F26" s="128" t="e">
        <f>Financials!#REF!</f>
        <v>#REF!</v>
      </c>
      <c r="G26" s="128" t="e">
        <f>Financials!#REF!</f>
        <v>#REF!</v>
      </c>
      <c r="H26" s="128" t="e">
        <f>Financials!#REF!</f>
        <v>#REF!</v>
      </c>
      <c r="I26" s="128" t="e">
        <f>Financials!#REF!</f>
        <v>#REF!</v>
      </c>
      <c r="J26" s="128" t="e">
        <f>Financials!#REF!</f>
        <v>#REF!</v>
      </c>
      <c r="K26" s="128" t="e">
        <f>Financials!#REF!</f>
        <v>#REF!</v>
      </c>
      <c r="L26" s="128" t="e">
        <f>Financials!#REF!</f>
        <v>#REF!</v>
      </c>
      <c r="M26" s="128" t="e">
        <f>Financials!#REF!</f>
        <v>#REF!</v>
      </c>
      <c r="N26" s="128" t="e">
        <f>Financials!#REF!</f>
        <v>#REF!</v>
      </c>
      <c r="O26" s="128" t="e">
        <f>Financials!#REF!</f>
        <v>#REF!</v>
      </c>
      <c r="P26" s="128" t="e">
        <f>Financials!#REF!</f>
        <v>#REF!</v>
      </c>
      <c r="Q26" s="128" t="e">
        <f>Financials!#REF!</f>
        <v>#REF!</v>
      </c>
      <c r="R26" s="128" t="e">
        <f>Financials!#REF!</f>
        <v>#REF!</v>
      </c>
      <c r="S26" s="128" t="e">
        <f>Financials!#REF!</f>
        <v>#REF!</v>
      </c>
      <c r="T26" s="128" t="e">
        <f>Financials!#REF!</f>
        <v>#REF!</v>
      </c>
      <c r="U26" s="128" t="e">
        <f>Financials!#REF!</f>
        <v>#REF!</v>
      </c>
      <c r="V26" s="128" t="e">
        <f>Financials!#REF!</f>
        <v>#REF!</v>
      </c>
      <c r="W26" s="128" t="e">
        <f>Financials!#REF!</f>
        <v>#REF!</v>
      </c>
      <c r="X26" s="128" t="e">
        <f>Financials!#REF!</f>
        <v>#REF!</v>
      </c>
      <c r="Y26" s="128" t="e">
        <f>Financials!#REF!</f>
        <v>#REF!</v>
      </c>
      <c r="Z26" s="128" t="e">
        <f>Financials!#REF!</f>
        <v>#REF!</v>
      </c>
      <c r="AA26" s="128" t="e">
        <f>Financials!#REF!</f>
        <v>#REF!</v>
      </c>
      <c r="AB26" s="128"/>
      <c r="AC26" s="128"/>
      <c r="AD26" s="128"/>
    </row>
    <row r="27" spans="1:30">
      <c r="A27" s="122" t="s">
        <v>895</v>
      </c>
      <c r="B27" s="132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</row>
    <row r="28" spans="1:30">
      <c r="A28" s="122" t="s">
        <v>896</v>
      </c>
      <c r="B28" s="132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</row>
    <row r="29" spans="1:30">
      <c r="A29" s="122" t="s">
        <v>897</v>
      </c>
      <c r="B29" s="132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</row>
    <row r="30" spans="1:30">
      <c r="A30" s="122" t="s">
        <v>898</v>
      </c>
      <c r="B30" s="132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</row>
    <row r="31" spans="1:30">
      <c r="A31" s="122">
        <v>19</v>
      </c>
      <c r="B31" s="129" t="s">
        <v>899</v>
      </c>
      <c r="C31" s="130" t="e">
        <f t="shared" ref="C31:AD31" si="2">SUM(C13:C24)+SUM(C26:C30)</f>
        <v>#REF!</v>
      </c>
      <c r="D31" s="130" t="e">
        <f t="shared" si="2"/>
        <v>#REF!</v>
      </c>
      <c r="E31" s="130" t="e">
        <f t="shared" si="2"/>
        <v>#REF!</v>
      </c>
      <c r="F31" s="130" t="e">
        <f t="shared" si="2"/>
        <v>#REF!</v>
      </c>
      <c r="G31" s="130" t="e">
        <f t="shared" si="2"/>
        <v>#REF!</v>
      </c>
      <c r="H31" s="130" t="e">
        <f t="shared" si="2"/>
        <v>#REF!</v>
      </c>
      <c r="I31" s="130" t="e">
        <f t="shared" si="2"/>
        <v>#REF!</v>
      </c>
      <c r="J31" s="130" t="e">
        <f t="shared" si="2"/>
        <v>#REF!</v>
      </c>
      <c r="K31" s="130" t="e">
        <f t="shared" si="2"/>
        <v>#REF!</v>
      </c>
      <c r="L31" s="130" t="e">
        <f t="shared" si="2"/>
        <v>#REF!</v>
      </c>
      <c r="M31" s="130" t="e">
        <f t="shared" si="2"/>
        <v>#REF!</v>
      </c>
      <c r="N31" s="130" t="e">
        <f t="shared" si="2"/>
        <v>#REF!</v>
      </c>
      <c r="O31" s="130" t="e">
        <f t="shared" si="2"/>
        <v>#REF!</v>
      </c>
      <c r="P31" s="130" t="e">
        <f t="shared" si="2"/>
        <v>#REF!</v>
      </c>
      <c r="Q31" s="130" t="e">
        <f t="shared" si="2"/>
        <v>#REF!</v>
      </c>
      <c r="R31" s="130" t="e">
        <f t="shared" si="2"/>
        <v>#REF!</v>
      </c>
      <c r="S31" s="130" t="e">
        <f t="shared" si="2"/>
        <v>#REF!</v>
      </c>
      <c r="T31" s="130" t="e">
        <f t="shared" si="2"/>
        <v>#REF!</v>
      </c>
      <c r="U31" s="130" t="e">
        <f t="shared" si="2"/>
        <v>#REF!</v>
      </c>
      <c r="V31" s="130" t="e">
        <f t="shared" si="2"/>
        <v>#REF!</v>
      </c>
      <c r="W31" s="130" t="e">
        <f t="shared" si="2"/>
        <v>#REF!</v>
      </c>
      <c r="X31" s="130" t="e">
        <f t="shared" si="2"/>
        <v>#REF!</v>
      </c>
      <c r="Y31" s="130" t="e">
        <f t="shared" si="2"/>
        <v>#REF!</v>
      </c>
      <c r="Z31" s="130" t="e">
        <f t="shared" si="2"/>
        <v>#REF!</v>
      </c>
      <c r="AA31" s="130" t="e">
        <f t="shared" si="2"/>
        <v>#REF!</v>
      </c>
      <c r="AB31" s="130">
        <f t="shared" si="2"/>
        <v>0</v>
      </c>
      <c r="AC31" s="130">
        <f t="shared" si="2"/>
        <v>0</v>
      </c>
      <c r="AD31" s="130">
        <f t="shared" si="2"/>
        <v>0</v>
      </c>
    </row>
    <row r="32" spans="1:30">
      <c r="A32" s="122">
        <v>20</v>
      </c>
      <c r="B32" s="129" t="s">
        <v>900</v>
      </c>
      <c r="C32" s="130" t="e">
        <f t="shared" ref="C32:AD32" si="3">C12+C31</f>
        <v>#REF!</v>
      </c>
      <c r="D32" s="130" t="e">
        <f t="shared" si="3"/>
        <v>#REF!</v>
      </c>
      <c r="E32" s="130" t="e">
        <f t="shared" si="3"/>
        <v>#REF!</v>
      </c>
      <c r="F32" s="130" t="e">
        <f t="shared" si="3"/>
        <v>#REF!</v>
      </c>
      <c r="G32" s="130" t="e">
        <f t="shared" si="3"/>
        <v>#REF!</v>
      </c>
      <c r="H32" s="130" t="e">
        <f t="shared" si="3"/>
        <v>#REF!</v>
      </c>
      <c r="I32" s="130" t="e">
        <f t="shared" si="3"/>
        <v>#REF!</v>
      </c>
      <c r="J32" s="130" t="e">
        <f t="shared" si="3"/>
        <v>#REF!</v>
      </c>
      <c r="K32" s="130" t="e">
        <f t="shared" si="3"/>
        <v>#REF!</v>
      </c>
      <c r="L32" s="130" t="e">
        <f t="shared" si="3"/>
        <v>#REF!</v>
      </c>
      <c r="M32" s="130" t="e">
        <f t="shared" si="3"/>
        <v>#REF!</v>
      </c>
      <c r="N32" s="130" t="e">
        <f t="shared" si="3"/>
        <v>#REF!</v>
      </c>
      <c r="O32" s="130" t="e">
        <f t="shared" si="3"/>
        <v>#REF!</v>
      </c>
      <c r="P32" s="130" t="e">
        <f t="shared" si="3"/>
        <v>#REF!</v>
      </c>
      <c r="Q32" s="130" t="e">
        <f t="shared" si="3"/>
        <v>#REF!</v>
      </c>
      <c r="R32" s="130" t="e">
        <f t="shared" si="3"/>
        <v>#REF!</v>
      </c>
      <c r="S32" s="130" t="e">
        <f t="shared" si="3"/>
        <v>#REF!</v>
      </c>
      <c r="T32" s="130" t="e">
        <f t="shared" si="3"/>
        <v>#REF!</v>
      </c>
      <c r="U32" s="130" t="e">
        <f t="shared" si="3"/>
        <v>#REF!</v>
      </c>
      <c r="V32" s="130" t="e">
        <f t="shared" si="3"/>
        <v>#REF!</v>
      </c>
      <c r="W32" s="130" t="e">
        <f t="shared" si="3"/>
        <v>#REF!</v>
      </c>
      <c r="X32" s="130" t="e">
        <f t="shared" si="3"/>
        <v>#REF!</v>
      </c>
      <c r="Y32" s="130" t="e">
        <f t="shared" si="3"/>
        <v>#REF!</v>
      </c>
      <c r="Z32" s="130" t="e">
        <f t="shared" si="3"/>
        <v>#REF!</v>
      </c>
      <c r="AA32" s="130" t="e">
        <f t="shared" si="3"/>
        <v>#REF!</v>
      </c>
      <c r="AB32" s="130">
        <f t="shared" si="3"/>
        <v>0</v>
      </c>
      <c r="AC32" s="130">
        <f t="shared" si="3"/>
        <v>0</v>
      </c>
      <c r="AD32" s="130">
        <f t="shared" si="3"/>
        <v>0</v>
      </c>
    </row>
    <row r="33" spans="1:30">
      <c r="A33" s="122">
        <v>21</v>
      </c>
      <c r="B33" s="123" t="s">
        <v>901</v>
      </c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</row>
    <row r="34" spans="1:30">
      <c r="A34" s="122">
        <v>22</v>
      </c>
      <c r="B34" s="127" t="s">
        <v>902</v>
      </c>
      <c r="C34" s="128" t="e">
        <f>Financials!#REF!</f>
        <v>#REF!</v>
      </c>
      <c r="D34" s="128" t="e">
        <f>Financials!#REF!</f>
        <v>#REF!</v>
      </c>
      <c r="E34" s="128" t="e">
        <f>Financials!#REF!</f>
        <v>#REF!</v>
      </c>
      <c r="F34" s="128" t="e">
        <f>Financials!#REF!</f>
        <v>#REF!</v>
      </c>
      <c r="G34" s="128" t="e">
        <f>Financials!#REF!</f>
        <v>#REF!</v>
      </c>
      <c r="H34" s="128" t="e">
        <f>Financials!#REF!</f>
        <v>#REF!</v>
      </c>
      <c r="I34" s="128" t="e">
        <f>Financials!#REF!</f>
        <v>#REF!</v>
      </c>
      <c r="J34" s="128" t="e">
        <f>Financials!#REF!</f>
        <v>#REF!</v>
      </c>
      <c r="K34" s="128" t="e">
        <f>Financials!#REF!</f>
        <v>#REF!</v>
      </c>
      <c r="L34" s="128" t="e">
        <f>Financials!#REF!</f>
        <v>#REF!</v>
      </c>
      <c r="M34" s="128" t="e">
        <f>Financials!#REF!</f>
        <v>#REF!</v>
      </c>
      <c r="N34" s="128" t="e">
        <f>Financials!#REF!</f>
        <v>#REF!</v>
      </c>
      <c r="O34" s="128" t="e">
        <f>Financials!#REF!</f>
        <v>#REF!</v>
      </c>
      <c r="P34" s="128" t="e">
        <f>Financials!#REF!</f>
        <v>#REF!</v>
      </c>
      <c r="Q34" s="128" t="e">
        <f>Financials!#REF!</f>
        <v>#REF!</v>
      </c>
      <c r="R34" s="128" t="e">
        <f>Financials!#REF!</f>
        <v>#REF!</v>
      </c>
      <c r="S34" s="128" t="e">
        <f>Financials!#REF!</f>
        <v>#REF!</v>
      </c>
      <c r="T34" s="128" t="e">
        <f>Financials!#REF!</f>
        <v>#REF!</v>
      </c>
      <c r="U34" s="128" t="e">
        <f>Financials!#REF!</f>
        <v>#REF!</v>
      </c>
      <c r="V34" s="128" t="e">
        <f>Financials!#REF!</f>
        <v>#REF!</v>
      </c>
      <c r="W34" s="128" t="e">
        <f>Financials!#REF!</f>
        <v>#REF!</v>
      </c>
      <c r="X34" s="128" t="e">
        <f>Financials!#REF!</f>
        <v>#REF!</v>
      </c>
      <c r="Y34" s="128" t="e">
        <f>Financials!#REF!</f>
        <v>#REF!</v>
      </c>
      <c r="Z34" s="128" t="e">
        <f>Financials!#REF!</f>
        <v>#REF!</v>
      </c>
      <c r="AA34" s="128" t="e">
        <f>Financials!#REF!</f>
        <v>#REF!</v>
      </c>
      <c r="AB34" s="128"/>
      <c r="AC34" s="128"/>
      <c r="AD34" s="128"/>
    </row>
    <row r="35" spans="1:30" ht="30" customHeight="1">
      <c r="A35" s="122">
        <v>23</v>
      </c>
      <c r="B35" s="127" t="s">
        <v>903</v>
      </c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</row>
    <row r="36" spans="1:30">
      <c r="A36" s="122">
        <v>24</v>
      </c>
      <c r="B36" s="127" t="s">
        <v>904</v>
      </c>
      <c r="C36" s="128">
        <f>Financials!E99</f>
        <v>5306.0933000000005</v>
      </c>
      <c r="D36" s="128">
        <f>Financials!H99</f>
        <v>5103.5200000000004</v>
      </c>
      <c r="E36" s="128">
        <f>Financials!I99</f>
        <v>3702.57</v>
      </c>
      <c r="F36" s="128">
        <f>Financials!J99</f>
        <v>3279.84</v>
      </c>
      <c r="G36" s="128">
        <f>Financials!K99</f>
        <v>2825.19</v>
      </c>
      <c r="H36" s="128">
        <f>Financials!L99</f>
        <v>107.18</v>
      </c>
      <c r="I36" s="128">
        <f>Financials!M99</f>
        <v>107.18</v>
      </c>
      <c r="J36" s="128" t="e">
        <f ca="1">Financials!N99</f>
        <v>#DIV/0!</v>
      </c>
      <c r="K36" s="128" t="e">
        <f ca="1">Financials!O99</f>
        <v>#DIV/0!</v>
      </c>
      <c r="L36" s="128" t="e">
        <f ca="1">Financials!P99</f>
        <v>#DIV/0!</v>
      </c>
      <c r="M36" s="128" t="e">
        <f ca="1">Financials!Q99</f>
        <v>#DIV/0!</v>
      </c>
      <c r="N36" s="128" t="e">
        <f ca="1">Financials!R99</f>
        <v>#DIV/0!</v>
      </c>
      <c r="O36" s="128" t="e">
        <f ca="1">Financials!S99</f>
        <v>#DIV/0!</v>
      </c>
      <c r="P36" s="128" t="e">
        <f ca="1">Financials!T99</f>
        <v>#DIV/0!</v>
      </c>
      <c r="Q36" s="128" t="e">
        <f ca="1">Financials!U99</f>
        <v>#DIV/0!</v>
      </c>
      <c r="R36" s="128" t="e">
        <f ca="1">Financials!V99</f>
        <v>#DIV/0!</v>
      </c>
      <c r="S36" s="128" t="e">
        <f ca="1">Financials!W99</f>
        <v>#DIV/0!</v>
      </c>
      <c r="T36" s="128" t="e">
        <f ca="1">Financials!X99</f>
        <v>#DIV/0!</v>
      </c>
      <c r="U36" s="128" t="e">
        <f ca="1">Financials!Y99</f>
        <v>#DIV/0!</v>
      </c>
      <c r="V36" s="128" t="e">
        <f ca="1">Financials!Z99</f>
        <v>#DIV/0!</v>
      </c>
      <c r="W36" s="128" t="e">
        <f ca="1">Financials!AA99</f>
        <v>#DIV/0!</v>
      </c>
      <c r="X36" s="128" t="e">
        <f ca="1">Financials!AB99</f>
        <v>#DIV/0!</v>
      </c>
      <c r="Y36" s="128" t="e">
        <f ca="1">Financials!AC99</f>
        <v>#DIV/0!</v>
      </c>
      <c r="Z36" s="128" t="e">
        <f ca="1">Financials!AD99</f>
        <v>#DIV/0!</v>
      </c>
      <c r="AA36" s="128" t="e">
        <f ca="1">Financials!AE99</f>
        <v>#DIV/0!</v>
      </c>
      <c r="AB36" s="128"/>
      <c r="AC36" s="128"/>
      <c r="AD36" s="128"/>
    </row>
    <row r="37" spans="1:30" ht="30" customHeight="1">
      <c r="A37" s="122">
        <v>25</v>
      </c>
      <c r="B37" s="127" t="s">
        <v>905</v>
      </c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</row>
    <row r="38" spans="1:30">
      <c r="A38" s="122">
        <v>26</v>
      </c>
      <c r="B38" s="127" t="s">
        <v>906</v>
      </c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</row>
    <row r="39" spans="1:30" ht="28.8">
      <c r="A39" s="122" t="s">
        <v>907</v>
      </c>
      <c r="B39" s="127" t="s">
        <v>908</v>
      </c>
      <c r="C39" s="128">
        <f>Financials!E100</f>
        <v>0</v>
      </c>
      <c r="D39" s="128">
        <f>Financials!H100</f>
        <v>0</v>
      </c>
      <c r="E39" s="128">
        <f>Financials!I100</f>
        <v>0</v>
      </c>
      <c r="F39" s="128">
        <f>Financials!J100</f>
        <v>0</v>
      </c>
      <c r="G39" s="128">
        <f>Financials!K100</f>
        <v>0</v>
      </c>
      <c r="H39" s="128">
        <f>Financials!L100</f>
        <v>0</v>
      </c>
      <c r="I39" s="128">
        <f>Financials!M100</f>
        <v>0</v>
      </c>
      <c r="J39" s="128">
        <f>Financials!N100</f>
        <v>0</v>
      </c>
      <c r="K39" s="128">
        <f>Financials!O100</f>
        <v>0</v>
      </c>
      <c r="L39" s="128">
        <f>Financials!P100</f>
        <v>0</v>
      </c>
      <c r="M39" s="128">
        <f>Financials!Q100</f>
        <v>0</v>
      </c>
      <c r="N39" s="128">
        <f>Financials!R100</f>
        <v>0</v>
      </c>
      <c r="O39" s="128">
        <f>Financials!S100</f>
        <v>0</v>
      </c>
      <c r="P39" s="128">
        <f>Financials!T100</f>
        <v>0</v>
      </c>
      <c r="Q39" s="128">
        <f>Financials!U100</f>
        <v>0</v>
      </c>
      <c r="R39" s="128">
        <f>Financials!V100</f>
        <v>0</v>
      </c>
      <c r="S39" s="128">
        <f>Financials!W100</f>
        <v>0</v>
      </c>
      <c r="T39" s="128">
        <f>Financials!X100</f>
        <v>0</v>
      </c>
      <c r="U39" s="128">
        <f>Financials!Y100</f>
        <v>0</v>
      </c>
      <c r="V39" s="128">
        <f>Financials!Z100</f>
        <v>0</v>
      </c>
      <c r="W39" s="128">
        <f>Financials!AA100</f>
        <v>0</v>
      </c>
      <c r="X39" s="128">
        <f>Financials!AB100</f>
        <v>0</v>
      </c>
      <c r="Y39" s="128">
        <f>Financials!AC100</f>
        <v>0</v>
      </c>
      <c r="Z39" s="128">
        <f>Financials!AD100</f>
        <v>0</v>
      </c>
      <c r="AA39" s="128">
        <f>Financials!AE100</f>
        <v>0</v>
      </c>
      <c r="AB39" s="128"/>
      <c r="AC39" s="128"/>
      <c r="AD39" s="128"/>
    </row>
    <row r="40" spans="1:30" ht="28.8">
      <c r="A40" s="122" t="s">
        <v>909</v>
      </c>
      <c r="B40" s="127" t="s">
        <v>910</v>
      </c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</row>
    <row r="41" spans="1:30">
      <c r="A41" s="122">
        <v>28</v>
      </c>
      <c r="B41" s="127" t="s">
        <v>911</v>
      </c>
      <c r="C41" s="128">
        <f>Financials!E110</f>
        <v>1.7682099999999998</v>
      </c>
      <c r="D41" s="128">
        <f>Financials!H103</f>
        <v>0</v>
      </c>
      <c r="E41" s="128">
        <f>Financials!I103</f>
        <v>0</v>
      </c>
      <c r="F41" s="128">
        <f>Financials!J103</f>
        <v>0</v>
      </c>
      <c r="G41" s="128">
        <f>Financials!K103</f>
        <v>0</v>
      </c>
      <c r="H41" s="128">
        <f>Financials!L103</f>
        <v>0</v>
      </c>
      <c r="I41" s="128">
        <f>Financials!M103</f>
        <v>0</v>
      </c>
      <c r="J41" s="128">
        <f>Financials!N103</f>
        <v>0</v>
      </c>
      <c r="K41" s="128">
        <f>Financials!O103</f>
        <v>0</v>
      </c>
      <c r="L41" s="128">
        <f>Financials!P103</f>
        <v>0</v>
      </c>
      <c r="M41" s="128">
        <f>Financials!Q103</f>
        <v>0</v>
      </c>
      <c r="N41" s="128">
        <f>Financials!R103</f>
        <v>0</v>
      </c>
      <c r="O41" s="128">
        <f>Financials!S103</f>
        <v>0</v>
      </c>
      <c r="P41" s="128">
        <f>Financials!T103</f>
        <v>0</v>
      </c>
      <c r="Q41" s="128">
        <f>Financials!U103</f>
        <v>0</v>
      </c>
      <c r="R41" s="128">
        <f>Financials!V103</f>
        <v>0</v>
      </c>
      <c r="S41" s="128">
        <f>Financials!W103</f>
        <v>0</v>
      </c>
      <c r="T41" s="128">
        <f>Financials!X103</f>
        <v>0</v>
      </c>
      <c r="U41" s="128">
        <f>Financials!Y103</f>
        <v>0</v>
      </c>
      <c r="V41" s="128">
        <f>Financials!Z103</f>
        <v>0</v>
      </c>
      <c r="W41" s="128">
        <f>Financials!AA103</f>
        <v>0</v>
      </c>
      <c r="X41" s="128">
        <f>Financials!AB103</f>
        <v>0</v>
      </c>
      <c r="Y41" s="128">
        <f>Financials!AC103</f>
        <v>0</v>
      </c>
      <c r="Z41" s="128">
        <f>Financials!AD103</f>
        <v>0</v>
      </c>
      <c r="AA41" s="128">
        <f>Financials!AE103</f>
        <v>0</v>
      </c>
      <c r="AB41" s="128"/>
      <c r="AC41" s="128"/>
      <c r="AD41" s="128"/>
    </row>
    <row r="42" spans="1:30">
      <c r="A42" s="122">
        <v>29</v>
      </c>
      <c r="B42" s="127" t="s">
        <v>912</v>
      </c>
      <c r="C42" s="128">
        <f>Financials!E102</f>
        <v>2.1743000000000001</v>
      </c>
      <c r="D42" s="128">
        <f>Financials!H102</f>
        <v>1.94</v>
      </c>
      <c r="E42" s="128">
        <f>Financials!I102</f>
        <v>0.82</v>
      </c>
      <c r="F42" s="128">
        <f>Financials!J102</f>
        <v>1.1200000000000001</v>
      </c>
      <c r="G42" s="128">
        <f>Financials!K102</f>
        <v>1.03</v>
      </c>
      <c r="H42" s="128">
        <f>Financials!L102</f>
        <v>1.45</v>
      </c>
      <c r="I42" s="128">
        <f>Financials!M102</f>
        <v>1.65</v>
      </c>
      <c r="J42" s="128">
        <f>Financials!N102</f>
        <v>1.65</v>
      </c>
      <c r="K42" s="128">
        <f>Financials!O102</f>
        <v>1.65</v>
      </c>
      <c r="L42" s="128">
        <f>Financials!P102</f>
        <v>1.65</v>
      </c>
      <c r="M42" s="128">
        <f>Financials!Q102</f>
        <v>1.65</v>
      </c>
      <c r="N42" s="128">
        <f>Financials!R102</f>
        <v>1.65</v>
      </c>
      <c r="O42" s="128">
        <f>Financials!S102</f>
        <v>1.65</v>
      </c>
      <c r="P42" s="128">
        <f>Financials!T102</f>
        <v>1.65</v>
      </c>
      <c r="Q42" s="128">
        <f>Financials!U102</f>
        <v>1.65</v>
      </c>
      <c r="R42" s="128">
        <f>Financials!V102</f>
        <v>1.65</v>
      </c>
      <c r="S42" s="128">
        <f>Financials!W102</f>
        <v>1.65</v>
      </c>
      <c r="T42" s="128">
        <f>Financials!X102</f>
        <v>1.65</v>
      </c>
      <c r="U42" s="128">
        <f>Financials!Y102</f>
        <v>1.65</v>
      </c>
      <c r="V42" s="128">
        <f>Financials!Z102</f>
        <v>1.65</v>
      </c>
      <c r="W42" s="128">
        <f>Financials!AA102</f>
        <v>1.65</v>
      </c>
      <c r="X42" s="128">
        <f>Financials!AB102</f>
        <v>1.65</v>
      </c>
      <c r="Y42" s="128">
        <f>Financials!AC102</f>
        <v>1.65</v>
      </c>
      <c r="Z42" s="128">
        <f>Financials!AD102</f>
        <v>1.65</v>
      </c>
      <c r="AA42" s="128">
        <f>Financials!AE102</f>
        <v>1.65</v>
      </c>
      <c r="AB42" s="128"/>
      <c r="AC42" s="128"/>
      <c r="AD42" s="128"/>
    </row>
    <row r="43" spans="1:30">
      <c r="A43" s="122">
        <v>30</v>
      </c>
      <c r="B43" s="127" t="s">
        <v>913</v>
      </c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</row>
    <row r="44" spans="1:30">
      <c r="A44" s="122">
        <v>31</v>
      </c>
      <c r="B44" s="127" t="s">
        <v>914</v>
      </c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</row>
    <row r="45" spans="1:30">
      <c r="A45" s="122" t="s">
        <v>915</v>
      </c>
      <c r="B45" s="132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</row>
    <row r="46" spans="1:30">
      <c r="A46" s="122" t="s">
        <v>916</v>
      </c>
      <c r="B46" s="132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</row>
    <row r="47" spans="1:30">
      <c r="A47" s="122" t="s">
        <v>917</v>
      </c>
      <c r="B47" s="132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</row>
    <row r="48" spans="1:30">
      <c r="A48" s="122" t="s">
        <v>918</v>
      </c>
      <c r="B48" s="132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</row>
    <row r="49" spans="1:30">
      <c r="A49" s="122" t="s">
        <v>919</v>
      </c>
      <c r="B49" s="132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</row>
    <row r="50" spans="1:30">
      <c r="A50" s="122">
        <v>32</v>
      </c>
      <c r="B50" s="129" t="s">
        <v>920</v>
      </c>
      <c r="C50" s="130" t="e">
        <f t="shared" ref="C50:AD50" si="4">SUM(C34:C43)+SUM(C45:C49)</f>
        <v>#REF!</v>
      </c>
      <c r="D50" s="130" t="e">
        <f t="shared" si="4"/>
        <v>#REF!</v>
      </c>
      <c r="E50" s="130" t="e">
        <f t="shared" si="4"/>
        <v>#REF!</v>
      </c>
      <c r="F50" s="130" t="e">
        <f t="shared" si="4"/>
        <v>#REF!</v>
      </c>
      <c r="G50" s="130" t="e">
        <f t="shared" si="4"/>
        <v>#REF!</v>
      </c>
      <c r="H50" s="130" t="e">
        <f t="shared" si="4"/>
        <v>#REF!</v>
      </c>
      <c r="I50" s="130" t="e">
        <f t="shared" si="4"/>
        <v>#REF!</v>
      </c>
      <c r="J50" s="130" t="e">
        <f t="shared" si="4"/>
        <v>#REF!</v>
      </c>
      <c r="K50" s="130" t="e">
        <f t="shared" si="4"/>
        <v>#REF!</v>
      </c>
      <c r="L50" s="130" t="e">
        <f t="shared" si="4"/>
        <v>#REF!</v>
      </c>
      <c r="M50" s="130" t="e">
        <f t="shared" si="4"/>
        <v>#REF!</v>
      </c>
      <c r="N50" s="130" t="e">
        <f t="shared" si="4"/>
        <v>#REF!</v>
      </c>
      <c r="O50" s="130" t="e">
        <f t="shared" si="4"/>
        <v>#REF!</v>
      </c>
      <c r="P50" s="130" t="e">
        <f t="shared" si="4"/>
        <v>#REF!</v>
      </c>
      <c r="Q50" s="130" t="e">
        <f t="shared" si="4"/>
        <v>#REF!</v>
      </c>
      <c r="R50" s="130" t="e">
        <f t="shared" si="4"/>
        <v>#REF!</v>
      </c>
      <c r="S50" s="130" t="e">
        <f t="shared" si="4"/>
        <v>#REF!</v>
      </c>
      <c r="T50" s="130" t="e">
        <f t="shared" si="4"/>
        <v>#REF!</v>
      </c>
      <c r="U50" s="130" t="e">
        <f t="shared" si="4"/>
        <v>#REF!</v>
      </c>
      <c r="V50" s="130" t="e">
        <f t="shared" si="4"/>
        <v>#REF!</v>
      </c>
      <c r="W50" s="130" t="e">
        <f t="shared" si="4"/>
        <v>#REF!</v>
      </c>
      <c r="X50" s="130" t="e">
        <f t="shared" si="4"/>
        <v>#REF!</v>
      </c>
      <c r="Y50" s="130" t="e">
        <f t="shared" si="4"/>
        <v>#REF!</v>
      </c>
      <c r="Z50" s="130" t="e">
        <f t="shared" si="4"/>
        <v>#REF!</v>
      </c>
      <c r="AA50" s="130" t="e">
        <f t="shared" si="4"/>
        <v>#REF!</v>
      </c>
      <c r="AB50" s="130">
        <f t="shared" si="4"/>
        <v>0</v>
      </c>
      <c r="AC50" s="130">
        <f t="shared" si="4"/>
        <v>0</v>
      </c>
      <c r="AD50" s="130">
        <f t="shared" si="4"/>
        <v>0</v>
      </c>
    </row>
    <row r="51" spans="1:30">
      <c r="A51" s="122">
        <v>33</v>
      </c>
      <c r="B51" s="129" t="s">
        <v>921</v>
      </c>
      <c r="C51" s="130" t="e">
        <f t="shared" ref="C51:AD51" si="5">C32+C50</f>
        <v>#REF!</v>
      </c>
      <c r="D51" s="130" t="e">
        <f t="shared" si="5"/>
        <v>#REF!</v>
      </c>
      <c r="E51" s="130" t="e">
        <f t="shared" si="5"/>
        <v>#REF!</v>
      </c>
      <c r="F51" s="130" t="e">
        <f t="shared" si="5"/>
        <v>#REF!</v>
      </c>
      <c r="G51" s="130" t="e">
        <f t="shared" si="5"/>
        <v>#REF!</v>
      </c>
      <c r="H51" s="130" t="e">
        <f t="shared" si="5"/>
        <v>#REF!</v>
      </c>
      <c r="I51" s="130" t="e">
        <f t="shared" si="5"/>
        <v>#REF!</v>
      </c>
      <c r="J51" s="130" t="e">
        <f t="shared" si="5"/>
        <v>#REF!</v>
      </c>
      <c r="K51" s="130" t="e">
        <f t="shared" si="5"/>
        <v>#REF!</v>
      </c>
      <c r="L51" s="130" t="e">
        <f t="shared" si="5"/>
        <v>#REF!</v>
      </c>
      <c r="M51" s="130" t="e">
        <f t="shared" si="5"/>
        <v>#REF!</v>
      </c>
      <c r="N51" s="130" t="e">
        <f t="shared" si="5"/>
        <v>#REF!</v>
      </c>
      <c r="O51" s="130" t="e">
        <f t="shared" si="5"/>
        <v>#REF!</v>
      </c>
      <c r="P51" s="130" t="e">
        <f t="shared" si="5"/>
        <v>#REF!</v>
      </c>
      <c r="Q51" s="130" t="e">
        <f t="shared" si="5"/>
        <v>#REF!</v>
      </c>
      <c r="R51" s="130" t="e">
        <f t="shared" si="5"/>
        <v>#REF!</v>
      </c>
      <c r="S51" s="130" t="e">
        <f t="shared" si="5"/>
        <v>#REF!</v>
      </c>
      <c r="T51" s="130" t="e">
        <f t="shared" si="5"/>
        <v>#REF!</v>
      </c>
      <c r="U51" s="130" t="e">
        <f t="shared" si="5"/>
        <v>#REF!</v>
      </c>
      <c r="V51" s="130" t="e">
        <f t="shared" si="5"/>
        <v>#REF!</v>
      </c>
      <c r="W51" s="130" t="e">
        <f t="shared" si="5"/>
        <v>#REF!</v>
      </c>
      <c r="X51" s="130" t="e">
        <f t="shared" si="5"/>
        <v>#REF!</v>
      </c>
      <c r="Y51" s="130" t="e">
        <f t="shared" si="5"/>
        <v>#REF!</v>
      </c>
      <c r="Z51" s="130" t="e">
        <f t="shared" si="5"/>
        <v>#REF!</v>
      </c>
      <c r="AA51" s="130" t="e">
        <f t="shared" si="5"/>
        <v>#REF!</v>
      </c>
      <c r="AB51" s="130">
        <f t="shared" si="5"/>
        <v>0</v>
      </c>
      <c r="AC51" s="130">
        <f t="shared" si="5"/>
        <v>0</v>
      </c>
      <c r="AD51" s="130">
        <f t="shared" si="5"/>
        <v>0</v>
      </c>
    </row>
    <row r="52" spans="1:30">
      <c r="A52" s="122">
        <v>34</v>
      </c>
      <c r="B52" s="123" t="s">
        <v>922</v>
      </c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</row>
    <row r="53" spans="1:30">
      <c r="A53" s="122">
        <v>35</v>
      </c>
      <c r="B53" s="127" t="s">
        <v>923</v>
      </c>
      <c r="C53" s="128">
        <f>Financials!E92</f>
        <v>103.343075</v>
      </c>
      <c r="D53" s="128">
        <f>Financials!H92</f>
        <v>103.343075</v>
      </c>
      <c r="E53" s="128">
        <f>Financials!I92</f>
        <v>103.343075</v>
      </c>
      <c r="F53" s="128">
        <f>Financials!J92</f>
        <v>103.343075</v>
      </c>
      <c r="G53" s="128">
        <f>Financials!K92</f>
        <v>210.9</v>
      </c>
      <c r="H53" s="128">
        <f>Financials!L92</f>
        <v>210.9</v>
      </c>
      <c r="I53" s="128">
        <f>Financials!M92</f>
        <v>210.9</v>
      </c>
      <c r="J53" s="128">
        <f>Financials!N92</f>
        <v>210.9</v>
      </c>
      <c r="K53" s="128">
        <f>Financials!O92</f>
        <v>210.9</v>
      </c>
      <c r="L53" s="128">
        <f>Financials!P92</f>
        <v>210.9</v>
      </c>
      <c r="M53" s="128">
        <f>Financials!Q92</f>
        <v>210.9</v>
      </c>
      <c r="N53" s="128">
        <f>Financials!R92</f>
        <v>210.9</v>
      </c>
      <c r="O53" s="128">
        <f>Financials!S92</f>
        <v>210.9</v>
      </c>
      <c r="P53" s="128">
        <f>Financials!T92</f>
        <v>210.9</v>
      </c>
      <c r="Q53" s="128">
        <f>Financials!U92</f>
        <v>210.9</v>
      </c>
      <c r="R53" s="128">
        <f>Financials!V92</f>
        <v>210.9</v>
      </c>
      <c r="S53" s="128">
        <f>Financials!W92</f>
        <v>210.9</v>
      </c>
      <c r="T53" s="128">
        <f>Financials!X92</f>
        <v>210.9</v>
      </c>
      <c r="U53" s="128">
        <f>Financials!Y92</f>
        <v>210.9</v>
      </c>
      <c r="V53" s="128">
        <f>Financials!Z92</f>
        <v>210.9</v>
      </c>
      <c r="W53" s="128">
        <f>Financials!AA92</f>
        <v>210.9</v>
      </c>
      <c r="X53" s="128">
        <f>Financials!AB92</f>
        <v>210.9</v>
      </c>
      <c r="Y53" s="128">
        <f>Financials!AC92</f>
        <v>210.9</v>
      </c>
      <c r="Z53" s="128">
        <f>Financials!AD92</f>
        <v>210.9</v>
      </c>
      <c r="AA53" s="128">
        <f>Financials!AE92</f>
        <v>210.9</v>
      </c>
      <c r="AB53" s="128"/>
      <c r="AC53" s="128"/>
      <c r="AD53" s="128"/>
    </row>
    <row r="54" spans="1:30">
      <c r="A54" s="122">
        <v>36</v>
      </c>
      <c r="B54" s="127" t="s">
        <v>924</v>
      </c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</row>
    <row r="55" spans="1:30">
      <c r="A55" s="122">
        <v>37</v>
      </c>
      <c r="B55" s="127" t="s">
        <v>494</v>
      </c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</row>
    <row r="56" spans="1:30">
      <c r="A56" s="122">
        <v>38</v>
      </c>
      <c r="B56" s="127" t="s">
        <v>495</v>
      </c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</row>
    <row r="57" spans="1:30">
      <c r="A57" s="122">
        <v>39</v>
      </c>
      <c r="B57" s="127" t="s">
        <v>925</v>
      </c>
      <c r="C57" s="128">
        <f>Financials!E94</f>
        <v>-268.32</v>
      </c>
      <c r="D57" s="128">
        <f>Financials!H94</f>
        <v>-926.75</v>
      </c>
      <c r="E57" s="128">
        <f>Financials!I94</f>
        <v>-1914.63</v>
      </c>
      <c r="F57" s="128">
        <f>Financials!J94</f>
        <v>-2201.59</v>
      </c>
      <c r="G57" s="128">
        <f>Financials!K94</f>
        <v>-1678.78</v>
      </c>
      <c r="H57" s="128">
        <f>Financials!L94</f>
        <v>-1738.73</v>
      </c>
      <c r="I57" s="128">
        <f>Financials!M94</f>
        <v>-1813.62</v>
      </c>
      <c r="J57" s="128">
        <f>Financials!N94</f>
        <v>-1738.73</v>
      </c>
      <c r="K57" s="128">
        <f>Financials!O94</f>
        <v>-1738.73</v>
      </c>
      <c r="L57" s="128">
        <f>Financials!P94</f>
        <v>-1738.73</v>
      </c>
      <c r="M57" s="128">
        <f>Financials!Q94</f>
        <v>-1738.73</v>
      </c>
      <c r="N57" s="128">
        <f>Financials!R94</f>
        <v>-1738.73</v>
      </c>
      <c r="O57" s="128">
        <f>Financials!S94</f>
        <v>-1738.73</v>
      </c>
      <c r="P57" s="128">
        <f>Financials!T94</f>
        <v>-1738.73</v>
      </c>
      <c r="Q57" s="128">
        <f>Financials!U94</f>
        <v>-1738.73</v>
      </c>
      <c r="R57" s="128">
        <f>Financials!V94</f>
        <v>-1738.73</v>
      </c>
      <c r="S57" s="128">
        <f>Financials!W94</f>
        <v>-1738.73</v>
      </c>
      <c r="T57" s="128">
        <f>Financials!X94</f>
        <v>-1738.73</v>
      </c>
      <c r="U57" s="128">
        <f>Financials!Y94</f>
        <v>-1738.73</v>
      </c>
      <c r="V57" s="128">
        <f>Financials!Z94</f>
        <v>-1738.73</v>
      </c>
      <c r="W57" s="128">
        <f>Financials!AA94</f>
        <v>-1738.73</v>
      </c>
      <c r="X57" s="128">
        <f>Financials!AB94</f>
        <v>-1738.73</v>
      </c>
      <c r="Y57" s="128">
        <f>Financials!AC94</f>
        <v>-1738.73</v>
      </c>
      <c r="Z57" s="128">
        <f>Financials!AD94</f>
        <v>-1738.73</v>
      </c>
      <c r="AA57" s="128">
        <f>Financials!AE94</f>
        <v>-1738.73</v>
      </c>
      <c r="AB57" s="128"/>
      <c r="AC57" s="128"/>
      <c r="AD57" s="128"/>
    </row>
    <row r="58" spans="1:30">
      <c r="A58" s="122">
        <v>40</v>
      </c>
      <c r="B58" s="127" t="s">
        <v>926</v>
      </c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</row>
    <row r="59" spans="1:30">
      <c r="A59" s="122">
        <v>41</v>
      </c>
      <c r="B59" s="127" t="s">
        <v>927</v>
      </c>
      <c r="C59" s="128">
        <f>Financials!E93</f>
        <v>1033.3307520000001</v>
      </c>
      <c r="D59" s="128">
        <f>Financials!H93</f>
        <v>1033.3307520000001</v>
      </c>
      <c r="E59" s="128">
        <f>Financials!I93</f>
        <v>1033.3307520000001</v>
      </c>
      <c r="F59" s="128">
        <f>Financials!J93</f>
        <v>1033.3307520000001</v>
      </c>
      <c r="G59" s="128">
        <f>Financials!K93</f>
        <v>1033.3307520000001</v>
      </c>
      <c r="H59" s="128">
        <f>Financials!L93</f>
        <v>1033.3307520000001</v>
      </c>
      <c r="I59" s="128">
        <f>Financials!M93</f>
        <v>1033.3307520000001</v>
      </c>
      <c r="J59" s="128">
        <f>Financials!N93</f>
        <v>1033.3307520000001</v>
      </c>
      <c r="K59" s="128">
        <f>Financials!O93</f>
        <v>1033.3307520000001</v>
      </c>
      <c r="L59" s="128">
        <f>Financials!P93</f>
        <v>1033.3307520000001</v>
      </c>
      <c r="M59" s="128">
        <f>Financials!Q93</f>
        <v>1033.3307520000001</v>
      </c>
      <c r="N59" s="128">
        <f>Financials!R93</f>
        <v>1033.3307520000001</v>
      </c>
      <c r="O59" s="128">
        <f>Financials!S93</f>
        <v>1033.3307520000001</v>
      </c>
      <c r="P59" s="128">
        <f>Financials!T93</f>
        <v>1033.3307520000001</v>
      </c>
      <c r="Q59" s="128">
        <f>Financials!U93</f>
        <v>1033.3307520000001</v>
      </c>
      <c r="R59" s="128">
        <f>Financials!V93</f>
        <v>1033.3307520000001</v>
      </c>
      <c r="S59" s="128">
        <f>Financials!W93</f>
        <v>1033.3307520000001</v>
      </c>
      <c r="T59" s="128">
        <f>Financials!X93</f>
        <v>1033.3307520000001</v>
      </c>
      <c r="U59" s="128">
        <f>Financials!Y93</f>
        <v>1033.3307520000001</v>
      </c>
      <c r="V59" s="128">
        <f>Financials!Z93</f>
        <v>1033.3307520000001</v>
      </c>
      <c r="W59" s="128">
        <f>Financials!AA93</f>
        <v>1033.3307520000001</v>
      </c>
      <c r="X59" s="128">
        <f>Financials!AB93</f>
        <v>1033.3307520000001</v>
      </c>
      <c r="Y59" s="128">
        <f>Financials!AC93</f>
        <v>1033.3307520000001</v>
      </c>
      <c r="Z59" s="128">
        <f>Financials!AD93</f>
        <v>1033.3307520000001</v>
      </c>
      <c r="AA59" s="128">
        <f>Financials!AE93</f>
        <v>1033.3307520000001</v>
      </c>
      <c r="AB59" s="128"/>
      <c r="AC59" s="128"/>
      <c r="AD59" s="128"/>
    </row>
    <row r="60" spans="1:30">
      <c r="A60" s="122">
        <v>42</v>
      </c>
      <c r="B60" s="127" t="s">
        <v>928</v>
      </c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</row>
    <row r="61" spans="1:30">
      <c r="A61" s="122">
        <v>43</v>
      </c>
      <c r="B61" s="127" t="s">
        <v>929</v>
      </c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</row>
    <row r="62" spans="1:30">
      <c r="A62" s="122">
        <v>44</v>
      </c>
      <c r="B62" s="127" t="s">
        <v>930</v>
      </c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</row>
    <row r="63" spans="1:30">
      <c r="A63" s="122" t="s">
        <v>931</v>
      </c>
      <c r="B63" s="132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>
      <c r="A64" s="122" t="s">
        <v>932</v>
      </c>
      <c r="B64" s="132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2" t="s">
        <v>933</v>
      </c>
      <c r="B65" s="132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2" t="s">
        <v>934</v>
      </c>
      <c r="B66" s="132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2" t="s">
        <v>935</v>
      </c>
      <c r="B67" s="132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2">
        <v>45</v>
      </c>
      <c r="B68" s="129" t="s">
        <v>936</v>
      </c>
      <c r="C68" s="130">
        <f t="shared" ref="C68:AD68" si="6">SUM(C53:C61)+SUM(C63:C67)</f>
        <v>868.35382700000014</v>
      </c>
      <c r="D68" s="130">
        <f t="shared" si="6"/>
        <v>209.92382700000007</v>
      </c>
      <c r="E68" s="130">
        <f t="shared" si="6"/>
        <v>-777.95617300000004</v>
      </c>
      <c r="F68" s="130">
        <f t="shared" si="6"/>
        <v>-1064.9161730000003</v>
      </c>
      <c r="G68" s="130">
        <f t="shared" si="6"/>
        <v>-434.54924799999981</v>
      </c>
      <c r="H68" s="130">
        <f t="shared" si="6"/>
        <v>-494.49924799999985</v>
      </c>
      <c r="I68" s="130">
        <f t="shared" si="6"/>
        <v>-569.38924799999972</v>
      </c>
      <c r="J68" s="130">
        <f t="shared" si="6"/>
        <v>-494.49924799999985</v>
      </c>
      <c r="K68" s="130">
        <f t="shared" si="6"/>
        <v>-494.49924799999985</v>
      </c>
      <c r="L68" s="130">
        <f t="shared" si="6"/>
        <v>-494.49924799999985</v>
      </c>
      <c r="M68" s="130">
        <f t="shared" si="6"/>
        <v>-494.49924799999985</v>
      </c>
      <c r="N68" s="130">
        <f t="shared" si="6"/>
        <v>-494.49924799999985</v>
      </c>
      <c r="O68" s="130">
        <f t="shared" si="6"/>
        <v>-494.49924799999985</v>
      </c>
      <c r="P68" s="130">
        <f t="shared" si="6"/>
        <v>-494.49924799999985</v>
      </c>
      <c r="Q68" s="130">
        <f t="shared" si="6"/>
        <v>-494.49924799999985</v>
      </c>
      <c r="R68" s="130">
        <f t="shared" si="6"/>
        <v>-494.49924799999985</v>
      </c>
      <c r="S68" s="130">
        <f t="shared" si="6"/>
        <v>-494.49924799999985</v>
      </c>
      <c r="T68" s="130">
        <f t="shared" si="6"/>
        <v>-494.49924799999985</v>
      </c>
      <c r="U68" s="130">
        <f t="shared" si="6"/>
        <v>-494.49924799999985</v>
      </c>
      <c r="V68" s="130">
        <f t="shared" si="6"/>
        <v>-494.49924799999985</v>
      </c>
      <c r="W68" s="130">
        <f t="shared" si="6"/>
        <v>-494.49924799999985</v>
      </c>
      <c r="X68" s="130">
        <f t="shared" si="6"/>
        <v>-494.49924799999985</v>
      </c>
      <c r="Y68" s="130">
        <f t="shared" si="6"/>
        <v>-494.49924799999985</v>
      </c>
      <c r="Z68" s="130">
        <f t="shared" si="6"/>
        <v>-494.49924799999985</v>
      </c>
      <c r="AA68" s="130">
        <f t="shared" si="6"/>
        <v>-494.49924799999985</v>
      </c>
      <c r="AB68" s="130">
        <f t="shared" si="6"/>
        <v>0</v>
      </c>
      <c r="AC68" s="130">
        <f t="shared" si="6"/>
        <v>0</v>
      </c>
      <c r="AD68" s="130">
        <f t="shared" si="6"/>
        <v>0</v>
      </c>
    </row>
    <row r="69" spans="1:30">
      <c r="A69" s="122">
        <v>46</v>
      </c>
      <c r="B69" s="129" t="s">
        <v>501</v>
      </c>
      <c r="C69" s="130" t="e">
        <f t="shared" ref="C69:AD69" si="7">C51+C68</f>
        <v>#REF!</v>
      </c>
      <c r="D69" s="130" t="e">
        <f t="shared" si="7"/>
        <v>#REF!</v>
      </c>
      <c r="E69" s="130" t="e">
        <f t="shared" si="7"/>
        <v>#REF!</v>
      </c>
      <c r="F69" s="130" t="e">
        <f t="shared" si="7"/>
        <v>#REF!</v>
      </c>
      <c r="G69" s="130" t="e">
        <f t="shared" si="7"/>
        <v>#REF!</v>
      </c>
      <c r="H69" s="130" t="e">
        <f t="shared" si="7"/>
        <v>#REF!</v>
      </c>
      <c r="I69" s="130" t="e">
        <f t="shared" si="7"/>
        <v>#REF!</v>
      </c>
      <c r="J69" s="130" t="e">
        <f t="shared" si="7"/>
        <v>#REF!</v>
      </c>
      <c r="K69" s="130" t="e">
        <f t="shared" si="7"/>
        <v>#REF!</v>
      </c>
      <c r="L69" s="130" t="e">
        <f t="shared" si="7"/>
        <v>#REF!</v>
      </c>
      <c r="M69" s="130" t="e">
        <f t="shared" si="7"/>
        <v>#REF!</v>
      </c>
      <c r="N69" s="130" t="e">
        <f t="shared" si="7"/>
        <v>#REF!</v>
      </c>
      <c r="O69" s="130" t="e">
        <f t="shared" si="7"/>
        <v>#REF!</v>
      </c>
      <c r="P69" s="130" t="e">
        <f t="shared" si="7"/>
        <v>#REF!</v>
      </c>
      <c r="Q69" s="130" t="e">
        <f t="shared" si="7"/>
        <v>#REF!</v>
      </c>
      <c r="R69" s="130" t="e">
        <f t="shared" si="7"/>
        <v>#REF!</v>
      </c>
      <c r="S69" s="130" t="e">
        <f t="shared" si="7"/>
        <v>#REF!</v>
      </c>
      <c r="T69" s="130" t="e">
        <f t="shared" si="7"/>
        <v>#REF!</v>
      </c>
      <c r="U69" s="130" t="e">
        <f t="shared" si="7"/>
        <v>#REF!</v>
      </c>
      <c r="V69" s="130" t="e">
        <f t="shared" si="7"/>
        <v>#REF!</v>
      </c>
      <c r="W69" s="130" t="e">
        <f t="shared" si="7"/>
        <v>#REF!</v>
      </c>
      <c r="X69" s="130" t="e">
        <f t="shared" si="7"/>
        <v>#REF!</v>
      </c>
      <c r="Y69" s="130" t="e">
        <f t="shared" si="7"/>
        <v>#REF!</v>
      </c>
      <c r="Z69" s="130" t="e">
        <f t="shared" si="7"/>
        <v>#REF!</v>
      </c>
      <c r="AA69" s="130" t="e">
        <f t="shared" si="7"/>
        <v>#REF!</v>
      </c>
      <c r="AB69" s="130">
        <f t="shared" si="7"/>
        <v>0</v>
      </c>
      <c r="AC69" s="130">
        <f t="shared" si="7"/>
        <v>0</v>
      </c>
      <c r="AD69" s="130">
        <f t="shared" si="7"/>
        <v>0</v>
      </c>
    </row>
    <row r="70" spans="1:30">
      <c r="A70" s="122">
        <v>47</v>
      </c>
      <c r="B70" s="133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</row>
    <row r="71" spans="1:30">
      <c r="A71" s="122">
        <v>48</v>
      </c>
      <c r="B71" s="123" t="s">
        <v>937</v>
      </c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</row>
    <row r="72" spans="1:30">
      <c r="A72" s="122">
        <v>49</v>
      </c>
      <c r="B72" s="127" t="s">
        <v>938</v>
      </c>
      <c r="C72" s="128">
        <f>Financials!E127</f>
        <v>59.745933600000001</v>
      </c>
      <c r="D72" s="128">
        <f>Financials!H127</f>
        <v>69.459999999999994</v>
      </c>
      <c r="E72" s="128">
        <f>Financials!I127</f>
        <v>44.22</v>
      </c>
      <c r="F72" s="128">
        <f>Financials!J127</f>
        <v>131.02000000000001</v>
      </c>
      <c r="G72" s="128">
        <f>Financials!K127</f>
        <v>128.61000000000001</v>
      </c>
      <c r="H72" s="128">
        <f>Financials!L127</f>
        <v>3.86</v>
      </c>
      <c r="I72" s="128">
        <f>Financials!M127</f>
        <v>99.38</v>
      </c>
      <c r="J72" s="128" t="e">
        <f ca="1">Financials!N127</f>
        <v>#DIV/0!</v>
      </c>
      <c r="K72" s="128" t="e">
        <f ca="1">Financials!O127</f>
        <v>#DIV/0!</v>
      </c>
      <c r="L72" s="128" t="e">
        <f ca="1">Financials!P127</f>
        <v>#DIV/0!</v>
      </c>
      <c r="M72" s="128" t="e">
        <f ca="1">Financials!Q127</f>
        <v>#DIV/0!</v>
      </c>
      <c r="N72" s="128" t="e">
        <f ca="1">Financials!R127</f>
        <v>#DIV/0!</v>
      </c>
      <c r="O72" s="128" t="e">
        <f ca="1">Financials!S127</f>
        <v>#DIV/0!</v>
      </c>
      <c r="P72" s="128" t="e">
        <f ca="1">Financials!T127</f>
        <v>#DIV/0!</v>
      </c>
      <c r="Q72" s="128" t="e">
        <f ca="1">Financials!U127</f>
        <v>#DIV/0!</v>
      </c>
      <c r="R72" s="128" t="e">
        <f ca="1">Financials!V127</f>
        <v>#DIV/0!</v>
      </c>
      <c r="S72" s="128" t="e">
        <f ca="1">Financials!W127</f>
        <v>#DIV/0!</v>
      </c>
      <c r="T72" s="128" t="e">
        <f ca="1">Financials!X127</f>
        <v>#DIV/0!</v>
      </c>
      <c r="U72" s="128" t="e">
        <f ca="1">Financials!Y127</f>
        <v>#DIV/0!</v>
      </c>
      <c r="V72" s="128" t="e">
        <f ca="1">Financials!Z127</f>
        <v>#DIV/0!</v>
      </c>
      <c r="W72" s="128" t="e">
        <f ca="1">Financials!AA127</f>
        <v>#DIV/0!</v>
      </c>
      <c r="X72" s="128" t="e">
        <f ca="1">Financials!AB127</f>
        <v>#DIV/0!</v>
      </c>
      <c r="Y72" s="128" t="e">
        <f ca="1">Financials!AC127</f>
        <v>#DIV/0!</v>
      </c>
      <c r="Z72" s="128" t="e">
        <f ca="1">Financials!AD127</f>
        <v>#DIV/0!</v>
      </c>
      <c r="AA72" s="128" t="e">
        <f ca="1">Financials!AE127</f>
        <v>#DIV/0!</v>
      </c>
      <c r="AB72" s="128"/>
      <c r="AC72" s="128"/>
      <c r="AD72" s="128"/>
    </row>
    <row r="73" spans="1:30">
      <c r="A73" s="122">
        <v>50</v>
      </c>
      <c r="B73" s="125" t="s">
        <v>939</v>
      </c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</row>
    <row r="74" spans="1:30">
      <c r="A74" s="122">
        <v>51</v>
      </c>
      <c r="B74" s="127" t="s">
        <v>940</v>
      </c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>
      <c r="A75" s="122">
        <v>52</v>
      </c>
      <c r="B75" s="127" t="s">
        <v>941</v>
      </c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>
      <c r="A76" s="122">
        <v>53</v>
      </c>
      <c r="B76" s="127" t="s">
        <v>942</v>
      </c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</row>
    <row r="77" spans="1:30">
      <c r="A77" s="122" t="s">
        <v>943</v>
      </c>
      <c r="B77" s="132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>
      <c r="A78" s="122" t="s">
        <v>944</v>
      </c>
      <c r="B78" s="132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>
      <c r="A79" s="122" t="s">
        <v>945</v>
      </c>
      <c r="B79" s="132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>
      <c r="A80" s="122" t="s">
        <v>946</v>
      </c>
      <c r="B80" s="132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>
      <c r="A81" s="122" t="s">
        <v>947</v>
      </c>
      <c r="B81" s="132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>
      <c r="A82" s="122">
        <v>54</v>
      </c>
      <c r="B82" s="129" t="s">
        <v>948</v>
      </c>
      <c r="C82" s="130">
        <f t="shared" ref="C82:AD82" si="8">C74+C75+SUM(C77:C81)</f>
        <v>0</v>
      </c>
      <c r="D82" s="130">
        <f t="shared" si="8"/>
        <v>0</v>
      </c>
      <c r="E82" s="130">
        <f t="shared" si="8"/>
        <v>0</v>
      </c>
      <c r="F82" s="130">
        <f t="shared" si="8"/>
        <v>0</v>
      </c>
      <c r="G82" s="130">
        <f t="shared" si="8"/>
        <v>0</v>
      </c>
      <c r="H82" s="130">
        <f t="shared" si="8"/>
        <v>0</v>
      </c>
      <c r="I82" s="130">
        <f t="shared" si="8"/>
        <v>0</v>
      </c>
      <c r="J82" s="130">
        <f t="shared" si="8"/>
        <v>0</v>
      </c>
      <c r="K82" s="130">
        <f t="shared" si="8"/>
        <v>0</v>
      </c>
      <c r="L82" s="130">
        <f t="shared" si="8"/>
        <v>0</v>
      </c>
      <c r="M82" s="130">
        <f t="shared" si="8"/>
        <v>0</v>
      </c>
      <c r="N82" s="130">
        <f t="shared" si="8"/>
        <v>0</v>
      </c>
      <c r="O82" s="130">
        <f t="shared" si="8"/>
        <v>0</v>
      </c>
      <c r="P82" s="130">
        <f t="shared" si="8"/>
        <v>0</v>
      </c>
      <c r="Q82" s="130">
        <f t="shared" si="8"/>
        <v>0</v>
      </c>
      <c r="R82" s="130">
        <f t="shared" si="8"/>
        <v>0</v>
      </c>
      <c r="S82" s="130">
        <f t="shared" si="8"/>
        <v>0</v>
      </c>
      <c r="T82" s="130">
        <f t="shared" si="8"/>
        <v>0</v>
      </c>
      <c r="U82" s="130">
        <f t="shared" si="8"/>
        <v>0</v>
      </c>
      <c r="V82" s="130">
        <f t="shared" si="8"/>
        <v>0</v>
      </c>
      <c r="W82" s="130">
        <f t="shared" si="8"/>
        <v>0</v>
      </c>
      <c r="X82" s="130">
        <f t="shared" si="8"/>
        <v>0</v>
      </c>
      <c r="Y82" s="130">
        <f t="shared" si="8"/>
        <v>0</v>
      </c>
      <c r="Z82" s="130">
        <f t="shared" si="8"/>
        <v>0</v>
      </c>
      <c r="AA82" s="130">
        <f t="shared" si="8"/>
        <v>0</v>
      </c>
      <c r="AB82" s="130">
        <f t="shared" si="8"/>
        <v>0</v>
      </c>
      <c r="AC82" s="130">
        <f t="shared" si="8"/>
        <v>0</v>
      </c>
      <c r="AD82" s="130">
        <f t="shared" si="8"/>
        <v>0</v>
      </c>
    </row>
    <row r="83" spans="1:30">
      <c r="A83" s="122">
        <v>55</v>
      </c>
      <c r="B83" s="125" t="s">
        <v>949</v>
      </c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</row>
    <row r="84" spans="1:30">
      <c r="A84" s="122">
        <v>56</v>
      </c>
      <c r="B84" s="127" t="s">
        <v>950</v>
      </c>
      <c r="C84" s="128">
        <f>Financials!E124</f>
        <v>656.38</v>
      </c>
      <c r="D84" s="128">
        <f>Financials!H124</f>
        <v>877.85</v>
      </c>
      <c r="E84" s="128">
        <f>Financials!I124</f>
        <v>987.87</v>
      </c>
      <c r="F84" s="128">
        <f>Financials!J124</f>
        <v>1334.17</v>
      </c>
      <c r="G84" s="128">
        <f>Financials!K124</f>
        <v>949.43</v>
      </c>
      <c r="H84" s="128">
        <f>Financials!L124</f>
        <v>682.08</v>
      </c>
      <c r="I84" s="128">
        <f>Financials!M124</f>
        <v>746.52</v>
      </c>
      <c r="J84" s="128">
        <f>Financials!N124</f>
        <v>1314.7502507999998</v>
      </c>
      <c r="K84" s="128">
        <f>Financials!O124</f>
        <v>1311.1580369999999</v>
      </c>
      <c r="L84" s="128">
        <f>Financials!P124</f>
        <v>1311.1580369999999</v>
      </c>
      <c r="M84" s="128">
        <f>Financials!Q124</f>
        <v>1408.3112451449997</v>
      </c>
      <c r="N84" s="128">
        <f>Financials!R124</f>
        <v>1412.1696321179998</v>
      </c>
      <c r="O84" s="128">
        <f>Financials!S124</f>
        <v>1500.5183054400002</v>
      </c>
      <c r="P84" s="128">
        <f>Financials!T124</f>
        <v>1541.9218515120001</v>
      </c>
      <c r="Q84" s="128">
        <f>Financials!U124</f>
        <v>1605.11689562175</v>
      </c>
      <c r="R84" s="128">
        <f>Financials!V124</f>
        <v>1609.5144761577001</v>
      </c>
      <c r="S84" s="128">
        <f>Financials!W124</f>
        <v>1714.5027708180751</v>
      </c>
      <c r="T84" s="128">
        <f>Financials!X124</f>
        <v>1751.7275367180755</v>
      </c>
      <c r="U84" s="128">
        <f>Financials!Y124</f>
        <v>1818.0823330333126</v>
      </c>
      <c r="V84" s="128">
        <f>Financials!Z124</f>
        <v>1873.1270206121287</v>
      </c>
      <c r="W84" s="128">
        <f>Financials!AA124</f>
        <v>1905.8343525724786</v>
      </c>
      <c r="X84" s="128">
        <f>Financials!AB124</f>
        <v>1931.0511294724786</v>
      </c>
      <c r="Y84" s="128">
        <f>Financials!AC124</f>
        <v>2027.6036859461026</v>
      </c>
      <c r="Z84" s="128">
        <f>Financials!AD124</f>
        <v>1779.2638190377354</v>
      </c>
      <c r="AA84" s="128">
        <f>Financials!AE124</f>
        <v>865.62906221371588</v>
      </c>
      <c r="AB84" s="128"/>
      <c r="AC84" s="128"/>
      <c r="AD84" s="128"/>
    </row>
    <row r="85" spans="1:30">
      <c r="A85" s="122">
        <v>57</v>
      </c>
      <c r="B85" s="127" t="s">
        <v>951</v>
      </c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>
      <c r="A86" s="122">
        <v>58</v>
      </c>
      <c r="B86" s="127" t="s">
        <v>952</v>
      </c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t="30" customHeight="1">
      <c r="A87" s="122">
        <v>59</v>
      </c>
      <c r="B87" s="127" t="s">
        <v>953</v>
      </c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>
      <c r="A88" s="122">
        <v>60</v>
      </c>
      <c r="B88" s="129" t="s">
        <v>954</v>
      </c>
      <c r="C88" s="130">
        <f t="shared" ref="C88:AD88" si="9">SUM(C84:C87)</f>
        <v>656.38</v>
      </c>
      <c r="D88" s="130">
        <f t="shared" si="9"/>
        <v>877.85</v>
      </c>
      <c r="E88" s="130">
        <f t="shared" si="9"/>
        <v>987.87</v>
      </c>
      <c r="F88" s="130">
        <f t="shared" si="9"/>
        <v>1334.17</v>
      </c>
      <c r="G88" s="130">
        <f t="shared" si="9"/>
        <v>949.43</v>
      </c>
      <c r="H88" s="130">
        <f t="shared" si="9"/>
        <v>682.08</v>
      </c>
      <c r="I88" s="130">
        <f t="shared" si="9"/>
        <v>746.52</v>
      </c>
      <c r="J88" s="130">
        <f t="shared" si="9"/>
        <v>1314.7502507999998</v>
      </c>
      <c r="K88" s="130">
        <f t="shared" si="9"/>
        <v>1311.1580369999999</v>
      </c>
      <c r="L88" s="130">
        <f t="shared" si="9"/>
        <v>1311.1580369999999</v>
      </c>
      <c r="M88" s="130">
        <f t="shared" si="9"/>
        <v>1408.3112451449997</v>
      </c>
      <c r="N88" s="130">
        <f t="shared" si="9"/>
        <v>1412.1696321179998</v>
      </c>
      <c r="O88" s="130">
        <f t="shared" si="9"/>
        <v>1500.5183054400002</v>
      </c>
      <c r="P88" s="130">
        <f t="shared" si="9"/>
        <v>1541.9218515120001</v>
      </c>
      <c r="Q88" s="130">
        <f t="shared" si="9"/>
        <v>1605.11689562175</v>
      </c>
      <c r="R88" s="130">
        <f t="shared" si="9"/>
        <v>1609.5144761577001</v>
      </c>
      <c r="S88" s="130">
        <f t="shared" si="9"/>
        <v>1714.5027708180751</v>
      </c>
      <c r="T88" s="130">
        <f t="shared" si="9"/>
        <v>1751.7275367180755</v>
      </c>
      <c r="U88" s="130">
        <f t="shared" si="9"/>
        <v>1818.0823330333126</v>
      </c>
      <c r="V88" s="130">
        <f t="shared" si="9"/>
        <v>1873.1270206121287</v>
      </c>
      <c r="W88" s="130">
        <f t="shared" si="9"/>
        <v>1905.8343525724786</v>
      </c>
      <c r="X88" s="130">
        <f t="shared" si="9"/>
        <v>1931.0511294724786</v>
      </c>
      <c r="Y88" s="130">
        <f t="shared" si="9"/>
        <v>2027.6036859461026</v>
      </c>
      <c r="Z88" s="130">
        <f t="shared" si="9"/>
        <v>1779.2638190377354</v>
      </c>
      <c r="AA88" s="130">
        <f t="shared" si="9"/>
        <v>865.62906221371588</v>
      </c>
      <c r="AB88" s="130">
        <f t="shared" si="9"/>
        <v>0</v>
      </c>
      <c r="AC88" s="130">
        <f t="shared" si="9"/>
        <v>0</v>
      </c>
      <c r="AD88" s="130">
        <f t="shared" si="9"/>
        <v>0</v>
      </c>
    </row>
    <row r="89" spans="1:30">
      <c r="A89" s="122">
        <v>61</v>
      </c>
      <c r="B89" s="125" t="s">
        <v>521</v>
      </c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</row>
    <row r="90" spans="1:30">
      <c r="A90" s="122">
        <v>62</v>
      </c>
      <c r="B90" s="127" t="s">
        <v>955</v>
      </c>
      <c r="C90" s="128">
        <f>Financials!E121</f>
        <v>62.67</v>
      </c>
      <c r="D90" s="128">
        <f>Financials!H121</f>
        <v>80.34</v>
      </c>
      <c r="E90" s="128">
        <f>Financials!I121</f>
        <v>100.49</v>
      </c>
      <c r="F90" s="128">
        <f>Financials!J121</f>
        <v>1.07</v>
      </c>
      <c r="G90" s="128">
        <f>Financials!K121</f>
        <v>26.08</v>
      </c>
      <c r="H90" s="128">
        <f>Financials!L121</f>
        <v>9.26</v>
      </c>
      <c r="I90" s="128">
        <f>Financials!M121</f>
        <v>175.38</v>
      </c>
      <c r="J90" s="128">
        <f>Financials!N121</f>
        <v>521.29154186425171</v>
      </c>
      <c r="K90" s="128">
        <f>Financials!O121</f>
        <v>532.20447959794933</v>
      </c>
      <c r="L90" s="128">
        <f>Financials!P121</f>
        <v>545.08935654904803</v>
      </c>
      <c r="M90" s="128">
        <f>Financials!Q121</f>
        <v>588.36979219035061</v>
      </c>
      <c r="N90" s="128">
        <f>Financials!R121</f>
        <v>604.3631348387903</v>
      </c>
      <c r="O90" s="128">
        <f>Financials!S121</f>
        <v>648.17486214922633</v>
      </c>
      <c r="P90" s="128">
        <f>Financials!T121</f>
        <v>663.50955177371202</v>
      </c>
      <c r="Q90" s="128">
        <f>Financials!U121</f>
        <v>711.83958993095735</v>
      </c>
      <c r="R90" s="128">
        <f>Financials!V121</f>
        <v>730.79627448982433</v>
      </c>
      <c r="S90" s="128">
        <f>Financials!W121</f>
        <v>779.59722564468927</v>
      </c>
      <c r="T90" s="128">
        <f>Financials!X121</f>
        <v>797.72883488597824</v>
      </c>
      <c r="U90" s="128">
        <f>Financials!Y121</f>
        <v>851.69522934011661</v>
      </c>
      <c r="V90" s="128">
        <f>Financials!Z121</f>
        <v>874.03088531659637</v>
      </c>
      <c r="W90" s="128">
        <f>Financials!AA121</f>
        <v>914.02971492537586</v>
      </c>
      <c r="X90" s="128">
        <f>Financials!AB121</f>
        <v>950.39881324296414</v>
      </c>
      <c r="Y90" s="128">
        <f>Financials!AC121</f>
        <v>972.20942487236164</v>
      </c>
      <c r="Z90" s="128">
        <f>Financials!AD121</f>
        <v>844.18527254296555</v>
      </c>
      <c r="AA90" s="128">
        <f>Financials!AE121</f>
        <v>329.36245930045709</v>
      </c>
      <c r="AB90" s="128"/>
      <c r="AC90" s="128"/>
      <c r="AD90" s="128"/>
    </row>
    <row r="91" spans="1:30">
      <c r="A91" s="122">
        <v>63</v>
      </c>
      <c r="B91" s="127" t="s">
        <v>956</v>
      </c>
      <c r="C91" s="128">
        <f>Financials!E122</f>
        <v>2.64</v>
      </c>
      <c r="D91" s="128">
        <f>Financials!H122</f>
        <v>2.02</v>
      </c>
      <c r="E91" s="128">
        <f>Financials!I122</f>
        <v>2.13</v>
      </c>
      <c r="F91" s="128">
        <f>Financials!J122</f>
        <v>0.76</v>
      </c>
      <c r="G91" s="128">
        <f>Financials!K122</f>
        <v>1.19</v>
      </c>
      <c r="H91" s="128">
        <f>Financials!L122</f>
        <v>1.41</v>
      </c>
      <c r="I91" s="128">
        <f>Financials!M122</f>
        <v>2.23</v>
      </c>
      <c r="J91" s="128">
        <f>Financials!N122</f>
        <v>8.2632782117987702</v>
      </c>
      <c r="K91" s="128">
        <f>Financials!O122</f>
        <v>8.4055149679035051</v>
      </c>
      <c r="L91" s="128">
        <f>Financials!P122</f>
        <v>8.5736252672615763</v>
      </c>
      <c r="M91" s="128">
        <f>Financials!Q122</f>
        <v>9.142602216816206</v>
      </c>
      <c r="N91" s="128">
        <f>Financials!R122</f>
        <v>9.3510034509091131</v>
      </c>
      <c r="O91" s="128">
        <f>Financials!S122</f>
        <v>9.9255269701310436</v>
      </c>
      <c r="P91" s="128">
        <f>Financials!T122</f>
        <v>10.124037509533663</v>
      </c>
      <c r="Q91" s="128">
        <f>Financials!U122</f>
        <v>10.756789853879516</v>
      </c>
      <c r="R91" s="128">
        <f>Financials!V122</f>
        <v>11.0019857212337</v>
      </c>
      <c r="S91" s="128">
        <f>Financials!W122</f>
        <v>11.639018730535298</v>
      </c>
      <c r="T91" s="128">
        <f>Financials!X122</f>
        <v>11.871799105146005</v>
      </c>
      <c r="U91" s="128">
        <f>Financials!Y122</f>
        <v>12.574974898296963</v>
      </c>
      <c r="V91" s="128">
        <f>Financials!Z122</f>
        <v>12.861615422006087</v>
      </c>
      <c r="W91" s="128">
        <f>Financials!AA122</f>
        <v>13.373737303836785</v>
      </c>
      <c r="X91" s="128">
        <f>Financials!AB122</f>
        <v>13.838910775274584</v>
      </c>
      <c r="Y91" s="128">
        <f>Financials!AC122</f>
        <v>14.115688990780077</v>
      </c>
      <c r="Z91" s="128">
        <f>Financials!AD122</f>
        <v>12.465120206871875</v>
      </c>
      <c r="AA91" s="128">
        <f>Financials!AE122</f>
        <v>5.7737963439235331</v>
      </c>
      <c r="AB91" s="128"/>
      <c r="AC91" s="128"/>
      <c r="AD91" s="128"/>
    </row>
    <row r="92" spans="1:30">
      <c r="A92" s="122">
        <v>64</v>
      </c>
      <c r="B92" s="129" t="s">
        <v>957</v>
      </c>
      <c r="C92" s="130">
        <f t="shared" ref="C92:AD92" si="10">C90+C91</f>
        <v>65.31</v>
      </c>
      <c r="D92" s="130">
        <f t="shared" si="10"/>
        <v>82.36</v>
      </c>
      <c r="E92" s="130">
        <f t="shared" si="10"/>
        <v>102.61999999999999</v>
      </c>
      <c r="F92" s="130">
        <f t="shared" si="10"/>
        <v>1.83</v>
      </c>
      <c r="G92" s="130">
        <f t="shared" si="10"/>
        <v>27.27</v>
      </c>
      <c r="H92" s="130">
        <f t="shared" si="10"/>
        <v>10.67</v>
      </c>
      <c r="I92" s="130">
        <f t="shared" si="10"/>
        <v>177.60999999999999</v>
      </c>
      <c r="J92" s="130">
        <f t="shared" si="10"/>
        <v>529.55482007605053</v>
      </c>
      <c r="K92" s="130">
        <f t="shared" si="10"/>
        <v>540.60999456585284</v>
      </c>
      <c r="L92" s="130">
        <f t="shared" si="10"/>
        <v>553.66298181630964</v>
      </c>
      <c r="M92" s="130">
        <f t="shared" si="10"/>
        <v>597.51239440716677</v>
      </c>
      <c r="N92" s="130">
        <f t="shared" si="10"/>
        <v>613.71413828969946</v>
      </c>
      <c r="O92" s="130">
        <f t="shared" si="10"/>
        <v>658.10038911935737</v>
      </c>
      <c r="P92" s="130">
        <f t="shared" si="10"/>
        <v>673.63358928324567</v>
      </c>
      <c r="Q92" s="130">
        <f t="shared" si="10"/>
        <v>722.59637978483681</v>
      </c>
      <c r="R92" s="130">
        <f t="shared" si="10"/>
        <v>741.79826021105805</v>
      </c>
      <c r="S92" s="130">
        <f t="shared" si="10"/>
        <v>791.2362443752246</v>
      </c>
      <c r="T92" s="130">
        <f t="shared" si="10"/>
        <v>809.60063399112425</v>
      </c>
      <c r="U92" s="130">
        <f t="shared" si="10"/>
        <v>864.27020423841361</v>
      </c>
      <c r="V92" s="130">
        <f t="shared" si="10"/>
        <v>886.89250073860251</v>
      </c>
      <c r="W92" s="130">
        <f t="shared" si="10"/>
        <v>927.40345222921269</v>
      </c>
      <c r="X92" s="130">
        <f t="shared" si="10"/>
        <v>964.23772401823874</v>
      </c>
      <c r="Y92" s="130">
        <f t="shared" si="10"/>
        <v>986.32511386314172</v>
      </c>
      <c r="Z92" s="130">
        <f t="shared" si="10"/>
        <v>856.65039274983747</v>
      </c>
      <c r="AA92" s="130">
        <f t="shared" si="10"/>
        <v>335.13625564438064</v>
      </c>
      <c r="AB92" s="130">
        <f t="shared" si="10"/>
        <v>0</v>
      </c>
      <c r="AC92" s="130">
        <f t="shared" si="10"/>
        <v>0</v>
      </c>
      <c r="AD92" s="130">
        <f t="shared" si="10"/>
        <v>0</v>
      </c>
    </row>
    <row r="93" spans="1:30" s="119" customFormat="1">
      <c r="A93" s="122">
        <v>65</v>
      </c>
      <c r="B93" s="135" t="s">
        <v>958</v>
      </c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</row>
    <row r="94" spans="1:30" s="119" customFormat="1">
      <c r="A94" s="122">
        <v>66</v>
      </c>
      <c r="B94" s="135" t="s">
        <v>959</v>
      </c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</row>
    <row r="95" spans="1:30">
      <c r="A95" s="122">
        <v>67</v>
      </c>
      <c r="B95" s="127" t="s">
        <v>960</v>
      </c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</row>
    <row r="96" spans="1:30">
      <c r="A96" s="122">
        <v>68</v>
      </c>
      <c r="B96" s="127" t="s">
        <v>961</v>
      </c>
      <c r="C96" s="128">
        <f>Financials!E125+Financials!E126</f>
        <v>22.1981</v>
      </c>
      <c r="D96" s="128">
        <f>Financials!H125+Financials!H126</f>
        <v>8.9</v>
      </c>
      <c r="E96" s="128">
        <f>Financials!I125+Financials!I126</f>
        <v>8.15</v>
      </c>
      <c r="F96" s="128">
        <f>Financials!J125+Financials!J126</f>
        <v>12.48</v>
      </c>
      <c r="G96" s="128">
        <f>Financials!K125+Financials!K126</f>
        <v>9.58</v>
      </c>
      <c r="H96" s="128">
        <f>Financials!L125+Financials!L126</f>
        <v>12.1</v>
      </c>
      <c r="I96" s="128">
        <f>Financials!M125+Financials!M126</f>
        <v>9.8699999999999992</v>
      </c>
      <c r="J96" s="128">
        <f>Financials!N125+Financials!N126</f>
        <v>17.42323378244128</v>
      </c>
      <c r="K96" s="128">
        <f>Financials!O125+Financials!O126</f>
        <v>18.635575795914519</v>
      </c>
      <c r="L96" s="128">
        <f>Financials!P125+Financials!P126</f>
        <v>19.884288069791957</v>
      </c>
      <c r="M96" s="128">
        <f>Financials!Q125+Financials!Q126</f>
        <v>21.170461711885721</v>
      </c>
      <c r="N96" s="128">
        <f>Financials!R125+Financials!R126</f>
        <v>22.495220563242295</v>
      </c>
      <c r="O96" s="128">
        <f>Financials!S125+Financials!S126</f>
        <v>23.859722180139563</v>
      </c>
      <c r="P96" s="128">
        <f>Financials!T125+Financials!T126</f>
        <v>25.265158845543755</v>
      </c>
      <c r="Q96" s="128">
        <f>Financials!U125+Financials!U126</f>
        <v>26.712758610910072</v>
      </c>
      <c r="R96" s="128">
        <f>Financials!V125+Financials!V126</f>
        <v>28.203786369237374</v>
      </c>
      <c r="S96" s="128">
        <f>Financials!W125+Financials!W126</f>
        <v>29.739544960314497</v>
      </c>
      <c r="T96" s="128">
        <f>Financials!X125+Financials!X126</f>
        <v>31.321376309123941</v>
      </c>
      <c r="U96" s="128">
        <f>Financials!Y125+Financials!Y126</f>
        <v>32.950662598397663</v>
      </c>
      <c r="V96" s="128">
        <f>Financials!Z125+Financials!Z126</f>
        <v>34.628827476349592</v>
      </c>
      <c r="W96" s="128">
        <f>Financials!AA125+Financials!AA126</f>
        <v>36.357337300640083</v>
      </c>
      <c r="X96" s="128">
        <f>Financials!AB125+Financials!AB126</f>
        <v>38.137702419659284</v>
      </c>
      <c r="Y96" s="128">
        <f>Financials!AC125+Financials!AC126</f>
        <v>39.971478492249062</v>
      </c>
      <c r="Z96" s="128">
        <f>Financials!AD125+Financials!AD126</f>
        <v>33.001192093781121</v>
      </c>
      <c r="AA96" s="128">
        <f>Financials!AE125+Financials!AE126</f>
        <v>3.2718959724975623</v>
      </c>
      <c r="AB96" s="128"/>
      <c r="AC96" s="128"/>
      <c r="AD96" s="128"/>
    </row>
    <row r="97" spans="1:30">
      <c r="A97" s="122">
        <v>69</v>
      </c>
      <c r="B97" s="129" t="s">
        <v>962</v>
      </c>
      <c r="C97" s="130">
        <f t="shared" ref="C97:AD97" si="11">C95+C96</f>
        <v>22.1981</v>
      </c>
      <c r="D97" s="130">
        <f t="shared" si="11"/>
        <v>8.9</v>
      </c>
      <c r="E97" s="130">
        <f t="shared" si="11"/>
        <v>8.15</v>
      </c>
      <c r="F97" s="130">
        <f t="shared" si="11"/>
        <v>12.48</v>
      </c>
      <c r="G97" s="130">
        <f t="shared" si="11"/>
        <v>9.58</v>
      </c>
      <c r="H97" s="130">
        <f t="shared" si="11"/>
        <v>12.1</v>
      </c>
      <c r="I97" s="130">
        <f t="shared" si="11"/>
        <v>9.8699999999999992</v>
      </c>
      <c r="J97" s="130">
        <f t="shared" si="11"/>
        <v>17.42323378244128</v>
      </c>
      <c r="K97" s="130">
        <f t="shared" si="11"/>
        <v>18.635575795914519</v>
      </c>
      <c r="L97" s="130">
        <f t="shared" si="11"/>
        <v>19.884288069791957</v>
      </c>
      <c r="M97" s="130">
        <f t="shared" si="11"/>
        <v>21.170461711885721</v>
      </c>
      <c r="N97" s="130">
        <f t="shared" si="11"/>
        <v>22.495220563242295</v>
      </c>
      <c r="O97" s="130">
        <f t="shared" si="11"/>
        <v>23.859722180139563</v>
      </c>
      <c r="P97" s="130">
        <f t="shared" si="11"/>
        <v>25.265158845543755</v>
      </c>
      <c r="Q97" s="130">
        <f t="shared" si="11"/>
        <v>26.712758610910072</v>
      </c>
      <c r="R97" s="130">
        <f t="shared" si="11"/>
        <v>28.203786369237374</v>
      </c>
      <c r="S97" s="130">
        <f t="shared" si="11"/>
        <v>29.739544960314497</v>
      </c>
      <c r="T97" s="130">
        <f t="shared" si="11"/>
        <v>31.321376309123941</v>
      </c>
      <c r="U97" s="130">
        <f t="shared" si="11"/>
        <v>32.950662598397663</v>
      </c>
      <c r="V97" s="130">
        <f t="shared" si="11"/>
        <v>34.628827476349592</v>
      </c>
      <c r="W97" s="130">
        <f t="shared" si="11"/>
        <v>36.357337300640083</v>
      </c>
      <c r="X97" s="130">
        <f t="shared" si="11"/>
        <v>38.137702419659284</v>
      </c>
      <c r="Y97" s="130">
        <f t="shared" si="11"/>
        <v>39.971478492249062</v>
      </c>
      <c r="Z97" s="130">
        <f t="shared" si="11"/>
        <v>33.001192093781121</v>
      </c>
      <c r="AA97" s="130">
        <f t="shared" si="11"/>
        <v>3.2718959724975623</v>
      </c>
      <c r="AB97" s="130">
        <f t="shared" si="11"/>
        <v>0</v>
      </c>
      <c r="AC97" s="130">
        <f t="shared" si="11"/>
        <v>0</v>
      </c>
      <c r="AD97" s="130">
        <f t="shared" si="11"/>
        <v>0</v>
      </c>
    </row>
    <row r="98" spans="1:30">
      <c r="A98" s="122">
        <v>70</v>
      </c>
      <c r="B98" s="129" t="s">
        <v>963</v>
      </c>
      <c r="C98" s="130">
        <f t="shared" ref="C98:AD98" si="12">C92+C93+C94+C97</f>
        <v>87.508099999999999</v>
      </c>
      <c r="D98" s="130">
        <f t="shared" si="12"/>
        <v>91.26</v>
      </c>
      <c r="E98" s="130">
        <f t="shared" si="12"/>
        <v>110.77</v>
      </c>
      <c r="F98" s="130">
        <f t="shared" si="12"/>
        <v>14.31</v>
      </c>
      <c r="G98" s="130">
        <f t="shared" si="12"/>
        <v>36.85</v>
      </c>
      <c r="H98" s="130">
        <f t="shared" si="12"/>
        <v>22.77</v>
      </c>
      <c r="I98" s="130">
        <f t="shared" si="12"/>
        <v>187.48</v>
      </c>
      <c r="J98" s="130">
        <f t="shared" si="12"/>
        <v>546.97805385849176</v>
      </c>
      <c r="K98" s="130">
        <f t="shared" si="12"/>
        <v>559.24557036176736</v>
      </c>
      <c r="L98" s="130">
        <f t="shared" si="12"/>
        <v>573.54726988610162</v>
      </c>
      <c r="M98" s="130">
        <f t="shared" si="12"/>
        <v>618.68285611905253</v>
      </c>
      <c r="N98" s="130">
        <f t="shared" si="12"/>
        <v>636.2093588529417</v>
      </c>
      <c r="O98" s="130">
        <f t="shared" si="12"/>
        <v>681.96011129949693</v>
      </c>
      <c r="P98" s="130">
        <f t="shared" si="12"/>
        <v>698.89874812878941</v>
      </c>
      <c r="Q98" s="130">
        <f t="shared" si="12"/>
        <v>749.30913839574691</v>
      </c>
      <c r="R98" s="130">
        <f t="shared" si="12"/>
        <v>770.00204658029543</v>
      </c>
      <c r="S98" s="130">
        <f t="shared" si="12"/>
        <v>820.97578933553905</v>
      </c>
      <c r="T98" s="130">
        <f t="shared" si="12"/>
        <v>840.92201030024819</v>
      </c>
      <c r="U98" s="130">
        <f t="shared" si="12"/>
        <v>897.2208668368113</v>
      </c>
      <c r="V98" s="130">
        <f t="shared" si="12"/>
        <v>921.52132821495206</v>
      </c>
      <c r="W98" s="130">
        <f t="shared" si="12"/>
        <v>963.76078952985279</v>
      </c>
      <c r="X98" s="130">
        <f t="shared" si="12"/>
        <v>1002.375426437898</v>
      </c>
      <c r="Y98" s="130">
        <f t="shared" si="12"/>
        <v>1026.2965923553909</v>
      </c>
      <c r="Z98" s="130">
        <f t="shared" si="12"/>
        <v>889.65158484361859</v>
      </c>
      <c r="AA98" s="130">
        <f t="shared" si="12"/>
        <v>338.40815161687823</v>
      </c>
      <c r="AB98" s="130">
        <f t="shared" si="12"/>
        <v>0</v>
      </c>
      <c r="AC98" s="130">
        <f t="shared" si="12"/>
        <v>0</v>
      </c>
      <c r="AD98" s="130">
        <f t="shared" si="12"/>
        <v>0</v>
      </c>
    </row>
    <row r="99" spans="1:30">
      <c r="A99" s="122">
        <v>71</v>
      </c>
      <c r="B99" s="127" t="s">
        <v>964</v>
      </c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</row>
    <row r="100" spans="1:30">
      <c r="A100" s="122">
        <v>72</v>
      </c>
      <c r="B100" s="127" t="s">
        <v>965</v>
      </c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</row>
    <row r="101" spans="1:30">
      <c r="A101" s="122">
        <v>73</v>
      </c>
      <c r="B101" s="125" t="s">
        <v>966</v>
      </c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</row>
    <row r="102" spans="1:30">
      <c r="A102" s="122">
        <v>74</v>
      </c>
      <c r="B102" s="127" t="s">
        <v>967</v>
      </c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</row>
    <row r="103" spans="1:30">
      <c r="A103" s="122">
        <v>75</v>
      </c>
      <c r="B103" s="127" t="s">
        <v>968</v>
      </c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</row>
    <row r="104" spans="1:30">
      <c r="A104" s="122">
        <v>76</v>
      </c>
      <c r="B104" s="127" t="s">
        <v>969</v>
      </c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</row>
    <row r="105" spans="1:30">
      <c r="A105" s="122">
        <v>77</v>
      </c>
      <c r="B105" s="127" t="s">
        <v>930</v>
      </c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</row>
    <row r="106" spans="1:30">
      <c r="A106" s="122" t="s">
        <v>970</v>
      </c>
      <c r="B106" s="132" t="s">
        <v>971</v>
      </c>
      <c r="C106" s="128" t="e">
        <f>Financials!#REF!</f>
        <v>#REF!</v>
      </c>
      <c r="D106" s="128" t="e">
        <f>Financials!#REF!</f>
        <v>#REF!</v>
      </c>
      <c r="E106" s="128" t="e">
        <f>Financials!#REF!</f>
        <v>#REF!</v>
      </c>
      <c r="F106" s="128" t="e">
        <f>Financials!#REF!</f>
        <v>#REF!</v>
      </c>
      <c r="G106" s="128" t="e">
        <f>Financials!#REF!</f>
        <v>#REF!</v>
      </c>
      <c r="H106" s="128" t="e">
        <f>Financials!#REF!</f>
        <v>#REF!</v>
      </c>
      <c r="I106" s="128" t="e">
        <f>Financials!#REF!</f>
        <v>#REF!</v>
      </c>
      <c r="J106" s="128" t="e">
        <f>Financials!#REF!</f>
        <v>#REF!</v>
      </c>
      <c r="K106" s="128" t="e">
        <f>Financials!#REF!</f>
        <v>#REF!</v>
      </c>
      <c r="L106" s="128" t="e">
        <f>Financials!#REF!</f>
        <v>#REF!</v>
      </c>
      <c r="M106" s="128" t="e">
        <f>Financials!#REF!</f>
        <v>#REF!</v>
      </c>
      <c r="N106" s="128" t="e">
        <f>Financials!#REF!</f>
        <v>#REF!</v>
      </c>
      <c r="O106" s="128" t="e">
        <f>Financials!#REF!</f>
        <v>#REF!</v>
      </c>
      <c r="P106" s="128" t="e">
        <f>Financials!#REF!</f>
        <v>#REF!</v>
      </c>
      <c r="Q106" s="128" t="e">
        <f>Financials!#REF!</f>
        <v>#REF!</v>
      </c>
      <c r="R106" s="128" t="e">
        <f>Financials!#REF!</f>
        <v>#REF!</v>
      </c>
      <c r="S106" s="128" t="e">
        <f>Financials!#REF!</f>
        <v>#REF!</v>
      </c>
      <c r="T106" s="128" t="e">
        <f>Financials!#REF!</f>
        <v>#REF!</v>
      </c>
      <c r="U106" s="128" t="e">
        <f>Financials!#REF!</f>
        <v>#REF!</v>
      </c>
      <c r="V106" s="128" t="e">
        <f>Financials!#REF!</f>
        <v>#REF!</v>
      </c>
      <c r="W106" s="128" t="e">
        <f>Financials!#REF!</f>
        <v>#REF!</v>
      </c>
      <c r="X106" s="128" t="e">
        <f>Financials!#REF!</f>
        <v>#REF!</v>
      </c>
      <c r="Y106" s="128" t="e">
        <f>Financials!#REF!</f>
        <v>#REF!</v>
      </c>
      <c r="Z106" s="128" t="e">
        <f>Financials!#REF!</f>
        <v>#REF!</v>
      </c>
      <c r="AA106" s="128" t="e">
        <f>Financials!#REF!</f>
        <v>#REF!</v>
      </c>
      <c r="AB106" s="128"/>
      <c r="AC106" s="128"/>
      <c r="AD106" s="128"/>
    </row>
    <row r="107" spans="1:30">
      <c r="A107" s="122" t="s">
        <v>972</v>
      </c>
      <c r="B107" s="132" t="s">
        <v>973</v>
      </c>
      <c r="C107" s="128" t="e">
        <f>Financials!#REF!</f>
        <v>#REF!</v>
      </c>
      <c r="D107" s="128" t="e">
        <f>Financials!#REF!</f>
        <v>#REF!</v>
      </c>
      <c r="E107" s="128" t="e">
        <f>Financials!#REF!</f>
        <v>#REF!</v>
      </c>
      <c r="F107" s="128" t="e">
        <f>Financials!#REF!</f>
        <v>#REF!</v>
      </c>
      <c r="G107" s="128" t="e">
        <f>Financials!#REF!</f>
        <v>#REF!</v>
      </c>
      <c r="H107" s="128" t="e">
        <f>Financials!#REF!</f>
        <v>#REF!</v>
      </c>
      <c r="I107" s="128" t="e">
        <f>Financials!#REF!</f>
        <v>#REF!</v>
      </c>
      <c r="J107" s="128" t="e">
        <f>Financials!#REF!</f>
        <v>#REF!</v>
      </c>
      <c r="K107" s="128" t="e">
        <f>Financials!#REF!</f>
        <v>#REF!</v>
      </c>
      <c r="L107" s="128" t="e">
        <f>Financials!#REF!</f>
        <v>#REF!</v>
      </c>
      <c r="M107" s="128" t="e">
        <f>Financials!#REF!</f>
        <v>#REF!</v>
      </c>
      <c r="N107" s="128" t="e">
        <f>Financials!#REF!</f>
        <v>#REF!</v>
      </c>
      <c r="O107" s="128" t="e">
        <f>Financials!#REF!</f>
        <v>#REF!</v>
      </c>
      <c r="P107" s="128" t="e">
        <f>Financials!#REF!</f>
        <v>#REF!</v>
      </c>
      <c r="Q107" s="128" t="e">
        <f>Financials!#REF!</f>
        <v>#REF!</v>
      </c>
      <c r="R107" s="128" t="e">
        <f>Financials!#REF!</f>
        <v>#REF!</v>
      </c>
      <c r="S107" s="128" t="e">
        <f>Financials!#REF!</f>
        <v>#REF!</v>
      </c>
      <c r="T107" s="128" t="e">
        <f>Financials!#REF!</f>
        <v>#REF!</v>
      </c>
      <c r="U107" s="128" t="e">
        <f>Financials!#REF!</f>
        <v>#REF!</v>
      </c>
      <c r="V107" s="128" t="e">
        <f>Financials!#REF!</f>
        <v>#REF!</v>
      </c>
      <c r="W107" s="128" t="e">
        <f>Financials!#REF!</f>
        <v>#REF!</v>
      </c>
      <c r="X107" s="128" t="e">
        <f>Financials!#REF!</f>
        <v>#REF!</v>
      </c>
      <c r="Y107" s="128" t="e">
        <f>Financials!#REF!</f>
        <v>#REF!</v>
      </c>
      <c r="Z107" s="128" t="e">
        <f>Financials!#REF!</f>
        <v>#REF!</v>
      </c>
      <c r="AA107" s="128" t="e">
        <f>Financials!#REF!</f>
        <v>#REF!</v>
      </c>
      <c r="AB107" s="128"/>
      <c r="AC107" s="128"/>
      <c r="AD107" s="128"/>
    </row>
    <row r="108" spans="1:30">
      <c r="A108" s="122" t="s">
        <v>974</v>
      </c>
      <c r="B108" s="132" t="s">
        <v>141</v>
      </c>
      <c r="C108" s="128" t="e">
        <f>Financials!#REF!</f>
        <v>#REF!</v>
      </c>
      <c r="D108" s="128" t="e">
        <f>Financials!#REF!</f>
        <v>#REF!</v>
      </c>
      <c r="E108" s="128" t="e">
        <f>Financials!#REF!</f>
        <v>#REF!</v>
      </c>
      <c r="F108" s="128" t="e">
        <f>Financials!#REF!</f>
        <v>#REF!</v>
      </c>
      <c r="G108" s="128" t="e">
        <f>Financials!#REF!</f>
        <v>#REF!</v>
      </c>
      <c r="H108" s="128" t="e">
        <f>Financials!#REF!</f>
        <v>#REF!</v>
      </c>
      <c r="I108" s="128" t="e">
        <f>Financials!#REF!</f>
        <v>#REF!</v>
      </c>
      <c r="J108" s="128" t="e">
        <f>Financials!#REF!</f>
        <v>#REF!</v>
      </c>
      <c r="K108" s="128" t="e">
        <f>Financials!#REF!</f>
        <v>#REF!</v>
      </c>
      <c r="L108" s="128" t="e">
        <f>Financials!#REF!</f>
        <v>#REF!</v>
      </c>
      <c r="M108" s="128" t="e">
        <f>Financials!#REF!</f>
        <v>#REF!</v>
      </c>
      <c r="N108" s="128" t="e">
        <f>Financials!#REF!</f>
        <v>#REF!</v>
      </c>
      <c r="O108" s="128" t="e">
        <f>Financials!#REF!</f>
        <v>#REF!</v>
      </c>
      <c r="P108" s="128" t="e">
        <f>Financials!#REF!</f>
        <v>#REF!</v>
      </c>
      <c r="Q108" s="128" t="e">
        <f>Financials!#REF!</f>
        <v>#REF!</v>
      </c>
      <c r="R108" s="128" t="e">
        <f>Financials!#REF!</f>
        <v>#REF!</v>
      </c>
      <c r="S108" s="128" t="e">
        <f>Financials!#REF!</f>
        <v>#REF!</v>
      </c>
      <c r="T108" s="128" t="e">
        <f>Financials!#REF!</f>
        <v>#REF!</v>
      </c>
      <c r="U108" s="128" t="e">
        <f>Financials!#REF!</f>
        <v>#REF!</v>
      </c>
      <c r="V108" s="128" t="e">
        <f>Financials!#REF!</f>
        <v>#REF!</v>
      </c>
      <c r="W108" s="128" t="e">
        <f>Financials!#REF!</f>
        <v>#REF!</v>
      </c>
      <c r="X108" s="128" t="e">
        <f>Financials!#REF!</f>
        <v>#REF!</v>
      </c>
      <c r="Y108" s="128" t="e">
        <f>Financials!#REF!</f>
        <v>#REF!</v>
      </c>
      <c r="Z108" s="128" t="e">
        <f>Financials!#REF!</f>
        <v>#REF!</v>
      </c>
      <c r="AA108" s="128" t="e">
        <f>Financials!#REF!</f>
        <v>#REF!</v>
      </c>
      <c r="AB108" s="128"/>
      <c r="AC108" s="128"/>
      <c r="AD108" s="128"/>
    </row>
    <row r="109" spans="1:30">
      <c r="A109" s="122" t="s">
        <v>975</v>
      </c>
      <c r="B109" s="132" t="s">
        <v>976</v>
      </c>
      <c r="C109" s="128">
        <f>Financials!E130</f>
        <v>1.1499999999999999</v>
      </c>
      <c r="D109" s="128">
        <f>Financials!H130</f>
        <v>4.72</v>
      </c>
      <c r="E109" s="128">
        <f>Financials!I130</f>
        <v>6.04</v>
      </c>
      <c r="F109" s="128">
        <f>Financials!J130</f>
        <v>9.7199999999999989</v>
      </c>
      <c r="G109" s="128">
        <f>Financials!K130</f>
        <v>10.09</v>
      </c>
      <c r="H109" s="128">
        <f>Financials!L130</f>
        <v>34.04</v>
      </c>
      <c r="I109" s="128">
        <f>Financials!M130</f>
        <v>18.36</v>
      </c>
      <c r="J109" s="128">
        <f>Financials!N130</f>
        <v>18.36</v>
      </c>
      <c r="K109" s="128">
        <f>Financials!O130</f>
        <v>18.36</v>
      </c>
      <c r="L109" s="128">
        <f>Financials!P130</f>
        <v>18.36</v>
      </c>
      <c r="M109" s="128">
        <f>Financials!Q130</f>
        <v>18.36</v>
      </c>
      <c r="N109" s="128">
        <f>Financials!R130</f>
        <v>18.36</v>
      </c>
      <c r="O109" s="128">
        <f>Financials!S130</f>
        <v>18.36</v>
      </c>
      <c r="P109" s="128">
        <f>Financials!T130</f>
        <v>18.36</v>
      </c>
      <c r="Q109" s="128">
        <f>Financials!U130</f>
        <v>18.36</v>
      </c>
      <c r="R109" s="128">
        <f>Financials!V130</f>
        <v>18.36</v>
      </c>
      <c r="S109" s="128">
        <f>Financials!W130</f>
        <v>18.36</v>
      </c>
      <c r="T109" s="128">
        <f>Financials!X130</f>
        <v>18.36</v>
      </c>
      <c r="U109" s="128">
        <f>Financials!Y130</f>
        <v>18.36</v>
      </c>
      <c r="V109" s="128">
        <f>Financials!Z130</f>
        <v>18.36</v>
      </c>
      <c r="W109" s="128">
        <f>Financials!AA130</f>
        <v>18.36</v>
      </c>
      <c r="X109" s="128">
        <f>Financials!AB130</f>
        <v>18.36</v>
      </c>
      <c r="Y109" s="128">
        <f>Financials!AC130</f>
        <v>18.36</v>
      </c>
      <c r="Z109" s="128">
        <f>Financials!AD130</f>
        <v>18.36</v>
      </c>
      <c r="AA109" s="128">
        <f>Financials!AE130</f>
        <v>18.36</v>
      </c>
      <c r="AB109" s="128"/>
      <c r="AC109" s="128"/>
      <c r="AD109" s="128"/>
    </row>
    <row r="110" spans="1:30">
      <c r="A110" s="122" t="s">
        <v>977</v>
      </c>
      <c r="B110" s="132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</row>
    <row r="111" spans="1:30">
      <c r="A111" s="122">
        <v>78</v>
      </c>
      <c r="B111" s="129" t="s">
        <v>978</v>
      </c>
      <c r="C111" s="130" t="e">
        <f t="shared" ref="C111:AD111" si="13">C102+C103+C104+SUM(C106:C110)</f>
        <v>#REF!</v>
      </c>
      <c r="D111" s="130" t="e">
        <f t="shared" si="13"/>
        <v>#REF!</v>
      </c>
      <c r="E111" s="130" t="e">
        <f t="shared" si="13"/>
        <v>#REF!</v>
      </c>
      <c r="F111" s="130" t="e">
        <f t="shared" si="13"/>
        <v>#REF!</v>
      </c>
      <c r="G111" s="130" t="e">
        <f t="shared" si="13"/>
        <v>#REF!</v>
      </c>
      <c r="H111" s="130" t="e">
        <f t="shared" si="13"/>
        <v>#REF!</v>
      </c>
      <c r="I111" s="130" t="e">
        <f t="shared" si="13"/>
        <v>#REF!</v>
      </c>
      <c r="J111" s="130" t="e">
        <f t="shared" si="13"/>
        <v>#REF!</v>
      </c>
      <c r="K111" s="130" t="e">
        <f t="shared" si="13"/>
        <v>#REF!</v>
      </c>
      <c r="L111" s="130" t="e">
        <f t="shared" si="13"/>
        <v>#REF!</v>
      </c>
      <c r="M111" s="130" t="e">
        <f t="shared" si="13"/>
        <v>#REF!</v>
      </c>
      <c r="N111" s="130" t="e">
        <f t="shared" si="13"/>
        <v>#REF!</v>
      </c>
      <c r="O111" s="130" t="e">
        <f t="shared" si="13"/>
        <v>#REF!</v>
      </c>
      <c r="P111" s="130" t="e">
        <f t="shared" si="13"/>
        <v>#REF!</v>
      </c>
      <c r="Q111" s="130" t="e">
        <f t="shared" si="13"/>
        <v>#REF!</v>
      </c>
      <c r="R111" s="130" t="e">
        <f t="shared" si="13"/>
        <v>#REF!</v>
      </c>
      <c r="S111" s="130" t="e">
        <f t="shared" si="13"/>
        <v>#REF!</v>
      </c>
      <c r="T111" s="130" t="e">
        <f t="shared" si="13"/>
        <v>#REF!</v>
      </c>
      <c r="U111" s="130" t="e">
        <f t="shared" si="13"/>
        <v>#REF!</v>
      </c>
      <c r="V111" s="130" t="e">
        <f t="shared" si="13"/>
        <v>#REF!</v>
      </c>
      <c r="W111" s="130" t="e">
        <f t="shared" si="13"/>
        <v>#REF!</v>
      </c>
      <c r="X111" s="130" t="e">
        <f t="shared" si="13"/>
        <v>#REF!</v>
      </c>
      <c r="Y111" s="130" t="e">
        <f t="shared" si="13"/>
        <v>#REF!</v>
      </c>
      <c r="Z111" s="130" t="e">
        <f t="shared" si="13"/>
        <v>#REF!</v>
      </c>
      <c r="AA111" s="130" t="e">
        <f t="shared" si="13"/>
        <v>#REF!</v>
      </c>
      <c r="AB111" s="130">
        <f t="shared" si="13"/>
        <v>0</v>
      </c>
      <c r="AC111" s="130">
        <f t="shared" si="13"/>
        <v>0</v>
      </c>
      <c r="AD111" s="130">
        <f t="shared" si="13"/>
        <v>0</v>
      </c>
    </row>
    <row r="112" spans="1:30">
      <c r="A112" s="122">
        <v>79</v>
      </c>
      <c r="B112" s="129" t="s">
        <v>538</v>
      </c>
      <c r="C112" s="130" t="e">
        <f t="shared" ref="C112:AD112" si="14">C72+C82+C88+C98+C99+C100+C111</f>
        <v>#REF!</v>
      </c>
      <c r="D112" s="130" t="e">
        <f t="shared" si="14"/>
        <v>#REF!</v>
      </c>
      <c r="E112" s="130" t="e">
        <f t="shared" si="14"/>
        <v>#REF!</v>
      </c>
      <c r="F112" s="130" t="e">
        <f t="shared" si="14"/>
        <v>#REF!</v>
      </c>
      <c r="G112" s="130" t="e">
        <f t="shared" si="14"/>
        <v>#REF!</v>
      </c>
      <c r="H112" s="130" t="e">
        <f t="shared" si="14"/>
        <v>#REF!</v>
      </c>
      <c r="I112" s="130" t="e">
        <f t="shared" si="14"/>
        <v>#REF!</v>
      </c>
      <c r="J112" s="130" t="e">
        <f t="shared" ca="1" si="14"/>
        <v>#DIV/0!</v>
      </c>
      <c r="K112" s="130" t="e">
        <f t="shared" ca="1" si="14"/>
        <v>#DIV/0!</v>
      </c>
      <c r="L112" s="130" t="e">
        <f t="shared" ca="1" si="14"/>
        <v>#DIV/0!</v>
      </c>
      <c r="M112" s="130" t="e">
        <f t="shared" ca="1" si="14"/>
        <v>#DIV/0!</v>
      </c>
      <c r="N112" s="130" t="e">
        <f t="shared" ca="1" si="14"/>
        <v>#DIV/0!</v>
      </c>
      <c r="O112" s="130" t="e">
        <f t="shared" ca="1" si="14"/>
        <v>#DIV/0!</v>
      </c>
      <c r="P112" s="130" t="e">
        <f t="shared" ca="1" si="14"/>
        <v>#DIV/0!</v>
      </c>
      <c r="Q112" s="130" t="e">
        <f t="shared" ca="1" si="14"/>
        <v>#DIV/0!</v>
      </c>
      <c r="R112" s="130" t="e">
        <f t="shared" ca="1" si="14"/>
        <v>#DIV/0!</v>
      </c>
      <c r="S112" s="130" t="e">
        <f t="shared" ca="1" si="14"/>
        <v>#DIV/0!</v>
      </c>
      <c r="T112" s="130" t="e">
        <f t="shared" ca="1" si="14"/>
        <v>#DIV/0!</v>
      </c>
      <c r="U112" s="130" t="e">
        <f t="shared" ca="1" si="14"/>
        <v>#DIV/0!</v>
      </c>
      <c r="V112" s="130" t="e">
        <f t="shared" ca="1" si="14"/>
        <v>#DIV/0!</v>
      </c>
      <c r="W112" s="130" t="e">
        <f t="shared" ca="1" si="14"/>
        <v>#DIV/0!</v>
      </c>
      <c r="X112" s="130" t="e">
        <f t="shared" ca="1" si="14"/>
        <v>#DIV/0!</v>
      </c>
      <c r="Y112" s="130" t="e">
        <f t="shared" ca="1" si="14"/>
        <v>#DIV/0!</v>
      </c>
      <c r="Z112" s="130" t="e">
        <f t="shared" ca="1" si="14"/>
        <v>#DIV/0!</v>
      </c>
      <c r="AA112" s="130" t="e">
        <f t="shared" ca="1" si="14"/>
        <v>#DIV/0!</v>
      </c>
      <c r="AB112" s="130">
        <f t="shared" si="14"/>
        <v>0</v>
      </c>
      <c r="AC112" s="130">
        <f t="shared" si="14"/>
        <v>0</v>
      </c>
      <c r="AD112" s="130">
        <f t="shared" si="14"/>
        <v>0</v>
      </c>
    </row>
    <row r="113" spans="1:30">
      <c r="A113" s="122">
        <v>80</v>
      </c>
      <c r="B113" s="123" t="s">
        <v>979</v>
      </c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</row>
    <row r="114" spans="1:30">
      <c r="A114" s="122">
        <v>81</v>
      </c>
      <c r="B114" s="127" t="s">
        <v>980</v>
      </c>
      <c r="C114" s="128">
        <f>Financials!E113</f>
        <v>7810.68</v>
      </c>
      <c r="D114" s="128">
        <f>Financials!H113</f>
        <v>8136.45</v>
      </c>
      <c r="E114" s="128">
        <f>Financials!I113</f>
        <v>8136.64</v>
      </c>
      <c r="F114" s="128">
        <f>Financials!J113</f>
        <v>8137.16</v>
      </c>
      <c r="G114" s="128">
        <f>Financials!K113</f>
        <v>8136.93</v>
      </c>
      <c r="H114" s="128">
        <f>Financials!L113</f>
        <v>8137.1</v>
      </c>
      <c r="I114" s="128">
        <f>Financials!M113</f>
        <v>8137.98</v>
      </c>
      <c r="J114" s="128">
        <f>Financials!N113</f>
        <v>8137.98</v>
      </c>
      <c r="K114" s="128">
        <f>Financials!O113</f>
        <v>8137.98</v>
      </c>
      <c r="L114" s="128">
        <f>Financials!P113</f>
        <v>8137.98</v>
      </c>
      <c r="M114" s="128">
        <f>Financials!Q113</f>
        <v>8137.98</v>
      </c>
      <c r="N114" s="128">
        <f>Financials!R113</f>
        <v>8137.98</v>
      </c>
      <c r="O114" s="128">
        <f>Financials!S113</f>
        <v>8137.98</v>
      </c>
      <c r="P114" s="128">
        <f>Financials!T113</f>
        <v>8137.98</v>
      </c>
      <c r="Q114" s="128">
        <f>Financials!U113</f>
        <v>8137.98</v>
      </c>
      <c r="R114" s="128">
        <f>Financials!V113</f>
        <v>8137.98</v>
      </c>
      <c r="S114" s="128">
        <f>Financials!W113</f>
        <v>8137.98</v>
      </c>
      <c r="T114" s="128">
        <f>Financials!X113</f>
        <v>8137.98</v>
      </c>
      <c r="U114" s="128">
        <f>Financials!Y113</f>
        <v>8137.98</v>
      </c>
      <c r="V114" s="128">
        <f>Financials!Z113</f>
        <v>8137.98</v>
      </c>
      <c r="W114" s="128">
        <f>Financials!AA113</f>
        <v>8137.98</v>
      </c>
      <c r="X114" s="128">
        <f>Financials!AB113</f>
        <v>8137.98</v>
      </c>
      <c r="Y114" s="128">
        <f>Financials!AC113</f>
        <v>8137.98</v>
      </c>
      <c r="Z114" s="128">
        <f>Financials!AD113</f>
        <v>8137.98</v>
      </c>
      <c r="AA114" s="128">
        <f>Financials!AE113</f>
        <v>8137.98</v>
      </c>
      <c r="AB114" s="128"/>
      <c r="AC114" s="128"/>
      <c r="AD114" s="128"/>
    </row>
    <row r="115" spans="1:30">
      <c r="A115" s="122">
        <v>82</v>
      </c>
      <c r="B115" s="127" t="s">
        <v>981</v>
      </c>
      <c r="C115" s="128">
        <f>Financials!E117</f>
        <v>0</v>
      </c>
      <c r="D115" s="128">
        <f>Financials!H117</f>
        <v>0.08</v>
      </c>
      <c r="E115" s="128">
        <f>Financials!I117</f>
        <v>0.09</v>
      </c>
      <c r="F115" s="128">
        <f>Financials!J117</f>
        <v>0.09</v>
      </c>
      <c r="G115" s="128">
        <f>Financials!K117</f>
        <v>0.19</v>
      </c>
      <c r="H115" s="128">
        <f>Financials!L117</f>
        <v>0.09</v>
      </c>
      <c r="I115" s="128">
        <f>Financials!M117</f>
        <v>0.09</v>
      </c>
      <c r="J115" s="128">
        <f>Financials!N117</f>
        <v>0.09</v>
      </c>
      <c r="K115" s="128">
        <f>Financials!O117</f>
        <v>0.09</v>
      </c>
      <c r="L115" s="128">
        <f>Financials!P117</f>
        <v>0.09</v>
      </c>
      <c r="M115" s="128">
        <f>Financials!Q117</f>
        <v>0.09</v>
      </c>
      <c r="N115" s="128">
        <f>Financials!R117</f>
        <v>0.09</v>
      </c>
      <c r="O115" s="128">
        <f>Financials!S117</f>
        <v>0.09</v>
      </c>
      <c r="P115" s="128">
        <f>Financials!T117</f>
        <v>0.09</v>
      </c>
      <c r="Q115" s="128">
        <f>Financials!U117</f>
        <v>0.09</v>
      </c>
      <c r="R115" s="128">
        <f>Financials!V117</f>
        <v>0.09</v>
      </c>
      <c r="S115" s="128">
        <f>Financials!W117</f>
        <v>0.09</v>
      </c>
      <c r="T115" s="128">
        <f>Financials!X117</f>
        <v>0.09</v>
      </c>
      <c r="U115" s="128">
        <f>Financials!Y117</f>
        <v>0.09</v>
      </c>
      <c r="V115" s="128">
        <f>Financials!Z117</f>
        <v>0.09</v>
      </c>
      <c r="W115" s="128">
        <f>Financials!AA117</f>
        <v>0.09</v>
      </c>
      <c r="X115" s="128">
        <f>Financials!AB117</f>
        <v>0.09</v>
      </c>
      <c r="Y115" s="128">
        <f>Financials!AC117</f>
        <v>0.09</v>
      </c>
      <c r="Z115" s="128">
        <f>Financials!AD117</f>
        <v>0.09</v>
      </c>
      <c r="AA115" s="128">
        <f>Financials!AE117</f>
        <v>0.09</v>
      </c>
      <c r="AB115" s="128"/>
      <c r="AC115" s="128"/>
      <c r="AD115" s="128"/>
    </row>
    <row r="116" spans="1:30">
      <c r="A116" s="122">
        <v>83</v>
      </c>
      <c r="B116" s="127" t="s">
        <v>982</v>
      </c>
      <c r="C116" s="128" t="e">
        <f>Financials!#REF!</f>
        <v>#REF!</v>
      </c>
      <c r="D116" s="128">
        <f>Financials!H114</f>
        <v>559.17999999999995</v>
      </c>
      <c r="E116" s="128">
        <f>Financials!I114</f>
        <v>760.63</v>
      </c>
      <c r="F116" s="128">
        <f>Financials!J114</f>
        <v>961.26</v>
      </c>
      <c r="G116" s="128">
        <f>Financials!K114</f>
        <v>1160.8699999999999</v>
      </c>
      <c r="H116" s="128">
        <f>Financials!L114</f>
        <v>1360.34</v>
      </c>
      <c r="I116" s="128">
        <f>Financials!M114</f>
        <v>1559.42</v>
      </c>
      <c r="J116" s="128">
        <f>Financials!N114</f>
        <v>1853.1899300821919</v>
      </c>
      <c r="K116" s="128">
        <f>Financials!O114</f>
        <v>2146.1572100821918</v>
      </c>
      <c r="L116" s="128">
        <f>Financials!P114</f>
        <v>2439.1244900821916</v>
      </c>
      <c r="M116" s="128">
        <f>Financials!Q114</f>
        <v>2732.0917700821915</v>
      </c>
      <c r="N116" s="128">
        <f>Financials!R114</f>
        <v>3025.8617001643834</v>
      </c>
      <c r="O116" s="128">
        <f>Financials!S114</f>
        <v>3318.8289801643832</v>
      </c>
      <c r="P116" s="128">
        <f>Financials!T114</f>
        <v>3611.7962601643831</v>
      </c>
      <c r="Q116" s="128">
        <f>Financials!U114</f>
        <v>3904.7635401643829</v>
      </c>
      <c r="R116" s="128">
        <f>Financials!V114</f>
        <v>4198.5334702465743</v>
      </c>
      <c r="S116" s="128">
        <f>Financials!W114</f>
        <v>4491.5007502465742</v>
      </c>
      <c r="T116" s="128">
        <f>Financials!X114</f>
        <v>4784.468030246574</v>
      </c>
      <c r="U116" s="128">
        <f>Financials!Y114</f>
        <v>5077.4353102465739</v>
      </c>
      <c r="V116" s="128">
        <f>Financials!Z114</f>
        <v>5371.2052403287653</v>
      </c>
      <c r="W116" s="128">
        <f>Financials!AA114</f>
        <v>5664.1725203287651</v>
      </c>
      <c r="X116" s="128">
        <f>Financials!AB114</f>
        <v>5957.139800328765</v>
      </c>
      <c r="Y116" s="128">
        <f>Financials!AC114</f>
        <v>6250.1070803287648</v>
      </c>
      <c r="Z116" s="128">
        <f>Financials!AD114</f>
        <v>6543.8770104109562</v>
      </c>
      <c r="AA116" s="128">
        <f>Financials!AE114</f>
        <v>6836.8442904109561</v>
      </c>
      <c r="AB116" s="128"/>
      <c r="AC116" s="128"/>
      <c r="AD116" s="128"/>
    </row>
    <row r="117" spans="1:30" s="119" customFormat="1">
      <c r="A117" s="137">
        <v>84</v>
      </c>
      <c r="B117" s="129" t="s">
        <v>983</v>
      </c>
      <c r="C117" s="130" t="e">
        <f t="shared" ref="C117:AD117" si="15">C114+C115-C116</f>
        <v>#REF!</v>
      </c>
      <c r="D117" s="130">
        <f t="shared" si="15"/>
        <v>7577.3499999999995</v>
      </c>
      <c r="E117" s="130">
        <f t="shared" si="15"/>
        <v>7376.1</v>
      </c>
      <c r="F117" s="130">
        <f t="shared" si="15"/>
        <v>7175.99</v>
      </c>
      <c r="G117" s="130">
        <f t="shared" si="15"/>
        <v>6976.25</v>
      </c>
      <c r="H117" s="130">
        <f t="shared" si="15"/>
        <v>6776.85</v>
      </c>
      <c r="I117" s="130">
        <f t="shared" si="15"/>
        <v>6578.65</v>
      </c>
      <c r="J117" s="130">
        <f t="shared" si="15"/>
        <v>6284.8800699178082</v>
      </c>
      <c r="K117" s="130">
        <f t="shared" si="15"/>
        <v>5991.9127899178075</v>
      </c>
      <c r="L117" s="130">
        <f t="shared" si="15"/>
        <v>5698.9455099178085</v>
      </c>
      <c r="M117" s="130">
        <f t="shared" si="15"/>
        <v>5405.9782299178078</v>
      </c>
      <c r="N117" s="130">
        <f t="shared" si="15"/>
        <v>5112.2082998356163</v>
      </c>
      <c r="O117" s="130">
        <f t="shared" si="15"/>
        <v>4819.2410198356165</v>
      </c>
      <c r="P117" s="130">
        <f t="shared" si="15"/>
        <v>4526.2737398356167</v>
      </c>
      <c r="Q117" s="130">
        <f t="shared" si="15"/>
        <v>4233.3064598356168</v>
      </c>
      <c r="R117" s="130">
        <f t="shared" si="15"/>
        <v>3939.5365297534254</v>
      </c>
      <c r="S117" s="130">
        <f t="shared" si="15"/>
        <v>3646.5692497534255</v>
      </c>
      <c r="T117" s="130">
        <f t="shared" si="15"/>
        <v>3353.6019697534257</v>
      </c>
      <c r="U117" s="130">
        <f t="shared" si="15"/>
        <v>3060.6346897534258</v>
      </c>
      <c r="V117" s="130">
        <f t="shared" si="15"/>
        <v>2766.8647596712344</v>
      </c>
      <c r="W117" s="130">
        <f t="shared" si="15"/>
        <v>2473.8974796712346</v>
      </c>
      <c r="X117" s="130">
        <f t="shared" si="15"/>
        <v>2180.9301996712347</v>
      </c>
      <c r="Y117" s="130">
        <f t="shared" si="15"/>
        <v>1887.9629196712349</v>
      </c>
      <c r="Z117" s="130">
        <f t="shared" si="15"/>
        <v>1594.1929895890435</v>
      </c>
      <c r="AA117" s="130">
        <f t="shared" si="15"/>
        <v>1301.2257095890436</v>
      </c>
      <c r="AB117" s="130">
        <f t="shared" si="15"/>
        <v>0</v>
      </c>
      <c r="AC117" s="130">
        <f t="shared" si="15"/>
        <v>0</v>
      </c>
      <c r="AD117" s="130">
        <f t="shared" si="15"/>
        <v>0</v>
      </c>
    </row>
    <row r="118" spans="1:30">
      <c r="A118" s="122">
        <v>85</v>
      </c>
      <c r="B118" s="123" t="s">
        <v>984</v>
      </c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</row>
    <row r="119" spans="1:30">
      <c r="A119" s="122">
        <v>86</v>
      </c>
      <c r="B119" s="125" t="s">
        <v>985</v>
      </c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</row>
    <row r="120" spans="1:30">
      <c r="A120" s="122">
        <v>87</v>
      </c>
      <c r="B120" s="125" t="s">
        <v>986</v>
      </c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</row>
    <row r="121" spans="1:30">
      <c r="A121" s="122">
        <v>88</v>
      </c>
      <c r="B121" s="127" t="s">
        <v>987</v>
      </c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</row>
    <row r="122" spans="1:30">
      <c r="A122" s="122">
        <v>89</v>
      </c>
      <c r="B122" s="127" t="s">
        <v>942</v>
      </c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</row>
    <row r="123" spans="1:30">
      <c r="A123" s="122" t="s">
        <v>988</v>
      </c>
      <c r="B123" s="132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</row>
    <row r="124" spans="1:30">
      <c r="A124" s="122" t="s">
        <v>989</v>
      </c>
      <c r="B124" s="132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</row>
    <row r="125" spans="1:30">
      <c r="A125" s="122" t="s">
        <v>990</v>
      </c>
      <c r="B125" s="132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</row>
    <row r="126" spans="1:30">
      <c r="A126" s="122" t="s">
        <v>991</v>
      </c>
      <c r="B126" s="132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</row>
    <row r="127" spans="1:30">
      <c r="A127" s="122" t="s">
        <v>992</v>
      </c>
      <c r="B127" s="132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</row>
    <row r="128" spans="1:30" s="119" customFormat="1">
      <c r="A128" s="122">
        <v>90</v>
      </c>
      <c r="B128" s="129" t="s">
        <v>993</v>
      </c>
      <c r="C128" s="130">
        <f t="shared" ref="C128:AD128" si="16">C121+SUM(C123:C127)</f>
        <v>0</v>
      </c>
      <c r="D128" s="130">
        <f t="shared" si="16"/>
        <v>0</v>
      </c>
      <c r="E128" s="130">
        <f t="shared" si="16"/>
        <v>0</v>
      </c>
      <c r="F128" s="130">
        <f t="shared" si="16"/>
        <v>0</v>
      </c>
      <c r="G128" s="130">
        <f t="shared" si="16"/>
        <v>0</v>
      </c>
      <c r="H128" s="130">
        <f t="shared" si="16"/>
        <v>0</v>
      </c>
      <c r="I128" s="130">
        <f t="shared" si="16"/>
        <v>0</v>
      </c>
      <c r="J128" s="130">
        <f t="shared" si="16"/>
        <v>0</v>
      </c>
      <c r="K128" s="130">
        <f t="shared" si="16"/>
        <v>0</v>
      </c>
      <c r="L128" s="130">
        <f t="shared" si="16"/>
        <v>0</v>
      </c>
      <c r="M128" s="130">
        <f t="shared" si="16"/>
        <v>0</v>
      </c>
      <c r="N128" s="130">
        <f t="shared" si="16"/>
        <v>0</v>
      </c>
      <c r="O128" s="130">
        <f t="shared" si="16"/>
        <v>0</v>
      </c>
      <c r="P128" s="130">
        <f t="shared" si="16"/>
        <v>0</v>
      </c>
      <c r="Q128" s="130">
        <f t="shared" si="16"/>
        <v>0</v>
      </c>
      <c r="R128" s="130">
        <f t="shared" si="16"/>
        <v>0</v>
      </c>
      <c r="S128" s="130">
        <f t="shared" si="16"/>
        <v>0</v>
      </c>
      <c r="T128" s="130">
        <f t="shared" si="16"/>
        <v>0</v>
      </c>
      <c r="U128" s="130">
        <f t="shared" si="16"/>
        <v>0</v>
      </c>
      <c r="V128" s="130">
        <f t="shared" si="16"/>
        <v>0</v>
      </c>
      <c r="W128" s="130">
        <f t="shared" si="16"/>
        <v>0</v>
      </c>
      <c r="X128" s="130">
        <f t="shared" si="16"/>
        <v>0</v>
      </c>
      <c r="Y128" s="130">
        <f t="shared" si="16"/>
        <v>0</v>
      </c>
      <c r="Z128" s="130">
        <f t="shared" si="16"/>
        <v>0</v>
      </c>
      <c r="AA128" s="130">
        <f t="shared" si="16"/>
        <v>0</v>
      </c>
      <c r="AB128" s="130">
        <f t="shared" si="16"/>
        <v>0</v>
      </c>
      <c r="AC128" s="130">
        <f t="shared" si="16"/>
        <v>0</v>
      </c>
      <c r="AD128" s="130">
        <f t="shared" si="16"/>
        <v>0</v>
      </c>
    </row>
    <row r="129" spans="1:30" s="119" customFormat="1">
      <c r="A129" s="122">
        <v>91</v>
      </c>
      <c r="B129" s="135" t="s">
        <v>994</v>
      </c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</row>
    <row r="130" spans="1:30" s="119" customFormat="1">
      <c r="A130" s="122">
        <v>92</v>
      </c>
      <c r="B130" s="135" t="s">
        <v>995</v>
      </c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</row>
    <row r="131" spans="1:30" s="119" customFormat="1">
      <c r="A131" s="122">
        <v>93</v>
      </c>
      <c r="B131" s="125" t="s">
        <v>996</v>
      </c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</row>
    <row r="132" spans="1:30">
      <c r="A132" s="122">
        <v>94</v>
      </c>
      <c r="B132" s="127" t="s">
        <v>465</v>
      </c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</row>
    <row r="133" spans="1:30">
      <c r="A133" s="122">
        <v>95</v>
      </c>
      <c r="B133" s="127" t="s">
        <v>997</v>
      </c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</row>
    <row r="134" spans="1:30">
      <c r="A134" s="122">
        <v>96</v>
      </c>
      <c r="B134" s="127" t="s">
        <v>998</v>
      </c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</row>
    <row r="135" spans="1:30">
      <c r="A135" s="122">
        <v>97</v>
      </c>
      <c r="B135" s="127" t="s">
        <v>999</v>
      </c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</row>
    <row r="136" spans="1:30">
      <c r="A136" s="122">
        <v>98</v>
      </c>
      <c r="B136" s="127" t="s">
        <v>1000</v>
      </c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</row>
    <row r="137" spans="1:30">
      <c r="A137" s="122">
        <v>99</v>
      </c>
      <c r="B137" s="127" t="s">
        <v>930</v>
      </c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</row>
    <row r="138" spans="1:30" ht="43.2">
      <c r="A138" s="122" t="s">
        <v>1001</v>
      </c>
      <c r="B138" s="132" t="s">
        <v>1002</v>
      </c>
      <c r="C138" s="128">
        <f>Financials!E119</f>
        <v>3.8</v>
      </c>
      <c r="D138" s="128" t="str">
        <f>Financials!B119</f>
        <v>security deposits+Prepaid Expenses</v>
      </c>
      <c r="E138" s="128">
        <f>Financials!I119</f>
        <v>0.73</v>
      </c>
      <c r="F138" s="128">
        <f>Financials!J119</f>
        <v>0.64</v>
      </c>
      <c r="G138" s="128">
        <f>Financials!K119</f>
        <v>1.03</v>
      </c>
      <c r="H138" s="128">
        <f>Financials!L119</f>
        <v>1.04</v>
      </c>
      <c r="I138" s="128">
        <f>Financials!M119</f>
        <v>0.94</v>
      </c>
      <c r="J138" s="128">
        <f>Financials!N119</f>
        <v>0.94</v>
      </c>
      <c r="K138" s="128">
        <f>Financials!O119</f>
        <v>0.94</v>
      </c>
      <c r="L138" s="128">
        <f>Financials!P119</f>
        <v>0.94</v>
      </c>
      <c r="M138" s="128">
        <f>Financials!Q119</f>
        <v>0.94</v>
      </c>
      <c r="N138" s="128">
        <f>Financials!R119</f>
        <v>0.94</v>
      </c>
      <c r="O138" s="128">
        <f>Financials!S119</f>
        <v>0.94</v>
      </c>
      <c r="P138" s="128">
        <f>Financials!T119</f>
        <v>0.94</v>
      </c>
      <c r="Q138" s="128">
        <f>Financials!U119</f>
        <v>0.94</v>
      </c>
      <c r="R138" s="128">
        <f>Financials!V119</f>
        <v>0.94</v>
      </c>
      <c r="S138" s="128">
        <f>Financials!W119</f>
        <v>0.94</v>
      </c>
      <c r="T138" s="128">
        <f>Financials!X119</f>
        <v>0.94</v>
      </c>
      <c r="U138" s="128">
        <f>Financials!Y119</f>
        <v>0.94</v>
      </c>
      <c r="V138" s="128">
        <f>Financials!Z119</f>
        <v>0.94</v>
      </c>
      <c r="W138" s="128">
        <f>Financials!AA119</f>
        <v>0.94</v>
      </c>
      <c r="X138" s="128">
        <f>Financials!AB119</f>
        <v>0.94</v>
      </c>
      <c r="Y138" s="128">
        <f>Financials!AC119</f>
        <v>0.94</v>
      </c>
      <c r="Z138" s="128">
        <f>Financials!AD119</f>
        <v>0.94</v>
      </c>
      <c r="AA138" s="128">
        <f>Financials!AE119</f>
        <v>0.94</v>
      </c>
      <c r="AB138" s="128"/>
      <c r="AC138" s="128"/>
      <c r="AD138" s="128"/>
    </row>
    <row r="139" spans="1:30">
      <c r="A139" s="122" t="s">
        <v>1003</v>
      </c>
      <c r="B139" s="132" t="s">
        <v>1004</v>
      </c>
      <c r="C139" s="128" t="e">
        <f>Financials!#REF!</f>
        <v>#REF!</v>
      </c>
      <c r="D139" s="128" t="e">
        <f>Financials!#REF!</f>
        <v>#REF!</v>
      </c>
      <c r="E139" s="128" t="e">
        <f>Financials!#REF!</f>
        <v>#REF!</v>
      </c>
      <c r="F139" s="128" t="e">
        <f>Financials!#REF!</f>
        <v>#REF!</v>
      </c>
      <c r="G139" s="128" t="e">
        <f>Financials!#REF!</f>
        <v>#REF!</v>
      </c>
      <c r="H139" s="128" t="e">
        <f>Financials!#REF!</f>
        <v>#REF!</v>
      </c>
      <c r="I139" s="128" t="e">
        <f>Financials!#REF!</f>
        <v>#REF!</v>
      </c>
      <c r="J139" s="128" t="e">
        <f>Financials!#REF!</f>
        <v>#REF!</v>
      </c>
      <c r="K139" s="128" t="e">
        <f>Financials!#REF!</f>
        <v>#REF!</v>
      </c>
      <c r="L139" s="128" t="e">
        <f>Financials!#REF!</f>
        <v>#REF!</v>
      </c>
      <c r="M139" s="128" t="e">
        <f>Financials!#REF!</f>
        <v>#REF!</v>
      </c>
      <c r="N139" s="128" t="e">
        <f>Financials!#REF!</f>
        <v>#REF!</v>
      </c>
      <c r="O139" s="128" t="e">
        <f>Financials!#REF!</f>
        <v>#REF!</v>
      </c>
      <c r="P139" s="128" t="e">
        <f>Financials!#REF!</f>
        <v>#REF!</v>
      </c>
      <c r="Q139" s="128" t="e">
        <f>Financials!#REF!</f>
        <v>#REF!</v>
      </c>
      <c r="R139" s="128" t="e">
        <f>Financials!#REF!</f>
        <v>#REF!</v>
      </c>
      <c r="S139" s="128" t="e">
        <f>Financials!#REF!</f>
        <v>#REF!</v>
      </c>
      <c r="T139" s="128" t="e">
        <f>Financials!#REF!</f>
        <v>#REF!</v>
      </c>
      <c r="U139" s="128" t="e">
        <f>Financials!#REF!</f>
        <v>#REF!</v>
      </c>
      <c r="V139" s="128" t="e">
        <f>Financials!#REF!</f>
        <v>#REF!</v>
      </c>
      <c r="W139" s="128" t="e">
        <f>Financials!#REF!</f>
        <v>#REF!</v>
      </c>
      <c r="X139" s="128" t="e">
        <f>Financials!#REF!</f>
        <v>#REF!</v>
      </c>
      <c r="Y139" s="128" t="e">
        <f>Financials!#REF!</f>
        <v>#REF!</v>
      </c>
      <c r="Z139" s="128" t="e">
        <f>Financials!#REF!</f>
        <v>#REF!</v>
      </c>
      <c r="AA139" s="128" t="e">
        <f>Financials!#REF!</f>
        <v>#REF!</v>
      </c>
      <c r="AB139" s="128"/>
      <c r="AC139" s="128"/>
      <c r="AD139" s="128"/>
    </row>
    <row r="140" spans="1:30">
      <c r="A140" s="122" t="s">
        <v>1005</v>
      </c>
      <c r="B140" s="132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</row>
    <row r="141" spans="1:30">
      <c r="A141" s="122" t="s">
        <v>1006</v>
      </c>
      <c r="B141" s="132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</row>
    <row r="142" spans="1:30">
      <c r="A142" s="122" t="s">
        <v>1007</v>
      </c>
      <c r="B142" s="132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</row>
    <row r="143" spans="1:30">
      <c r="A143" s="122">
        <v>100</v>
      </c>
      <c r="B143" s="129" t="s">
        <v>1008</v>
      </c>
      <c r="C143" s="130" t="e">
        <f t="shared" ref="C143:AD143" si="17">SUM(C132:C136)+SUM(C138:C142)</f>
        <v>#REF!</v>
      </c>
      <c r="D143" s="130" t="e">
        <f t="shared" si="17"/>
        <v>#REF!</v>
      </c>
      <c r="E143" s="130" t="e">
        <f t="shared" si="17"/>
        <v>#REF!</v>
      </c>
      <c r="F143" s="130" t="e">
        <f t="shared" si="17"/>
        <v>#REF!</v>
      </c>
      <c r="G143" s="130" t="e">
        <f t="shared" si="17"/>
        <v>#REF!</v>
      </c>
      <c r="H143" s="130" t="e">
        <f t="shared" si="17"/>
        <v>#REF!</v>
      </c>
      <c r="I143" s="130" t="e">
        <f t="shared" si="17"/>
        <v>#REF!</v>
      </c>
      <c r="J143" s="130" t="e">
        <f t="shared" si="17"/>
        <v>#REF!</v>
      </c>
      <c r="K143" s="130" t="e">
        <f t="shared" si="17"/>
        <v>#REF!</v>
      </c>
      <c r="L143" s="130" t="e">
        <f t="shared" si="17"/>
        <v>#REF!</v>
      </c>
      <c r="M143" s="130" t="e">
        <f t="shared" si="17"/>
        <v>#REF!</v>
      </c>
      <c r="N143" s="130" t="e">
        <f t="shared" si="17"/>
        <v>#REF!</v>
      </c>
      <c r="O143" s="130" t="e">
        <f t="shared" si="17"/>
        <v>#REF!</v>
      </c>
      <c r="P143" s="130" t="e">
        <f t="shared" si="17"/>
        <v>#REF!</v>
      </c>
      <c r="Q143" s="130" t="e">
        <f t="shared" si="17"/>
        <v>#REF!</v>
      </c>
      <c r="R143" s="130" t="e">
        <f t="shared" si="17"/>
        <v>#REF!</v>
      </c>
      <c r="S143" s="130" t="e">
        <f t="shared" si="17"/>
        <v>#REF!</v>
      </c>
      <c r="T143" s="130" t="e">
        <f t="shared" si="17"/>
        <v>#REF!</v>
      </c>
      <c r="U143" s="130" t="e">
        <f t="shared" si="17"/>
        <v>#REF!</v>
      </c>
      <c r="V143" s="130" t="e">
        <f t="shared" si="17"/>
        <v>#REF!</v>
      </c>
      <c r="W143" s="130" t="e">
        <f t="shared" si="17"/>
        <v>#REF!</v>
      </c>
      <c r="X143" s="130" t="e">
        <f t="shared" si="17"/>
        <v>#REF!</v>
      </c>
      <c r="Y143" s="130" t="e">
        <f t="shared" si="17"/>
        <v>#REF!</v>
      </c>
      <c r="Z143" s="130" t="e">
        <f t="shared" si="17"/>
        <v>#REF!</v>
      </c>
      <c r="AA143" s="130" t="e">
        <f t="shared" si="17"/>
        <v>#REF!</v>
      </c>
      <c r="AB143" s="130">
        <f t="shared" si="17"/>
        <v>0</v>
      </c>
      <c r="AC143" s="130">
        <f t="shared" si="17"/>
        <v>0</v>
      </c>
      <c r="AD143" s="130">
        <f t="shared" si="17"/>
        <v>0</v>
      </c>
    </row>
    <row r="144" spans="1:30" s="119" customFormat="1" ht="30" customHeight="1">
      <c r="A144" s="122">
        <v>101</v>
      </c>
      <c r="B144" s="129" t="s">
        <v>1009</v>
      </c>
      <c r="C144" s="130" t="e">
        <f t="shared" ref="C144:AD144" si="18">C128+C129+C130+C143</f>
        <v>#REF!</v>
      </c>
      <c r="D144" s="130" t="e">
        <f t="shared" si="18"/>
        <v>#REF!</v>
      </c>
      <c r="E144" s="130" t="e">
        <f t="shared" si="18"/>
        <v>#REF!</v>
      </c>
      <c r="F144" s="130" t="e">
        <f t="shared" si="18"/>
        <v>#REF!</v>
      </c>
      <c r="G144" s="130" t="e">
        <f t="shared" si="18"/>
        <v>#REF!</v>
      </c>
      <c r="H144" s="130" t="e">
        <f t="shared" si="18"/>
        <v>#REF!</v>
      </c>
      <c r="I144" s="130" t="e">
        <f t="shared" si="18"/>
        <v>#REF!</v>
      </c>
      <c r="J144" s="130" t="e">
        <f t="shared" si="18"/>
        <v>#REF!</v>
      </c>
      <c r="K144" s="130" t="e">
        <f t="shared" si="18"/>
        <v>#REF!</v>
      </c>
      <c r="L144" s="130" t="e">
        <f t="shared" si="18"/>
        <v>#REF!</v>
      </c>
      <c r="M144" s="130" t="e">
        <f t="shared" si="18"/>
        <v>#REF!</v>
      </c>
      <c r="N144" s="130" t="e">
        <f t="shared" si="18"/>
        <v>#REF!</v>
      </c>
      <c r="O144" s="130" t="e">
        <f t="shared" si="18"/>
        <v>#REF!</v>
      </c>
      <c r="P144" s="130" t="e">
        <f t="shared" si="18"/>
        <v>#REF!</v>
      </c>
      <c r="Q144" s="130" t="e">
        <f t="shared" si="18"/>
        <v>#REF!</v>
      </c>
      <c r="R144" s="130" t="e">
        <f t="shared" si="18"/>
        <v>#REF!</v>
      </c>
      <c r="S144" s="130" t="e">
        <f t="shared" si="18"/>
        <v>#REF!</v>
      </c>
      <c r="T144" s="130" t="e">
        <f t="shared" si="18"/>
        <v>#REF!</v>
      </c>
      <c r="U144" s="130" t="e">
        <f t="shared" si="18"/>
        <v>#REF!</v>
      </c>
      <c r="V144" s="130" t="e">
        <f t="shared" si="18"/>
        <v>#REF!</v>
      </c>
      <c r="W144" s="130" t="e">
        <f t="shared" si="18"/>
        <v>#REF!</v>
      </c>
      <c r="X144" s="130" t="e">
        <f t="shared" si="18"/>
        <v>#REF!</v>
      </c>
      <c r="Y144" s="130" t="e">
        <f t="shared" si="18"/>
        <v>#REF!</v>
      </c>
      <c r="Z144" s="130" t="e">
        <f t="shared" si="18"/>
        <v>#REF!</v>
      </c>
      <c r="AA144" s="130" t="e">
        <f t="shared" si="18"/>
        <v>#REF!</v>
      </c>
      <c r="AB144" s="130">
        <f t="shared" si="18"/>
        <v>0</v>
      </c>
      <c r="AC144" s="130">
        <f t="shared" si="18"/>
        <v>0</v>
      </c>
      <c r="AD144" s="130">
        <f t="shared" si="18"/>
        <v>0</v>
      </c>
    </row>
    <row r="145" spans="1:30">
      <c r="A145" s="122">
        <v>102</v>
      </c>
      <c r="B145" s="127" t="s">
        <v>1010</v>
      </c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</row>
    <row r="146" spans="1:30">
      <c r="A146" s="122">
        <v>103</v>
      </c>
      <c r="B146" s="127" t="s">
        <v>1011</v>
      </c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</row>
    <row r="147" spans="1:30">
      <c r="A147" s="122" t="s">
        <v>1012</v>
      </c>
      <c r="B147" s="132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</row>
    <row r="148" spans="1:30" ht="30" customHeight="1">
      <c r="A148" s="122" t="s">
        <v>1013</v>
      </c>
      <c r="B148" s="132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</row>
    <row r="149" spans="1:30" ht="30" customHeight="1">
      <c r="A149" s="122" t="s">
        <v>1014</v>
      </c>
      <c r="B149" s="132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</row>
    <row r="150" spans="1:30" ht="30" customHeight="1">
      <c r="A150" s="122" t="s">
        <v>1015</v>
      </c>
      <c r="B150" s="132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</row>
    <row r="151" spans="1:30">
      <c r="A151" s="122" t="s">
        <v>1016</v>
      </c>
      <c r="B151" s="132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</row>
    <row r="152" spans="1:30" s="119" customFormat="1">
      <c r="A152" s="122">
        <v>104</v>
      </c>
      <c r="B152" s="129" t="s">
        <v>1017</v>
      </c>
      <c r="C152" s="130" t="e">
        <f t="shared" ref="C152:AD152" si="19">C144+C145+SUM(C147:C151)</f>
        <v>#REF!</v>
      </c>
      <c r="D152" s="130" t="e">
        <f t="shared" si="19"/>
        <v>#REF!</v>
      </c>
      <c r="E152" s="130" t="e">
        <f t="shared" si="19"/>
        <v>#REF!</v>
      </c>
      <c r="F152" s="130" t="e">
        <f t="shared" si="19"/>
        <v>#REF!</v>
      </c>
      <c r="G152" s="130" t="e">
        <f t="shared" si="19"/>
        <v>#REF!</v>
      </c>
      <c r="H152" s="130" t="e">
        <f t="shared" si="19"/>
        <v>#REF!</v>
      </c>
      <c r="I152" s="130" t="e">
        <f t="shared" si="19"/>
        <v>#REF!</v>
      </c>
      <c r="J152" s="130" t="e">
        <f t="shared" si="19"/>
        <v>#REF!</v>
      </c>
      <c r="K152" s="130" t="e">
        <f t="shared" si="19"/>
        <v>#REF!</v>
      </c>
      <c r="L152" s="130" t="e">
        <f t="shared" si="19"/>
        <v>#REF!</v>
      </c>
      <c r="M152" s="130" t="e">
        <f t="shared" si="19"/>
        <v>#REF!</v>
      </c>
      <c r="N152" s="130" t="e">
        <f t="shared" si="19"/>
        <v>#REF!</v>
      </c>
      <c r="O152" s="130" t="e">
        <f t="shared" si="19"/>
        <v>#REF!</v>
      </c>
      <c r="P152" s="130" t="e">
        <f t="shared" si="19"/>
        <v>#REF!</v>
      </c>
      <c r="Q152" s="130" t="e">
        <f t="shared" si="19"/>
        <v>#REF!</v>
      </c>
      <c r="R152" s="130" t="e">
        <f t="shared" si="19"/>
        <v>#REF!</v>
      </c>
      <c r="S152" s="130" t="e">
        <f t="shared" si="19"/>
        <v>#REF!</v>
      </c>
      <c r="T152" s="130" t="e">
        <f t="shared" si="19"/>
        <v>#REF!</v>
      </c>
      <c r="U152" s="130" t="e">
        <f t="shared" si="19"/>
        <v>#REF!</v>
      </c>
      <c r="V152" s="130" t="e">
        <f t="shared" si="19"/>
        <v>#REF!</v>
      </c>
      <c r="W152" s="130" t="e">
        <f t="shared" si="19"/>
        <v>#REF!</v>
      </c>
      <c r="X152" s="130" t="e">
        <f t="shared" si="19"/>
        <v>#REF!</v>
      </c>
      <c r="Y152" s="130" t="e">
        <f t="shared" si="19"/>
        <v>#REF!</v>
      </c>
      <c r="Z152" s="130" t="e">
        <f t="shared" si="19"/>
        <v>#REF!</v>
      </c>
      <c r="AA152" s="130" t="e">
        <f t="shared" si="19"/>
        <v>#REF!</v>
      </c>
      <c r="AB152" s="130">
        <f t="shared" si="19"/>
        <v>0</v>
      </c>
      <c r="AC152" s="130">
        <f t="shared" si="19"/>
        <v>0</v>
      </c>
      <c r="AD152" s="130">
        <f t="shared" si="19"/>
        <v>0</v>
      </c>
    </row>
    <row r="153" spans="1:30">
      <c r="A153" s="122">
        <v>105</v>
      </c>
      <c r="B153" s="123" t="s">
        <v>1018</v>
      </c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</row>
    <row r="154" spans="1:30">
      <c r="A154" s="122">
        <v>106</v>
      </c>
      <c r="B154" s="127" t="s">
        <v>1019</v>
      </c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</row>
    <row r="155" spans="1:30">
      <c r="A155" s="122">
        <v>107</v>
      </c>
      <c r="B155" s="127" t="s">
        <v>1020</v>
      </c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</row>
    <row r="156" spans="1:30">
      <c r="A156" s="122">
        <v>108</v>
      </c>
      <c r="B156" s="129" t="s">
        <v>1021</v>
      </c>
      <c r="C156" s="130">
        <f t="shared" ref="C156:AD156" si="20">C154-C155</f>
        <v>0</v>
      </c>
      <c r="D156" s="130">
        <f t="shared" si="20"/>
        <v>0</v>
      </c>
      <c r="E156" s="130">
        <f t="shared" si="20"/>
        <v>0</v>
      </c>
      <c r="F156" s="130">
        <f t="shared" si="20"/>
        <v>0</v>
      </c>
      <c r="G156" s="130">
        <f t="shared" si="20"/>
        <v>0</v>
      </c>
      <c r="H156" s="130">
        <f t="shared" si="20"/>
        <v>0</v>
      </c>
      <c r="I156" s="130">
        <f t="shared" si="20"/>
        <v>0</v>
      </c>
      <c r="J156" s="130">
        <f t="shared" si="20"/>
        <v>0</v>
      </c>
      <c r="K156" s="130">
        <f t="shared" si="20"/>
        <v>0</v>
      </c>
      <c r="L156" s="130">
        <f t="shared" si="20"/>
        <v>0</v>
      </c>
      <c r="M156" s="130">
        <f t="shared" si="20"/>
        <v>0</v>
      </c>
      <c r="N156" s="130">
        <f t="shared" si="20"/>
        <v>0</v>
      </c>
      <c r="O156" s="130">
        <f t="shared" si="20"/>
        <v>0</v>
      </c>
      <c r="P156" s="130">
        <f t="shared" si="20"/>
        <v>0</v>
      </c>
      <c r="Q156" s="130">
        <f t="shared" si="20"/>
        <v>0</v>
      </c>
      <c r="R156" s="130">
        <f t="shared" si="20"/>
        <v>0</v>
      </c>
      <c r="S156" s="130">
        <f t="shared" si="20"/>
        <v>0</v>
      </c>
      <c r="T156" s="130">
        <f t="shared" si="20"/>
        <v>0</v>
      </c>
      <c r="U156" s="130">
        <f t="shared" si="20"/>
        <v>0</v>
      </c>
      <c r="V156" s="130">
        <f t="shared" si="20"/>
        <v>0</v>
      </c>
      <c r="W156" s="130">
        <f t="shared" si="20"/>
        <v>0</v>
      </c>
      <c r="X156" s="130">
        <f t="shared" si="20"/>
        <v>0</v>
      </c>
      <c r="Y156" s="130">
        <f t="shared" si="20"/>
        <v>0</v>
      </c>
      <c r="Z156" s="130">
        <f t="shared" si="20"/>
        <v>0</v>
      </c>
      <c r="AA156" s="130">
        <f t="shared" si="20"/>
        <v>0</v>
      </c>
      <c r="AB156" s="130">
        <f t="shared" si="20"/>
        <v>0</v>
      </c>
      <c r="AC156" s="130">
        <f t="shared" si="20"/>
        <v>0</v>
      </c>
      <c r="AD156" s="130">
        <f t="shared" si="20"/>
        <v>0</v>
      </c>
    </row>
    <row r="157" spans="1:30">
      <c r="A157" s="122">
        <v>109</v>
      </c>
      <c r="B157" s="127" t="s">
        <v>1022</v>
      </c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</row>
    <row r="158" spans="1:30">
      <c r="A158" s="122">
        <v>110</v>
      </c>
      <c r="B158" s="129" t="s">
        <v>1023</v>
      </c>
      <c r="C158" s="130" t="e">
        <f t="shared" ref="C158:AD158" si="21">C112+C117+C152+C156+C157</f>
        <v>#REF!</v>
      </c>
      <c r="D158" s="130" t="e">
        <f t="shared" si="21"/>
        <v>#REF!</v>
      </c>
      <c r="E158" s="130" t="e">
        <f t="shared" si="21"/>
        <v>#REF!</v>
      </c>
      <c r="F158" s="130" t="e">
        <f t="shared" si="21"/>
        <v>#REF!</v>
      </c>
      <c r="G158" s="130" t="e">
        <f t="shared" si="21"/>
        <v>#REF!</v>
      </c>
      <c r="H158" s="130" t="e">
        <f t="shared" si="21"/>
        <v>#REF!</v>
      </c>
      <c r="I158" s="130" t="e">
        <f t="shared" si="21"/>
        <v>#REF!</v>
      </c>
      <c r="J158" s="130" t="e">
        <f t="shared" ca="1" si="21"/>
        <v>#DIV/0!</v>
      </c>
      <c r="K158" s="130" t="e">
        <f t="shared" ca="1" si="21"/>
        <v>#DIV/0!</v>
      </c>
      <c r="L158" s="130" t="e">
        <f t="shared" ca="1" si="21"/>
        <v>#DIV/0!</v>
      </c>
      <c r="M158" s="130" t="e">
        <f t="shared" ca="1" si="21"/>
        <v>#DIV/0!</v>
      </c>
      <c r="N158" s="130" t="e">
        <f t="shared" ca="1" si="21"/>
        <v>#DIV/0!</v>
      </c>
      <c r="O158" s="130" t="e">
        <f t="shared" ca="1" si="21"/>
        <v>#DIV/0!</v>
      </c>
      <c r="P158" s="130" t="e">
        <f t="shared" ca="1" si="21"/>
        <v>#DIV/0!</v>
      </c>
      <c r="Q158" s="130" t="e">
        <f t="shared" ca="1" si="21"/>
        <v>#DIV/0!</v>
      </c>
      <c r="R158" s="130" t="e">
        <f t="shared" ca="1" si="21"/>
        <v>#DIV/0!</v>
      </c>
      <c r="S158" s="130" t="e">
        <f t="shared" ca="1" si="21"/>
        <v>#DIV/0!</v>
      </c>
      <c r="T158" s="130" t="e">
        <f t="shared" ca="1" si="21"/>
        <v>#DIV/0!</v>
      </c>
      <c r="U158" s="130" t="e">
        <f t="shared" ca="1" si="21"/>
        <v>#DIV/0!</v>
      </c>
      <c r="V158" s="130" t="e">
        <f t="shared" ca="1" si="21"/>
        <v>#DIV/0!</v>
      </c>
      <c r="W158" s="130" t="e">
        <f t="shared" ca="1" si="21"/>
        <v>#DIV/0!</v>
      </c>
      <c r="X158" s="130" t="e">
        <f t="shared" ca="1" si="21"/>
        <v>#DIV/0!</v>
      </c>
      <c r="Y158" s="130" t="e">
        <f t="shared" ca="1" si="21"/>
        <v>#DIV/0!</v>
      </c>
      <c r="Z158" s="130" t="e">
        <f t="shared" ca="1" si="21"/>
        <v>#DIV/0!</v>
      </c>
      <c r="AA158" s="130" t="e">
        <f t="shared" ca="1" si="21"/>
        <v>#DIV/0!</v>
      </c>
      <c r="AB158" s="130">
        <f t="shared" si="21"/>
        <v>0</v>
      </c>
      <c r="AC158" s="130">
        <f t="shared" si="21"/>
        <v>0</v>
      </c>
      <c r="AD158" s="130">
        <f t="shared" si="21"/>
        <v>0</v>
      </c>
    </row>
    <row r="159" spans="1:30" ht="15" customHeight="1">
      <c r="A159" s="827"/>
      <c r="B159" s="827"/>
      <c r="C159" s="827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</row>
    <row r="160" spans="1:30" ht="124.95" customHeight="1">
      <c r="A160" s="127"/>
      <c r="B160" s="139" t="s">
        <v>1024</v>
      </c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</row>
    <row r="161" spans="1:30">
      <c r="A161" s="141"/>
      <c r="B161" s="142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</row>
    <row r="162" spans="1:30" s="120" customFormat="1" ht="38.25" customHeight="1">
      <c r="A162" s="144"/>
      <c r="B162" s="145" t="s">
        <v>1025</v>
      </c>
      <c r="C162" s="146" t="e">
        <f t="shared" ref="C162:AD162" si="22">IF(C69=C158,"Assets &amp; Liabilities Tallied","Assets &amp; Liabilities do not match")</f>
        <v>#REF!</v>
      </c>
      <c r="D162" s="146" t="e">
        <f t="shared" si="22"/>
        <v>#REF!</v>
      </c>
      <c r="E162" s="146" t="e">
        <f t="shared" si="22"/>
        <v>#REF!</v>
      </c>
      <c r="F162" s="146" t="e">
        <f t="shared" si="22"/>
        <v>#REF!</v>
      </c>
      <c r="G162" s="146" t="e">
        <f t="shared" si="22"/>
        <v>#REF!</v>
      </c>
      <c r="H162" s="146" t="e">
        <f t="shared" si="22"/>
        <v>#REF!</v>
      </c>
      <c r="I162" s="146" t="e">
        <f t="shared" si="22"/>
        <v>#REF!</v>
      </c>
      <c r="J162" s="146" t="e">
        <f t="shared" ca="1" si="22"/>
        <v>#REF!</v>
      </c>
      <c r="K162" s="146" t="e">
        <f t="shared" ca="1" si="22"/>
        <v>#REF!</v>
      </c>
      <c r="L162" s="146" t="e">
        <f t="shared" ca="1" si="22"/>
        <v>#REF!</v>
      </c>
      <c r="M162" s="146" t="e">
        <f t="shared" ca="1" si="22"/>
        <v>#REF!</v>
      </c>
      <c r="N162" s="146" t="e">
        <f t="shared" ca="1" si="22"/>
        <v>#REF!</v>
      </c>
      <c r="O162" s="146" t="e">
        <f t="shared" ca="1" si="22"/>
        <v>#REF!</v>
      </c>
      <c r="P162" s="146" t="e">
        <f t="shared" ca="1" si="22"/>
        <v>#REF!</v>
      </c>
      <c r="Q162" s="146" t="e">
        <f t="shared" ca="1" si="22"/>
        <v>#REF!</v>
      </c>
      <c r="R162" s="146" t="e">
        <f t="shared" ca="1" si="22"/>
        <v>#REF!</v>
      </c>
      <c r="S162" s="146" t="e">
        <f t="shared" ca="1" si="22"/>
        <v>#REF!</v>
      </c>
      <c r="T162" s="146" t="e">
        <f t="shared" ca="1" si="22"/>
        <v>#REF!</v>
      </c>
      <c r="U162" s="146" t="e">
        <f t="shared" ca="1" si="22"/>
        <v>#REF!</v>
      </c>
      <c r="V162" s="146" t="e">
        <f t="shared" ca="1" si="22"/>
        <v>#REF!</v>
      </c>
      <c r="W162" s="146" t="e">
        <f t="shared" ca="1" si="22"/>
        <v>#REF!</v>
      </c>
      <c r="X162" s="146" t="e">
        <f t="shared" ca="1" si="22"/>
        <v>#REF!</v>
      </c>
      <c r="Y162" s="146" t="e">
        <f t="shared" ca="1" si="22"/>
        <v>#REF!</v>
      </c>
      <c r="Z162" s="146" t="e">
        <f t="shared" ca="1" si="22"/>
        <v>#REF!</v>
      </c>
      <c r="AA162" s="146" t="e">
        <f t="shared" ca="1" si="22"/>
        <v>#REF!</v>
      </c>
      <c r="AB162" s="146" t="str">
        <f t="shared" si="22"/>
        <v>Assets &amp; Liabilities Tallied</v>
      </c>
      <c r="AC162" s="146" t="str">
        <f t="shared" si="22"/>
        <v>Assets &amp; Liabilities Tallied</v>
      </c>
      <c r="AD162" s="146" t="str">
        <f t="shared" si="22"/>
        <v>Assets &amp; Liabilities Tallied</v>
      </c>
    </row>
    <row r="163" spans="1:30">
      <c r="A163" s="141"/>
      <c r="B163" s="142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</row>
  </sheetData>
  <sheetProtection password="CE16" sheet="1"/>
  <protectedRanges>
    <protectedRange sqref="C160:AD160" name="Range27" securityDescriptor=""/>
    <protectedRange sqref="C157:AD157" name="Range26" securityDescriptor=""/>
    <protectedRange sqref="C154:AD155" name="Range25" securityDescriptor=""/>
    <protectedRange sqref="B147:AD151" name="Range24" securityDescriptor=""/>
    <protectedRange sqref="C145:AD145" name="Range23" securityDescriptor=""/>
    <protectedRange sqref="B138:AD142" name="Range22" securityDescriptor=""/>
    <protectedRange sqref="C132:AD136" name="Range21" securityDescriptor=""/>
    <protectedRange sqref="C129:AD130" name="Range20" securityDescriptor=""/>
    <protectedRange sqref="B123:AD127" name="Range19" securityDescriptor=""/>
    <protectedRange sqref="C121:AD121" name="Range18" securityDescriptor=""/>
    <protectedRange sqref="C114:AD116" name="Range17" securityDescriptor=""/>
    <protectedRange sqref="B106:AD110" name="Range16" securityDescriptor=""/>
    <protectedRange sqref="C102:AD104" name="Range15" securityDescriptor=""/>
    <protectedRange sqref="C99:AD100" name="Range14" securityDescriptor=""/>
    <protectedRange sqref="C93:AD96" name="Range13" securityDescriptor=""/>
    <protectedRange sqref="C90:AD91" name="Range12" securityDescriptor=""/>
    <protectedRange sqref="C84:AD87" name="Range11" securityDescriptor=""/>
    <protectedRange sqref="B77:AD81" name="Range10" securityDescriptor=""/>
    <protectedRange sqref="C74:AD75" name="Range9" securityDescriptor=""/>
    <protectedRange sqref="C72:AD72" name="Range8" securityDescriptor=""/>
    <protectedRange sqref="B63:AD67" name="Range7" securityDescriptor=""/>
    <protectedRange sqref="C53:AD61" name="Range6" securityDescriptor=""/>
    <protectedRange sqref="B45:AD49" name="Range5" securityDescriptor=""/>
    <protectedRange sqref="C34:AD43" name="Range4" securityDescriptor=""/>
    <protectedRange sqref="B26:AD30" name="Range3" securityDescriptor=""/>
    <protectedRange sqref="C13:AD24" name="Range2" securityDescriptor=""/>
    <protectedRange sqref="C8:AD11" name="Range1" securityDescriptor=""/>
  </protectedRanges>
  <mergeCells count="1">
    <mergeCell ref="A159:C159"/>
  </mergeCells>
  <pageMargins left="0.70763888888888904" right="0.70763888888888904" top="0.74791666666666701" bottom="0.74791666666666701" header="0.51180555555555596" footer="0.51180555555555596"/>
  <pageSetup paperSize="9" firstPageNumber="0" orientation="landscape" useFirstPageNumber="1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C73"/>
  <sheetViews>
    <sheetView workbookViewId="0">
      <pane xSplit="2" ySplit="5" topLeftCell="C9" activePane="bottomRight" state="frozen"/>
      <selection pane="topRight"/>
      <selection pane="bottomLeft"/>
      <selection pane="bottomRight" activeCell="D17" sqref="D17"/>
    </sheetView>
  </sheetViews>
  <sheetFormatPr defaultColWidth="9.33203125" defaultRowHeight="14.4"/>
  <cols>
    <col min="1" max="1" width="5" style="84" customWidth="1"/>
    <col min="2" max="2" width="54.5546875" style="83" customWidth="1"/>
    <col min="3" max="3" width="12.6640625" style="85" customWidth="1"/>
    <col min="4" max="4" width="14.44140625" style="85" customWidth="1"/>
    <col min="5" max="5" width="14.6640625" style="85" customWidth="1"/>
    <col min="6" max="6" width="14.33203125" style="85" customWidth="1"/>
    <col min="7" max="7" width="14.6640625" style="85" customWidth="1"/>
    <col min="8" max="8" width="15.6640625" style="85" customWidth="1"/>
    <col min="9" max="9" width="14" style="85" customWidth="1"/>
    <col min="10" max="10" width="13.6640625" style="85" customWidth="1"/>
    <col min="11" max="11" width="14.109375" style="85" customWidth="1"/>
    <col min="12" max="12" width="14.33203125" style="85" customWidth="1"/>
    <col min="13" max="13" width="16.5546875" style="85" customWidth="1"/>
    <col min="14" max="14" width="15.6640625" style="85" customWidth="1"/>
    <col min="15" max="15" width="16.5546875" style="85" customWidth="1"/>
    <col min="16" max="16" width="14.6640625" style="85" customWidth="1"/>
    <col min="17" max="17" width="15.33203125" style="85" customWidth="1"/>
    <col min="18" max="18" width="14.5546875" style="85" customWidth="1"/>
    <col min="19" max="19" width="14.6640625" style="85" customWidth="1"/>
    <col min="20" max="20" width="15.109375" style="85" customWidth="1"/>
    <col min="21" max="21" width="15.33203125" style="85" customWidth="1"/>
    <col min="22" max="22" width="14.44140625" style="85" customWidth="1"/>
    <col min="23" max="23" width="15.109375" style="85" customWidth="1"/>
    <col min="24" max="24" width="14.44140625" style="85" customWidth="1"/>
    <col min="25" max="25" width="14.5546875" style="85" customWidth="1"/>
    <col min="26" max="26" width="14.6640625" style="85" customWidth="1"/>
    <col min="27" max="29" width="15.6640625" style="85" customWidth="1"/>
    <col min="30" max="30" width="17.109375" style="85" customWidth="1"/>
    <col min="31" max="54" width="9.33203125" style="83"/>
    <col min="55" max="55" width="13.6640625" style="86" customWidth="1"/>
    <col min="56" max="16384" width="9.33203125" style="83"/>
  </cols>
  <sheetData>
    <row r="1" spans="1:55" s="80" customFormat="1" ht="18.75" customHeight="1">
      <c r="A1" s="87"/>
      <c r="B1" s="88" t="s">
        <v>746</v>
      </c>
      <c r="C1" s="89" t="str">
        <f>IF('Operating Statement'!C1=0," ",'Operating Statement'!C1)</f>
        <v>01/04/2016</v>
      </c>
      <c r="D1" s="89" t="str">
        <f>IF('Operating Statement'!D1=0," ",'Operating Statement'!D1)</f>
        <v>01/04/2017</v>
      </c>
      <c r="E1" s="89" t="str">
        <f>IF('Operating Statement'!E1=0," ",'Operating Statement'!E1)</f>
        <v>01/04/2018</v>
      </c>
      <c r="F1" s="89" t="str">
        <f>IF('Operating Statement'!F1=0," ",'Operating Statement'!F1)</f>
        <v>01/04/2019</v>
      </c>
      <c r="G1" s="89" t="str">
        <f>IF('Operating Statement'!G1=0," ",'Operating Statement'!G1)</f>
        <v>01/04/2020</v>
      </c>
      <c r="H1" s="89" t="str">
        <f>IF('Operating Statement'!H1=0," ",'Operating Statement'!H1)</f>
        <v>01/04/2021</v>
      </c>
      <c r="I1" s="89" t="str">
        <f>IF('Operating Statement'!I1=0," ",'Operating Statement'!I1)</f>
        <v>01/04/2022</v>
      </c>
      <c r="J1" s="89" t="str">
        <f>IF('Operating Statement'!J1=0," ",'Operating Statement'!J1)</f>
        <v>01/04/2023</v>
      </c>
      <c r="K1" s="89" t="str">
        <f>IF('Operating Statement'!K1=0," ",'Operating Statement'!K1)</f>
        <v>01/04/2024</v>
      </c>
      <c r="L1" s="89" t="str">
        <f>IF('Operating Statement'!L1=0," ",'Operating Statement'!L1)</f>
        <v>01/04/2025</v>
      </c>
      <c r="M1" s="89" t="str">
        <f>IF('Operating Statement'!M1=0," ",'Operating Statement'!M1)</f>
        <v>01/04/2026</v>
      </c>
      <c r="N1" s="89" t="str">
        <f>IF('Operating Statement'!N1=0," ",'Operating Statement'!N1)</f>
        <v>01/04/2027</v>
      </c>
      <c r="O1" s="89" t="str">
        <f>IF('Operating Statement'!O1=0," ",'Operating Statement'!O1)</f>
        <v>01/04/2028</v>
      </c>
      <c r="P1" s="89" t="str">
        <f>IF('Operating Statement'!P1=0," ",'Operating Statement'!P1)</f>
        <v>01/04/2029</v>
      </c>
      <c r="Q1" s="89" t="str">
        <f>IF('Operating Statement'!Q1=0," ",'Operating Statement'!Q1)</f>
        <v>01/04/2030</v>
      </c>
      <c r="R1" s="89" t="str">
        <f>IF('Operating Statement'!R1=0," ",'Operating Statement'!R1)</f>
        <v>01/04/2031</v>
      </c>
      <c r="S1" s="89" t="str">
        <f>IF('Operating Statement'!S1=0," ",'Operating Statement'!S1)</f>
        <v>01/04/2032</v>
      </c>
      <c r="T1" s="89" t="str">
        <f>IF('Operating Statement'!T1=0," ",'Operating Statement'!T1)</f>
        <v>01/04/2033</v>
      </c>
      <c r="U1" s="89" t="str">
        <f>IF('Operating Statement'!U1=0," ",'Operating Statement'!U1)</f>
        <v>01/04/2034</v>
      </c>
      <c r="V1" s="89" t="str">
        <f>IF('Operating Statement'!V1=0," ",'Operating Statement'!V1)</f>
        <v>01/04/2035</v>
      </c>
      <c r="W1" s="89" t="str">
        <f>IF('Operating Statement'!W1=0," ",'Operating Statement'!W1)</f>
        <v>01/04/2036</v>
      </c>
      <c r="X1" s="89" t="str">
        <f>IF('Operating Statement'!X1=0," ",'Operating Statement'!X1)</f>
        <v>01/04/2037</v>
      </c>
      <c r="Y1" s="89" t="str">
        <f>IF('Operating Statement'!Y1=0," ",'Operating Statement'!Y1)</f>
        <v>01/04/2038</v>
      </c>
      <c r="Z1" s="89" t="str">
        <f>IF('Operating Statement'!Z1=0," ",'Operating Statement'!Z1)</f>
        <v>01/04/2039</v>
      </c>
      <c r="AA1" s="89" t="str">
        <f>IF('Operating Statement'!AA1=0," ",'Operating Statement'!AA1)</f>
        <v>01/04/2040</v>
      </c>
      <c r="AB1" s="89" t="str">
        <f>IF('Operating Statement'!AB1=0," ",'Operating Statement'!AB1)</f>
        <v xml:space="preserve"> </v>
      </c>
      <c r="AC1" s="89" t="str">
        <f>IF('Operating Statement'!AC1=0," ",'Operating Statement'!AC1)</f>
        <v xml:space="preserve"> </v>
      </c>
      <c r="AD1" s="89" t="str">
        <f>IF('Operating Statement'!AD1=0," ",'Operating Statement'!AD1)</f>
        <v xml:space="preserve"> </v>
      </c>
      <c r="BB1" s="86"/>
      <c r="BC1" s="86" t="s">
        <v>369</v>
      </c>
    </row>
    <row r="2" spans="1:55" s="80" customFormat="1">
      <c r="A2" s="87"/>
      <c r="B2" s="88" t="s">
        <v>772</v>
      </c>
      <c r="C2" s="89" t="str">
        <f>IF('Operating Statement'!C2=0," ",'Operating Statement'!C2)</f>
        <v>31/03/2017</v>
      </c>
      <c r="D2" s="89" t="str">
        <f>IF('Operating Statement'!D2=0," ",'Operating Statement'!D2)</f>
        <v>31/03/2018</v>
      </c>
      <c r="E2" s="89" t="str">
        <f>IF('Operating Statement'!E2=0," ",'Operating Statement'!E2)</f>
        <v>31/03/2019</v>
      </c>
      <c r="F2" s="89" t="str">
        <f>IF('Operating Statement'!F2=0," ",'Operating Statement'!F2)</f>
        <v>31/03/2020</v>
      </c>
      <c r="G2" s="89" t="str">
        <f>IF('Operating Statement'!G2=0," ",'Operating Statement'!G2)</f>
        <v>31/03/2021</v>
      </c>
      <c r="H2" s="89" t="str">
        <f>IF('Operating Statement'!H2=0," ",'Operating Statement'!H2)</f>
        <v>31/03/2022</v>
      </c>
      <c r="I2" s="89" t="str">
        <f>IF('Operating Statement'!I2=0," ",'Operating Statement'!I2)</f>
        <v>31/03/2023</v>
      </c>
      <c r="J2" s="89" t="str">
        <f>IF('Operating Statement'!J2=0," ",'Operating Statement'!J2)</f>
        <v>31/03/2024</v>
      </c>
      <c r="K2" s="89" t="str">
        <f>IF('Operating Statement'!K2=0," ",'Operating Statement'!K2)</f>
        <v>31/03/2025</v>
      </c>
      <c r="L2" s="89" t="str">
        <f>IF('Operating Statement'!L2=0," ",'Operating Statement'!L2)</f>
        <v>31/03/2026</v>
      </c>
      <c r="M2" s="89" t="str">
        <f>IF('Operating Statement'!M2=0," ",'Operating Statement'!M2)</f>
        <v>31/03/2027</v>
      </c>
      <c r="N2" s="89" t="str">
        <f>IF('Operating Statement'!N2=0," ",'Operating Statement'!N2)</f>
        <v>31/03/2028</v>
      </c>
      <c r="O2" s="89" t="str">
        <f>IF('Operating Statement'!O2=0," ",'Operating Statement'!O2)</f>
        <v>31/03/2029</v>
      </c>
      <c r="P2" s="89" t="str">
        <f>IF('Operating Statement'!P2=0," ",'Operating Statement'!P2)</f>
        <v>31/03/2030</v>
      </c>
      <c r="Q2" s="89" t="str">
        <f>IF('Operating Statement'!Q2=0," ",'Operating Statement'!Q2)</f>
        <v>31/03/2031</v>
      </c>
      <c r="R2" s="89" t="str">
        <f>IF('Operating Statement'!R2=0," ",'Operating Statement'!R2)</f>
        <v>31/03/2032</v>
      </c>
      <c r="S2" s="89" t="str">
        <f>IF('Operating Statement'!S2=0," ",'Operating Statement'!S2)</f>
        <v>31/03/2033</v>
      </c>
      <c r="T2" s="89" t="str">
        <f>IF('Operating Statement'!T2=0," ",'Operating Statement'!T2)</f>
        <v>31/03/2034</v>
      </c>
      <c r="U2" s="89" t="str">
        <f>IF('Operating Statement'!U2=0," ",'Operating Statement'!U2)</f>
        <v>31/03/2035</v>
      </c>
      <c r="V2" s="89" t="str">
        <f>IF('Operating Statement'!V2=0," ",'Operating Statement'!V2)</f>
        <v>31/03/2036</v>
      </c>
      <c r="W2" s="89" t="str">
        <f>IF('Operating Statement'!W2=0," ",'Operating Statement'!W2)</f>
        <v>31/03/2037</v>
      </c>
      <c r="X2" s="89" t="str">
        <f>IF('Operating Statement'!X2=0," ",'Operating Statement'!X2)</f>
        <v>31/03/2038</v>
      </c>
      <c r="Y2" s="89" t="str">
        <f>IF('Operating Statement'!Y2=0," ",'Operating Statement'!Y2)</f>
        <v>31/03/2039</v>
      </c>
      <c r="Z2" s="89" t="str">
        <f>IF('Operating Statement'!Z2=0," ",'Operating Statement'!Z2)</f>
        <v>31/03/2040</v>
      </c>
      <c r="AA2" s="89" t="str">
        <f>IF('Operating Statement'!AA2=0," ",'Operating Statement'!AA2)</f>
        <v>31/03/2041</v>
      </c>
      <c r="AB2" s="89" t="str">
        <f>IF('Operating Statement'!AB2=0," ",'Operating Statement'!AB2)</f>
        <v xml:space="preserve"> </v>
      </c>
      <c r="AC2" s="89" t="str">
        <f>IF('Operating Statement'!AC2=0," ",'Operating Statement'!AC2)</f>
        <v xml:space="preserve"> </v>
      </c>
      <c r="AD2" s="89" t="str">
        <f>IF('Operating Statement'!AD2=0," ",'Operating Statement'!AD2)</f>
        <v xml:space="preserve"> </v>
      </c>
      <c r="BB2" s="86"/>
      <c r="BC2" s="86" t="s">
        <v>370</v>
      </c>
    </row>
    <row r="3" spans="1:55" s="80" customFormat="1">
      <c r="A3" s="87"/>
      <c r="B3" s="90" t="s">
        <v>798</v>
      </c>
      <c r="C3" s="89" t="str">
        <f>IF('Operating Statement'!C3=0," ",'Operating Statement'!C3)</f>
        <v>Provisional</v>
      </c>
      <c r="D3" s="89" t="str">
        <f>IF('Operating Statement'!D3=0," ",'Operating Statement'!D3)</f>
        <v>Projected</v>
      </c>
      <c r="E3" s="89" t="str">
        <f>IF('Operating Statement'!E3=0," ",'Operating Statement'!E3)</f>
        <v>Projected</v>
      </c>
      <c r="F3" s="89" t="str">
        <f>IF('Operating Statement'!F3=0," ",'Operating Statement'!F3)</f>
        <v>Projected</v>
      </c>
      <c r="G3" s="89" t="str">
        <f>IF('Operating Statement'!G3=0," ",'Operating Statement'!G3)</f>
        <v>Projected</v>
      </c>
      <c r="H3" s="89" t="str">
        <f>IF('Operating Statement'!H3=0," ",'Operating Statement'!H3)</f>
        <v>Projected</v>
      </c>
      <c r="I3" s="89" t="str">
        <f>IF('Operating Statement'!I3=0," ",'Operating Statement'!I3)</f>
        <v>Projected</v>
      </c>
      <c r="J3" s="89" t="str">
        <f>IF('Operating Statement'!J3=0," ",'Operating Statement'!J3)</f>
        <v>Projected</v>
      </c>
      <c r="K3" s="89" t="str">
        <f>IF('Operating Statement'!K3=0," ",'Operating Statement'!K3)</f>
        <v>Projected</v>
      </c>
      <c r="L3" s="89" t="str">
        <f>IF('Operating Statement'!L3=0," ",'Operating Statement'!L3)</f>
        <v>Projected</v>
      </c>
      <c r="M3" s="89" t="str">
        <f>IF('Operating Statement'!M3=0," ",'Operating Statement'!M3)</f>
        <v>Projected</v>
      </c>
      <c r="N3" s="89" t="str">
        <f>IF('Operating Statement'!N3=0," ",'Operating Statement'!N3)</f>
        <v>Projected</v>
      </c>
      <c r="O3" s="89" t="str">
        <f>IF('Operating Statement'!O3=0," ",'Operating Statement'!O3)</f>
        <v>Projected</v>
      </c>
      <c r="P3" s="89" t="str">
        <f>IF('Operating Statement'!P3=0," ",'Operating Statement'!P3)</f>
        <v>Projected</v>
      </c>
      <c r="Q3" s="89" t="str">
        <f>IF('Operating Statement'!Q3=0," ",'Operating Statement'!Q3)</f>
        <v>Projected</v>
      </c>
      <c r="R3" s="89" t="str">
        <f>IF('Operating Statement'!R3=0," ",'Operating Statement'!R3)</f>
        <v>Projected</v>
      </c>
      <c r="S3" s="89" t="str">
        <f>IF('Operating Statement'!S3=0," ",'Operating Statement'!S3)</f>
        <v>Projected</v>
      </c>
      <c r="T3" s="89" t="str">
        <f>IF('Operating Statement'!T3=0," ",'Operating Statement'!T3)</f>
        <v>Projected</v>
      </c>
      <c r="U3" s="89" t="str">
        <f>IF('Operating Statement'!U3=0," ",'Operating Statement'!U3)</f>
        <v>Projected</v>
      </c>
      <c r="V3" s="89" t="str">
        <f>IF('Operating Statement'!V3=0," ",'Operating Statement'!V3)</f>
        <v>Projected</v>
      </c>
      <c r="W3" s="89" t="str">
        <f>IF('Operating Statement'!W3=0," ",'Operating Statement'!W3)</f>
        <v>Projected</v>
      </c>
      <c r="X3" s="89" t="str">
        <f>IF('Operating Statement'!X3=0," ",'Operating Statement'!X3)</f>
        <v>Projected</v>
      </c>
      <c r="Y3" s="89" t="str">
        <f>IF('Operating Statement'!Y3=0," ",'Operating Statement'!Y3)</f>
        <v>Projected</v>
      </c>
      <c r="Z3" s="89" t="str">
        <f>IF('Operating Statement'!Z3=0," ",'Operating Statement'!Z3)</f>
        <v>Projected</v>
      </c>
      <c r="AA3" s="89" t="str">
        <f>IF('Operating Statement'!AA3=0," ",'Operating Statement'!AA3)</f>
        <v>Projected</v>
      </c>
      <c r="AB3" s="89" t="str">
        <f>IF('Operating Statement'!AB3=0," ",'Operating Statement'!AB3)</f>
        <v xml:space="preserve"> </v>
      </c>
      <c r="AC3" s="89" t="str">
        <f>IF('Operating Statement'!AC3=0," ",'Operating Statement'!AC3)</f>
        <v xml:space="preserve"> </v>
      </c>
      <c r="AD3" s="89" t="str">
        <f>IF('Operating Statement'!AD3=0," ",'Operating Statement'!AD3)</f>
        <v xml:space="preserve"> </v>
      </c>
      <c r="BB3" s="86"/>
      <c r="BC3" s="118" t="s">
        <v>800</v>
      </c>
    </row>
    <row r="4" spans="1:55" s="80" customFormat="1">
      <c r="A4" s="87"/>
      <c r="B4" s="90" t="s">
        <v>801</v>
      </c>
      <c r="C4" s="89" t="str">
        <f>IF('Operating Statement'!C4="-"," ",'Operating Statement'!C4)</f>
        <v>2016-17</v>
      </c>
      <c r="D4" s="89" t="str">
        <f>IF('Operating Statement'!D4="-"," ",'Operating Statement'!D4)</f>
        <v>2017-18</v>
      </c>
      <c r="E4" s="89" t="str">
        <f>IF('Operating Statement'!E4="-"," ",'Operating Statement'!E4)</f>
        <v>2018-19</v>
      </c>
      <c r="F4" s="89" t="str">
        <f>IF('Operating Statement'!F4="-"," ",'Operating Statement'!F4)</f>
        <v>2019-20</v>
      </c>
      <c r="G4" s="89" t="str">
        <f>IF('Operating Statement'!G4="-"," ",'Operating Statement'!G4)</f>
        <v>2020-21</v>
      </c>
      <c r="H4" s="89" t="str">
        <f>IF('Operating Statement'!H4="-"," ",'Operating Statement'!H4)</f>
        <v>2021-22</v>
      </c>
      <c r="I4" s="89" t="str">
        <f>IF('Operating Statement'!I4="-"," ",'Operating Statement'!I4)</f>
        <v>2022-23</v>
      </c>
      <c r="J4" s="89" t="str">
        <f>IF('Operating Statement'!J4="-"," ",'Operating Statement'!J4)</f>
        <v>2023-24</v>
      </c>
      <c r="K4" s="89" t="str">
        <f>IF('Operating Statement'!K4="-"," ",'Operating Statement'!K4)</f>
        <v>2024-25</v>
      </c>
      <c r="L4" s="89" t="str">
        <f>IF('Operating Statement'!L4="-"," ",'Operating Statement'!L4)</f>
        <v>2025-26</v>
      </c>
      <c r="M4" s="89" t="str">
        <f>IF('Operating Statement'!M4="-"," ",'Operating Statement'!M4)</f>
        <v>2026-27</v>
      </c>
      <c r="N4" s="89" t="str">
        <f>IF('Operating Statement'!N4="-"," ",'Operating Statement'!N4)</f>
        <v>2027-28</v>
      </c>
      <c r="O4" s="89" t="str">
        <f>IF('Operating Statement'!O4="-"," ",'Operating Statement'!O4)</f>
        <v>2028-29</v>
      </c>
      <c r="P4" s="89" t="str">
        <f>IF('Operating Statement'!P4="-"," ",'Operating Statement'!P4)</f>
        <v>2029-30</v>
      </c>
      <c r="Q4" s="89" t="str">
        <f>IF('Operating Statement'!Q4="-"," ",'Operating Statement'!Q4)</f>
        <v>2030-31</v>
      </c>
      <c r="R4" s="89" t="str">
        <f>IF('Operating Statement'!R4="-"," ",'Operating Statement'!R4)</f>
        <v>2031-32</v>
      </c>
      <c r="S4" s="89" t="str">
        <f>IF('Operating Statement'!S4="-"," ",'Operating Statement'!S4)</f>
        <v>2032-33</v>
      </c>
      <c r="T4" s="89" t="str">
        <f>IF('Operating Statement'!T4="-"," ",'Operating Statement'!T4)</f>
        <v>2033-34</v>
      </c>
      <c r="U4" s="89" t="str">
        <f>IF('Operating Statement'!U4="-"," ",'Operating Statement'!U4)</f>
        <v>2034-35</v>
      </c>
      <c r="V4" s="89" t="str">
        <f>IF('Operating Statement'!V4="-"," ",'Operating Statement'!V4)</f>
        <v>2035-36</v>
      </c>
      <c r="W4" s="89" t="str">
        <f>IF('Operating Statement'!W4="-"," ",'Operating Statement'!W4)</f>
        <v>2036-37</v>
      </c>
      <c r="X4" s="89" t="str">
        <f>IF('Operating Statement'!X4="-"," ",'Operating Statement'!X4)</f>
        <v>2037-38</v>
      </c>
      <c r="Y4" s="89" t="str">
        <f>IF('Operating Statement'!Y4="-"," ",'Operating Statement'!Y4)</f>
        <v>2038-39</v>
      </c>
      <c r="Z4" s="89" t="str">
        <f>IF('Operating Statement'!Z4="-"," ",'Operating Statement'!Z4)</f>
        <v>2039-40</v>
      </c>
      <c r="AA4" s="89" t="str">
        <f>IF('Operating Statement'!AA4="-"," ",'Operating Statement'!AA4)</f>
        <v>2040-41</v>
      </c>
      <c r="AB4" s="89" t="str">
        <f>IF('Operating Statement'!AB4="-"," ",'Operating Statement'!AB4)</f>
        <v xml:space="preserve"> </v>
      </c>
      <c r="AC4" s="89" t="str">
        <f>IF('Operating Statement'!AC4="-"," ",'Operating Statement'!AC4)</f>
        <v xml:space="preserve"> </v>
      </c>
      <c r="AD4" s="89" t="str">
        <f>IF('Operating Statement'!AD4="-"," ",'Operating Statement'!AD4)</f>
        <v xml:space="preserve"> </v>
      </c>
      <c r="BB4" s="86"/>
      <c r="BC4" s="86" t="s">
        <v>799</v>
      </c>
    </row>
    <row r="5" spans="1:55" s="81" customFormat="1" ht="28.8">
      <c r="A5" s="91" t="s">
        <v>802</v>
      </c>
      <c r="B5" s="91" t="s">
        <v>803</v>
      </c>
      <c r="C5" s="92" t="s">
        <v>804</v>
      </c>
      <c r="D5" s="92" t="s">
        <v>804</v>
      </c>
      <c r="E5" s="92" t="s">
        <v>804</v>
      </c>
      <c r="F5" s="92" t="s">
        <v>804</v>
      </c>
      <c r="G5" s="92" t="s">
        <v>804</v>
      </c>
      <c r="H5" s="92" t="s">
        <v>804</v>
      </c>
      <c r="I5" s="92" t="s">
        <v>804</v>
      </c>
      <c r="J5" s="92" t="s">
        <v>804</v>
      </c>
      <c r="K5" s="92" t="s">
        <v>804</v>
      </c>
      <c r="L5" s="92" t="s">
        <v>804</v>
      </c>
      <c r="M5" s="92" t="s">
        <v>804</v>
      </c>
      <c r="N5" s="92" t="s">
        <v>804</v>
      </c>
      <c r="O5" s="92" t="s">
        <v>804</v>
      </c>
      <c r="P5" s="92" t="s">
        <v>804</v>
      </c>
      <c r="Q5" s="92" t="s">
        <v>804</v>
      </c>
      <c r="R5" s="92" t="s">
        <v>804</v>
      </c>
      <c r="S5" s="92" t="s">
        <v>804</v>
      </c>
      <c r="T5" s="92" t="s">
        <v>804</v>
      </c>
      <c r="U5" s="92" t="s">
        <v>804</v>
      </c>
      <c r="V5" s="92" t="s">
        <v>804</v>
      </c>
      <c r="W5" s="92" t="s">
        <v>804</v>
      </c>
      <c r="X5" s="92" t="s">
        <v>804</v>
      </c>
      <c r="Y5" s="92" t="s">
        <v>804</v>
      </c>
      <c r="Z5" s="92" t="s">
        <v>804</v>
      </c>
      <c r="AA5" s="92" t="s">
        <v>804</v>
      </c>
      <c r="AB5" s="92" t="s">
        <v>804</v>
      </c>
      <c r="AC5" s="92" t="s">
        <v>804</v>
      </c>
      <c r="AD5" s="92" t="s">
        <v>804</v>
      </c>
      <c r="BA5" s="80"/>
      <c r="BB5" s="118"/>
    </row>
    <row r="6" spans="1:55" s="82" customFormat="1" ht="28.8">
      <c r="A6" s="93" t="s">
        <v>600</v>
      </c>
      <c r="B6" s="94" t="s">
        <v>1026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</row>
    <row r="7" spans="1:55">
      <c r="A7" s="96"/>
      <c r="B7" s="97" t="s">
        <v>1027</v>
      </c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BC7" s="80"/>
    </row>
    <row r="8" spans="1:55">
      <c r="A8" s="96">
        <v>1</v>
      </c>
      <c r="B8" s="99" t="s">
        <v>1028</v>
      </c>
      <c r="C8" s="100">
        <v>0</v>
      </c>
      <c r="D8" s="100">
        <v>0</v>
      </c>
      <c r="E8" s="100">
        <v>0</v>
      </c>
      <c r="F8" s="100">
        <v>0</v>
      </c>
      <c r="G8" s="100">
        <v>0</v>
      </c>
      <c r="H8" s="100">
        <v>0</v>
      </c>
      <c r="I8" s="100">
        <v>0</v>
      </c>
      <c r="J8" s="100">
        <v>0</v>
      </c>
      <c r="K8" s="100">
        <v>0</v>
      </c>
      <c r="L8" s="100">
        <v>0</v>
      </c>
      <c r="M8" s="100">
        <v>0</v>
      </c>
      <c r="N8" s="100">
        <v>0</v>
      </c>
      <c r="O8" s="100">
        <v>0</v>
      </c>
      <c r="P8" s="100">
        <v>0</v>
      </c>
      <c r="Q8" s="100">
        <v>0</v>
      </c>
      <c r="R8" s="100">
        <v>0</v>
      </c>
      <c r="S8" s="100">
        <v>0</v>
      </c>
      <c r="T8" s="100">
        <v>0</v>
      </c>
      <c r="U8" s="100">
        <v>0</v>
      </c>
      <c r="V8" s="100">
        <v>0</v>
      </c>
      <c r="W8" s="100">
        <v>0</v>
      </c>
      <c r="X8" s="100">
        <v>0</v>
      </c>
      <c r="Y8" s="100">
        <v>0</v>
      </c>
      <c r="Z8" s="100">
        <v>0</v>
      </c>
      <c r="AA8" s="100">
        <v>0</v>
      </c>
      <c r="AB8" s="100"/>
      <c r="AC8" s="100"/>
      <c r="AD8" s="100"/>
    </row>
    <row r="9" spans="1:55">
      <c r="A9" s="96"/>
      <c r="B9" s="101" t="s">
        <v>1029</v>
      </c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</row>
    <row r="10" spans="1:55">
      <c r="A10" s="96">
        <v>2</v>
      </c>
      <c r="B10" s="99" t="s">
        <v>1030</v>
      </c>
      <c r="C10" s="103">
        <f>Financials!E99</f>
        <v>5306.0933000000005</v>
      </c>
      <c r="D10" s="103">
        <f>Financials!H99</f>
        <v>5103.5200000000004</v>
      </c>
      <c r="E10" s="103">
        <f>Financials!I99</f>
        <v>3702.57</v>
      </c>
      <c r="F10" s="103">
        <f>Financials!J99</f>
        <v>3279.84</v>
      </c>
      <c r="G10" s="103">
        <f>Financials!K99</f>
        <v>2825.19</v>
      </c>
      <c r="H10" s="103">
        <f>Financials!L99</f>
        <v>107.18</v>
      </c>
      <c r="I10" s="103">
        <f>Financials!M99</f>
        <v>107.18</v>
      </c>
      <c r="J10" s="103" t="e">
        <f ca="1">Financials!N99</f>
        <v>#DIV/0!</v>
      </c>
      <c r="K10" s="103" t="e">
        <f ca="1">Financials!O99</f>
        <v>#DIV/0!</v>
      </c>
      <c r="L10" s="103" t="e">
        <f ca="1">Financials!P99</f>
        <v>#DIV/0!</v>
      </c>
      <c r="M10" s="103" t="e">
        <f ca="1">Financials!Q99</f>
        <v>#DIV/0!</v>
      </c>
      <c r="N10" s="103" t="e">
        <f ca="1">Financials!R99</f>
        <v>#DIV/0!</v>
      </c>
      <c r="O10" s="103" t="e">
        <f ca="1">Financials!S99</f>
        <v>#DIV/0!</v>
      </c>
      <c r="P10" s="103" t="e">
        <f ca="1">Financials!T99</f>
        <v>#DIV/0!</v>
      </c>
      <c r="Q10" s="103" t="e">
        <f ca="1">Financials!U99</f>
        <v>#DIV/0!</v>
      </c>
      <c r="R10" s="103" t="e">
        <f ca="1">Financials!V99</f>
        <v>#DIV/0!</v>
      </c>
      <c r="S10" s="103" t="e">
        <f ca="1">Financials!W99</f>
        <v>#DIV/0!</v>
      </c>
      <c r="T10" s="103" t="e">
        <f ca="1">Financials!X99</f>
        <v>#DIV/0!</v>
      </c>
      <c r="U10" s="103" t="e">
        <f ca="1">Financials!Y99</f>
        <v>#DIV/0!</v>
      </c>
      <c r="V10" s="103" t="e">
        <f ca="1">Financials!Z99</f>
        <v>#DIV/0!</v>
      </c>
      <c r="W10" s="103" t="e">
        <f ca="1">Financials!AA99</f>
        <v>#DIV/0!</v>
      </c>
      <c r="X10" s="103" t="e">
        <f ca="1">Financials!AB99</f>
        <v>#DIV/0!</v>
      </c>
      <c r="Y10" s="103" t="e">
        <f ca="1">Financials!AC99</f>
        <v>#DIV/0!</v>
      </c>
      <c r="Z10" s="103" t="e">
        <f ca="1">Financials!AD99</f>
        <v>#DIV/0!</v>
      </c>
      <c r="AA10" s="103" t="e">
        <f ca="1">Financials!AE99</f>
        <v>#DIV/0!</v>
      </c>
      <c r="AB10" s="103"/>
      <c r="AC10" s="103"/>
      <c r="AD10" s="103"/>
    </row>
    <row r="11" spans="1:55">
      <c r="A11" s="96">
        <v>3</v>
      </c>
      <c r="B11" s="99" t="s">
        <v>1031</v>
      </c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</row>
    <row r="12" spans="1:55">
      <c r="A12" s="96">
        <v>4</v>
      </c>
      <c r="B12" s="104" t="s">
        <v>1032</v>
      </c>
      <c r="C12" s="105">
        <f t="shared" ref="C12:AD12" si="0">C10+C11</f>
        <v>5306.0933000000005</v>
      </c>
      <c r="D12" s="105">
        <f t="shared" si="0"/>
        <v>5103.5200000000004</v>
      </c>
      <c r="E12" s="105">
        <f t="shared" si="0"/>
        <v>3702.57</v>
      </c>
      <c r="F12" s="105">
        <f t="shared" si="0"/>
        <v>3279.84</v>
      </c>
      <c r="G12" s="105">
        <f t="shared" si="0"/>
        <v>2825.19</v>
      </c>
      <c r="H12" s="105">
        <f t="shared" si="0"/>
        <v>107.18</v>
      </c>
      <c r="I12" s="105">
        <f t="shared" si="0"/>
        <v>107.18</v>
      </c>
      <c r="J12" s="105" t="e">
        <f t="shared" ca="1" si="0"/>
        <v>#DIV/0!</v>
      </c>
      <c r="K12" s="105" t="e">
        <f t="shared" ca="1" si="0"/>
        <v>#DIV/0!</v>
      </c>
      <c r="L12" s="105" t="e">
        <f t="shared" ca="1" si="0"/>
        <v>#DIV/0!</v>
      </c>
      <c r="M12" s="105" t="e">
        <f t="shared" ca="1" si="0"/>
        <v>#DIV/0!</v>
      </c>
      <c r="N12" s="105" t="e">
        <f t="shared" ca="1" si="0"/>
        <v>#DIV/0!</v>
      </c>
      <c r="O12" s="105" t="e">
        <f t="shared" ca="1" si="0"/>
        <v>#DIV/0!</v>
      </c>
      <c r="P12" s="105" t="e">
        <f t="shared" ca="1" si="0"/>
        <v>#DIV/0!</v>
      </c>
      <c r="Q12" s="105" t="e">
        <f t="shared" ca="1" si="0"/>
        <v>#DIV/0!</v>
      </c>
      <c r="R12" s="105" t="e">
        <f t="shared" ca="1" si="0"/>
        <v>#DIV/0!</v>
      </c>
      <c r="S12" s="105" t="e">
        <f t="shared" ca="1" si="0"/>
        <v>#DIV/0!</v>
      </c>
      <c r="T12" s="105" t="e">
        <f t="shared" ca="1" si="0"/>
        <v>#DIV/0!</v>
      </c>
      <c r="U12" s="105" t="e">
        <f t="shared" ca="1" si="0"/>
        <v>#DIV/0!</v>
      </c>
      <c r="V12" s="105" t="e">
        <f t="shared" ca="1" si="0"/>
        <v>#DIV/0!</v>
      </c>
      <c r="W12" s="105" t="e">
        <f t="shared" ca="1" si="0"/>
        <v>#DIV/0!</v>
      </c>
      <c r="X12" s="105" t="e">
        <f t="shared" ca="1" si="0"/>
        <v>#DIV/0!</v>
      </c>
      <c r="Y12" s="105" t="e">
        <f t="shared" ca="1" si="0"/>
        <v>#DIV/0!</v>
      </c>
      <c r="Z12" s="105" t="e">
        <f t="shared" ca="1" si="0"/>
        <v>#DIV/0!</v>
      </c>
      <c r="AA12" s="105" t="e">
        <f t="shared" ca="1" si="0"/>
        <v>#DIV/0!</v>
      </c>
      <c r="AB12" s="105">
        <f t="shared" si="0"/>
        <v>0</v>
      </c>
      <c r="AC12" s="105">
        <f t="shared" si="0"/>
        <v>0</v>
      </c>
      <c r="AD12" s="105">
        <f t="shared" si="0"/>
        <v>0</v>
      </c>
    </row>
    <row r="13" spans="1:55">
      <c r="A13" s="96">
        <v>5</v>
      </c>
      <c r="B13" s="99" t="s">
        <v>1033</v>
      </c>
      <c r="C13" s="103">
        <f>Financials!E20</f>
        <v>920.92</v>
      </c>
      <c r="D13" s="103">
        <f>Financials!H20</f>
        <v>0</v>
      </c>
      <c r="E13" s="103">
        <f>Financials!I20</f>
        <v>0</v>
      </c>
      <c r="F13" s="103">
        <f>Financials!J20</f>
        <v>0</v>
      </c>
      <c r="G13" s="103">
        <f>Financials!K20</f>
        <v>0</v>
      </c>
      <c r="H13" s="103">
        <f>Financials!L20</f>
        <v>0</v>
      </c>
      <c r="I13" s="103">
        <f>Financials!M20</f>
        <v>0</v>
      </c>
      <c r="J13" s="103">
        <f>Financials!N20</f>
        <v>0</v>
      </c>
      <c r="K13" s="103">
        <f>Financials!O20</f>
        <v>0</v>
      </c>
      <c r="L13" s="103">
        <f>Financials!P20</f>
        <v>0</v>
      </c>
      <c r="M13" s="103">
        <f>Financials!Q20</f>
        <v>0</v>
      </c>
      <c r="N13" s="103">
        <f>Financials!R20</f>
        <v>0</v>
      </c>
      <c r="O13" s="103">
        <f>Financials!S20</f>
        <v>0</v>
      </c>
      <c r="P13" s="103">
        <f>Financials!T20</f>
        <v>0</v>
      </c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</row>
    <row r="14" spans="1:55">
      <c r="A14" s="96">
        <v>6</v>
      </c>
      <c r="B14" s="99" t="s">
        <v>1034</v>
      </c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</row>
    <row r="15" spans="1:55">
      <c r="A15" s="96">
        <v>7</v>
      </c>
      <c r="B15" s="106" t="s">
        <v>1035</v>
      </c>
      <c r="C15" s="107">
        <f t="shared" ref="C15:AD15" si="1">C13+C14</f>
        <v>920.92</v>
      </c>
      <c r="D15" s="107">
        <f t="shared" si="1"/>
        <v>0</v>
      </c>
      <c r="E15" s="107">
        <f t="shared" si="1"/>
        <v>0</v>
      </c>
      <c r="F15" s="107">
        <f t="shared" si="1"/>
        <v>0</v>
      </c>
      <c r="G15" s="107">
        <f t="shared" si="1"/>
        <v>0</v>
      </c>
      <c r="H15" s="107">
        <f t="shared" si="1"/>
        <v>0</v>
      </c>
      <c r="I15" s="107">
        <f t="shared" si="1"/>
        <v>0</v>
      </c>
      <c r="J15" s="107">
        <f t="shared" si="1"/>
        <v>0</v>
      </c>
      <c r="K15" s="107">
        <f t="shared" si="1"/>
        <v>0</v>
      </c>
      <c r="L15" s="107">
        <f t="shared" si="1"/>
        <v>0</v>
      </c>
      <c r="M15" s="107">
        <f t="shared" si="1"/>
        <v>0</v>
      </c>
      <c r="N15" s="107">
        <f t="shared" si="1"/>
        <v>0</v>
      </c>
      <c r="O15" s="107">
        <f t="shared" si="1"/>
        <v>0</v>
      </c>
      <c r="P15" s="107">
        <f t="shared" si="1"/>
        <v>0</v>
      </c>
      <c r="Q15" s="107">
        <f t="shared" si="1"/>
        <v>0</v>
      </c>
      <c r="R15" s="107">
        <f t="shared" si="1"/>
        <v>0</v>
      </c>
      <c r="S15" s="107">
        <f t="shared" si="1"/>
        <v>0</v>
      </c>
      <c r="T15" s="107">
        <f t="shared" si="1"/>
        <v>0</v>
      </c>
      <c r="U15" s="107">
        <f t="shared" si="1"/>
        <v>0</v>
      </c>
      <c r="V15" s="107">
        <f t="shared" si="1"/>
        <v>0</v>
      </c>
      <c r="W15" s="107">
        <f t="shared" si="1"/>
        <v>0</v>
      </c>
      <c r="X15" s="107">
        <f t="shared" si="1"/>
        <v>0</v>
      </c>
      <c r="Y15" s="107">
        <f t="shared" si="1"/>
        <v>0</v>
      </c>
      <c r="Z15" s="107">
        <f t="shared" si="1"/>
        <v>0</v>
      </c>
      <c r="AA15" s="107">
        <f t="shared" si="1"/>
        <v>0</v>
      </c>
      <c r="AB15" s="107">
        <f t="shared" si="1"/>
        <v>0</v>
      </c>
      <c r="AC15" s="107">
        <f t="shared" si="1"/>
        <v>0</v>
      </c>
      <c r="AD15" s="107">
        <f t="shared" si="1"/>
        <v>0</v>
      </c>
    </row>
    <row r="16" spans="1:55">
      <c r="A16" s="96">
        <v>8</v>
      </c>
      <c r="B16" s="99" t="s">
        <v>1036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</row>
    <row r="17" spans="1:30">
      <c r="A17" s="96">
        <v>9</v>
      </c>
      <c r="B17" s="99" t="s">
        <v>1037</v>
      </c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</row>
    <row r="18" spans="1:30">
      <c r="A18" s="96"/>
      <c r="B18" s="97" t="s">
        <v>1038</v>
      </c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1:30">
      <c r="A19" s="96">
        <v>10</v>
      </c>
      <c r="B19" s="99" t="s">
        <v>1039</v>
      </c>
      <c r="C19" s="103"/>
      <c r="D19" s="103">
        <f>(AVERAGE(Assum!D11:D12)*9+AVERAGE(Assum!B11:C11)*3)/12</f>
        <v>0.51249999999999996</v>
      </c>
      <c r="E19" s="103">
        <f>AVERAGE(Assum!$D$11:$D$12)</f>
        <v>0.47499999999999998</v>
      </c>
      <c r="F19" s="103">
        <f>AVERAGE(Assum!$D$11:$D$12)</f>
        <v>0.47499999999999998</v>
      </c>
      <c r="G19" s="103">
        <f>AVERAGE(Assum!$D$11:$D$12)</f>
        <v>0.47499999999999998</v>
      </c>
      <c r="H19" s="103">
        <f>AVERAGE(Assum!$D$11:$D$12)</f>
        <v>0.47499999999999998</v>
      </c>
      <c r="I19" s="103">
        <f>AVERAGE(Assum!$D$11:$D$12)</f>
        <v>0.47499999999999998</v>
      </c>
      <c r="J19" s="103">
        <f>AVERAGE(Assum!$D$11:$D$12)</f>
        <v>0.47499999999999998</v>
      </c>
      <c r="K19" s="103">
        <f>AVERAGE(Assum!$D$11:$D$12)</f>
        <v>0.47499999999999998</v>
      </c>
      <c r="L19" s="103">
        <f>AVERAGE(Assum!$D$11:$D$12)</f>
        <v>0.47499999999999998</v>
      </c>
      <c r="M19" s="103">
        <f>AVERAGE(Assum!$D$11:$D$12)</f>
        <v>0.47499999999999998</v>
      </c>
      <c r="N19" s="103">
        <f>AVERAGE(Assum!$D$11:$D$12)</f>
        <v>0.47499999999999998</v>
      </c>
      <c r="O19" s="103">
        <f>AVERAGE(Assum!$D$11:$D$12)</f>
        <v>0.47499999999999998</v>
      </c>
      <c r="P19" s="103">
        <f>AVERAGE(Assum!$D$11:$D$12)</f>
        <v>0.47499999999999998</v>
      </c>
      <c r="Q19" s="103">
        <f>AVERAGE(Assum!$D$11:$D$12)</f>
        <v>0.47499999999999998</v>
      </c>
      <c r="R19" s="103">
        <f>AVERAGE(Assum!$D$11:$D$12)</f>
        <v>0.47499999999999998</v>
      </c>
      <c r="S19" s="103">
        <f>AVERAGE(Assum!$D$11:$D$12)</f>
        <v>0.47499999999999998</v>
      </c>
      <c r="T19" s="103">
        <f>AVERAGE(Assum!$D$11:$D$12)</f>
        <v>0.47499999999999998</v>
      </c>
      <c r="U19" s="103">
        <f>AVERAGE(Assum!$D$11:$D$12)</f>
        <v>0.47499999999999998</v>
      </c>
      <c r="V19" s="103">
        <f>AVERAGE(Assum!$D$11:$D$12)</f>
        <v>0.47499999999999998</v>
      </c>
      <c r="W19" s="103">
        <f>AVERAGE(Assum!$D$11:$D$12)</f>
        <v>0.47499999999999998</v>
      </c>
      <c r="X19" s="103">
        <f>AVERAGE(Assum!$D$11:$D$12)</f>
        <v>0.47499999999999998</v>
      </c>
      <c r="Y19" s="103">
        <f>AVERAGE(Assum!$D$11:$D$12)</f>
        <v>0.47499999999999998</v>
      </c>
      <c r="Z19" s="103">
        <f>AVERAGE(Assum!$D$11:$D$12)</f>
        <v>0.47499999999999998</v>
      </c>
      <c r="AA19" s="103">
        <f>AVERAGE(Assum!$D$11:$D$12)</f>
        <v>0.47499999999999998</v>
      </c>
      <c r="AB19" s="103"/>
      <c r="AC19" s="103"/>
      <c r="AD19" s="103"/>
    </row>
    <row r="20" spans="1:30">
      <c r="A20" s="96">
        <v>11</v>
      </c>
      <c r="B20" s="99" t="s">
        <v>1040</v>
      </c>
      <c r="C20" s="103"/>
      <c r="D20" s="103">
        <f>Gen!F34+Gen!D34+Gen!F8+Gen!D8</f>
        <v>6244.6913999999997</v>
      </c>
      <c r="E20" s="103">
        <f>Gen!G8+Gen!G34</f>
        <v>8354.9016000000011</v>
      </c>
      <c r="F20" s="103">
        <f>Gen!H8+Gen!H34</f>
        <v>8332.0740000000005</v>
      </c>
      <c r="G20" s="103">
        <f>Gen!I8+Gen!I34</f>
        <v>8332.0740000000005</v>
      </c>
      <c r="H20" s="103">
        <f>Gen!J8+Gen!J34</f>
        <v>8332.0740000000005</v>
      </c>
      <c r="I20" s="103">
        <f>Gen!K8+Gen!K34</f>
        <v>5406.112799999999</v>
      </c>
      <c r="J20" s="103">
        <f>Gen!L8+Gen!L34</f>
        <v>5391.3420000000006</v>
      </c>
      <c r="K20" s="103">
        <f>Gen!M8+Gen!M34</f>
        <v>5391.3420000000006</v>
      </c>
      <c r="L20" s="103">
        <f>Gen!N8+Gen!N34</f>
        <v>5636.4030000000002</v>
      </c>
      <c r="M20" s="103">
        <f>Gen!O8+Gen!O34</f>
        <v>5651.8451999999997</v>
      </c>
      <c r="N20" s="103">
        <f>Gen!P8+Gen!P34</f>
        <v>5881.4639999999999</v>
      </c>
      <c r="O20" s="103">
        <f>Gen!Q8+Gen!Q34</f>
        <v>5881.4639999999999</v>
      </c>
      <c r="P20" s="103">
        <f>Gen!R8+Gen!R34</f>
        <v>6126.5249999999996</v>
      </c>
      <c r="Q20" s="103">
        <f>Gen!S8+Gen!S34</f>
        <v>6143.31</v>
      </c>
      <c r="R20" s="103">
        <f>Gen!T8+Gen!T34</f>
        <v>6371.5860000000011</v>
      </c>
      <c r="S20" s="103">
        <f>Gen!U8+Gen!U34</f>
        <v>6371.5860000000011</v>
      </c>
      <c r="T20" s="103">
        <f>Gen!V8+Gen!V34</f>
        <v>6616.6470000000008</v>
      </c>
      <c r="U20" s="103">
        <f>Gen!W8+Gen!W34</f>
        <v>6634.7748000000011</v>
      </c>
      <c r="V20" s="103">
        <f>Gen!X8+Gen!X34</f>
        <v>6763.6836000000012</v>
      </c>
      <c r="W20" s="103">
        <f>Gen!Y8+Gen!Y34</f>
        <v>6861.7080000000005</v>
      </c>
      <c r="X20" s="103">
        <f>Gen!Z8+Gen!Z34</f>
        <v>6861.7080000000005</v>
      </c>
      <c r="Y20" s="103">
        <f>Gen!AA8+Gen!AA34</f>
        <v>5940.5472000000009</v>
      </c>
      <c r="Z20" s="103">
        <f>Gen!AB8+Gen!AB34</f>
        <v>2697.6852000000003</v>
      </c>
      <c r="AA20" s="103">
        <f>Gen!AC8+Gen!AC34</f>
        <v>0.78415300546448086</v>
      </c>
      <c r="AB20" s="103"/>
      <c r="AC20" s="103"/>
      <c r="AD20" s="103"/>
    </row>
    <row r="21" spans="1:30">
      <c r="A21" s="96">
        <v>12</v>
      </c>
      <c r="B21" s="99" t="s">
        <v>1041</v>
      </c>
      <c r="C21" s="103"/>
      <c r="D21" s="103" t="e">
        <f>AVERAGE(Gen!F63,Gen!F77)</f>
        <v>#REF!</v>
      </c>
      <c r="E21" s="103" t="e">
        <f>AVERAGE(Gen!G63,Gen!G77)</f>
        <v>#REF!</v>
      </c>
      <c r="F21" s="103" t="e">
        <f>AVERAGE(Gen!H63,Gen!H77)</f>
        <v>#REF!</v>
      </c>
      <c r="G21" s="103" t="e">
        <f>AVERAGE(Gen!I63,Gen!I77)</f>
        <v>#REF!</v>
      </c>
      <c r="H21" s="103" t="e">
        <f>AVERAGE(Gen!J63,Gen!J77)</f>
        <v>#REF!</v>
      </c>
      <c r="I21" s="103">
        <f>AVERAGE(Gen!K63,Gen!K77)</f>
        <v>6.0339999999999989</v>
      </c>
      <c r="J21" s="103">
        <f>AVERAGE(Gen!L63,Gen!L77)</f>
        <v>6.0339999999999989</v>
      </c>
      <c r="K21" s="103">
        <f>AVERAGE(Gen!M63,Gen!M77)</f>
        <v>6.0339999999999989</v>
      </c>
      <c r="L21" s="103">
        <f>AVERAGE(Gen!N63,Gen!N77)</f>
        <v>6.3356999999999992</v>
      </c>
      <c r="M21" s="103">
        <f>AVERAGE(Gen!O63,Gen!O77)</f>
        <v>6.3356999999999992</v>
      </c>
      <c r="N21" s="103">
        <f>AVERAGE(Gen!P63,Gen!P77)</f>
        <v>6.335700000000001</v>
      </c>
      <c r="O21" s="103">
        <f>AVERAGE(Gen!Q63,Gen!Q77)</f>
        <v>6.6524850000000004</v>
      </c>
      <c r="P21" s="103">
        <f>AVERAGE(Gen!R63,Gen!R77)</f>
        <v>6.6524850000000004</v>
      </c>
      <c r="Q21" s="103">
        <f>AVERAGE(Gen!S63,Gen!S77)</f>
        <v>6.6524850000000004</v>
      </c>
      <c r="R21" s="103">
        <f>AVERAGE(Gen!T63,Gen!T77)</f>
        <v>6.9851092500000007</v>
      </c>
      <c r="S21" s="103">
        <f>AVERAGE(Gen!U63,Gen!U77)</f>
        <v>6.9851092500000007</v>
      </c>
      <c r="T21" s="103">
        <f>AVERAGE(Gen!V63,Gen!V77)</f>
        <v>6.9851092500000007</v>
      </c>
      <c r="U21" s="103">
        <f>AVERAGE(Gen!W63,Gen!W77)</f>
        <v>7.3343647125000002</v>
      </c>
      <c r="V21" s="103">
        <f>AVERAGE(Gen!X63,Gen!X77)</f>
        <v>7.3343647125000011</v>
      </c>
      <c r="W21" s="103">
        <f>AVERAGE(Gen!Y63,Gen!Y77)</f>
        <v>7.3343647125000011</v>
      </c>
      <c r="X21" s="103">
        <f>AVERAGE(Gen!Z63,Gen!Z77)</f>
        <v>7.7010829481250012</v>
      </c>
      <c r="Y21" s="103">
        <f>AVERAGE(Gen!AA63,Gen!AA77)</f>
        <v>7.7010829481250003</v>
      </c>
      <c r="Z21" s="103">
        <f>AVERAGE(Gen!AB63,Gen!AB77)</f>
        <v>7.7010829481250003</v>
      </c>
      <c r="AA21" s="103" t="e">
        <f>AVERAGE(Gen!AC63,Gen!AC77)</f>
        <v>#DIV/0!</v>
      </c>
      <c r="AB21" s="103"/>
      <c r="AC21" s="103"/>
      <c r="AD21" s="103"/>
    </row>
    <row r="22" spans="1:30">
      <c r="A22" s="96">
        <v>13</v>
      </c>
      <c r="B22" s="99" t="s">
        <v>1042</v>
      </c>
      <c r="C22" s="103"/>
      <c r="D22" s="103">
        <f>AVERAGE(Gen!F68+Gen!F69,Gen!F82+Gen!F83)</f>
        <v>6.4152856271255949</v>
      </c>
      <c r="E22" s="103">
        <f>AVERAGE(Gen!G68+Gen!G69,Gen!G82+Gen!G83)</f>
        <v>6.5449306732794668</v>
      </c>
      <c r="F22" s="103">
        <f>AVERAGE(Gen!H68+Gen!H69,Gen!H82+Gen!H83)</f>
        <v>6.6773743907021608</v>
      </c>
      <c r="G22" s="103">
        <f>AVERAGE(Gen!I68+Gen!I69,Gen!I82+Gen!I83)</f>
        <v>6.8126809836328839</v>
      </c>
      <c r="H22" s="103">
        <f>AVERAGE(Gen!J68+Gen!J69,Gen!J82+Gen!J83)</f>
        <v>6.9509162696281788</v>
      </c>
      <c r="I22" s="103">
        <f>AVERAGE(Gen!K68+Gen!K69,Gen!K82+Gen!K83)</f>
        <v>7.0921477249975782</v>
      </c>
      <c r="J22" s="103">
        <f>AVERAGE(Gen!L68+Gen!L69,Gen!L82+Gen!L83)</f>
        <v>7.2364445316747279</v>
      </c>
      <c r="K22" s="103">
        <f>AVERAGE(Gen!M68+Gen!M69,Gen!M82+Gen!M83)</f>
        <v>7.383877625573799</v>
      </c>
      <c r="L22" s="103">
        <f>AVERAGE(Gen!N68+Gen!N69,Gen!N82+Gen!N83)</f>
        <v>7.5345197464827649</v>
      </c>
      <c r="M22" s="103">
        <f>AVERAGE(Gen!O68+Gen!O69,Gen!O82+Gen!O83)</f>
        <v>7.6884454895471022</v>
      </c>
      <c r="N22" s="103">
        <f>AVERAGE(Gen!P68+Gen!P69,Gen!P82+Gen!P83)</f>
        <v>7.8457313583994042</v>
      </c>
      <c r="O22" s="103">
        <f>AVERAGE(Gen!Q68+Gen!Q69,Gen!Q82+Gen!Q83)</f>
        <v>8.0064558199924978</v>
      </c>
      <c r="P22" s="103">
        <f>AVERAGE(Gen!R68+Gen!R69,Gen!R82+Gen!R83)</f>
        <v>8.1706993611957444</v>
      </c>
      <c r="Q22" s="103">
        <f>AVERAGE(Gen!S68+Gen!S69,Gen!S82+Gen!S83)</f>
        <v>8.3385445472164896</v>
      </c>
      <c r="R22" s="103">
        <f>AVERAGE(Gen!T68+Gen!T69,Gen!T82+Gen!T83)</f>
        <v>8.5100760819108068</v>
      </c>
      <c r="S22" s="103">
        <f>AVERAGE(Gen!U68+Gen!U69,Gen!U82+Gen!U83)</f>
        <v>8.6853808700503059</v>
      </c>
      <c r="T22" s="103">
        <f>AVERAGE(Gen!V68+Gen!V69,Gen!V82+Gen!V83)</f>
        <v>8.8645480816139326</v>
      </c>
      <c r="U22" s="103">
        <f>AVERAGE(Gen!W68+Gen!W69,Gen!W82+Gen!W83)</f>
        <v>9.0476692181766349</v>
      </c>
      <c r="V22" s="103">
        <f>AVERAGE(Gen!X68+Gen!X69,Gen!X82+Gen!X83)</f>
        <v>9.2348381814690885</v>
      </c>
      <c r="W22" s="103">
        <f>AVERAGE(Gen!Y68+Gen!Y69,Gen!Y82+Gen!Y83)</f>
        <v>9.4261513441858504</v>
      </c>
      <c r="X22" s="103">
        <f>AVERAGE(Gen!Z68+Gen!Z69,Gen!Z82+Gen!Z83)</f>
        <v>9.621707623121722</v>
      </c>
      <c r="Y22" s="103">
        <f>AVERAGE(Gen!AA68+Gen!AA69,Gen!AA82+Gen!AA83)</f>
        <v>9.8216085547196972</v>
      </c>
      <c r="Z22" s="103">
        <f>AVERAGE(Gen!AB68+Gen!AB69,Gen!AB82+Gen!AB83)</f>
        <v>4.9022590032555042</v>
      </c>
      <c r="AA22" s="103">
        <f>Gen!AC82+Gen!AC83</f>
        <v>0</v>
      </c>
      <c r="AB22" s="103"/>
      <c r="AC22" s="103"/>
      <c r="AD22" s="103"/>
    </row>
    <row r="23" spans="1:30">
      <c r="A23" s="96">
        <v>14</v>
      </c>
      <c r="B23" s="99" t="s">
        <v>1043</v>
      </c>
      <c r="C23" s="103"/>
      <c r="D23" s="103" t="e">
        <f>Financials!H8+Financials!H9+Financials!#REF!+Financials!#REF!+Financials!H21+Financials!H23</f>
        <v>#REF!</v>
      </c>
      <c r="E23" s="103" t="e">
        <f>Financials!I8+Financials!I9+Financials!#REF!+Financials!#REF!+Financials!I21+Financials!I23</f>
        <v>#REF!</v>
      </c>
      <c r="F23" s="103" t="e">
        <f>Financials!J8+Financials!J9+Financials!#REF!+Financials!#REF!+Financials!J21+Financials!J23</f>
        <v>#REF!</v>
      </c>
      <c r="G23" s="103" t="e">
        <f>Financials!K8+Financials!K9+Financials!#REF!+Financials!#REF!+Financials!K21+Financials!K23</f>
        <v>#REF!</v>
      </c>
      <c r="H23" s="103" t="e">
        <f>Financials!L8+Financials!L9+Financials!#REF!+Financials!#REF!+Financials!L21+Financials!L23</f>
        <v>#REF!</v>
      </c>
      <c r="I23" s="103" t="e">
        <f>Financials!M8+Financials!M9+Financials!#REF!+Financials!#REF!+Financials!M21+Financials!M23</f>
        <v>#REF!</v>
      </c>
      <c r="J23" s="103" t="e">
        <f>Financials!N8+Financials!N9+Financials!#REF!+Financials!#REF!+Financials!N21+Financials!N23</f>
        <v>#REF!</v>
      </c>
      <c r="K23" s="103" t="e">
        <f>Financials!O8+Financials!O9+Financials!#REF!+Financials!#REF!+Financials!O21+Financials!O23</f>
        <v>#REF!</v>
      </c>
      <c r="L23" s="103" t="e">
        <f>Financials!P8+Financials!P9+Financials!#REF!+Financials!#REF!+Financials!P21+Financials!P23</f>
        <v>#REF!</v>
      </c>
      <c r="M23" s="103" t="e">
        <f>Financials!Q8+Financials!Q9+Financials!#REF!+Financials!#REF!+Financials!Q21+Financials!Q23</f>
        <v>#REF!</v>
      </c>
      <c r="N23" s="103" t="e">
        <f>Financials!R8+Financials!R9+Financials!#REF!+Financials!#REF!+Financials!R21+Financials!R23</f>
        <v>#REF!</v>
      </c>
      <c r="O23" s="103" t="e">
        <f>Financials!S8+Financials!S9+Financials!#REF!+Financials!#REF!+Financials!S21+Financials!S23</f>
        <v>#REF!</v>
      </c>
      <c r="P23" s="103" t="e">
        <f>Financials!T8+Financials!T9+Financials!#REF!+Financials!#REF!+Financials!T21+Financials!T23</f>
        <v>#REF!</v>
      </c>
      <c r="Q23" s="103" t="e">
        <f>Financials!U8+Financials!U9+Financials!#REF!+Financials!#REF!+Financials!U21+Financials!U23</f>
        <v>#REF!</v>
      </c>
      <c r="R23" s="103" t="e">
        <f>Financials!V8+Financials!V9+Financials!#REF!+Financials!#REF!+Financials!V21+Financials!V23</f>
        <v>#REF!</v>
      </c>
      <c r="S23" s="103" t="e">
        <f>Financials!W8+Financials!W9+Financials!#REF!+Financials!#REF!+Financials!W21+Financials!W23</f>
        <v>#REF!</v>
      </c>
      <c r="T23" s="103" t="e">
        <f>Financials!X8+Financials!X9+Financials!#REF!+Financials!#REF!+Financials!X21+Financials!X23</f>
        <v>#REF!</v>
      </c>
      <c r="U23" s="103" t="e">
        <f>Financials!Y8+Financials!Y9+Financials!#REF!+Financials!#REF!+Financials!Y21+Financials!Y23</f>
        <v>#REF!</v>
      </c>
      <c r="V23" s="103" t="e">
        <f>Financials!Z8+Financials!Z9+Financials!#REF!+Financials!#REF!+Financials!Z21+Financials!Z23</f>
        <v>#REF!</v>
      </c>
      <c r="W23" s="103" t="e">
        <f>Financials!AA8+Financials!AA9+Financials!#REF!+Financials!#REF!+Financials!AA21+Financials!AA23</f>
        <v>#REF!</v>
      </c>
      <c r="X23" s="103" t="e">
        <f>Financials!AB8+Financials!AB9+Financials!#REF!+Financials!#REF!+Financials!AB21+Financials!AB23</f>
        <v>#REF!</v>
      </c>
      <c r="Y23" s="103" t="e">
        <f>Financials!AC8+Financials!AC9+Financials!#REF!+Financials!#REF!+Financials!AC21+Financials!AC23</f>
        <v>#REF!</v>
      </c>
      <c r="Z23" s="103" t="e">
        <f>Financials!AD8+Financials!AD9+Financials!#REF!+Financials!#REF!+Financials!AD21+Financials!AD23</f>
        <v>#REF!</v>
      </c>
      <c r="AA23" s="103" t="e">
        <f>Financials!AE8+Financials!AE9+Financials!#REF!+Financials!#REF!+Financials!AE21+Financials!AE23</f>
        <v>#REF!</v>
      </c>
      <c r="AB23" s="103"/>
      <c r="AC23" s="103"/>
      <c r="AD23" s="103"/>
    </row>
    <row r="24" spans="1:30">
      <c r="A24" s="96">
        <v>15</v>
      </c>
      <c r="B24" s="99" t="s">
        <v>1044</v>
      </c>
      <c r="C24" s="103"/>
      <c r="D24" s="103" t="e">
        <f>Financials!#REF!</f>
        <v>#REF!</v>
      </c>
      <c r="E24" s="103" t="e">
        <f>Financials!#REF!</f>
        <v>#REF!</v>
      </c>
      <c r="F24" s="103" t="e">
        <f>Financials!#REF!</f>
        <v>#REF!</v>
      </c>
      <c r="G24" s="103" t="e">
        <f>Financials!#REF!</f>
        <v>#REF!</v>
      </c>
      <c r="H24" s="103" t="e">
        <f>Financials!#REF!</f>
        <v>#REF!</v>
      </c>
      <c r="I24" s="103" t="e">
        <f>Financials!#REF!</f>
        <v>#REF!</v>
      </c>
      <c r="J24" s="103" t="e">
        <f>Financials!#REF!</f>
        <v>#REF!</v>
      </c>
      <c r="K24" s="103" t="e">
        <f>Financials!#REF!</f>
        <v>#REF!</v>
      </c>
      <c r="L24" s="103" t="e">
        <f>Financials!#REF!</f>
        <v>#REF!</v>
      </c>
      <c r="M24" s="103" t="e">
        <f>Financials!#REF!</f>
        <v>#REF!</v>
      </c>
      <c r="N24" s="103" t="e">
        <f>Financials!#REF!</f>
        <v>#REF!</v>
      </c>
      <c r="O24" s="103" t="e">
        <f>Financials!#REF!</f>
        <v>#REF!</v>
      </c>
      <c r="P24" s="103" t="e">
        <f>Financials!#REF!</f>
        <v>#REF!</v>
      </c>
      <c r="Q24" s="103" t="e">
        <f>Financials!#REF!</f>
        <v>#REF!</v>
      </c>
      <c r="R24" s="103" t="e">
        <f>Financials!#REF!</f>
        <v>#REF!</v>
      </c>
      <c r="S24" s="103" t="e">
        <f>Financials!#REF!</f>
        <v>#REF!</v>
      </c>
      <c r="T24" s="103" t="e">
        <f>Financials!#REF!</f>
        <v>#REF!</v>
      </c>
      <c r="U24" s="103" t="e">
        <f>Financials!#REF!</f>
        <v>#REF!</v>
      </c>
      <c r="V24" s="103" t="e">
        <f>Financials!#REF!</f>
        <v>#REF!</v>
      </c>
      <c r="W24" s="103" t="e">
        <f>Financials!#REF!</f>
        <v>#REF!</v>
      </c>
      <c r="X24" s="103" t="e">
        <f>Financials!#REF!</f>
        <v>#REF!</v>
      </c>
      <c r="Y24" s="103" t="e">
        <f>Financials!#REF!</f>
        <v>#REF!</v>
      </c>
      <c r="Z24" s="103" t="e">
        <f>Financials!#REF!</f>
        <v>#REF!</v>
      </c>
      <c r="AA24" s="103" t="e">
        <f>Financials!#REF!</f>
        <v>#REF!</v>
      </c>
      <c r="AB24" s="103"/>
      <c r="AC24" s="103"/>
      <c r="AD24" s="103"/>
    </row>
    <row r="25" spans="1:30">
      <c r="A25" s="96">
        <v>16</v>
      </c>
      <c r="B25" s="99" t="s">
        <v>1045</v>
      </c>
      <c r="C25" s="103"/>
      <c r="D25" s="103">
        <f>Financials!H26</f>
        <v>0</v>
      </c>
      <c r="E25" s="103">
        <f>Financials!I26</f>
        <v>0</v>
      </c>
      <c r="F25" s="103">
        <f>Financials!J26</f>
        <v>0</v>
      </c>
      <c r="G25" s="103">
        <f>Financials!K26</f>
        <v>169.32</v>
      </c>
      <c r="H25" s="103">
        <f>Financials!L26</f>
        <v>-19.54</v>
      </c>
      <c r="I25" s="103">
        <f>Financials!M26</f>
        <v>-149.78</v>
      </c>
      <c r="J25" s="103">
        <f>Financials!N26</f>
        <v>0</v>
      </c>
      <c r="K25" s="103">
        <f>Financials!O26</f>
        <v>0</v>
      </c>
      <c r="L25" s="103">
        <f>Financials!P26</f>
        <v>0</v>
      </c>
      <c r="M25" s="103">
        <f>Financials!Q26</f>
        <v>0</v>
      </c>
      <c r="N25" s="103">
        <f>Financials!R26</f>
        <v>0</v>
      </c>
      <c r="O25" s="103">
        <f>Financials!S26</f>
        <v>0</v>
      </c>
      <c r="P25" s="103">
        <f>Financials!T26</f>
        <v>0</v>
      </c>
      <c r="Q25" s="103">
        <f>Financials!U26</f>
        <v>0</v>
      </c>
      <c r="R25" s="103">
        <f>Financials!V26</f>
        <v>0</v>
      </c>
      <c r="S25" s="103">
        <f>Financials!W26</f>
        <v>0</v>
      </c>
      <c r="T25" s="103">
        <f>Financials!X26</f>
        <v>0</v>
      </c>
      <c r="U25" s="103">
        <f>Financials!Y26</f>
        <v>0</v>
      </c>
      <c r="V25" s="103">
        <f>Financials!Z26</f>
        <v>0</v>
      </c>
      <c r="W25" s="103">
        <f>Financials!AA26</f>
        <v>0</v>
      </c>
      <c r="X25" s="103">
        <f>Financials!AB26</f>
        <v>0</v>
      </c>
      <c r="Y25" s="103">
        <f>Financials!AC26</f>
        <v>0</v>
      </c>
      <c r="Z25" s="103">
        <f>Financials!AD26</f>
        <v>0</v>
      </c>
      <c r="AA25" s="103">
        <f>Financials!AE26</f>
        <v>0</v>
      </c>
      <c r="AB25" s="103"/>
      <c r="AC25" s="103"/>
      <c r="AD25" s="103"/>
    </row>
    <row r="26" spans="1:30">
      <c r="A26" s="96">
        <v>17</v>
      </c>
      <c r="B26" s="99" t="s">
        <v>1046</v>
      </c>
      <c r="C26" s="103"/>
      <c r="D26" s="103">
        <f>Financials!H19</f>
        <v>200.35</v>
      </c>
      <c r="E26" s="103">
        <f>Financials!I19</f>
        <v>201.57</v>
      </c>
      <c r="F26" s="103">
        <f>Financials!J19</f>
        <v>200.79</v>
      </c>
      <c r="G26" s="103">
        <f>Financials!K19</f>
        <v>200.3</v>
      </c>
      <c r="H26" s="103">
        <f>Financials!L19</f>
        <v>199.75</v>
      </c>
      <c r="I26" s="103">
        <f>Financials!M19</f>
        <v>201.49</v>
      </c>
      <c r="J26" s="103">
        <f>Financials!N19</f>
        <v>293.76993008219182</v>
      </c>
      <c r="K26" s="103">
        <f>Financials!O19</f>
        <v>292.96728000000002</v>
      </c>
      <c r="L26" s="103">
        <f>Financials!P19</f>
        <v>292.96728000000002</v>
      </c>
      <c r="M26" s="103">
        <f>Financials!Q19</f>
        <v>292.96728000000002</v>
      </c>
      <c r="N26" s="103">
        <f>Financials!R19</f>
        <v>293.76993008219182</v>
      </c>
      <c r="O26" s="103">
        <f>Financials!S19</f>
        <v>292.96728000000002</v>
      </c>
      <c r="P26" s="103">
        <f>Financials!T19</f>
        <v>292.96728000000002</v>
      </c>
      <c r="Q26" s="103">
        <f>Financials!U19</f>
        <v>292.96728000000002</v>
      </c>
      <c r="R26" s="103">
        <f>Financials!V19</f>
        <v>293.76993008219182</v>
      </c>
      <c r="S26" s="103">
        <f>Financials!W19</f>
        <v>292.96728000000002</v>
      </c>
      <c r="T26" s="103">
        <f>Financials!X19</f>
        <v>292.96728000000002</v>
      </c>
      <c r="U26" s="103">
        <f>Financials!Y19</f>
        <v>292.96728000000002</v>
      </c>
      <c r="V26" s="103">
        <f>Financials!Z19</f>
        <v>293.76993008219182</v>
      </c>
      <c r="W26" s="103">
        <f>Financials!AA19</f>
        <v>292.96728000000002</v>
      </c>
      <c r="X26" s="103">
        <f>Financials!AB19</f>
        <v>292.96728000000002</v>
      </c>
      <c r="Y26" s="103">
        <f>Financials!AC19</f>
        <v>292.96728000000002</v>
      </c>
      <c r="Z26" s="103">
        <f>Financials!AD19</f>
        <v>293.76993008219182</v>
      </c>
      <c r="AA26" s="103">
        <f>Financials!AE19</f>
        <v>292.96728000000002</v>
      </c>
      <c r="AB26" s="103"/>
      <c r="AC26" s="103"/>
      <c r="AD26" s="103"/>
    </row>
    <row r="27" spans="1:30">
      <c r="A27" s="96">
        <v>18</v>
      </c>
      <c r="B27" s="99" t="s">
        <v>1047</v>
      </c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</row>
    <row r="28" spans="1:30">
      <c r="A28" s="96">
        <v>19</v>
      </c>
      <c r="B28" s="99" t="s">
        <v>1048</v>
      </c>
      <c r="C28" s="103"/>
      <c r="D28" s="103">
        <f>Financials!H20</f>
        <v>0</v>
      </c>
      <c r="E28" s="103">
        <f>Financials!I20</f>
        <v>0</v>
      </c>
      <c r="F28" s="103">
        <f>Financials!J20</f>
        <v>0</v>
      </c>
      <c r="G28" s="103">
        <f>Financials!K20</f>
        <v>0</v>
      </c>
      <c r="H28" s="103">
        <f>Financials!L20</f>
        <v>0</v>
      </c>
      <c r="I28" s="103">
        <f>Financials!M20</f>
        <v>0</v>
      </c>
      <c r="J28" s="103">
        <f>Financials!N20</f>
        <v>0</v>
      </c>
      <c r="K28" s="103">
        <f>Financials!O20</f>
        <v>0</v>
      </c>
      <c r="L28" s="103">
        <f>Financials!P20</f>
        <v>0</v>
      </c>
      <c r="M28" s="103">
        <f>Financials!Q20</f>
        <v>0</v>
      </c>
      <c r="N28" s="103">
        <f>Financials!R20</f>
        <v>0</v>
      </c>
      <c r="O28" s="103">
        <f>Financials!S20</f>
        <v>0</v>
      </c>
      <c r="P28" s="103">
        <f>Financials!T20</f>
        <v>0</v>
      </c>
      <c r="Q28" s="103">
        <f>Financials!U20</f>
        <v>0</v>
      </c>
      <c r="R28" s="103">
        <f>Financials!V20</f>
        <v>0</v>
      </c>
      <c r="S28" s="103">
        <f>Financials!W20</f>
        <v>0</v>
      </c>
      <c r="T28" s="103">
        <f>Financials!X20</f>
        <v>0</v>
      </c>
      <c r="U28" s="103">
        <f>Financials!Y20</f>
        <v>0</v>
      </c>
      <c r="V28" s="103">
        <f>Financials!Z20</f>
        <v>0</v>
      </c>
      <c r="W28" s="103">
        <f>Financials!AA20</f>
        <v>0</v>
      </c>
      <c r="X28" s="103">
        <f>Financials!AB20</f>
        <v>0</v>
      </c>
      <c r="Y28" s="103">
        <f>Financials!AC20</f>
        <v>0</v>
      </c>
      <c r="Z28" s="103">
        <f>Financials!AD20</f>
        <v>0</v>
      </c>
      <c r="AA28" s="103">
        <f>Financials!AE20</f>
        <v>0</v>
      </c>
      <c r="AB28" s="103"/>
      <c r="AC28" s="103"/>
      <c r="AD28" s="103"/>
    </row>
    <row r="29" spans="1:30">
      <c r="A29" s="96"/>
      <c r="B29" s="101" t="s">
        <v>1029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</row>
    <row r="30" spans="1:30">
      <c r="A30" s="96">
        <v>20</v>
      </c>
      <c r="B30" s="99" t="s">
        <v>1049</v>
      </c>
      <c r="C30" s="103"/>
      <c r="D30" s="103" t="e">
        <f ca="1">Financials!H63</f>
        <v>#DIV/0!</v>
      </c>
      <c r="E30" s="103" t="e">
        <f ca="1">Financials!I63</f>
        <v>#DIV/0!</v>
      </c>
      <c r="F30" s="103" t="e">
        <f ca="1">Financials!J63</f>
        <v>#DIV/0!</v>
      </c>
      <c r="G30" s="103" t="e">
        <f ca="1">Financials!K63</f>
        <v>#DIV/0!</v>
      </c>
      <c r="H30" s="103" t="e">
        <f ca="1">Financials!L63</f>
        <v>#DIV/0!</v>
      </c>
      <c r="I30" s="103" t="e">
        <f ca="1">Financials!M63</f>
        <v>#DIV/0!</v>
      </c>
      <c r="J30" s="103" t="e">
        <f ca="1">Financials!N63</f>
        <v>#DIV/0!</v>
      </c>
      <c r="K30" s="103" t="e">
        <f ca="1">Financials!O63</f>
        <v>#DIV/0!</v>
      </c>
      <c r="L30" s="103" t="e">
        <f ca="1">Financials!P63</f>
        <v>#DIV/0!</v>
      </c>
      <c r="M30" s="103" t="e">
        <f ca="1">Financials!Q63</f>
        <v>#DIV/0!</v>
      </c>
      <c r="N30" s="103" t="e">
        <f ca="1">Financials!R63</f>
        <v>#DIV/0!</v>
      </c>
      <c r="O30" s="103" t="e">
        <f ca="1">Financials!S63</f>
        <v>#DIV/0!</v>
      </c>
      <c r="P30" s="103" t="e">
        <f ca="1">Financials!T63</f>
        <v>#DIV/0!</v>
      </c>
      <c r="Q30" s="103" t="e">
        <f ca="1">Financials!U63</f>
        <v>#DIV/0!</v>
      </c>
      <c r="R30" s="103" t="e">
        <f ca="1">Financials!V63</f>
        <v>#DIV/0!</v>
      </c>
      <c r="S30" s="103" t="e">
        <f ca="1">Financials!W63</f>
        <v>#DIV/0!</v>
      </c>
      <c r="T30" s="103" t="e">
        <f ca="1">Financials!X63</f>
        <v>#DIV/0!</v>
      </c>
      <c r="U30" s="103" t="e">
        <f ca="1">Financials!Y63</f>
        <v>#DIV/0!</v>
      </c>
      <c r="V30" s="103" t="e">
        <f ca="1">Financials!Z63</f>
        <v>#DIV/0!</v>
      </c>
      <c r="W30" s="103" t="e">
        <f ca="1">Financials!AA63</f>
        <v>#DIV/0!</v>
      </c>
      <c r="X30" s="103" t="e">
        <f ca="1">Financials!AB63</f>
        <v>#DIV/0!</v>
      </c>
      <c r="Y30" s="103" t="e">
        <f ca="1">Financials!AC63</f>
        <v>#DIV/0!</v>
      </c>
      <c r="Z30" s="103" t="e">
        <f ca="1">Financials!AD63</f>
        <v>#DIV/0!</v>
      </c>
      <c r="AA30" s="103" t="e">
        <f ca="1">Financials!AE63</f>
        <v>#DIV/0!</v>
      </c>
      <c r="AB30" s="103"/>
      <c r="AC30" s="103"/>
      <c r="AD30" s="103"/>
    </row>
    <row r="31" spans="1:30">
      <c r="A31" s="96">
        <v>21</v>
      </c>
      <c r="B31" s="99" t="s">
        <v>1050</v>
      </c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</row>
    <row r="32" spans="1:30">
      <c r="A32" s="96">
        <v>22</v>
      </c>
      <c r="B32" s="104" t="s">
        <v>1032</v>
      </c>
      <c r="C32" s="105">
        <f t="shared" ref="C32:AD32" si="2">C30+C31</f>
        <v>0</v>
      </c>
      <c r="D32" s="105" t="e">
        <f t="shared" ca="1" si="2"/>
        <v>#DIV/0!</v>
      </c>
      <c r="E32" s="105" t="e">
        <f t="shared" ca="1" si="2"/>
        <v>#DIV/0!</v>
      </c>
      <c r="F32" s="105" t="e">
        <f t="shared" ca="1" si="2"/>
        <v>#DIV/0!</v>
      </c>
      <c r="G32" s="105" t="e">
        <f t="shared" ca="1" si="2"/>
        <v>#DIV/0!</v>
      </c>
      <c r="H32" s="105" t="e">
        <f t="shared" ca="1" si="2"/>
        <v>#DIV/0!</v>
      </c>
      <c r="I32" s="105" t="e">
        <f t="shared" ca="1" si="2"/>
        <v>#DIV/0!</v>
      </c>
      <c r="J32" s="105" t="e">
        <f t="shared" ca="1" si="2"/>
        <v>#DIV/0!</v>
      </c>
      <c r="K32" s="105" t="e">
        <f t="shared" ca="1" si="2"/>
        <v>#DIV/0!</v>
      </c>
      <c r="L32" s="105" t="e">
        <f t="shared" ca="1" si="2"/>
        <v>#DIV/0!</v>
      </c>
      <c r="M32" s="105" t="e">
        <f t="shared" ca="1" si="2"/>
        <v>#DIV/0!</v>
      </c>
      <c r="N32" s="105" t="e">
        <f t="shared" ca="1" si="2"/>
        <v>#DIV/0!</v>
      </c>
      <c r="O32" s="105" t="e">
        <f t="shared" ca="1" si="2"/>
        <v>#DIV/0!</v>
      </c>
      <c r="P32" s="105" t="e">
        <f t="shared" ca="1" si="2"/>
        <v>#DIV/0!</v>
      </c>
      <c r="Q32" s="105" t="e">
        <f t="shared" ca="1" si="2"/>
        <v>#DIV/0!</v>
      </c>
      <c r="R32" s="105" t="e">
        <f t="shared" ca="1" si="2"/>
        <v>#DIV/0!</v>
      </c>
      <c r="S32" s="105" t="e">
        <f t="shared" ca="1" si="2"/>
        <v>#DIV/0!</v>
      </c>
      <c r="T32" s="105" t="e">
        <f t="shared" ca="1" si="2"/>
        <v>#DIV/0!</v>
      </c>
      <c r="U32" s="105" t="e">
        <f t="shared" ca="1" si="2"/>
        <v>#DIV/0!</v>
      </c>
      <c r="V32" s="105" t="e">
        <f t="shared" ca="1" si="2"/>
        <v>#DIV/0!</v>
      </c>
      <c r="W32" s="105" t="e">
        <f t="shared" ca="1" si="2"/>
        <v>#DIV/0!</v>
      </c>
      <c r="X32" s="105" t="e">
        <f t="shared" ca="1" si="2"/>
        <v>#DIV/0!</v>
      </c>
      <c r="Y32" s="105" t="e">
        <f t="shared" ca="1" si="2"/>
        <v>#DIV/0!</v>
      </c>
      <c r="Z32" s="105" t="e">
        <f t="shared" ca="1" si="2"/>
        <v>#DIV/0!</v>
      </c>
      <c r="AA32" s="105" t="e">
        <f t="shared" ca="1" si="2"/>
        <v>#DIV/0!</v>
      </c>
      <c r="AB32" s="105">
        <f t="shared" si="2"/>
        <v>0</v>
      </c>
      <c r="AC32" s="105">
        <f t="shared" si="2"/>
        <v>0</v>
      </c>
      <c r="AD32" s="105">
        <f t="shared" si="2"/>
        <v>0</v>
      </c>
    </row>
    <row r="33" spans="1:55">
      <c r="A33" s="96"/>
      <c r="B33" s="9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</row>
    <row r="34" spans="1:55" s="82" customFormat="1" ht="28.8">
      <c r="A34" s="93" t="s">
        <v>637</v>
      </c>
      <c r="B34" s="110" t="s">
        <v>1051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BC34" s="86"/>
    </row>
    <row r="35" spans="1:55" ht="28.8">
      <c r="B35" s="112" t="s">
        <v>1052</v>
      </c>
    </row>
    <row r="36" spans="1:55" ht="15.6">
      <c r="A36" s="96">
        <v>23</v>
      </c>
      <c r="B36" s="99" t="s">
        <v>1053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</row>
    <row r="37" spans="1:55" ht="15.6">
      <c r="A37" s="96">
        <v>24</v>
      </c>
      <c r="B37" s="99" t="s">
        <v>1054</v>
      </c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</row>
    <row r="38" spans="1:55">
      <c r="A38" s="96">
        <v>25</v>
      </c>
      <c r="B38" s="99" t="s">
        <v>1055</v>
      </c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</row>
    <row r="39" spans="1:55">
      <c r="A39" s="96">
        <v>26</v>
      </c>
      <c r="B39" s="99" t="s">
        <v>1056</v>
      </c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</row>
    <row r="40" spans="1:55">
      <c r="A40" s="96">
        <v>27</v>
      </c>
      <c r="B40" s="106" t="s">
        <v>1057</v>
      </c>
      <c r="C40" s="107">
        <f t="shared" ref="C40:AD40" si="3">C39-C38</f>
        <v>0</v>
      </c>
      <c r="D40" s="107">
        <f t="shared" si="3"/>
        <v>0</v>
      </c>
      <c r="E40" s="107">
        <f t="shared" si="3"/>
        <v>0</v>
      </c>
      <c r="F40" s="107">
        <f t="shared" si="3"/>
        <v>0</v>
      </c>
      <c r="G40" s="107">
        <f t="shared" si="3"/>
        <v>0</v>
      </c>
      <c r="H40" s="107">
        <f t="shared" si="3"/>
        <v>0</v>
      </c>
      <c r="I40" s="107">
        <f t="shared" si="3"/>
        <v>0</v>
      </c>
      <c r="J40" s="107">
        <f t="shared" si="3"/>
        <v>0</v>
      </c>
      <c r="K40" s="107">
        <f t="shared" si="3"/>
        <v>0</v>
      </c>
      <c r="L40" s="107">
        <f t="shared" si="3"/>
        <v>0</v>
      </c>
      <c r="M40" s="107">
        <f t="shared" si="3"/>
        <v>0</v>
      </c>
      <c r="N40" s="107">
        <f t="shared" si="3"/>
        <v>0</v>
      </c>
      <c r="O40" s="107">
        <f t="shared" si="3"/>
        <v>0</v>
      </c>
      <c r="P40" s="107">
        <f t="shared" si="3"/>
        <v>0</v>
      </c>
      <c r="Q40" s="107">
        <f t="shared" si="3"/>
        <v>0</v>
      </c>
      <c r="R40" s="107">
        <f t="shared" si="3"/>
        <v>0</v>
      </c>
      <c r="S40" s="107">
        <f t="shared" si="3"/>
        <v>0</v>
      </c>
      <c r="T40" s="107">
        <f t="shared" si="3"/>
        <v>0</v>
      </c>
      <c r="U40" s="107">
        <f t="shared" si="3"/>
        <v>0</v>
      </c>
      <c r="V40" s="107">
        <f t="shared" si="3"/>
        <v>0</v>
      </c>
      <c r="W40" s="107">
        <f t="shared" si="3"/>
        <v>0</v>
      </c>
      <c r="X40" s="107">
        <f t="shared" si="3"/>
        <v>0</v>
      </c>
      <c r="Y40" s="107">
        <f t="shared" si="3"/>
        <v>0</v>
      </c>
      <c r="Z40" s="107">
        <f t="shared" si="3"/>
        <v>0</v>
      </c>
      <c r="AA40" s="107">
        <f t="shared" si="3"/>
        <v>0</v>
      </c>
      <c r="AB40" s="107">
        <f t="shared" si="3"/>
        <v>0</v>
      </c>
      <c r="AC40" s="107">
        <f t="shared" si="3"/>
        <v>0</v>
      </c>
      <c r="AD40" s="107">
        <f t="shared" si="3"/>
        <v>0</v>
      </c>
    </row>
    <row r="41" spans="1:55">
      <c r="A41" s="96">
        <v>28</v>
      </c>
      <c r="B41" s="106" t="s">
        <v>1058</v>
      </c>
      <c r="C41" s="107" t="e">
        <f t="shared" ref="C41:AD41" si="4">C40/C38*100</f>
        <v>#DIV/0!</v>
      </c>
      <c r="D41" s="107" t="e">
        <f t="shared" si="4"/>
        <v>#DIV/0!</v>
      </c>
      <c r="E41" s="107" t="e">
        <f t="shared" si="4"/>
        <v>#DIV/0!</v>
      </c>
      <c r="F41" s="107" t="e">
        <f t="shared" si="4"/>
        <v>#DIV/0!</v>
      </c>
      <c r="G41" s="107" t="e">
        <f t="shared" si="4"/>
        <v>#DIV/0!</v>
      </c>
      <c r="H41" s="107" t="e">
        <f t="shared" si="4"/>
        <v>#DIV/0!</v>
      </c>
      <c r="I41" s="107" t="e">
        <f t="shared" si="4"/>
        <v>#DIV/0!</v>
      </c>
      <c r="J41" s="107" t="e">
        <f t="shared" si="4"/>
        <v>#DIV/0!</v>
      </c>
      <c r="K41" s="107" t="e">
        <f t="shared" si="4"/>
        <v>#DIV/0!</v>
      </c>
      <c r="L41" s="107" t="e">
        <f t="shared" si="4"/>
        <v>#DIV/0!</v>
      </c>
      <c r="M41" s="107" t="e">
        <f t="shared" si="4"/>
        <v>#DIV/0!</v>
      </c>
      <c r="N41" s="107" t="e">
        <f t="shared" si="4"/>
        <v>#DIV/0!</v>
      </c>
      <c r="O41" s="107" t="e">
        <f t="shared" si="4"/>
        <v>#DIV/0!</v>
      </c>
      <c r="P41" s="107" t="e">
        <f t="shared" si="4"/>
        <v>#DIV/0!</v>
      </c>
      <c r="Q41" s="107" t="e">
        <f t="shared" si="4"/>
        <v>#DIV/0!</v>
      </c>
      <c r="R41" s="107" t="e">
        <f t="shared" si="4"/>
        <v>#DIV/0!</v>
      </c>
      <c r="S41" s="107" t="e">
        <f t="shared" si="4"/>
        <v>#DIV/0!</v>
      </c>
      <c r="T41" s="107" t="e">
        <f t="shared" si="4"/>
        <v>#DIV/0!</v>
      </c>
      <c r="U41" s="107" t="e">
        <f t="shared" si="4"/>
        <v>#DIV/0!</v>
      </c>
      <c r="V41" s="107" t="e">
        <f t="shared" si="4"/>
        <v>#DIV/0!</v>
      </c>
      <c r="W41" s="107" t="e">
        <f t="shared" si="4"/>
        <v>#DIV/0!</v>
      </c>
      <c r="X41" s="107" t="e">
        <f t="shared" si="4"/>
        <v>#DIV/0!</v>
      </c>
      <c r="Y41" s="107" t="e">
        <f t="shared" si="4"/>
        <v>#DIV/0!</v>
      </c>
      <c r="Z41" s="107" t="e">
        <f t="shared" si="4"/>
        <v>#DIV/0!</v>
      </c>
      <c r="AA41" s="107" t="e">
        <f t="shared" si="4"/>
        <v>#DIV/0!</v>
      </c>
      <c r="AB41" s="107" t="e">
        <f t="shared" si="4"/>
        <v>#DIV/0!</v>
      </c>
      <c r="AC41" s="107" t="e">
        <f t="shared" si="4"/>
        <v>#DIV/0!</v>
      </c>
      <c r="AD41" s="107" t="e">
        <f t="shared" si="4"/>
        <v>#DIV/0!</v>
      </c>
    </row>
    <row r="42" spans="1:55" ht="15.6">
      <c r="A42" s="96">
        <v>29</v>
      </c>
      <c r="B42" s="99" t="s">
        <v>1059</v>
      </c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</row>
    <row r="43" spans="1:55" ht="15.6">
      <c r="A43" s="96">
        <v>30</v>
      </c>
      <c r="B43" s="99" t="s">
        <v>1060</v>
      </c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</row>
    <row r="44" spans="1:55">
      <c r="A44" s="96">
        <v>31</v>
      </c>
      <c r="B44" s="99" t="s">
        <v>1061</v>
      </c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55">
      <c r="A45" s="96">
        <v>32</v>
      </c>
      <c r="B45" s="99" t="s">
        <v>1062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</row>
    <row r="46" spans="1:55">
      <c r="A46" s="96">
        <v>33</v>
      </c>
      <c r="B46" s="106" t="s">
        <v>1063</v>
      </c>
      <c r="C46" s="107">
        <f t="shared" ref="C46:AD46" si="5">C45-C44</f>
        <v>0</v>
      </c>
      <c r="D46" s="107">
        <f t="shared" si="5"/>
        <v>0</v>
      </c>
      <c r="E46" s="107">
        <f t="shared" si="5"/>
        <v>0</v>
      </c>
      <c r="F46" s="107">
        <f t="shared" si="5"/>
        <v>0</v>
      </c>
      <c r="G46" s="107">
        <f t="shared" si="5"/>
        <v>0</v>
      </c>
      <c r="H46" s="107">
        <f t="shared" si="5"/>
        <v>0</v>
      </c>
      <c r="I46" s="107">
        <f t="shared" si="5"/>
        <v>0</v>
      </c>
      <c r="J46" s="107">
        <f t="shared" si="5"/>
        <v>0</v>
      </c>
      <c r="K46" s="107">
        <f t="shared" si="5"/>
        <v>0</v>
      </c>
      <c r="L46" s="107">
        <f t="shared" si="5"/>
        <v>0</v>
      </c>
      <c r="M46" s="107">
        <f t="shared" si="5"/>
        <v>0</v>
      </c>
      <c r="N46" s="107">
        <f t="shared" si="5"/>
        <v>0</v>
      </c>
      <c r="O46" s="107">
        <f t="shared" si="5"/>
        <v>0</v>
      </c>
      <c r="P46" s="107">
        <f t="shared" si="5"/>
        <v>0</v>
      </c>
      <c r="Q46" s="107">
        <f t="shared" si="5"/>
        <v>0</v>
      </c>
      <c r="R46" s="107">
        <f t="shared" si="5"/>
        <v>0</v>
      </c>
      <c r="S46" s="107">
        <f t="shared" si="5"/>
        <v>0</v>
      </c>
      <c r="T46" s="107">
        <f t="shared" si="5"/>
        <v>0</v>
      </c>
      <c r="U46" s="107">
        <f t="shared" si="5"/>
        <v>0</v>
      </c>
      <c r="V46" s="107">
        <f t="shared" si="5"/>
        <v>0</v>
      </c>
      <c r="W46" s="107">
        <f t="shared" si="5"/>
        <v>0</v>
      </c>
      <c r="X46" s="107">
        <f t="shared" si="5"/>
        <v>0</v>
      </c>
      <c r="Y46" s="107">
        <f t="shared" si="5"/>
        <v>0</v>
      </c>
      <c r="Z46" s="107">
        <f t="shared" si="5"/>
        <v>0</v>
      </c>
      <c r="AA46" s="107">
        <f t="shared" si="5"/>
        <v>0</v>
      </c>
      <c r="AB46" s="107">
        <f t="shared" si="5"/>
        <v>0</v>
      </c>
      <c r="AC46" s="107">
        <f t="shared" si="5"/>
        <v>0</v>
      </c>
      <c r="AD46" s="107">
        <f t="shared" si="5"/>
        <v>0</v>
      </c>
    </row>
    <row r="47" spans="1:55">
      <c r="A47" s="96">
        <v>34</v>
      </c>
      <c r="B47" s="106" t="s">
        <v>1064</v>
      </c>
      <c r="C47" s="107" t="e">
        <f t="shared" ref="C47:AD47" si="6">C46/C44*100</f>
        <v>#DIV/0!</v>
      </c>
      <c r="D47" s="107" t="e">
        <f t="shared" si="6"/>
        <v>#DIV/0!</v>
      </c>
      <c r="E47" s="107" t="e">
        <f t="shared" si="6"/>
        <v>#DIV/0!</v>
      </c>
      <c r="F47" s="107" t="e">
        <f t="shared" si="6"/>
        <v>#DIV/0!</v>
      </c>
      <c r="G47" s="107" t="e">
        <f t="shared" si="6"/>
        <v>#DIV/0!</v>
      </c>
      <c r="H47" s="107" t="e">
        <f t="shared" si="6"/>
        <v>#DIV/0!</v>
      </c>
      <c r="I47" s="107" t="e">
        <f t="shared" si="6"/>
        <v>#DIV/0!</v>
      </c>
      <c r="J47" s="107" t="e">
        <f t="shared" si="6"/>
        <v>#DIV/0!</v>
      </c>
      <c r="K47" s="107" t="e">
        <f t="shared" si="6"/>
        <v>#DIV/0!</v>
      </c>
      <c r="L47" s="107" t="e">
        <f t="shared" si="6"/>
        <v>#DIV/0!</v>
      </c>
      <c r="M47" s="107" t="e">
        <f t="shared" si="6"/>
        <v>#DIV/0!</v>
      </c>
      <c r="N47" s="107" t="e">
        <f t="shared" si="6"/>
        <v>#DIV/0!</v>
      </c>
      <c r="O47" s="107" t="e">
        <f t="shared" si="6"/>
        <v>#DIV/0!</v>
      </c>
      <c r="P47" s="107" t="e">
        <f t="shared" si="6"/>
        <v>#DIV/0!</v>
      </c>
      <c r="Q47" s="107" t="e">
        <f t="shared" si="6"/>
        <v>#DIV/0!</v>
      </c>
      <c r="R47" s="107" t="e">
        <f t="shared" si="6"/>
        <v>#DIV/0!</v>
      </c>
      <c r="S47" s="107" t="e">
        <f t="shared" si="6"/>
        <v>#DIV/0!</v>
      </c>
      <c r="T47" s="107" t="e">
        <f t="shared" si="6"/>
        <v>#DIV/0!</v>
      </c>
      <c r="U47" s="107" t="e">
        <f t="shared" si="6"/>
        <v>#DIV/0!</v>
      </c>
      <c r="V47" s="107" t="e">
        <f t="shared" si="6"/>
        <v>#DIV/0!</v>
      </c>
      <c r="W47" s="107" t="e">
        <f t="shared" si="6"/>
        <v>#DIV/0!</v>
      </c>
      <c r="X47" s="107" t="e">
        <f t="shared" si="6"/>
        <v>#DIV/0!</v>
      </c>
      <c r="Y47" s="107" t="e">
        <f t="shared" si="6"/>
        <v>#DIV/0!</v>
      </c>
      <c r="Z47" s="107" t="e">
        <f t="shared" si="6"/>
        <v>#DIV/0!</v>
      </c>
      <c r="AA47" s="107" t="e">
        <f t="shared" si="6"/>
        <v>#DIV/0!</v>
      </c>
      <c r="AB47" s="107" t="e">
        <f t="shared" si="6"/>
        <v>#DIV/0!</v>
      </c>
      <c r="AC47" s="107" t="e">
        <f t="shared" si="6"/>
        <v>#DIV/0!</v>
      </c>
      <c r="AD47" s="107" t="e">
        <f t="shared" si="6"/>
        <v>#DIV/0!</v>
      </c>
    </row>
    <row r="48" spans="1:55">
      <c r="A48" s="96">
        <v>35</v>
      </c>
      <c r="B48" s="106" t="s">
        <v>1065</v>
      </c>
      <c r="C48" s="107" t="e">
        <f t="shared" ref="C48:AD48" si="7">(C41+C47)/2</f>
        <v>#DIV/0!</v>
      </c>
      <c r="D48" s="107" t="e">
        <f t="shared" si="7"/>
        <v>#DIV/0!</v>
      </c>
      <c r="E48" s="107" t="e">
        <f t="shared" si="7"/>
        <v>#DIV/0!</v>
      </c>
      <c r="F48" s="107" t="e">
        <f t="shared" si="7"/>
        <v>#DIV/0!</v>
      </c>
      <c r="G48" s="107" t="e">
        <f t="shared" si="7"/>
        <v>#DIV/0!</v>
      </c>
      <c r="H48" s="107" t="e">
        <f t="shared" si="7"/>
        <v>#DIV/0!</v>
      </c>
      <c r="I48" s="107" t="e">
        <f t="shared" si="7"/>
        <v>#DIV/0!</v>
      </c>
      <c r="J48" s="107" t="e">
        <f t="shared" si="7"/>
        <v>#DIV/0!</v>
      </c>
      <c r="K48" s="107" t="e">
        <f t="shared" si="7"/>
        <v>#DIV/0!</v>
      </c>
      <c r="L48" s="107" t="e">
        <f t="shared" si="7"/>
        <v>#DIV/0!</v>
      </c>
      <c r="M48" s="107" t="e">
        <f t="shared" si="7"/>
        <v>#DIV/0!</v>
      </c>
      <c r="N48" s="107" t="e">
        <f t="shared" si="7"/>
        <v>#DIV/0!</v>
      </c>
      <c r="O48" s="107" t="e">
        <f t="shared" si="7"/>
        <v>#DIV/0!</v>
      </c>
      <c r="P48" s="107" t="e">
        <f t="shared" si="7"/>
        <v>#DIV/0!</v>
      </c>
      <c r="Q48" s="107" t="e">
        <f t="shared" si="7"/>
        <v>#DIV/0!</v>
      </c>
      <c r="R48" s="107" t="e">
        <f t="shared" si="7"/>
        <v>#DIV/0!</v>
      </c>
      <c r="S48" s="107" t="e">
        <f t="shared" si="7"/>
        <v>#DIV/0!</v>
      </c>
      <c r="T48" s="107" t="e">
        <f t="shared" si="7"/>
        <v>#DIV/0!</v>
      </c>
      <c r="U48" s="107" t="e">
        <f t="shared" si="7"/>
        <v>#DIV/0!</v>
      </c>
      <c r="V48" s="107" t="e">
        <f t="shared" si="7"/>
        <v>#DIV/0!</v>
      </c>
      <c r="W48" s="107" t="e">
        <f t="shared" si="7"/>
        <v>#DIV/0!</v>
      </c>
      <c r="X48" s="107" t="e">
        <f t="shared" si="7"/>
        <v>#DIV/0!</v>
      </c>
      <c r="Y48" s="107" t="e">
        <f t="shared" si="7"/>
        <v>#DIV/0!</v>
      </c>
      <c r="Z48" s="107" t="e">
        <f t="shared" si="7"/>
        <v>#DIV/0!</v>
      </c>
      <c r="AA48" s="107" t="e">
        <f t="shared" si="7"/>
        <v>#DIV/0!</v>
      </c>
      <c r="AB48" s="107" t="e">
        <f t="shared" si="7"/>
        <v>#DIV/0!</v>
      </c>
      <c r="AC48" s="107" t="e">
        <f t="shared" si="7"/>
        <v>#DIV/0!</v>
      </c>
      <c r="AD48" s="107" t="e">
        <f t="shared" si="7"/>
        <v>#DIV/0!</v>
      </c>
    </row>
    <row r="49" spans="1:55" s="82" customFormat="1" ht="28.8">
      <c r="A49" s="93" t="s">
        <v>1066</v>
      </c>
      <c r="B49" s="110" t="s">
        <v>1067</v>
      </c>
      <c r="C49" s="114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BC49" s="86"/>
    </row>
    <row r="50" spans="1:55">
      <c r="A50" s="96"/>
      <c r="B50" s="97" t="s">
        <v>1068</v>
      </c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</row>
    <row r="51" spans="1:55">
      <c r="A51" s="96">
        <v>36</v>
      </c>
      <c r="B51" s="99" t="s">
        <v>1069</v>
      </c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</row>
    <row r="52" spans="1:55">
      <c r="A52" s="96">
        <v>37</v>
      </c>
      <c r="B52" s="99" t="s">
        <v>1070</v>
      </c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</row>
    <row r="53" spans="1:55">
      <c r="A53" s="96">
        <v>38</v>
      </c>
      <c r="B53" s="99" t="s">
        <v>1071</v>
      </c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55" s="82" customFormat="1" ht="28.8" hidden="1">
      <c r="A54" s="93" t="s">
        <v>1072</v>
      </c>
      <c r="B54" s="110" t="s">
        <v>1073</v>
      </c>
      <c r="C54" s="114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BC54" s="86"/>
    </row>
    <row r="55" spans="1:55" hidden="1">
      <c r="A55" s="96">
        <v>39</v>
      </c>
      <c r="B55" s="117" t="s">
        <v>1074</v>
      </c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</row>
    <row r="56" spans="1:55" hidden="1">
      <c r="A56" s="96">
        <v>40</v>
      </c>
      <c r="B56" s="117" t="s">
        <v>1075</v>
      </c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</row>
    <row r="57" spans="1:55" hidden="1">
      <c r="A57" s="96">
        <v>41</v>
      </c>
      <c r="B57" s="117" t="s">
        <v>1076</v>
      </c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</row>
    <row r="58" spans="1:55" hidden="1">
      <c r="A58" s="96">
        <v>42</v>
      </c>
      <c r="B58" s="117" t="s">
        <v>1077</v>
      </c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</row>
    <row r="59" spans="1:55" ht="28.8" hidden="1">
      <c r="A59" s="96">
        <v>43</v>
      </c>
      <c r="B59" s="117" t="s">
        <v>1078</v>
      </c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</row>
    <row r="60" spans="1:55" hidden="1">
      <c r="A60" s="96">
        <v>44</v>
      </c>
      <c r="B60" s="117" t="s">
        <v>1079</v>
      </c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</row>
    <row r="61" spans="1:55" hidden="1">
      <c r="A61" s="96">
        <v>45</v>
      </c>
      <c r="B61" s="117" t="s">
        <v>1080</v>
      </c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</row>
    <row r="62" spans="1:55" hidden="1">
      <c r="A62" s="96">
        <v>46</v>
      </c>
      <c r="B62" s="117" t="s">
        <v>1081</v>
      </c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55" hidden="1">
      <c r="A63" s="96">
        <v>47</v>
      </c>
      <c r="B63" s="117" t="s">
        <v>1082</v>
      </c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</row>
    <row r="64" spans="1:55" ht="28.8" hidden="1">
      <c r="A64" s="96">
        <v>48</v>
      </c>
      <c r="B64" s="117" t="s">
        <v>1083</v>
      </c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</row>
    <row r="65" spans="1:55" hidden="1">
      <c r="A65" s="96">
        <v>49</v>
      </c>
      <c r="B65" s="117" t="s">
        <v>1084</v>
      </c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</row>
    <row r="66" spans="1:55" ht="28.8" hidden="1">
      <c r="A66" s="96">
        <v>50</v>
      </c>
      <c r="B66" s="117" t="s">
        <v>1085</v>
      </c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</row>
    <row r="67" spans="1:55" hidden="1">
      <c r="A67" s="96">
        <v>51</v>
      </c>
      <c r="B67" s="117" t="s">
        <v>1086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</row>
    <row r="68" spans="1:55" hidden="1">
      <c r="A68" s="96">
        <v>52</v>
      </c>
      <c r="B68" s="117" t="s">
        <v>1087</v>
      </c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</row>
    <row r="69" spans="1:55" hidden="1">
      <c r="A69" s="96">
        <v>53</v>
      </c>
      <c r="B69" s="117" t="s">
        <v>1088</v>
      </c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</row>
    <row r="70" spans="1:55" hidden="1">
      <c r="A70" s="96">
        <v>54</v>
      </c>
      <c r="B70" s="117" t="s">
        <v>1089</v>
      </c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</row>
    <row r="71" spans="1:55" s="82" customFormat="1" ht="28.8" hidden="1">
      <c r="A71" s="93" t="s">
        <v>1090</v>
      </c>
      <c r="B71" s="110" t="s">
        <v>1091</v>
      </c>
      <c r="C71" s="114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BC71" s="86"/>
    </row>
    <row r="72" spans="1:55" hidden="1">
      <c r="A72" s="96">
        <v>55</v>
      </c>
      <c r="B72" s="117" t="s">
        <v>1092</v>
      </c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  <row r="73" spans="1:55" hidden="1">
      <c r="A73" s="96">
        <v>56</v>
      </c>
      <c r="B73" s="117" t="s">
        <v>1093</v>
      </c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</row>
  </sheetData>
  <sheetProtection password="CE16" sheet="1" objects="1" scenarios="1"/>
  <protectedRanges>
    <protectedRange sqref="C16:AD17" name="Range11" securityDescriptor=""/>
    <protectedRange sqref="C8:AD8" name="Range1" securityDescriptor=""/>
    <protectedRange sqref="C10:AD11" name="Range2" securityDescriptor=""/>
    <protectedRange sqref="C13:AD14" name="Range3" securityDescriptor=""/>
    <protectedRange sqref="C19:AD28" name="Range4" securityDescriptor=""/>
    <protectedRange sqref="C30:AD31" name="Range5" securityDescriptor=""/>
    <protectedRange sqref="C36:AD39" name="Range6" securityDescriptor=""/>
    <protectedRange sqref="C42:AD45" name="Range7" securityDescriptor=""/>
    <protectedRange sqref="C51:AD53" name="Range8" securityDescriptor=""/>
    <protectedRange sqref="C55:AD70" name="Range9" securityDescriptor=""/>
    <protectedRange sqref="C72:AD73" name="Range10" securityDescriptor=""/>
  </protectedRanges>
  <pageMargins left="0.70763888888888904" right="0.70763888888888904" top="0.74791666666666701" bottom="0.74791666666666701" header="0.51180555555555596" footer="0.51180555555555596"/>
  <pageSetup paperSize="9" firstPageNumber="0" orientation="landscape" useFirstPageNumber="1" horizontalDpi="300" verticalDpi="300" r:id="rId1"/>
  <headerFooter alignWithMargins="0"/>
  <rowBreaks count="1" manualBreakCount="1">
    <brk id="3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164"/>
  <sheetViews>
    <sheetView workbookViewId="0">
      <selection activeCell="G8" sqref="G8"/>
    </sheetView>
  </sheetViews>
  <sheetFormatPr defaultColWidth="9" defaultRowHeight="14.4"/>
  <cols>
    <col min="1" max="1" width="30.88671875" customWidth="1"/>
    <col min="2" max="2" width="15.33203125" customWidth="1"/>
    <col min="3" max="4" width="10.88671875" customWidth="1"/>
    <col min="5" max="5" width="12.6640625" customWidth="1"/>
    <col min="6" max="7" width="10.88671875" customWidth="1"/>
    <col min="8" max="8" width="12.109375" customWidth="1"/>
    <col min="9" max="13" width="10.88671875" customWidth="1"/>
    <col min="14" max="14" width="11.44140625" customWidth="1"/>
    <col min="15" max="15" width="11" customWidth="1"/>
    <col min="16" max="16" width="12" customWidth="1"/>
    <col min="17" max="17" width="11" customWidth="1"/>
    <col min="18" max="18" width="13.109375" customWidth="1"/>
    <col min="19" max="19" width="12" customWidth="1"/>
  </cols>
  <sheetData>
    <row r="1" spans="1:19">
      <c r="A1">
        <v>7527.14</v>
      </c>
    </row>
    <row r="2" spans="1:19">
      <c r="A2">
        <v>1089.75</v>
      </c>
    </row>
    <row r="3" spans="1:19">
      <c r="A3">
        <v>362.16</v>
      </c>
    </row>
    <row r="6" spans="1:19">
      <c r="A6" s="56" t="s">
        <v>1094</v>
      </c>
      <c r="B6" s="57">
        <v>51471157</v>
      </c>
      <c r="C6" s="9">
        <v>51.471156999999998</v>
      </c>
      <c r="D6" s="27">
        <f>C6/$C$10</f>
        <v>0.49806101666705777</v>
      </c>
    </row>
    <row r="7" spans="1:19">
      <c r="A7" s="56" t="s">
        <v>1095</v>
      </c>
      <c r="B7" s="57">
        <v>33690090</v>
      </c>
      <c r="C7" s="9">
        <v>33.690089999999998</v>
      </c>
      <c r="D7" s="27">
        <f>C7/$C$10</f>
        <v>0.32600239541933507</v>
      </c>
    </row>
    <row r="8" spans="1:19">
      <c r="A8" s="56" t="s">
        <v>1096</v>
      </c>
      <c r="B8" s="57">
        <v>18181828</v>
      </c>
      <c r="C8" s="9">
        <v>18.181827999999999</v>
      </c>
      <c r="D8" s="27">
        <f>C8/$C$10</f>
        <v>0.17593658791360717</v>
      </c>
      <c r="E8" s="58"/>
      <c r="F8" s="59">
        <v>82.5</v>
      </c>
    </row>
    <row r="9" spans="1:19">
      <c r="A9" s="56"/>
      <c r="B9" s="57"/>
      <c r="C9" s="9"/>
      <c r="D9" s="27">
        <v>0.51</v>
      </c>
      <c r="E9" s="60"/>
      <c r="F9" s="59">
        <v>62.5</v>
      </c>
      <c r="I9" s="69"/>
      <c r="L9" s="70"/>
      <c r="M9" s="70"/>
      <c r="N9" s="9"/>
      <c r="O9" s="13"/>
      <c r="P9" s="13"/>
      <c r="Q9" s="13"/>
      <c r="S9" s="9"/>
    </row>
    <row r="10" spans="1:19">
      <c r="A10" s="61" t="s">
        <v>33</v>
      </c>
      <c r="B10" s="57">
        <f>SUM(B6:B9)</f>
        <v>103343075</v>
      </c>
      <c r="C10" s="9">
        <f>SUM(C6:C9)</f>
        <v>103.343075</v>
      </c>
      <c r="E10" s="62"/>
      <c r="F10" s="63">
        <v>130</v>
      </c>
      <c r="I10" s="69">
        <f t="shared" ref="I10:I26" si="0">P10/1600</f>
        <v>0.390625</v>
      </c>
      <c r="K10" t="s">
        <v>1097</v>
      </c>
      <c r="L10" s="70">
        <v>1197</v>
      </c>
      <c r="M10" s="70">
        <v>300</v>
      </c>
      <c r="N10" s="9">
        <f t="shared" ref="N10:N27" si="1">M10+L10</f>
        <v>1497</v>
      </c>
      <c r="O10" s="13">
        <f>Q10/1600</f>
        <v>0.390625</v>
      </c>
      <c r="P10" s="71">
        <f>O10*1600</f>
        <v>625</v>
      </c>
      <c r="Q10" s="13">
        <v>625</v>
      </c>
    </row>
    <row r="11" spans="1:19">
      <c r="B11" s="9"/>
      <c r="C11" s="9"/>
      <c r="D11" s="62"/>
      <c r="E11" s="62"/>
      <c r="F11" s="63">
        <v>216.58</v>
      </c>
      <c r="I11" s="69">
        <f t="shared" si="0"/>
        <v>2.0625000000000001E-2</v>
      </c>
      <c r="K11" t="s">
        <v>1098</v>
      </c>
      <c r="L11" s="70">
        <v>231</v>
      </c>
      <c r="M11" s="70">
        <v>33</v>
      </c>
      <c r="N11" s="9">
        <f t="shared" si="1"/>
        <v>264</v>
      </c>
      <c r="O11" s="13">
        <f>Q11/1600</f>
        <v>2.0625000000000001E-2</v>
      </c>
      <c r="P11" s="71">
        <f>O11*1600</f>
        <v>33</v>
      </c>
      <c r="Q11" s="13">
        <v>33</v>
      </c>
    </row>
    <row r="12" spans="1:19">
      <c r="I12" s="69">
        <f t="shared" si="0"/>
        <v>1.5625E-2</v>
      </c>
      <c r="K12" t="s">
        <v>1099</v>
      </c>
      <c r="L12" s="70">
        <v>172.5</v>
      </c>
      <c r="M12" s="70">
        <v>25</v>
      </c>
      <c r="N12" s="9">
        <f t="shared" si="1"/>
        <v>197.5</v>
      </c>
      <c r="O12" s="13">
        <f>Q12/1600</f>
        <v>1.5625E-2</v>
      </c>
      <c r="P12" s="71">
        <f>O12*1600</f>
        <v>25</v>
      </c>
      <c r="Q12" s="13">
        <v>25</v>
      </c>
    </row>
    <row r="13" spans="1:19">
      <c r="B13">
        <v>103343075</v>
      </c>
      <c r="I13" s="69">
        <f t="shared" si="0"/>
        <v>3.0125000000000002E-2</v>
      </c>
      <c r="K13" t="s">
        <v>1100</v>
      </c>
      <c r="L13" s="70">
        <v>331.5</v>
      </c>
      <c r="M13" s="70">
        <v>48.2</v>
      </c>
      <c r="N13" s="9">
        <f t="shared" si="1"/>
        <v>379.7</v>
      </c>
      <c r="O13" s="13">
        <f>Q13/1600</f>
        <v>3.0125000000000002E-2</v>
      </c>
      <c r="P13" s="71">
        <f>O13*1600</f>
        <v>48.2</v>
      </c>
      <c r="Q13" s="13">
        <v>48.2</v>
      </c>
    </row>
    <row r="14" spans="1:19">
      <c r="B14">
        <f>ROUND(B13/49%,0)</f>
        <v>210904235</v>
      </c>
      <c r="I14" s="69">
        <f t="shared" si="0"/>
        <v>0.10111586102327134</v>
      </c>
      <c r="K14" t="s">
        <v>1101</v>
      </c>
      <c r="L14" s="70">
        <v>646</v>
      </c>
      <c r="M14" s="70">
        <v>86</v>
      </c>
      <c r="N14" s="9">
        <f t="shared" si="1"/>
        <v>732</v>
      </c>
      <c r="O14" s="13">
        <f t="shared" ref="O14:O24" si="2">L14/SUM($L$9,$L$14:$L$24)</f>
        <v>0.18621705529147578</v>
      </c>
      <c r="P14" s="13">
        <f t="shared" ref="P14:P24" si="3">O14*(1600-731.2)</f>
        <v>161.78537763723415</v>
      </c>
      <c r="Q14" s="13">
        <v>149.88999999999999</v>
      </c>
      <c r="S14" s="9">
        <f t="shared" ref="S14:S26" si="4">$R$9*Q14</f>
        <v>0</v>
      </c>
    </row>
    <row r="15" spans="1:19">
      <c r="B15">
        <f>B14-B13</f>
        <v>107561160</v>
      </c>
      <c r="I15" s="69">
        <f t="shared" si="0"/>
        <v>9.0850879342302099E-2</v>
      </c>
      <c r="K15" t="s">
        <v>1102</v>
      </c>
      <c r="L15" s="70">
        <v>580.41999999999996</v>
      </c>
      <c r="M15" s="70">
        <v>76.09</v>
      </c>
      <c r="N15" s="9">
        <f t="shared" si="1"/>
        <v>656.51</v>
      </c>
      <c r="O15" s="13">
        <f t="shared" si="2"/>
        <v>0.1673128533007405</v>
      </c>
      <c r="P15" s="13">
        <f t="shared" si="3"/>
        <v>145.36140694768335</v>
      </c>
      <c r="Q15" s="13">
        <v>134.68</v>
      </c>
      <c r="S15" s="9">
        <f t="shared" si="4"/>
        <v>0</v>
      </c>
    </row>
    <row r="16" spans="1:19">
      <c r="I16" s="69">
        <f t="shared" si="0"/>
        <v>5.613182495596801E-2</v>
      </c>
      <c r="K16" t="s">
        <v>338</v>
      </c>
      <c r="L16" s="70">
        <v>358.61</v>
      </c>
      <c r="M16" s="70">
        <v>52.14</v>
      </c>
      <c r="N16" s="9">
        <f t="shared" si="1"/>
        <v>410.75</v>
      </c>
      <c r="O16" s="13">
        <f t="shared" si="2"/>
        <v>0.10337352662240887</v>
      </c>
      <c r="P16" s="13">
        <f t="shared" si="3"/>
        <v>89.810919929548817</v>
      </c>
      <c r="Q16" s="13">
        <v>83.21</v>
      </c>
      <c r="S16" s="9">
        <f t="shared" si="4"/>
        <v>0</v>
      </c>
    </row>
    <row r="17" spans="1:19">
      <c r="I17" s="69">
        <f t="shared" si="0"/>
        <v>7.5613063443516551E-2</v>
      </c>
      <c r="K17" t="s">
        <v>1103</v>
      </c>
      <c r="L17" s="70">
        <v>483.07</v>
      </c>
      <c r="M17" s="70">
        <v>70.260000000000005</v>
      </c>
      <c r="N17" s="9">
        <f t="shared" si="1"/>
        <v>553.33000000000004</v>
      </c>
      <c r="O17" s="13">
        <f t="shared" si="2"/>
        <v>0.13925057724404521</v>
      </c>
      <c r="P17" s="13">
        <f t="shared" si="3"/>
        <v>120.98090150962648</v>
      </c>
      <c r="Q17" s="13">
        <v>112.09</v>
      </c>
      <c r="S17" s="9">
        <f t="shared" si="4"/>
        <v>0</v>
      </c>
    </row>
    <row r="18" spans="1:19">
      <c r="I18" s="69">
        <f t="shared" si="0"/>
        <v>3.0477197058577651E-2</v>
      </c>
      <c r="K18" t="s">
        <v>1104</v>
      </c>
      <c r="L18" s="70">
        <v>194.71</v>
      </c>
      <c r="M18" s="70">
        <v>20</v>
      </c>
      <c r="N18" s="9">
        <f t="shared" si="1"/>
        <v>214.71</v>
      </c>
      <c r="O18" s="13">
        <f t="shared" si="2"/>
        <v>5.6127434730345586E-2</v>
      </c>
      <c r="P18" s="13">
        <f t="shared" si="3"/>
        <v>48.76351529372424</v>
      </c>
      <c r="Q18" s="13">
        <v>45.18</v>
      </c>
      <c r="S18" s="9">
        <f t="shared" si="4"/>
        <v>0</v>
      </c>
    </row>
    <row r="19" spans="1:19">
      <c r="A19" s="56" t="s">
        <v>1094</v>
      </c>
      <c r="B19" s="57">
        <v>51471157</v>
      </c>
      <c r="C19" s="13">
        <v>51.47</v>
      </c>
      <c r="D19" s="27">
        <v>0.49809999999999999</v>
      </c>
      <c r="E19" s="57">
        <v>51471157</v>
      </c>
      <c r="F19" s="13">
        <v>51.47</v>
      </c>
      <c r="G19" s="27">
        <f>F19/$F$23</f>
        <v>0.24404797014867058</v>
      </c>
      <c r="I19" s="69">
        <f t="shared" si="0"/>
        <v>2.9041852715569295E-2</v>
      </c>
      <c r="K19" t="s">
        <v>1105</v>
      </c>
      <c r="L19" s="70">
        <v>185.54</v>
      </c>
      <c r="M19" s="70">
        <v>26.97</v>
      </c>
      <c r="N19" s="9">
        <f t="shared" si="1"/>
        <v>212.51</v>
      </c>
      <c r="O19" s="13">
        <f t="shared" si="2"/>
        <v>5.3484074982632218E-2</v>
      </c>
      <c r="P19" s="13">
        <f t="shared" si="3"/>
        <v>46.46696434491087</v>
      </c>
      <c r="Q19" s="13">
        <v>43.05</v>
      </c>
      <c r="S19" s="9">
        <f t="shared" si="4"/>
        <v>0</v>
      </c>
    </row>
    <row r="20" spans="1:19">
      <c r="A20" s="56" t="s">
        <v>1095</v>
      </c>
      <c r="B20" s="57">
        <v>33690090</v>
      </c>
      <c r="C20" s="13">
        <v>33.69</v>
      </c>
      <c r="D20" s="27">
        <v>0.32600000000000001</v>
      </c>
      <c r="E20" s="57">
        <v>33690090</v>
      </c>
      <c r="F20" s="13">
        <v>33.69</v>
      </c>
      <c r="G20" s="27">
        <f>F20/$F$23</f>
        <v>0.15974307585600761</v>
      </c>
      <c r="I20" s="69">
        <f t="shared" si="0"/>
        <v>2.2644630981790499E-2</v>
      </c>
      <c r="K20" t="s">
        <v>342</v>
      </c>
      <c r="L20" s="70">
        <v>144.66999999999999</v>
      </c>
      <c r="M20" s="70">
        <v>19.3</v>
      </c>
      <c r="N20" s="9">
        <f t="shared" si="1"/>
        <v>163.97</v>
      </c>
      <c r="O20" s="13">
        <f t="shared" si="2"/>
        <v>4.170281948764365E-2</v>
      </c>
      <c r="P20" s="13">
        <f t="shared" si="3"/>
        <v>36.231409570864798</v>
      </c>
      <c r="Q20" s="13">
        <v>33.57</v>
      </c>
      <c r="S20" s="9">
        <f t="shared" si="4"/>
        <v>0</v>
      </c>
    </row>
    <row r="21" spans="1:19">
      <c r="A21" s="56" t="s">
        <v>1096</v>
      </c>
      <c r="B21" s="57">
        <v>18181828</v>
      </c>
      <c r="C21" s="13">
        <v>18.18</v>
      </c>
      <c r="D21" s="27">
        <v>0.1759</v>
      </c>
      <c r="E21" s="57">
        <v>18181828</v>
      </c>
      <c r="F21" s="13">
        <v>18.18</v>
      </c>
      <c r="G21" s="27">
        <f>F21/$F$23</f>
        <v>8.6201517336367425E-2</v>
      </c>
      <c r="I21" s="69">
        <f t="shared" si="0"/>
        <v>2.5654627897390359E-2</v>
      </c>
      <c r="K21" t="s">
        <v>356</v>
      </c>
      <c r="L21" s="70">
        <v>163.9</v>
      </c>
      <c r="M21" s="70">
        <v>23.84</v>
      </c>
      <c r="N21" s="9">
        <f t="shared" si="1"/>
        <v>187.74</v>
      </c>
      <c r="O21" s="13">
        <f t="shared" si="2"/>
        <v>4.7246091892063281E-2</v>
      </c>
      <c r="P21" s="13">
        <f t="shared" si="3"/>
        <v>41.047404635824577</v>
      </c>
      <c r="Q21" s="13">
        <v>38.03</v>
      </c>
      <c r="S21" s="9">
        <f t="shared" si="4"/>
        <v>0</v>
      </c>
    </row>
    <row r="22" spans="1:19">
      <c r="A22" s="56" t="s">
        <v>1106</v>
      </c>
      <c r="B22" s="57" t="s">
        <v>368</v>
      </c>
      <c r="C22" s="13">
        <v>0</v>
      </c>
      <c r="D22" s="27">
        <v>0</v>
      </c>
      <c r="E22" s="57">
        <f>B15</f>
        <v>107561160</v>
      </c>
      <c r="F22" s="13">
        <f>E22*10/10^7</f>
        <v>107.56116</v>
      </c>
      <c r="G22" s="27">
        <f>F22/$F$23</f>
        <v>0.51000743665895432</v>
      </c>
      <c r="I22" s="69">
        <f t="shared" si="0"/>
        <v>5.9922887113837406E-2</v>
      </c>
      <c r="K22" t="s">
        <v>351</v>
      </c>
      <c r="L22" s="70">
        <v>382.83</v>
      </c>
      <c r="M22" s="70">
        <v>0</v>
      </c>
      <c r="N22" s="9">
        <f t="shared" si="1"/>
        <v>382.83</v>
      </c>
      <c r="O22" s="13">
        <f t="shared" si="2"/>
        <v>0.11035522488736171</v>
      </c>
      <c r="P22" s="13">
        <f t="shared" si="3"/>
        <v>95.87661938213985</v>
      </c>
      <c r="Q22" s="13">
        <v>88.83</v>
      </c>
      <c r="S22" s="9">
        <f t="shared" si="4"/>
        <v>0</v>
      </c>
    </row>
    <row r="23" spans="1:19">
      <c r="A23" s="61" t="s">
        <v>33</v>
      </c>
      <c r="B23" s="57">
        <f t="shared" ref="B23:G23" si="5">SUM(B19:B22)</f>
        <v>103343075</v>
      </c>
      <c r="C23" s="13">
        <f t="shared" si="5"/>
        <v>103.34</v>
      </c>
      <c r="D23" s="27">
        <f t="shared" si="5"/>
        <v>1</v>
      </c>
      <c r="E23" s="57">
        <f t="shared" si="5"/>
        <v>210904235</v>
      </c>
      <c r="F23" s="13">
        <f t="shared" si="5"/>
        <v>210.90116</v>
      </c>
      <c r="G23" s="27">
        <f t="shared" si="5"/>
        <v>1</v>
      </c>
      <c r="I23" s="69">
        <f t="shared" si="0"/>
        <v>2.8011910973257958E-2</v>
      </c>
      <c r="K23" t="s">
        <v>346</v>
      </c>
      <c r="L23" s="70">
        <v>178.96</v>
      </c>
      <c r="M23" s="70">
        <v>20</v>
      </c>
      <c r="N23" s="9">
        <f t="shared" si="1"/>
        <v>198.96</v>
      </c>
      <c r="O23" s="13">
        <f t="shared" si="2"/>
        <v>5.1587313026257749E-2</v>
      </c>
      <c r="P23" s="13">
        <f t="shared" si="3"/>
        <v>44.81905755721273</v>
      </c>
      <c r="Q23" s="13">
        <v>41.52</v>
      </c>
      <c r="S23" s="9">
        <f t="shared" si="4"/>
        <v>0</v>
      </c>
    </row>
    <row r="24" spans="1:19">
      <c r="I24" s="69">
        <f t="shared" si="0"/>
        <v>2.35352644945187E-2</v>
      </c>
      <c r="K24" t="s">
        <v>347</v>
      </c>
      <c r="L24" s="70">
        <v>150.36000000000001</v>
      </c>
      <c r="M24" s="70">
        <v>24.2</v>
      </c>
      <c r="N24" s="9">
        <f t="shared" si="1"/>
        <v>174.56</v>
      </c>
      <c r="O24" s="13">
        <f t="shared" si="2"/>
        <v>4.3343028535025231E-2</v>
      </c>
      <c r="P24" s="13">
        <f t="shared" si="3"/>
        <v>37.656423191229919</v>
      </c>
      <c r="Q24" s="13">
        <v>34.89</v>
      </c>
      <c r="S24" s="9">
        <f t="shared" si="4"/>
        <v>0</v>
      </c>
    </row>
    <row r="25" spans="1:19">
      <c r="I25" s="69">
        <f t="shared" si="0"/>
        <v>0</v>
      </c>
      <c r="K25" t="s">
        <v>348</v>
      </c>
      <c r="L25" s="70">
        <v>250</v>
      </c>
      <c r="M25" s="70">
        <v>0</v>
      </c>
      <c r="N25" s="9">
        <f t="shared" si="1"/>
        <v>250</v>
      </c>
      <c r="P25" s="13">
        <f>O25*1600</f>
        <v>0</v>
      </c>
      <c r="Q25" s="13">
        <f>P25*1600</f>
        <v>0</v>
      </c>
      <c r="S25" s="9">
        <f t="shared" si="4"/>
        <v>0</v>
      </c>
    </row>
    <row r="26" spans="1:19">
      <c r="I26" s="69">
        <f t="shared" si="0"/>
        <v>0</v>
      </c>
      <c r="K26" t="s">
        <v>349</v>
      </c>
      <c r="L26" s="70">
        <v>369.7</v>
      </c>
      <c r="M26" s="70">
        <v>0</v>
      </c>
      <c r="N26" s="9">
        <f t="shared" si="1"/>
        <v>369.7</v>
      </c>
      <c r="P26" s="13">
        <f>O26*1600</f>
        <v>0</v>
      </c>
      <c r="Q26" s="13">
        <f>P26*1600</f>
        <v>0</v>
      </c>
      <c r="S26" s="9">
        <f t="shared" si="4"/>
        <v>0</v>
      </c>
    </row>
    <row r="27" spans="1:19">
      <c r="B27" s="64"/>
      <c r="C27" s="64"/>
      <c r="D27" s="64"/>
      <c r="E27" s="65"/>
      <c r="F27" s="62"/>
      <c r="L27" s="72">
        <f>SUM(L9:L26)</f>
        <v>6020.7699999999995</v>
      </c>
      <c r="M27" s="72">
        <f>SUM(M9:M26)</f>
        <v>825</v>
      </c>
      <c r="N27" s="9">
        <f t="shared" si="1"/>
        <v>6845.7699999999995</v>
      </c>
    </row>
    <row r="28" spans="1:19">
      <c r="B28" s="64"/>
      <c r="C28" s="64"/>
      <c r="D28" s="64"/>
      <c r="E28" s="65"/>
      <c r="F28" s="62"/>
      <c r="L28" s="9">
        <f>1932/L27</f>
        <v>0.32088918859215682</v>
      </c>
      <c r="P28" s="9">
        <f>731.2/1600</f>
        <v>0.45700000000000002</v>
      </c>
    </row>
    <row r="29" spans="1:19">
      <c r="B29" s="64"/>
      <c r="C29" s="64"/>
      <c r="D29" s="64"/>
      <c r="E29" s="65"/>
      <c r="F29" s="62"/>
      <c r="L29" s="73">
        <f>L22/L27</f>
        <v>6.358489030472847E-2</v>
      </c>
      <c r="M29" s="74"/>
      <c r="N29" s="74"/>
      <c r="O29" s="74"/>
      <c r="P29" s="74">
        <f>P22/1600</f>
        <v>5.9922887113837406E-2</v>
      </c>
    </row>
    <row r="30" spans="1:19">
      <c r="B30" s="64"/>
      <c r="C30" s="64"/>
      <c r="D30" s="64"/>
      <c r="E30" s="65"/>
      <c r="F30" s="62"/>
    </row>
    <row r="31" spans="1:19">
      <c r="D31" s="64"/>
      <c r="E31" s="65"/>
      <c r="F31" s="18"/>
    </row>
    <row r="32" spans="1:19">
      <c r="A32" s="9"/>
      <c r="B32" s="66">
        <v>2017</v>
      </c>
      <c r="C32" s="66">
        <f>B32+1</f>
        <v>2018</v>
      </c>
      <c r="D32" s="66">
        <f t="shared" ref="D32:L32" si="6">C32+1</f>
        <v>2019</v>
      </c>
      <c r="E32" s="66">
        <f t="shared" si="6"/>
        <v>2020</v>
      </c>
      <c r="F32" s="66">
        <f t="shared" si="6"/>
        <v>2021</v>
      </c>
      <c r="G32" s="66">
        <f t="shared" si="6"/>
        <v>2022</v>
      </c>
      <c r="H32" s="66">
        <f t="shared" si="6"/>
        <v>2023</v>
      </c>
      <c r="I32" s="66">
        <f t="shared" si="6"/>
        <v>2024</v>
      </c>
      <c r="J32" s="66">
        <f t="shared" si="6"/>
        <v>2025</v>
      </c>
      <c r="K32" s="66">
        <f t="shared" si="6"/>
        <v>2026</v>
      </c>
      <c r="L32" s="66">
        <f t="shared" si="6"/>
        <v>2027</v>
      </c>
      <c r="M32" t="s">
        <v>33</v>
      </c>
    </row>
    <row r="34" spans="1:13">
      <c r="A34" t="s">
        <v>332</v>
      </c>
      <c r="B34" s="62">
        <v>1141.54</v>
      </c>
      <c r="C34" s="62">
        <v>625</v>
      </c>
      <c r="D34" s="62">
        <v>1766.54</v>
      </c>
      <c r="E34" s="62">
        <v>308.85213050168801</v>
      </c>
      <c r="F34" s="62">
        <v>625</v>
      </c>
      <c r="G34" s="62">
        <v>933.85213050168795</v>
      </c>
      <c r="H34" s="62">
        <v>832.68786949831201</v>
      </c>
      <c r="I34" s="62">
        <v>0</v>
      </c>
      <c r="J34" s="13">
        <v>832.68786949831201</v>
      </c>
      <c r="K34" s="13">
        <v>0.228108495456017</v>
      </c>
      <c r="L34" s="13">
        <v>19.6147447979865</v>
      </c>
      <c r="M34" s="13">
        <v>813.07312470032502</v>
      </c>
    </row>
    <row r="35" spans="1:13">
      <c r="A35" t="s">
        <v>333</v>
      </c>
      <c r="B35" s="62">
        <v>217.29</v>
      </c>
      <c r="C35" s="62">
        <v>33</v>
      </c>
      <c r="D35" s="62">
        <v>250.29</v>
      </c>
      <c r="E35" s="62">
        <v>99.311665596741406</v>
      </c>
      <c r="F35" s="62">
        <v>33</v>
      </c>
      <c r="G35" s="62">
        <v>132.31166559674099</v>
      </c>
      <c r="H35" s="62">
        <v>117.978334403259</v>
      </c>
      <c r="I35" s="62">
        <v>0</v>
      </c>
      <c r="J35" s="13">
        <v>117.978334403259</v>
      </c>
      <c r="K35" s="13">
        <v>3.2319265529049103E-2</v>
      </c>
      <c r="L35" s="13">
        <v>2.7790904680834001</v>
      </c>
      <c r="M35" s="13">
        <v>115.19924393517501</v>
      </c>
    </row>
    <row r="36" spans="1:13">
      <c r="A36" t="s">
        <v>334</v>
      </c>
      <c r="B36" s="62">
        <v>161.82</v>
      </c>
      <c r="C36" s="62">
        <v>25</v>
      </c>
      <c r="D36" s="62">
        <v>186.82</v>
      </c>
      <c r="E36" s="62">
        <v>73.759300678345994</v>
      </c>
      <c r="F36" s="62">
        <v>25</v>
      </c>
      <c r="G36" s="62">
        <v>98.759300678345994</v>
      </c>
      <c r="H36" s="62">
        <v>88.060699321653999</v>
      </c>
      <c r="I36" s="62">
        <v>0</v>
      </c>
      <c r="J36" s="13">
        <v>88.060699321653999</v>
      </c>
      <c r="K36" s="13">
        <v>2.4123557417943E-2</v>
      </c>
      <c r="L36" s="13">
        <v>2.07435247611707</v>
      </c>
      <c r="M36" s="13">
        <v>85.9863468455369</v>
      </c>
    </row>
    <row r="37" spans="1:13">
      <c r="A37" t="s">
        <v>335</v>
      </c>
      <c r="B37" s="13">
        <v>314.39476923076899</v>
      </c>
      <c r="C37" s="13">
        <v>48.2</v>
      </c>
      <c r="D37" s="13">
        <v>362.59476923076897</v>
      </c>
      <c r="E37" s="13">
        <v>143.479722935751</v>
      </c>
      <c r="F37" s="13">
        <v>48.2</v>
      </c>
      <c r="G37" s="13">
        <v>191.67972293575099</v>
      </c>
      <c r="H37" s="13">
        <v>170.91504629501799</v>
      </c>
      <c r="I37" s="13">
        <v>0</v>
      </c>
      <c r="J37" s="13">
        <v>170.91504629501799</v>
      </c>
      <c r="K37" s="13">
        <v>4.6820874290676898E-2</v>
      </c>
      <c r="L37" s="13">
        <v>4.0260644330422002</v>
      </c>
      <c r="M37" s="13">
        <v>166.88898186197599</v>
      </c>
    </row>
    <row r="38" spans="1:13">
      <c r="A38" t="s">
        <v>336</v>
      </c>
      <c r="B38" s="13">
        <v>663.59696700215898</v>
      </c>
      <c r="C38" s="13">
        <v>149.88999999999999</v>
      </c>
      <c r="D38" s="13">
        <v>813.48696700215896</v>
      </c>
      <c r="E38" s="13">
        <v>280.14641993406502</v>
      </c>
      <c r="F38" s="13">
        <v>149.88999999999999</v>
      </c>
      <c r="G38" s="13">
        <v>430.03641993406501</v>
      </c>
      <c r="H38" s="13">
        <v>383.45054706809401</v>
      </c>
      <c r="I38" s="13">
        <v>0</v>
      </c>
      <c r="J38" s="13">
        <v>383.45054706809401</v>
      </c>
      <c r="K38" s="13">
        <v>0.105043354872203</v>
      </c>
      <c r="L38" s="13">
        <v>9.0325377598217091</v>
      </c>
      <c r="M38" s="13">
        <v>374.41800930827299</v>
      </c>
    </row>
    <row r="39" spans="1:13">
      <c r="A39" t="s">
        <v>337</v>
      </c>
      <c r="B39" s="13">
        <v>554.91218960000003</v>
      </c>
      <c r="C39" s="13">
        <v>134.68</v>
      </c>
      <c r="D39" s="13">
        <v>689.59218959999998</v>
      </c>
      <c r="E39" s="13">
        <v>229.86149661784299</v>
      </c>
      <c r="F39" s="13">
        <v>134.68</v>
      </c>
      <c r="G39" s="13">
        <v>364.54149661784299</v>
      </c>
      <c r="H39" s="13">
        <v>325.05069298215699</v>
      </c>
      <c r="I39" s="13">
        <v>0</v>
      </c>
      <c r="J39" s="13">
        <v>325.05069298215699</v>
      </c>
      <c r="K39" s="13">
        <v>8.9045159944227806E-2</v>
      </c>
      <c r="L39" s="13">
        <v>7.65687434968285</v>
      </c>
      <c r="M39" s="13">
        <v>317.39381863247399</v>
      </c>
    </row>
    <row r="40" spans="1:13">
      <c r="A40" t="s">
        <v>338</v>
      </c>
      <c r="B40" s="13">
        <v>339.57</v>
      </c>
      <c r="C40" s="13">
        <v>83.21</v>
      </c>
      <c r="D40" s="13">
        <v>422.78</v>
      </c>
      <c r="E40" s="13">
        <v>140.28564897115501</v>
      </c>
      <c r="F40" s="13">
        <v>83.21</v>
      </c>
      <c r="G40" s="13">
        <v>223.49564897115499</v>
      </c>
      <c r="H40" s="13">
        <v>199.28435102884501</v>
      </c>
      <c r="I40" s="13">
        <v>0</v>
      </c>
      <c r="J40" s="13">
        <v>199.28435102884501</v>
      </c>
      <c r="K40" s="13">
        <v>5.45924291037252E-2</v>
      </c>
      <c r="L40" s="13">
        <v>4.6943300495277498</v>
      </c>
      <c r="M40" s="13">
        <v>194.59002097931801</v>
      </c>
    </row>
    <row r="41" spans="1:13">
      <c r="A41" t="s">
        <v>339</v>
      </c>
      <c r="B41" s="13">
        <v>460.67</v>
      </c>
      <c r="C41" s="13">
        <v>112.09</v>
      </c>
      <c r="D41" s="13">
        <v>572.76</v>
      </c>
      <c r="E41" s="13">
        <v>190.690093440368</v>
      </c>
      <c r="F41" s="13">
        <v>112.09</v>
      </c>
      <c r="G41" s="13">
        <v>302.78009344036798</v>
      </c>
      <c r="H41" s="13">
        <v>269.97990655963201</v>
      </c>
      <c r="I41" s="13">
        <v>0</v>
      </c>
      <c r="J41" s="13">
        <v>269.97990655963201</v>
      </c>
      <c r="K41" s="13">
        <v>7.3958937729905999E-2</v>
      </c>
      <c r="L41" s="13">
        <v>6.3596302549021102</v>
      </c>
      <c r="M41" s="13">
        <v>263.62027630473</v>
      </c>
    </row>
    <row r="42" spans="1:13">
      <c r="A42" t="s">
        <v>340</v>
      </c>
      <c r="B42" s="13">
        <v>182.03745670000001</v>
      </c>
      <c r="C42" s="13">
        <v>45.18</v>
      </c>
      <c r="D42" s="13">
        <v>227.21745670000001</v>
      </c>
      <c r="E42" s="13">
        <v>74.934747487444398</v>
      </c>
      <c r="F42" s="13">
        <v>45.18</v>
      </c>
      <c r="G42" s="13">
        <v>120.11474748744401</v>
      </c>
      <c r="H42" s="13">
        <v>107.10270921255599</v>
      </c>
      <c r="I42" s="13">
        <v>0</v>
      </c>
      <c r="J42" s="13">
        <v>107.10270921255599</v>
      </c>
      <c r="K42" s="13">
        <v>2.9339970897449E-2</v>
      </c>
      <c r="L42" s="13">
        <v>2.5229049027013599</v>
      </c>
      <c r="M42" s="13">
        <v>104.579804309854</v>
      </c>
    </row>
    <row r="43" spans="1:13">
      <c r="A43" t="s">
        <v>341</v>
      </c>
      <c r="B43" s="13">
        <v>175.46</v>
      </c>
      <c r="C43" s="13">
        <v>43.05</v>
      </c>
      <c r="D43" s="13">
        <v>218.51</v>
      </c>
      <c r="E43" s="13">
        <v>72.461694632402299</v>
      </c>
      <c r="F43" s="13">
        <v>43.05</v>
      </c>
      <c r="G43" s="13">
        <v>115.511694632402</v>
      </c>
      <c r="H43" s="13">
        <v>102.99830536759799</v>
      </c>
      <c r="I43" s="13">
        <v>0</v>
      </c>
      <c r="J43" s="13">
        <v>102.99830536759799</v>
      </c>
      <c r="K43" s="13">
        <v>2.8215600746144601E-2</v>
      </c>
      <c r="L43" s="13">
        <v>2.4262218154177302</v>
      </c>
      <c r="M43" s="13">
        <v>100.57208355218</v>
      </c>
    </row>
    <row r="44" spans="1:13">
      <c r="A44" t="s">
        <v>342</v>
      </c>
      <c r="B44" s="13">
        <v>136.5</v>
      </c>
      <c r="C44" s="13">
        <v>33.57</v>
      </c>
      <c r="D44" s="13">
        <v>170.07</v>
      </c>
      <c r="E44" s="13">
        <v>56.334690431250998</v>
      </c>
      <c r="F44" s="13">
        <v>33.57</v>
      </c>
      <c r="G44" s="13">
        <v>89.904690431250998</v>
      </c>
      <c r="H44" s="13">
        <v>80.165309568748995</v>
      </c>
      <c r="I44" s="13">
        <v>0</v>
      </c>
      <c r="J44" s="13">
        <v>80.165309568748995</v>
      </c>
      <c r="K44" s="13">
        <v>2.1960675570439799E-2</v>
      </c>
      <c r="L44" s="13">
        <v>1.8883691554074999</v>
      </c>
      <c r="M44" s="13">
        <v>78.276940413341507</v>
      </c>
    </row>
    <row r="45" spans="1:13">
      <c r="A45" t="s">
        <v>343</v>
      </c>
      <c r="B45" s="13">
        <v>153.49</v>
      </c>
      <c r="C45" s="13">
        <v>38.03</v>
      </c>
      <c r="D45" s="13">
        <v>191.52</v>
      </c>
      <c r="E45" s="13">
        <v>63.213877882008497</v>
      </c>
      <c r="F45" s="13">
        <v>38.03</v>
      </c>
      <c r="G45" s="13">
        <v>101.243877882009</v>
      </c>
      <c r="H45" s="13">
        <v>90.276122117991505</v>
      </c>
      <c r="I45" s="13">
        <v>0</v>
      </c>
      <c r="J45" s="13">
        <v>90.276122117991505</v>
      </c>
      <c r="K45" s="13">
        <v>2.4730455607988699E-2</v>
      </c>
      <c r="L45" s="13">
        <v>2.1265388407340802</v>
      </c>
      <c r="M45" s="13">
        <v>88.149583277257406</v>
      </c>
    </row>
    <row r="46" spans="1:13">
      <c r="A46" t="s">
        <v>344</v>
      </c>
      <c r="B46" s="13">
        <v>376.15</v>
      </c>
      <c r="C46" s="13">
        <v>88.83</v>
      </c>
      <c r="D46" s="13">
        <v>464.98</v>
      </c>
      <c r="E46" s="13">
        <v>156.97398045935799</v>
      </c>
      <c r="F46" s="13">
        <v>88.83</v>
      </c>
      <c r="G46" s="13">
        <v>245.803980459358</v>
      </c>
      <c r="H46" s="13">
        <v>219.17601954064199</v>
      </c>
      <c r="I46" s="13">
        <v>0</v>
      </c>
      <c r="J46" s="13">
        <v>219.17601954064199</v>
      </c>
      <c r="K46" s="13">
        <v>6.00416000866884E-2</v>
      </c>
      <c r="L46" s="13">
        <v>5.1628969828975197</v>
      </c>
      <c r="M46" s="13">
        <v>214.013122557744</v>
      </c>
    </row>
    <row r="47" spans="1:13">
      <c r="A47" t="s">
        <v>345</v>
      </c>
      <c r="B47" s="13">
        <v>259.92020000000002</v>
      </c>
      <c r="C47" s="13">
        <v>63.86</v>
      </c>
      <c r="D47" s="13">
        <v>323.78019999999998</v>
      </c>
      <c r="E47" s="13">
        <v>107.301043386656</v>
      </c>
      <c r="F47" s="13">
        <v>63.86</v>
      </c>
      <c r="G47" s="13">
        <v>171.16104338665599</v>
      </c>
      <c r="H47" s="13">
        <v>152.61915661334399</v>
      </c>
      <c r="I47" s="13">
        <v>0</v>
      </c>
      <c r="J47" s="13">
        <v>152.61915661334399</v>
      </c>
      <c r="K47" s="13">
        <v>4.18088547558777E-2</v>
      </c>
      <c r="L47" s="13">
        <v>3.5950875687168402</v>
      </c>
      <c r="M47" s="13">
        <v>149.024069044627</v>
      </c>
    </row>
    <row r="48" spans="1:13">
      <c r="A48" t="s">
        <v>346</v>
      </c>
      <c r="B48" s="13">
        <v>169.4</v>
      </c>
      <c r="C48" s="13">
        <v>41.52</v>
      </c>
      <c r="D48" s="13">
        <v>210.92</v>
      </c>
      <c r="E48" s="13">
        <v>69.979366765211097</v>
      </c>
      <c r="F48" s="13">
        <v>41.52</v>
      </c>
      <c r="G48" s="13">
        <v>111.49936676521099</v>
      </c>
      <c r="H48" s="13">
        <v>99.420633234788895</v>
      </c>
      <c r="I48" s="13">
        <v>0</v>
      </c>
      <c r="J48" s="13">
        <v>99.420633234788895</v>
      </c>
      <c r="K48" s="13">
        <v>2.7235524732858001E-2</v>
      </c>
      <c r="L48" s="13">
        <v>2.3419463883021701</v>
      </c>
      <c r="M48" s="13">
        <v>97.078686846486704</v>
      </c>
    </row>
    <row r="49" spans="1:13">
      <c r="A49" t="s">
        <v>347</v>
      </c>
      <c r="B49" s="13">
        <v>140.0247</v>
      </c>
      <c r="C49" s="13">
        <v>34.89</v>
      </c>
      <c r="D49" s="13">
        <v>174.91470000000001</v>
      </c>
      <c r="E49" s="13">
        <v>57.5757608947794</v>
      </c>
      <c r="F49" s="13">
        <v>34.89</v>
      </c>
      <c r="G49" s="13">
        <v>92.465760894779393</v>
      </c>
      <c r="H49" s="13">
        <v>82.448939105220603</v>
      </c>
      <c r="I49" s="13">
        <v>0</v>
      </c>
      <c r="J49" s="13">
        <v>82.448939105220603</v>
      </c>
      <c r="K49" s="13">
        <v>2.2586258477102401E-2</v>
      </c>
      <c r="L49" s="13">
        <v>1.94216219384581</v>
      </c>
      <c r="M49" s="13">
        <v>80.5067769113748</v>
      </c>
    </row>
    <row r="50" spans="1:13">
      <c r="A50" t="s">
        <v>348</v>
      </c>
      <c r="B50" s="13">
        <v>343.38623219999999</v>
      </c>
      <c r="C50" s="13">
        <v>0</v>
      </c>
      <c r="D50" s="13">
        <v>343.38623219999999</v>
      </c>
      <c r="E50" s="13">
        <v>181.525447782058</v>
      </c>
      <c r="F50" s="13">
        <v>0</v>
      </c>
      <c r="G50" s="13">
        <v>181.525447782058</v>
      </c>
      <c r="H50" s="13">
        <v>161.86078441794101</v>
      </c>
      <c r="I50" s="13">
        <v>0</v>
      </c>
      <c r="J50" s="13">
        <v>161.86078441794101</v>
      </c>
      <c r="K50" s="13">
        <v>4.4340528257187699E-2</v>
      </c>
      <c r="L50" s="13">
        <v>3.8127827910747198</v>
      </c>
      <c r="M50" s="13">
        <v>158.04800162686701</v>
      </c>
    </row>
    <row r="51" spans="1:13">
      <c r="A51" t="s">
        <v>349</v>
      </c>
      <c r="B51" s="13">
        <v>354.13476129999998</v>
      </c>
      <c r="C51" s="13">
        <v>0</v>
      </c>
      <c r="D51" s="13">
        <v>354.13476129999998</v>
      </c>
      <c r="E51" s="13">
        <v>187.20747977668901</v>
      </c>
      <c r="F51" s="13">
        <v>0</v>
      </c>
      <c r="G51" s="13">
        <v>187.20747977668901</v>
      </c>
      <c r="H51" s="13">
        <v>166.927281523311</v>
      </c>
      <c r="I51" s="13">
        <v>0</v>
      </c>
      <c r="J51" s="13">
        <v>166.927281523311</v>
      </c>
      <c r="K51" s="13">
        <v>4.5728456524516098E-2</v>
      </c>
      <c r="L51" s="13">
        <v>3.9321288886724202</v>
      </c>
      <c r="M51" s="13">
        <v>162.995152634639</v>
      </c>
    </row>
    <row r="52" spans="1:13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  <row r="53" spans="1:13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</row>
    <row r="54" spans="1:13">
      <c r="B54" s="66" t="s">
        <v>1107</v>
      </c>
      <c r="C54" s="66" t="s">
        <v>1108</v>
      </c>
      <c r="D54" s="67" t="s">
        <v>33</v>
      </c>
      <c r="E54" s="66" t="s">
        <v>1107</v>
      </c>
      <c r="F54" s="66" t="s">
        <v>1108</v>
      </c>
      <c r="G54" s="67" t="s">
        <v>33</v>
      </c>
      <c r="H54" s="66" t="s">
        <v>1107</v>
      </c>
      <c r="I54" s="66" t="s">
        <v>1108</v>
      </c>
      <c r="J54" s="67" t="s">
        <v>33</v>
      </c>
    </row>
    <row r="55" spans="1:13">
      <c r="A55" t="s">
        <v>332</v>
      </c>
      <c r="B55" s="68">
        <f t="shared" ref="B55:M55" si="7">SUM(B34:B37)</f>
        <v>1835.0447692307689</v>
      </c>
      <c r="C55" s="9">
        <f t="shared" si="7"/>
        <v>731.2</v>
      </c>
      <c r="D55" s="9">
        <f t="shared" si="7"/>
        <v>2566.2447692307692</v>
      </c>
      <c r="E55" s="9">
        <f t="shared" si="7"/>
        <v>625.40281971252648</v>
      </c>
      <c r="F55" s="9">
        <f t="shared" si="7"/>
        <v>731.2</v>
      </c>
      <c r="G55" s="9">
        <f t="shared" si="7"/>
        <v>1356.6028197125258</v>
      </c>
      <c r="H55" s="9">
        <f t="shared" si="7"/>
        <v>1209.6419495182431</v>
      </c>
      <c r="I55" s="9">
        <f t="shared" si="7"/>
        <v>0</v>
      </c>
      <c r="J55" s="9">
        <f t="shared" si="7"/>
        <v>1209.6419495182431</v>
      </c>
      <c r="K55" s="9">
        <f t="shared" si="7"/>
        <v>0.33137219269368595</v>
      </c>
      <c r="L55" s="9">
        <f t="shared" si="7"/>
        <v>28.494252175229171</v>
      </c>
      <c r="M55" s="9">
        <f t="shared" si="7"/>
        <v>1181.1476973430129</v>
      </c>
    </row>
    <row r="56" spans="1:13">
      <c r="A56" t="s">
        <v>336</v>
      </c>
      <c r="B56" s="68">
        <f t="shared" ref="B56:M56" si="8">B38</f>
        <v>663.59696700215898</v>
      </c>
      <c r="C56" s="9">
        <f t="shared" si="8"/>
        <v>149.88999999999999</v>
      </c>
      <c r="D56" s="9">
        <f t="shared" si="8"/>
        <v>813.48696700215896</v>
      </c>
      <c r="E56" s="9">
        <f t="shared" si="8"/>
        <v>280.14641993406502</v>
      </c>
      <c r="F56" s="9">
        <f t="shared" si="8"/>
        <v>149.88999999999999</v>
      </c>
      <c r="G56" s="9">
        <f t="shared" si="8"/>
        <v>430.03641993406501</v>
      </c>
      <c r="H56" s="9">
        <f t="shared" si="8"/>
        <v>383.45054706809401</v>
      </c>
      <c r="I56" s="9">
        <f t="shared" si="8"/>
        <v>0</v>
      </c>
      <c r="J56" s="9">
        <f t="shared" si="8"/>
        <v>383.45054706809401</v>
      </c>
      <c r="K56" s="9">
        <f t="shared" si="8"/>
        <v>0.105043354872203</v>
      </c>
      <c r="L56" s="9">
        <f t="shared" si="8"/>
        <v>9.0325377598217091</v>
      </c>
      <c r="M56" s="9">
        <f t="shared" si="8"/>
        <v>374.41800930827299</v>
      </c>
    </row>
    <row r="57" spans="1:13">
      <c r="A57" t="s">
        <v>337</v>
      </c>
      <c r="B57" s="68">
        <f t="shared" ref="B57:M57" si="9">B39</f>
        <v>554.91218960000003</v>
      </c>
      <c r="C57" s="9">
        <f t="shared" si="9"/>
        <v>134.68</v>
      </c>
      <c r="D57" s="9">
        <f t="shared" si="9"/>
        <v>689.59218959999998</v>
      </c>
      <c r="E57" s="9">
        <f t="shared" si="9"/>
        <v>229.86149661784299</v>
      </c>
      <c r="F57" s="9">
        <f t="shared" si="9"/>
        <v>134.68</v>
      </c>
      <c r="G57" s="9">
        <f t="shared" si="9"/>
        <v>364.54149661784299</v>
      </c>
      <c r="H57" s="9">
        <f t="shared" si="9"/>
        <v>325.05069298215699</v>
      </c>
      <c r="I57" s="9">
        <f t="shared" si="9"/>
        <v>0</v>
      </c>
      <c r="J57" s="9">
        <f t="shared" si="9"/>
        <v>325.05069298215699</v>
      </c>
      <c r="K57" s="9">
        <f t="shared" si="9"/>
        <v>8.9045159944227806E-2</v>
      </c>
      <c r="L57" s="9">
        <f t="shared" si="9"/>
        <v>7.65687434968285</v>
      </c>
      <c r="M57" s="9">
        <f t="shared" si="9"/>
        <v>317.39381863247399</v>
      </c>
    </row>
    <row r="58" spans="1:13">
      <c r="A58" t="s">
        <v>338</v>
      </c>
      <c r="B58" s="68">
        <f t="shared" ref="B58:M58" si="10">B40</f>
        <v>339.57</v>
      </c>
      <c r="C58" s="9">
        <f t="shared" si="10"/>
        <v>83.21</v>
      </c>
      <c r="D58" s="9">
        <f t="shared" si="10"/>
        <v>422.78</v>
      </c>
      <c r="E58" s="9">
        <f t="shared" si="10"/>
        <v>140.28564897115501</v>
      </c>
      <c r="F58" s="9">
        <f t="shared" si="10"/>
        <v>83.21</v>
      </c>
      <c r="G58" s="9">
        <f t="shared" si="10"/>
        <v>223.49564897115499</v>
      </c>
      <c r="H58" s="9">
        <f t="shared" si="10"/>
        <v>199.28435102884501</v>
      </c>
      <c r="I58" s="9">
        <f t="shared" si="10"/>
        <v>0</v>
      </c>
      <c r="J58" s="9">
        <f t="shared" si="10"/>
        <v>199.28435102884501</v>
      </c>
      <c r="K58" s="9">
        <f t="shared" si="10"/>
        <v>5.45924291037252E-2</v>
      </c>
      <c r="L58" s="9">
        <f t="shared" si="10"/>
        <v>4.6943300495277498</v>
      </c>
      <c r="M58" s="9">
        <f t="shared" si="10"/>
        <v>194.59002097931801</v>
      </c>
    </row>
    <row r="59" spans="1:13">
      <c r="A59" t="s">
        <v>339</v>
      </c>
      <c r="B59" s="68">
        <f t="shared" ref="B59:M59" si="11">B41</f>
        <v>460.67</v>
      </c>
      <c r="C59" s="9">
        <f t="shared" si="11"/>
        <v>112.09</v>
      </c>
      <c r="D59" s="9">
        <f t="shared" si="11"/>
        <v>572.76</v>
      </c>
      <c r="E59" s="9">
        <f t="shared" si="11"/>
        <v>190.690093440368</v>
      </c>
      <c r="F59" s="9">
        <f t="shared" si="11"/>
        <v>112.09</v>
      </c>
      <c r="G59" s="9">
        <f t="shared" si="11"/>
        <v>302.78009344036798</v>
      </c>
      <c r="H59" s="9">
        <f t="shared" si="11"/>
        <v>269.97990655963201</v>
      </c>
      <c r="I59" s="9">
        <f t="shared" si="11"/>
        <v>0</v>
      </c>
      <c r="J59" s="9">
        <f t="shared" si="11"/>
        <v>269.97990655963201</v>
      </c>
      <c r="K59" s="9">
        <f t="shared" si="11"/>
        <v>7.3958937729905999E-2</v>
      </c>
      <c r="L59" s="9">
        <f t="shared" si="11"/>
        <v>6.3596302549021102</v>
      </c>
      <c r="M59" s="9">
        <f t="shared" si="11"/>
        <v>263.62027630473</v>
      </c>
    </row>
    <row r="60" spans="1:13">
      <c r="A60" t="s">
        <v>340</v>
      </c>
      <c r="B60" s="68">
        <f t="shared" ref="B60:M60" si="12">B42</f>
        <v>182.03745670000001</v>
      </c>
      <c r="C60" s="9">
        <f t="shared" si="12"/>
        <v>45.18</v>
      </c>
      <c r="D60" s="9">
        <f t="shared" si="12"/>
        <v>227.21745670000001</v>
      </c>
      <c r="E60" s="9">
        <f t="shared" si="12"/>
        <v>74.934747487444398</v>
      </c>
      <c r="F60" s="9">
        <f t="shared" si="12"/>
        <v>45.18</v>
      </c>
      <c r="G60" s="9">
        <f t="shared" si="12"/>
        <v>120.11474748744401</v>
      </c>
      <c r="H60" s="9">
        <f t="shared" si="12"/>
        <v>107.10270921255599</v>
      </c>
      <c r="I60" s="9">
        <f t="shared" si="12"/>
        <v>0</v>
      </c>
      <c r="J60" s="9">
        <f t="shared" si="12"/>
        <v>107.10270921255599</v>
      </c>
      <c r="K60" s="9">
        <f t="shared" si="12"/>
        <v>2.9339970897449E-2</v>
      </c>
      <c r="L60" s="9">
        <f t="shared" si="12"/>
        <v>2.5229049027013599</v>
      </c>
      <c r="M60" s="9">
        <f t="shared" si="12"/>
        <v>104.579804309854</v>
      </c>
    </row>
    <row r="61" spans="1:13">
      <c r="A61" t="s">
        <v>341</v>
      </c>
      <c r="B61" s="68">
        <f t="shared" ref="B61:M61" si="13">B43</f>
        <v>175.46</v>
      </c>
      <c r="C61" s="9">
        <f t="shared" si="13"/>
        <v>43.05</v>
      </c>
      <c r="D61" s="9">
        <f t="shared" si="13"/>
        <v>218.51</v>
      </c>
      <c r="E61" s="9">
        <f t="shared" si="13"/>
        <v>72.461694632402299</v>
      </c>
      <c r="F61" s="9">
        <f t="shared" si="13"/>
        <v>43.05</v>
      </c>
      <c r="G61" s="9">
        <f t="shared" si="13"/>
        <v>115.511694632402</v>
      </c>
      <c r="H61" s="9">
        <f t="shared" si="13"/>
        <v>102.99830536759799</v>
      </c>
      <c r="I61" s="9">
        <f t="shared" si="13"/>
        <v>0</v>
      </c>
      <c r="J61" s="9">
        <f t="shared" si="13"/>
        <v>102.99830536759799</v>
      </c>
      <c r="K61" s="9">
        <f t="shared" si="13"/>
        <v>2.8215600746144601E-2</v>
      </c>
      <c r="L61" s="9">
        <f t="shared" si="13"/>
        <v>2.4262218154177302</v>
      </c>
      <c r="M61" s="9">
        <f t="shared" si="13"/>
        <v>100.57208355218</v>
      </c>
    </row>
    <row r="62" spans="1:13">
      <c r="A62" t="s">
        <v>342</v>
      </c>
      <c r="B62" s="68">
        <f t="shared" ref="B62:M62" si="14">B44</f>
        <v>136.5</v>
      </c>
      <c r="C62" s="9">
        <f t="shared" si="14"/>
        <v>33.57</v>
      </c>
      <c r="D62" s="9">
        <f t="shared" si="14"/>
        <v>170.07</v>
      </c>
      <c r="E62" s="9">
        <f t="shared" si="14"/>
        <v>56.334690431250998</v>
      </c>
      <c r="F62" s="9">
        <f t="shared" si="14"/>
        <v>33.57</v>
      </c>
      <c r="G62" s="9">
        <f t="shared" si="14"/>
        <v>89.904690431250998</v>
      </c>
      <c r="H62" s="9">
        <f t="shared" si="14"/>
        <v>80.165309568748995</v>
      </c>
      <c r="I62" s="9">
        <f t="shared" si="14"/>
        <v>0</v>
      </c>
      <c r="J62" s="9">
        <f t="shared" si="14"/>
        <v>80.165309568748995</v>
      </c>
      <c r="K62" s="9">
        <f t="shared" si="14"/>
        <v>2.1960675570439799E-2</v>
      </c>
      <c r="L62" s="9">
        <f t="shared" si="14"/>
        <v>1.8883691554074999</v>
      </c>
      <c r="M62" s="9">
        <f t="shared" si="14"/>
        <v>78.276940413341507</v>
      </c>
    </row>
    <row r="63" spans="1:13">
      <c r="A63" t="s">
        <v>343</v>
      </c>
      <c r="B63" s="68">
        <f t="shared" ref="B63:M63" si="15">B45</f>
        <v>153.49</v>
      </c>
      <c r="C63" s="9">
        <f t="shared" si="15"/>
        <v>38.03</v>
      </c>
      <c r="D63" s="9">
        <f t="shared" si="15"/>
        <v>191.52</v>
      </c>
      <c r="E63" s="9">
        <f t="shared" si="15"/>
        <v>63.213877882008497</v>
      </c>
      <c r="F63" s="9">
        <f t="shared" si="15"/>
        <v>38.03</v>
      </c>
      <c r="G63" s="9">
        <f t="shared" si="15"/>
        <v>101.243877882009</v>
      </c>
      <c r="H63" s="9">
        <f t="shared" si="15"/>
        <v>90.276122117991505</v>
      </c>
      <c r="I63" s="9">
        <f t="shared" si="15"/>
        <v>0</v>
      </c>
      <c r="J63" s="9">
        <f t="shared" si="15"/>
        <v>90.276122117991505</v>
      </c>
      <c r="K63" s="9">
        <f t="shared" si="15"/>
        <v>2.4730455607988699E-2</v>
      </c>
      <c r="L63" s="9">
        <f t="shared" si="15"/>
        <v>2.1265388407340802</v>
      </c>
      <c r="M63" s="9">
        <f t="shared" si="15"/>
        <v>88.149583277257406</v>
      </c>
    </row>
    <row r="64" spans="1:13">
      <c r="A64" t="s">
        <v>344</v>
      </c>
      <c r="B64" s="68">
        <f t="shared" ref="B64:M64" si="16">B46</f>
        <v>376.15</v>
      </c>
      <c r="C64" s="9">
        <f t="shared" si="16"/>
        <v>88.83</v>
      </c>
      <c r="D64" s="9">
        <f t="shared" si="16"/>
        <v>464.98</v>
      </c>
      <c r="E64" s="9">
        <f t="shared" si="16"/>
        <v>156.97398045935799</v>
      </c>
      <c r="F64" s="9">
        <f t="shared" si="16"/>
        <v>88.83</v>
      </c>
      <c r="G64" s="9">
        <f t="shared" si="16"/>
        <v>245.803980459358</v>
      </c>
      <c r="H64" s="9">
        <f t="shared" si="16"/>
        <v>219.17601954064199</v>
      </c>
      <c r="I64" s="9">
        <f t="shared" si="16"/>
        <v>0</v>
      </c>
      <c r="J64" s="9">
        <f t="shared" si="16"/>
        <v>219.17601954064199</v>
      </c>
      <c r="K64" s="9">
        <f t="shared" si="16"/>
        <v>6.00416000866884E-2</v>
      </c>
      <c r="L64" s="9">
        <f t="shared" si="16"/>
        <v>5.1628969828975197</v>
      </c>
      <c r="M64" s="9">
        <f t="shared" si="16"/>
        <v>214.013122557744</v>
      </c>
    </row>
    <row r="65" spans="1:14">
      <c r="A65" t="s">
        <v>345</v>
      </c>
      <c r="B65" s="68">
        <f t="shared" ref="B65:M65" si="17">B47</f>
        <v>259.92020000000002</v>
      </c>
      <c r="C65" s="9">
        <f t="shared" si="17"/>
        <v>63.86</v>
      </c>
      <c r="D65" s="9">
        <f t="shared" si="17"/>
        <v>323.78019999999998</v>
      </c>
      <c r="E65" s="9">
        <f t="shared" si="17"/>
        <v>107.301043386656</v>
      </c>
      <c r="F65" s="9">
        <f t="shared" si="17"/>
        <v>63.86</v>
      </c>
      <c r="G65" s="9">
        <f t="shared" si="17"/>
        <v>171.16104338665599</v>
      </c>
      <c r="H65" s="9">
        <f t="shared" si="17"/>
        <v>152.61915661334399</v>
      </c>
      <c r="I65" s="9">
        <f t="shared" si="17"/>
        <v>0</v>
      </c>
      <c r="J65" s="9">
        <f t="shared" si="17"/>
        <v>152.61915661334399</v>
      </c>
      <c r="K65" s="9">
        <f t="shared" si="17"/>
        <v>4.18088547558777E-2</v>
      </c>
      <c r="L65" s="9">
        <f t="shared" si="17"/>
        <v>3.5950875687168402</v>
      </c>
      <c r="M65" s="9">
        <f t="shared" si="17"/>
        <v>149.024069044627</v>
      </c>
    </row>
    <row r="66" spans="1:14">
      <c r="A66" t="s">
        <v>346</v>
      </c>
      <c r="B66" s="68">
        <f t="shared" ref="B66:M66" si="18">B48</f>
        <v>169.4</v>
      </c>
      <c r="C66" s="9">
        <f t="shared" si="18"/>
        <v>41.52</v>
      </c>
      <c r="D66" s="9">
        <f t="shared" si="18"/>
        <v>210.92</v>
      </c>
      <c r="E66" s="9">
        <f t="shared" si="18"/>
        <v>69.979366765211097</v>
      </c>
      <c r="F66" s="9">
        <f t="shared" si="18"/>
        <v>41.52</v>
      </c>
      <c r="G66" s="9">
        <f t="shared" si="18"/>
        <v>111.49936676521099</v>
      </c>
      <c r="H66" s="9">
        <f t="shared" si="18"/>
        <v>99.420633234788895</v>
      </c>
      <c r="I66" s="9">
        <f t="shared" si="18"/>
        <v>0</v>
      </c>
      <c r="J66" s="9">
        <f t="shared" si="18"/>
        <v>99.420633234788895</v>
      </c>
      <c r="K66" s="9">
        <f t="shared" si="18"/>
        <v>2.7235524732858001E-2</v>
      </c>
      <c r="L66" s="9">
        <f t="shared" si="18"/>
        <v>2.3419463883021701</v>
      </c>
      <c r="M66" s="9">
        <f t="shared" si="18"/>
        <v>97.078686846486704</v>
      </c>
    </row>
    <row r="67" spans="1:14">
      <c r="A67" t="s">
        <v>347</v>
      </c>
      <c r="B67" s="68">
        <f t="shared" ref="B67:M67" si="19">B49</f>
        <v>140.0247</v>
      </c>
      <c r="C67" s="9">
        <f t="shared" si="19"/>
        <v>34.89</v>
      </c>
      <c r="D67" s="9">
        <f t="shared" si="19"/>
        <v>174.91470000000001</v>
      </c>
      <c r="E67" s="9">
        <f t="shared" si="19"/>
        <v>57.5757608947794</v>
      </c>
      <c r="F67" s="9">
        <f t="shared" si="19"/>
        <v>34.89</v>
      </c>
      <c r="G67" s="9">
        <f t="shared" si="19"/>
        <v>92.465760894779393</v>
      </c>
      <c r="H67" s="9">
        <f t="shared" si="19"/>
        <v>82.448939105220603</v>
      </c>
      <c r="I67" s="9">
        <f t="shared" si="19"/>
        <v>0</v>
      </c>
      <c r="J67" s="9">
        <f t="shared" si="19"/>
        <v>82.448939105220603</v>
      </c>
      <c r="K67" s="9">
        <f t="shared" si="19"/>
        <v>2.2586258477102401E-2</v>
      </c>
      <c r="L67" s="9">
        <f t="shared" si="19"/>
        <v>1.94216219384581</v>
      </c>
      <c r="M67" s="9">
        <f t="shared" si="19"/>
        <v>80.5067769113748</v>
      </c>
    </row>
    <row r="68" spans="1:14">
      <c r="A68" t="s">
        <v>348</v>
      </c>
      <c r="B68" s="68">
        <f t="shared" ref="B68:M68" si="20">B50</f>
        <v>343.38623219999999</v>
      </c>
      <c r="C68" s="9">
        <f t="shared" si="20"/>
        <v>0</v>
      </c>
      <c r="D68" s="9">
        <f t="shared" si="20"/>
        <v>343.38623219999999</v>
      </c>
      <c r="E68" s="9">
        <f t="shared" si="20"/>
        <v>181.525447782058</v>
      </c>
      <c r="F68" s="9">
        <f t="shared" si="20"/>
        <v>0</v>
      </c>
      <c r="G68" s="9">
        <f t="shared" si="20"/>
        <v>181.525447782058</v>
      </c>
      <c r="H68" s="9">
        <f t="shared" si="20"/>
        <v>161.86078441794101</v>
      </c>
      <c r="I68" s="9">
        <f t="shared" si="20"/>
        <v>0</v>
      </c>
      <c r="J68" s="9">
        <f t="shared" si="20"/>
        <v>161.86078441794101</v>
      </c>
      <c r="K68" s="9">
        <f t="shared" si="20"/>
        <v>4.4340528257187699E-2</v>
      </c>
      <c r="L68" s="9">
        <f t="shared" si="20"/>
        <v>3.8127827910747198</v>
      </c>
      <c r="M68" s="9">
        <f t="shared" si="20"/>
        <v>158.04800162686701</v>
      </c>
    </row>
    <row r="69" spans="1:14">
      <c r="A69" t="s">
        <v>349</v>
      </c>
      <c r="B69" s="68">
        <f t="shared" ref="B69:M69" si="21">B51</f>
        <v>354.13476129999998</v>
      </c>
      <c r="C69" s="9">
        <f t="shared" si="21"/>
        <v>0</v>
      </c>
      <c r="D69" s="9">
        <f t="shared" si="21"/>
        <v>354.13476129999998</v>
      </c>
      <c r="E69" s="9">
        <f t="shared" si="21"/>
        <v>187.20747977668901</v>
      </c>
      <c r="F69" s="9">
        <f t="shared" si="21"/>
        <v>0</v>
      </c>
      <c r="G69" s="9">
        <f t="shared" si="21"/>
        <v>187.20747977668901</v>
      </c>
      <c r="H69" s="9">
        <f t="shared" si="21"/>
        <v>166.927281523311</v>
      </c>
      <c r="I69" s="9">
        <f t="shared" si="21"/>
        <v>0</v>
      </c>
      <c r="J69" s="9">
        <f t="shared" si="21"/>
        <v>166.927281523311</v>
      </c>
      <c r="K69" s="9">
        <f t="shared" si="21"/>
        <v>4.5728456524516098E-2</v>
      </c>
      <c r="L69" s="9">
        <f t="shared" si="21"/>
        <v>3.9321288886724202</v>
      </c>
      <c r="M69" s="9">
        <f t="shared" si="21"/>
        <v>162.995152634639</v>
      </c>
    </row>
    <row r="71" spans="1:14">
      <c r="A71" t="s">
        <v>33</v>
      </c>
      <c r="B71" s="9">
        <f t="shared" ref="B71:M71" si="22">SUM(B55:B69)</f>
        <v>6144.2972760329267</v>
      </c>
      <c r="C71" s="9">
        <f t="shared" si="22"/>
        <v>1599.9999999999998</v>
      </c>
      <c r="D71" s="9">
        <f t="shared" si="22"/>
        <v>7744.2972760329303</v>
      </c>
      <c r="E71" s="9">
        <f t="shared" si="22"/>
        <v>2493.8945681738151</v>
      </c>
      <c r="F71" s="9">
        <f t="shared" si="22"/>
        <v>1599.9999999999998</v>
      </c>
      <c r="G71" s="9">
        <f t="shared" si="22"/>
        <v>4093.8945681738151</v>
      </c>
      <c r="H71" s="9">
        <f t="shared" si="22"/>
        <v>3650.402707859113</v>
      </c>
      <c r="I71" s="9">
        <f t="shared" si="22"/>
        <v>0</v>
      </c>
      <c r="J71" s="9">
        <f t="shared" si="22"/>
        <v>3650.402707859113</v>
      </c>
      <c r="K71" s="9">
        <f t="shared" si="22"/>
        <v>1.0000000000000002</v>
      </c>
      <c r="L71" s="9">
        <f t="shared" si="22"/>
        <v>85.988664116933748</v>
      </c>
      <c r="M71" s="9">
        <f t="shared" si="22"/>
        <v>3564.4140437421793</v>
      </c>
    </row>
    <row r="73" spans="1:14">
      <c r="D73" s="66" t="s">
        <v>33</v>
      </c>
    </row>
    <row r="74" spans="1:14">
      <c r="A74" s="13" t="s">
        <v>332</v>
      </c>
      <c r="B74" s="13">
        <v>1835.04476923077</v>
      </c>
      <c r="C74" s="13">
        <v>731.2</v>
      </c>
      <c r="D74" s="13">
        <v>2566.2447692307701</v>
      </c>
      <c r="E74" s="13">
        <v>625.40281971252705</v>
      </c>
      <c r="F74" s="13">
        <v>731.2</v>
      </c>
      <c r="G74" s="13">
        <v>1356.6028197125299</v>
      </c>
      <c r="H74" s="13">
        <v>1209.6419495182399</v>
      </c>
      <c r="I74" s="13">
        <v>0</v>
      </c>
      <c r="J74" s="13">
        <v>1209.6419495182399</v>
      </c>
      <c r="K74" s="13">
        <v>0.33137219269368601</v>
      </c>
      <c r="L74" s="13">
        <v>28.4942521752292</v>
      </c>
      <c r="M74" s="13">
        <v>1181.1476973430099</v>
      </c>
      <c r="N74" s="9">
        <f>M74+L74</f>
        <v>1209.641949518239</v>
      </c>
    </row>
    <row r="75" spans="1:14">
      <c r="A75" t="s">
        <v>336</v>
      </c>
      <c r="B75" s="13">
        <v>663.59696700215898</v>
      </c>
      <c r="C75" s="13">
        <v>149.88999999999999</v>
      </c>
      <c r="D75" s="13">
        <v>813.48696700215896</v>
      </c>
      <c r="E75" s="13">
        <v>280.14641993406502</v>
      </c>
      <c r="F75" s="13">
        <v>149.88999999999999</v>
      </c>
      <c r="G75" s="13">
        <v>430.03641993406501</v>
      </c>
      <c r="H75" s="13">
        <v>383.45054706809401</v>
      </c>
      <c r="I75" s="13">
        <v>0</v>
      </c>
      <c r="J75" s="13">
        <v>383.45054706809401</v>
      </c>
      <c r="K75" s="13">
        <v>0.105043354872203</v>
      </c>
      <c r="L75" s="13">
        <v>9.0325377598217091</v>
      </c>
      <c r="M75" s="13">
        <v>374.41800930827299</v>
      </c>
      <c r="N75" s="9">
        <f t="shared" ref="N75:N88" si="23">M75+L75</f>
        <v>383.45054706809469</v>
      </c>
    </row>
    <row r="76" spans="1:14">
      <c r="A76" t="s">
        <v>337</v>
      </c>
      <c r="B76" s="13">
        <v>554.91218960000003</v>
      </c>
      <c r="C76" s="13">
        <v>134.68</v>
      </c>
      <c r="D76" s="13">
        <v>689.59218959999998</v>
      </c>
      <c r="E76" s="13">
        <v>229.86149661784299</v>
      </c>
      <c r="F76" s="13">
        <v>134.68</v>
      </c>
      <c r="G76" s="13">
        <v>364.54149661784299</v>
      </c>
      <c r="H76" s="13">
        <v>325.05069298215699</v>
      </c>
      <c r="I76" s="13">
        <v>0</v>
      </c>
      <c r="J76" s="13">
        <v>325.05069298215699</v>
      </c>
      <c r="K76" s="13">
        <v>8.9045159944227806E-2</v>
      </c>
      <c r="L76" s="13">
        <v>7.65687434968285</v>
      </c>
      <c r="M76" s="13">
        <v>317.39381863247399</v>
      </c>
      <c r="N76" s="9">
        <f t="shared" si="23"/>
        <v>325.05069298215682</v>
      </c>
    </row>
    <row r="77" spans="1:14">
      <c r="A77" t="s">
        <v>339</v>
      </c>
      <c r="B77" s="13">
        <v>460.67</v>
      </c>
      <c r="C77" s="13">
        <v>112.09</v>
      </c>
      <c r="D77" s="13">
        <v>572.76</v>
      </c>
      <c r="E77" s="13">
        <v>190.690093440368</v>
      </c>
      <c r="F77" s="13">
        <v>112.09</v>
      </c>
      <c r="G77" s="13">
        <v>302.78009344036798</v>
      </c>
      <c r="H77" s="13">
        <v>269.97990655963201</v>
      </c>
      <c r="I77" s="13">
        <v>0</v>
      </c>
      <c r="J77" s="13">
        <v>269.97990655963201</v>
      </c>
      <c r="K77" s="13">
        <v>7.3958937729905999E-2</v>
      </c>
      <c r="L77" s="13">
        <v>6.3596302549021102</v>
      </c>
      <c r="M77" s="13">
        <v>263.62027630473</v>
      </c>
      <c r="N77" s="9">
        <f t="shared" si="23"/>
        <v>269.97990655963213</v>
      </c>
    </row>
    <row r="78" spans="1:14">
      <c r="A78" t="s">
        <v>344</v>
      </c>
      <c r="B78" s="13">
        <v>376.15</v>
      </c>
      <c r="C78" s="13">
        <v>88.83</v>
      </c>
      <c r="D78" s="13">
        <v>464.98</v>
      </c>
      <c r="E78" s="13">
        <v>156.97398045935799</v>
      </c>
      <c r="F78" s="13">
        <v>88.83</v>
      </c>
      <c r="G78" s="13">
        <v>245.803980459358</v>
      </c>
      <c r="H78" s="13">
        <v>219.17601954064199</v>
      </c>
      <c r="I78" s="13">
        <v>0</v>
      </c>
      <c r="J78" s="13">
        <v>219.17601954064199</v>
      </c>
      <c r="K78" s="13">
        <v>6.00416000866884E-2</v>
      </c>
      <c r="L78" s="13">
        <v>5.1628969828975197</v>
      </c>
      <c r="M78" s="13">
        <v>214.013122557744</v>
      </c>
      <c r="N78" s="9">
        <f t="shared" si="23"/>
        <v>219.17601954064151</v>
      </c>
    </row>
    <row r="79" spans="1:14">
      <c r="A79" t="s">
        <v>338</v>
      </c>
      <c r="B79" s="13">
        <v>339.57</v>
      </c>
      <c r="C79" s="13">
        <v>83.21</v>
      </c>
      <c r="D79" s="13">
        <v>422.78</v>
      </c>
      <c r="E79" s="13">
        <v>140.28564897115501</v>
      </c>
      <c r="F79" s="13">
        <v>83.21</v>
      </c>
      <c r="G79" s="13">
        <v>223.49564897115499</v>
      </c>
      <c r="H79" s="13">
        <v>199.28435102884501</v>
      </c>
      <c r="I79" s="13">
        <v>0</v>
      </c>
      <c r="J79" s="13">
        <v>199.28435102884501</v>
      </c>
      <c r="K79" s="13">
        <v>5.45924291037252E-2</v>
      </c>
      <c r="L79" s="13">
        <v>4.6943300495277498</v>
      </c>
      <c r="M79" s="13">
        <v>194.59002097931801</v>
      </c>
      <c r="N79" s="9">
        <f t="shared" si="23"/>
        <v>199.28435102884578</v>
      </c>
    </row>
    <row r="80" spans="1:14">
      <c r="A80" t="s">
        <v>349</v>
      </c>
      <c r="B80" s="13">
        <v>354.13476129999998</v>
      </c>
      <c r="C80" s="13">
        <v>0</v>
      </c>
      <c r="D80" s="13">
        <v>354.13476129999998</v>
      </c>
      <c r="E80" s="13">
        <v>187.20747977668901</v>
      </c>
      <c r="F80" s="13">
        <v>0</v>
      </c>
      <c r="G80" s="13">
        <v>187.20747977668901</v>
      </c>
      <c r="H80" s="13">
        <v>166.927281523311</v>
      </c>
      <c r="I80" s="13">
        <v>0</v>
      </c>
      <c r="J80" s="13">
        <v>166.927281523311</v>
      </c>
      <c r="K80" s="13">
        <v>4.5728456524516098E-2</v>
      </c>
      <c r="L80" s="13">
        <v>3.9321288886724202</v>
      </c>
      <c r="M80" s="13">
        <v>162.995152634639</v>
      </c>
      <c r="N80" s="9">
        <f t="shared" si="23"/>
        <v>166.92728152331142</v>
      </c>
    </row>
    <row r="81" spans="1:14">
      <c r="A81" t="s">
        <v>348</v>
      </c>
      <c r="B81" s="13">
        <v>343.38623219999999</v>
      </c>
      <c r="C81" s="13">
        <v>0</v>
      </c>
      <c r="D81" s="13">
        <v>343.38623219999999</v>
      </c>
      <c r="E81" s="13">
        <v>181.525447782058</v>
      </c>
      <c r="F81" s="13">
        <v>0</v>
      </c>
      <c r="G81" s="13">
        <v>181.525447782058</v>
      </c>
      <c r="H81" s="13">
        <v>161.86078441794101</v>
      </c>
      <c r="I81" s="13">
        <v>0</v>
      </c>
      <c r="J81" s="13">
        <v>161.86078441794101</v>
      </c>
      <c r="K81" s="13">
        <v>4.4340528257187699E-2</v>
      </c>
      <c r="L81" s="13">
        <v>3.8127827910747198</v>
      </c>
      <c r="M81" s="13">
        <v>158.04800162686701</v>
      </c>
      <c r="N81" s="9">
        <f t="shared" si="23"/>
        <v>161.86078441794172</v>
      </c>
    </row>
    <row r="82" spans="1:14">
      <c r="A82" t="s">
        <v>345</v>
      </c>
      <c r="B82" s="13">
        <v>259.92020000000002</v>
      </c>
      <c r="C82" s="13">
        <v>63.86</v>
      </c>
      <c r="D82" s="13">
        <v>323.78019999999998</v>
      </c>
      <c r="E82" s="13">
        <v>107.301043386656</v>
      </c>
      <c r="F82" s="13">
        <v>63.86</v>
      </c>
      <c r="G82" s="13">
        <v>171.16104338665599</v>
      </c>
      <c r="H82" s="13">
        <v>152.61915661334399</v>
      </c>
      <c r="I82" s="13">
        <v>0</v>
      </c>
      <c r="J82" s="13">
        <v>152.61915661334399</v>
      </c>
      <c r="K82" s="13">
        <v>4.18088547558777E-2</v>
      </c>
      <c r="L82" s="13">
        <v>3.5950875687168402</v>
      </c>
      <c r="M82" s="13">
        <v>149.024069044627</v>
      </c>
      <c r="N82" s="9">
        <f t="shared" si="23"/>
        <v>152.61915661334385</v>
      </c>
    </row>
    <row r="83" spans="1:14">
      <c r="A83" t="s">
        <v>340</v>
      </c>
      <c r="B83" s="13">
        <v>182.03745670000001</v>
      </c>
      <c r="C83" s="13">
        <v>45.18</v>
      </c>
      <c r="D83" s="13">
        <v>227.21745670000001</v>
      </c>
      <c r="E83" s="13">
        <v>74.934747487444398</v>
      </c>
      <c r="F83" s="13">
        <v>45.18</v>
      </c>
      <c r="G83" s="13">
        <v>120.11474748744401</v>
      </c>
      <c r="H83" s="13">
        <v>107.10270921255599</v>
      </c>
      <c r="I83" s="13">
        <v>0</v>
      </c>
      <c r="J83" s="13">
        <v>107.10270921255599</v>
      </c>
      <c r="K83" s="13">
        <v>2.9339970897449E-2</v>
      </c>
      <c r="L83" s="13">
        <v>2.5229049027013599</v>
      </c>
      <c r="M83" s="13">
        <v>104.579804309854</v>
      </c>
      <c r="N83" s="9">
        <f t="shared" si="23"/>
        <v>107.10270921255535</v>
      </c>
    </row>
    <row r="84" spans="1:14">
      <c r="A84" t="s">
        <v>341</v>
      </c>
      <c r="B84" s="13">
        <v>175.46</v>
      </c>
      <c r="C84" s="13">
        <v>43.05</v>
      </c>
      <c r="D84" s="13">
        <v>218.51</v>
      </c>
      <c r="E84" s="13">
        <v>72.461694632402299</v>
      </c>
      <c r="F84" s="13">
        <v>43.05</v>
      </c>
      <c r="G84" s="13">
        <v>115.511694632402</v>
      </c>
      <c r="H84" s="13">
        <v>102.99830536759799</v>
      </c>
      <c r="I84" s="13">
        <v>0</v>
      </c>
      <c r="J84" s="13">
        <v>102.99830536759799</v>
      </c>
      <c r="K84" s="13">
        <v>2.8215600746144601E-2</v>
      </c>
      <c r="L84" s="13">
        <v>2.4262218154177302</v>
      </c>
      <c r="M84" s="13">
        <v>100.57208355218</v>
      </c>
      <c r="N84" s="9">
        <f t="shared" si="23"/>
        <v>102.99830536759774</v>
      </c>
    </row>
    <row r="85" spans="1:14">
      <c r="A85" t="s">
        <v>346</v>
      </c>
      <c r="B85" s="13">
        <v>169.4</v>
      </c>
      <c r="C85" s="13">
        <v>41.52</v>
      </c>
      <c r="D85" s="13">
        <v>210.92</v>
      </c>
      <c r="E85" s="13">
        <v>69.979366765211097</v>
      </c>
      <c r="F85" s="13">
        <v>41.52</v>
      </c>
      <c r="G85" s="13">
        <v>111.49936676521099</v>
      </c>
      <c r="H85" s="13">
        <v>99.420633234788895</v>
      </c>
      <c r="I85" s="13">
        <v>0</v>
      </c>
      <c r="J85" s="13">
        <v>99.420633234788895</v>
      </c>
      <c r="K85" s="13">
        <v>2.7235524732858001E-2</v>
      </c>
      <c r="L85" s="13">
        <v>2.3419463883021701</v>
      </c>
      <c r="M85" s="13">
        <v>97.078686846486704</v>
      </c>
      <c r="N85" s="9">
        <f t="shared" si="23"/>
        <v>99.42063323478888</v>
      </c>
    </row>
    <row r="86" spans="1:14">
      <c r="A86" t="s">
        <v>343</v>
      </c>
      <c r="B86" s="13">
        <v>153.49</v>
      </c>
      <c r="C86" s="13">
        <v>38.03</v>
      </c>
      <c r="D86" s="13">
        <v>191.52</v>
      </c>
      <c r="E86" s="13">
        <v>63.213877882008497</v>
      </c>
      <c r="F86" s="13">
        <v>38.03</v>
      </c>
      <c r="G86" s="13">
        <v>101.243877882009</v>
      </c>
      <c r="H86" s="13">
        <v>90.276122117991505</v>
      </c>
      <c r="I86" s="13">
        <v>0</v>
      </c>
      <c r="J86" s="13">
        <v>90.276122117991505</v>
      </c>
      <c r="K86" s="13">
        <v>2.4730455607988699E-2</v>
      </c>
      <c r="L86" s="13">
        <v>2.1265388407340802</v>
      </c>
      <c r="M86" s="13">
        <v>88.149583277257406</v>
      </c>
      <c r="N86" s="9">
        <f t="shared" si="23"/>
        <v>90.276122117991491</v>
      </c>
    </row>
    <row r="87" spans="1:14">
      <c r="A87" t="s">
        <v>347</v>
      </c>
      <c r="B87" s="13">
        <v>140.0247</v>
      </c>
      <c r="C87" s="13">
        <v>34.89</v>
      </c>
      <c r="D87" s="13">
        <v>174.91470000000001</v>
      </c>
      <c r="E87" s="13">
        <v>57.5757608947794</v>
      </c>
      <c r="F87" s="13">
        <v>34.89</v>
      </c>
      <c r="G87" s="13">
        <v>92.465760894779393</v>
      </c>
      <c r="H87" s="13">
        <v>82.448939105220603</v>
      </c>
      <c r="I87" s="13">
        <v>0</v>
      </c>
      <c r="J87" s="13">
        <v>82.448939105220603</v>
      </c>
      <c r="K87" s="13">
        <v>2.2586258477102401E-2</v>
      </c>
      <c r="L87" s="13">
        <v>1.94216219384581</v>
      </c>
      <c r="M87" s="13">
        <v>80.5067769113748</v>
      </c>
      <c r="N87" s="9">
        <f t="shared" si="23"/>
        <v>82.448939105220603</v>
      </c>
    </row>
    <row r="88" spans="1:14">
      <c r="A88" t="s">
        <v>342</v>
      </c>
      <c r="B88" s="13">
        <v>136.5</v>
      </c>
      <c r="C88" s="13">
        <v>33.57</v>
      </c>
      <c r="D88" s="13">
        <v>170.07</v>
      </c>
      <c r="E88" s="13">
        <v>56.334690431250998</v>
      </c>
      <c r="F88" s="13">
        <v>33.57</v>
      </c>
      <c r="G88" s="13">
        <v>89.904690431250998</v>
      </c>
      <c r="H88" s="13">
        <v>80.165309568748995</v>
      </c>
      <c r="I88" s="13">
        <v>0</v>
      </c>
      <c r="J88" s="13">
        <v>80.165309568748995</v>
      </c>
      <c r="K88" s="13">
        <v>2.1960675570439799E-2</v>
      </c>
      <c r="L88" s="13">
        <v>1.8883691554074999</v>
      </c>
      <c r="M88" s="13">
        <v>78.276940413341507</v>
      </c>
      <c r="N88" s="9">
        <f t="shared" si="23"/>
        <v>80.165309568749009</v>
      </c>
    </row>
    <row r="90" spans="1:14">
      <c r="B90" s="13">
        <v>51329.2</v>
      </c>
      <c r="C90" s="13">
        <v>5781.26</v>
      </c>
      <c r="D90" s="13">
        <v>0</v>
      </c>
      <c r="E90" s="13">
        <v>1620</v>
      </c>
      <c r="F90" s="13">
        <v>19311.77</v>
      </c>
      <c r="G90" s="13">
        <v>10246.98</v>
      </c>
      <c r="H90" s="13">
        <f t="shared" ref="H90:H95" si="24">SUM(B90:G90)</f>
        <v>88289.209999999992</v>
      </c>
    </row>
    <row r="91" spans="1:14">
      <c r="B91" s="13">
        <v>68293.62</v>
      </c>
      <c r="C91" s="13">
        <v>11203.41</v>
      </c>
      <c r="D91" s="13">
        <v>0</v>
      </c>
      <c r="E91">
        <v>1840</v>
      </c>
      <c r="F91">
        <v>7447.5</v>
      </c>
      <c r="G91" s="13">
        <v>16861.14</v>
      </c>
      <c r="H91" s="13">
        <f t="shared" si="24"/>
        <v>105645.67</v>
      </c>
    </row>
    <row r="92" spans="1:14">
      <c r="B92" s="13">
        <v>43382.02</v>
      </c>
      <c r="C92" s="13">
        <v>6473.66</v>
      </c>
      <c r="D92" s="13">
        <v>761.58</v>
      </c>
      <c r="E92">
        <v>3320</v>
      </c>
      <c r="F92">
        <v>11739.03</v>
      </c>
      <c r="G92" s="13">
        <v>21721.42</v>
      </c>
      <c r="H92" s="13">
        <f t="shared" si="24"/>
        <v>87397.709999999992</v>
      </c>
    </row>
    <row r="93" spans="1:14">
      <c r="B93" s="13">
        <v>28578.02</v>
      </c>
      <c r="C93" s="13">
        <v>100</v>
      </c>
      <c r="D93" s="13">
        <v>0</v>
      </c>
      <c r="E93" s="13">
        <v>0</v>
      </c>
      <c r="F93">
        <v>4738.12</v>
      </c>
      <c r="G93" s="13">
        <v>896.63</v>
      </c>
      <c r="H93" s="13">
        <f t="shared" si="24"/>
        <v>34312.769999999997</v>
      </c>
    </row>
    <row r="94" spans="1:14">
      <c r="B94" s="13">
        <v>580.02</v>
      </c>
      <c r="C94" s="13">
        <v>1771.05</v>
      </c>
      <c r="D94" s="13">
        <v>36</v>
      </c>
      <c r="E94" s="13">
        <v>0</v>
      </c>
      <c r="F94" s="13">
        <v>1242</v>
      </c>
      <c r="G94" s="13">
        <v>280.44</v>
      </c>
      <c r="H94" s="13">
        <f t="shared" si="24"/>
        <v>3909.5099999999998</v>
      </c>
    </row>
    <row r="95" spans="1:14">
      <c r="B95" s="13">
        <v>0</v>
      </c>
      <c r="C95" s="13">
        <v>0</v>
      </c>
      <c r="D95" s="13">
        <v>40.049999999999997</v>
      </c>
      <c r="E95" s="13">
        <v>0</v>
      </c>
      <c r="F95" s="13"/>
      <c r="G95" s="13">
        <v>11.4</v>
      </c>
      <c r="H95" s="13">
        <f t="shared" si="24"/>
        <v>51.449999999999996</v>
      </c>
    </row>
    <row r="96" spans="1:14">
      <c r="B96" s="13">
        <f t="shared" ref="B96:H96" si="25">SUM(B90:B95)</f>
        <v>192162.87999999998</v>
      </c>
      <c r="C96" s="13">
        <f t="shared" si="25"/>
        <v>25329.379999999997</v>
      </c>
      <c r="D96" s="13">
        <f t="shared" si="25"/>
        <v>837.63</v>
      </c>
      <c r="E96" s="13">
        <f t="shared" si="25"/>
        <v>6780</v>
      </c>
      <c r="F96" s="13">
        <f t="shared" si="25"/>
        <v>44478.420000000006</v>
      </c>
      <c r="G96" s="13">
        <f t="shared" si="25"/>
        <v>50018.009999999995</v>
      </c>
      <c r="H96" s="13">
        <f t="shared" si="25"/>
        <v>319606.32</v>
      </c>
    </row>
    <row r="97" spans="1:19">
      <c r="J97">
        <v>135381.78</v>
      </c>
    </row>
    <row r="98" spans="1:19">
      <c r="J98">
        <v>319606.3</v>
      </c>
    </row>
    <row r="99" spans="1:19">
      <c r="A99" s="75" t="s">
        <v>1109</v>
      </c>
      <c r="B99" s="13">
        <f t="shared" ref="B99:D105" si="26">B90/1000</f>
        <v>51.3292</v>
      </c>
      <c r="C99" s="13">
        <f t="shared" si="26"/>
        <v>5.7812600000000005</v>
      </c>
      <c r="D99" s="13">
        <f t="shared" si="26"/>
        <v>0</v>
      </c>
      <c r="E99" s="9">
        <f>SUM(B99:D99)</f>
        <v>57.110460000000003</v>
      </c>
      <c r="F99" s="13">
        <f t="shared" ref="F99:I105" si="27">E90/1000</f>
        <v>1.62</v>
      </c>
      <c r="G99" s="13">
        <f t="shared" si="27"/>
        <v>19.311769999999999</v>
      </c>
      <c r="H99" s="13">
        <f t="shared" si="27"/>
        <v>10.246979999999999</v>
      </c>
      <c r="I99" s="13">
        <f t="shared" si="27"/>
        <v>88.289209999999997</v>
      </c>
      <c r="J99" s="13">
        <f>J97/J98</f>
        <v>0.4235892095994353</v>
      </c>
    </row>
    <row r="100" spans="1:19">
      <c r="A100" s="76" t="s">
        <v>1110</v>
      </c>
      <c r="B100" s="13">
        <f t="shared" si="26"/>
        <v>68.29361999999999</v>
      </c>
      <c r="C100" s="13">
        <f t="shared" si="26"/>
        <v>11.20341</v>
      </c>
      <c r="D100" s="13">
        <f t="shared" si="26"/>
        <v>0</v>
      </c>
      <c r="E100" s="9">
        <f t="shared" ref="E100:E105" si="28">SUM(B100:D100)</f>
        <v>79.497029999999995</v>
      </c>
      <c r="F100" s="13">
        <f t="shared" si="27"/>
        <v>1.84</v>
      </c>
      <c r="G100" s="13">
        <f t="shared" si="27"/>
        <v>7.4474999999999998</v>
      </c>
      <c r="H100" s="13">
        <f t="shared" si="27"/>
        <v>16.861139999999999</v>
      </c>
      <c r="I100" s="13">
        <f t="shared" si="27"/>
        <v>105.64567</v>
      </c>
    </row>
    <row r="101" spans="1:19">
      <c r="A101" s="76" t="s">
        <v>1111</v>
      </c>
      <c r="B101" s="13">
        <f t="shared" si="26"/>
        <v>43.382019999999997</v>
      </c>
      <c r="C101" s="13">
        <f t="shared" si="26"/>
        <v>6.4736599999999997</v>
      </c>
      <c r="D101" s="13">
        <f t="shared" si="26"/>
        <v>0.76158000000000003</v>
      </c>
      <c r="E101" s="9">
        <f t="shared" si="28"/>
        <v>50.617260000000002</v>
      </c>
      <c r="F101" s="13">
        <f t="shared" si="27"/>
        <v>3.32</v>
      </c>
      <c r="G101" s="13">
        <f t="shared" si="27"/>
        <v>11.739030000000001</v>
      </c>
      <c r="H101" s="13">
        <f t="shared" si="27"/>
        <v>21.721419999999998</v>
      </c>
      <c r="I101" s="13">
        <f t="shared" si="27"/>
        <v>87.397709999999989</v>
      </c>
    </row>
    <row r="102" spans="1:19">
      <c r="A102" s="76" t="s">
        <v>1112</v>
      </c>
      <c r="B102" s="13">
        <f t="shared" si="26"/>
        <v>28.578020000000002</v>
      </c>
      <c r="C102" s="13">
        <f t="shared" si="26"/>
        <v>0.1</v>
      </c>
      <c r="D102" s="13">
        <f t="shared" si="26"/>
        <v>0</v>
      </c>
      <c r="E102" s="9">
        <f t="shared" si="28"/>
        <v>28.678020000000004</v>
      </c>
      <c r="F102" s="13">
        <f t="shared" si="27"/>
        <v>0</v>
      </c>
      <c r="G102" s="13">
        <f t="shared" si="27"/>
        <v>4.7381200000000003</v>
      </c>
      <c r="H102" s="13">
        <f t="shared" si="27"/>
        <v>0.89663000000000004</v>
      </c>
      <c r="I102" s="13">
        <f t="shared" si="27"/>
        <v>34.312769999999993</v>
      </c>
    </row>
    <row r="103" spans="1:19">
      <c r="A103" s="76" t="s">
        <v>1113</v>
      </c>
      <c r="B103" s="13">
        <f t="shared" si="26"/>
        <v>0.58001999999999998</v>
      </c>
      <c r="C103" s="13">
        <f t="shared" si="26"/>
        <v>1.77105</v>
      </c>
      <c r="D103" s="13">
        <f t="shared" si="26"/>
        <v>3.5999999999999997E-2</v>
      </c>
      <c r="E103" s="9">
        <f t="shared" si="28"/>
        <v>2.38707</v>
      </c>
      <c r="F103" s="13">
        <f t="shared" si="27"/>
        <v>0</v>
      </c>
      <c r="G103" s="13">
        <f t="shared" si="27"/>
        <v>1.242</v>
      </c>
      <c r="H103" s="13">
        <f t="shared" si="27"/>
        <v>0.28044000000000002</v>
      </c>
      <c r="I103" s="13">
        <f t="shared" si="27"/>
        <v>3.9095099999999996</v>
      </c>
    </row>
    <row r="104" spans="1:19">
      <c r="A104" s="76" t="s">
        <v>1114</v>
      </c>
      <c r="B104" s="13">
        <f t="shared" si="26"/>
        <v>0</v>
      </c>
      <c r="C104" s="13">
        <f t="shared" si="26"/>
        <v>0</v>
      </c>
      <c r="D104" s="13">
        <f t="shared" si="26"/>
        <v>4.0049999999999995E-2</v>
      </c>
      <c r="E104" s="9">
        <f t="shared" si="28"/>
        <v>4.0049999999999995E-2</v>
      </c>
      <c r="F104" s="13">
        <f t="shared" si="27"/>
        <v>0</v>
      </c>
      <c r="G104" s="13">
        <f t="shared" si="27"/>
        <v>0</v>
      </c>
      <c r="H104" s="13">
        <f t="shared" si="27"/>
        <v>1.14E-2</v>
      </c>
      <c r="I104" s="13">
        <f t="shared" si="27"/>
        <v>5.1449999999999996E-2</v>
      </c>
    </row>
    <row r="105" spans="1:19">
      <c r="B105" s="13">
        <f t="shared" si="26"/>
        <v>192.16287999999997</v>
      </c>
      <c r="C105" s="13">
        <f t="shared" si="26"/>
        <v>25.329379999999997</v>
      </c>
      <c r="D105" s="13">
        <f t="shared" si="26"/>
        <v>0.83762999999999999</v>
      </c>
      <c r="E105" s="9">
        <f t="shared" si="28"/>
        <v>218.32988999999995</v>
      </c>
      <c r="F105" s="13">
        <f t="shared" si="27"/>
        <v>6.78</v>
      </c>
      <c r="G105" s="13">
        <f t="shared" si="27"/>
        <v>44.478420000000007</v>
      </c>
      <c r="H105" s="13">
        <f t="shared" si="27"/>
        <v>50.018009999999997</v>
      </c>
      <c r="I105" s="13">
        <f t="shared" si="27"/>
        <v>319.60631999999998</v>
      </c>
    </row>
    <row r="106" spans="1:19">
      <c r="B106" s="77">
        <f>B105/I105</f>
        <v>0.60124868619619276</v>
      </c>
    </row>
    <row r="108" spans="1:19">
      <c r="A108" t="s">
        <v>332</v>
      </c>
      <c r="B108" s="13">
        <v>233.7</v>
      </c>
      <c r="C108" s="13">
        <v>8.6999999999999993</v>
      </c>
      <c r="D108" s="13">
        <v>33.57</v>
      </c>
      <c r="E108" s="13">
        <v>1.25</v>
      </c>
      <c r="F108" s="13">
        <v>94.14</v>
      </c>
      <c r="G108" s="13">
        <v>3.48</v>
      </c>
      <c r="H108" s="13">
        <v>21.59</v>
      </c>
      <c r="I108" s="13">
        <v>0.9</v>
      </c>
      <c r="J108" s="13">
        <v>261.62</v>
      </c>
      <c r="K108" s="13">
        <v>8.6999999999999993</v>
      </c>
      <c r="L108" s="13">
        <v>37.58</v>
      </c>
      <c r="M108" s="13">
        <v>1.25</v>
      </c>
      <c r="N108" s="13">
        <v>104.05</v>
      </c>
      <c r="O108" s="13">
        <v>3.48</v>
      </c>
      <c r="P108" s="13">
        <v>23.86</v>
      </c>
      <c r="Q108" s="13">
        <v>0.9</v>
      </c>
      <c r="R108" s="13">
        <v>292.25</v>
      </c>
      <c r="S108" s="13">
        <v>10.52</v>
      </c>
    </row>
    <row r="109" spans="1:19">
      <c r="A109" t="s">
        <v>333</v>
      </c>
      <c r="B109" s="13">
        <v>42.6</v>
      </c>
      <c r="C109" s="13">
        <v>1.3</v>
      </c>
      <c r="D109" s="13">
        <v>17.04</v>
      </c>
      <c r="E109" s="13">
        <v>0.52</v>
      </c>
      <c r="F109" s="13">
        <v>20.73</v>
      </c>
      <c r="G109" s="13">
        <v>0.64</v>
      </c>
      <c r="H109" s="13">
        <v>0</v>
      </c>
      <c r="I109" s="13">
        <v>0</v>
      </c>
      <c r="J109" s="13">
        <v>47.46</v>
      </c>
      <c r="K109" s="13">
        <v>1.45</v>
      </c>
      <c r="L109" s="13">
        <v>18.98</v>
      </c>
      <c r="M109" s="13">
        <v>0.57999999999999996</v>
      </c>
      <c r="N109" s="13">
        <v>22.91</v>
      </c>
      <c r="O109" s="13">
        <v>0.71</v>
      </c>
      <c r="P109" s="13">
        <v>0</v>
      </c>
      <c r="Q109" s="13">
        <v>0</v>
      </c>
      <c r="R109" s="13">
        <v>41.02</v>
      </c>
      <c r="S109" s="13">
        <v>1.35</v>
      </c>
    </row>
    <row r="110" spans="1:19">
      <c r="A110" t="s">
        <v>334</v>
      </c>
      <c r="B110" s="13">
        <v>39.020000000000003</v>
      </c>
      <c r="C110" s="13">
        <v>1.34</v>
      </c>
      <c r="D110" s="13">
        <v>6.36</v>
      </c>
      <c r="E110" s="13">
        <v>0.24</v>
      </c>
      <c r="F110" s="13">
        <v>10.77</v>
      </c>
      <c r="G110" s="13">
        <v>0.36</v>
      </c>
      <c r="H110" s="13">
        <v>3.58</v>
      </c>
      <c r="I110" s="13">
        <v>0.13</v>
      </c>
      <c r="J110" s="13">
        <v>43.5</v>
      </c>
      <c r="K110" s="13">
        <v>1.49</v>
      </c>
      <c r="L110" s="13">
        <v>7.12</v>
      </c>
      <c r="M110" s="13">
        <v>0.25</v>
      </c>
      <c r="N110" s="13">
        <v>11.93</v>
      </c>
      <c r="O110" s="13">
        <v>0.4</v>
      </c>
      <c r="P110" s="13">
        <v>3.98</v>
      </c>
      <c r="Q110" s="13">
        <v>0.15</v>
      </c>
      <c r="R110" s="13">
        <v>30.09</v>
      </c>
      <c r="S110" s="13">
        <v>1.1100000000000001</v>
      </c>
    </row>
    <row r="111" spans="1:19">
      <c r="A111" t="s">
        <v>335</v>
      </c>
      <c r="B111" s="13">
        <v>63.9</v>
      </c>
      <c r="C111" s="13">
        <v>1.67</v>
      </c>
      <c r="D111" s="13">
        <v>5.53</v>
      </c>
      <c r="E111" s="13">
        <v>0.25</v>
      </c>
      <c r="F111" s="13">
        <v>24.16</v>
      </c>
      <c r="G111" s="13">
        <v>0.81</v>
      </c>
      <c r="H111" s="13">
        <v>21.58</v>
      </c>
      <c r="I111" s="13">
        <v>0.83</v>
      </c>
      <c r="J111" s="13">
        <v>71.2</v>
      </c>
      <c r="K111" s="13">
        <v>1.87</v>
      </c>
      <c r="L111" s="13">
        <v>6.17</v>
      </c>
      <c r="M111" s="13">
        <v>0.284769230769231</v>
      </c>
      <c r="N111" s="13">
        <v>26.72</v>
      </c>
      <c r="O111" s="13">
        <v>1.89</v>
      </c>
      <c r="P111" s="13">
        <v>23.86</v>
      </c>
      <c r="Q111" s="13">
        <v>0.91</v>
      </c>
      <c r="R111" s="13">
        <v>60.16</v>
      </c>
      <c r="S111" s="13">
        <v>2.6</v>
      </c>
    </row>
    <row r="112" spans="1:19">
      <c r="A112" t="s">
        <v>336</v>
      </c>
      <c r="B112" s="13">
        <v>151.89097960000001</v>
      </c>
      <c r="C112" s="13">
        <v>15.775692845573399</v>
      </c>
      <c r="D112" s="13">
        <v>25.173431900000001</v>
      </c>
      <c r="E112" s="13">
        <v>2.62108034785639</v>
      </c>
      <c r="F112" s="13">
        <v>56.056568599999999</v>
      </c>
      <c r="G112" s="13">
        <v>5.6120870591766003</v>
      </c>
      <c r="H112" s="13"/>
      <c r="I112" s="13"/>
      <c r="J112" s="13">
        <v>171.06424519999999</v>
      </c>
      <c r="K112" s="13">
        <v>17.695677256631701</v>
      </c>
      <c r="L112" s="13">
        <v>28.367817500000001</v>
      </c>
      <c r="M112" s="13">
        <v>2.9262889472873201</v>
      </c>
      <c r="N112" s="13">
        <v>62.565277700000003</v>
      </c>
      <c r="O112" s="13">
        <v>6.2834456924738298</v>
      </c>
      <c r="P112" s="13"/>
      <c r="Q112" s="13"/>
      <c r="R112" s="13">
        <v>106.5589006</v>
      </c>
      <c r="S112" s="13">
        <v>11.005473753159601</v>
      </c>
    </row>
    <row r="113" spans="1:19">
      <c r="A113" t="s">
        <v>337</v>
      </c>
      <c r="B113" s="13">
        <v>130.4672592</v>
      </c>
      <c r="C113" s="13">
        <v>3.0072592</v>
      </c>
      <c r="D113" s="13">
        <v>21.6157626</v>
      </c>
      <c r="E113" s="13">
        <v>0.39576260000000002</v>
      </c>
      <c r="F113" s="13">
        <v>53.507217099999998</v>
      </c>
      <c r="G113" s="13">
        <v>1.2272171000000001</v>
      </c>
      <c r="H113" s="13">
        <v>0</v>
      </c>
      <c r="I113" s="13">
        <v>0</v>
      </c>
      <c r="J113" s="13">
        <v>145.9387911</v>
      </c>
      <c r="K113" s="13">
        <v>3.2387910999999998</v>
      </c>
      <c r="L113" s="13">
        <v>24.333307099999999</v>
      </c>
      <c r="M113" s="13">
        <v>0.55330710000000005</v>
      </c>
      <c r="N113" s="13">
        <v>58.949453599999998</v>
      </c>
      <c r="O113" s="13">
        <v>1.3211793999999999</v>
      </c>
      <c r="P113" s="13">
        <v>0</v>
      </c>
      <c r="Q113" s="13">
        <v>0</v>
      </c>
      <c r="R113" s="13">
        <v>107.9470941</v>
      </c>
      <c r="S113" s="13">
        <v>2.4097883000000002</v>
      </c>
    </row>
    <row r="114" spans="1:19">
      <c r="A114" t="s">
        <v>338</v>
      </c>
      <c r="B114" s="13">
        <v>106.22</v>
      </c>
      <c r="C114" s="13">
        <v>3.68</v>
      </c>
      <c r="D114" s="13"/>
      <c r="E114" s="13"/>
      <c r="F114" s="13">
        <v>17.71</v>
      </c>
      <c r="G114" s="13">
        <v>0.61</v>
      </c>
      <c r="H114" s="13">
        <v>0</v>
      </c>
      <c r="I114" s="13"/>
      <c r="J114" s="13">
        <v>118.92</v>
      </c>
      <c r="K114" s="13">
        <v>4.1100000000000003</v>
      </c>
      <c r="L114" s="13"/>
      <c r="M114" s="13"/>
      <c r="N114" s="13">
        <v>19.57</v>
      </c>
      <c r="O114" s="13">
        <v>0.7</v>
      </c>
      <c r="P114" s="13">
        <v>0</v>
      </c>
      <c r="Q114" s="13"/>
      <c r="R114" s="13">
        <v>65.83</v>
      </c>
      <c r="S114" s="13">
        <v>2.2200000000000002</v>
      </c>
    </row>
    <row r="115" spans="1:19">
      <c r="A115" t="s">
        <v>339</v>
      </c>
      <c r="B115" s="13">
        <v>109.93</v>
      </c>
      <c r="C115" s="13">
        <v>1.01</v>
      </c>
      <c r="D115" s="13">
        <v>18.02</v>
      </c>
      <c r="E115" s="13">
        <v>0.12</v>
      </c>
      <c r="F115" s="13">
        <v>44.97</v>
      </c>
      <c r="G115" s="13">
        <v>0.5</v>
      </c>
      <c r="H115" s="13">
        <v>0</v>
      </c>
      <c r="I115" s="13"/>
      <c r="J115" s="13">
        <v>121.96</v>
      </c>
      <c r="K115" s="13">
        <v>1.36</v>
      </c>
      <c r="L115" s="13">
        <v>20</v>
      </c>
      <c r="M115" s="13">
        <v>0.22</v>
      </c>
      <c r="N115" s="13">
        <v>48.21</v>
      </c>
      <c r="O115" s="13">
        <v>0.53</v>
      </c>
      <c r="P115" s="13">
        <v>0</v>
      </c>
      <c r="Q115" s="13"/>
      <c r="R115" s="13">
        <v>92.83</v>
      </c>
      <c r="S115" s="13">
        <v>1.01</v>
      </c>
    </row>
    <row r="116" spans="1:19">
      <c r="A116" t="s">
        <v>340</v>
      </c>
      <c r="B116" s="13">
        <v>42.49</v>
      </c>
      <c r="C116" s="13">
        <v>0.95207379999999997</v>
      </c>
      <c r="D116" s="13">
        <v>7.23</v>
      </c>
      <c r="E116" s="13">
        <v>0.16068750000000001</v>
      </c>
      <c r="F116" s="13">
        <v>17.71</v>
      </c>
      <c r="G116" s="13">
        <v>0.39492539999999998</v>
      </c>
      <c r="H116" s="13">
        <v>0</v>
      </c>
      <c r="I116" s="13"/>
      <c r="J116" s="13">
        <v>47.57</v>
      </c>
      <c r="K116" s="13">
        <v>1.0559232999999999</v>
      </c>
      <c r="L116" s="13">
        <v>8.09</v>
      </c>
      <c r="M116" s="13">
        <v>0.18097460000000001</v>
      </c>
      <c r="N116" s="13">
        <v>19.57</v>
      </c>
      <c r="O116" s="13">
        <v>0.43759749999999997</v>
      </c>
      <c r="P116" s="13">
        <v>0</v>
      </c>
      <c r="Q116" s="13"/>
      <c r="R116" s="13">
        <v>35.411999999999999</v>
      </c>
      <c r="S116" s="13">
        <v>0.78327460000000004</v>
      </c>
    </row>
    <row r="117" spans="1:19">
      <c r="A117" t="s">
        <v>341</v>
      </c>
      <c r="B117" s="13">
        <v>42.49</v>
      </c>
      <c r="C117" s="13">
        <v>1.46</v>
      </c>
      <c r="D117" s="13">
        <v>6.6</v>
      </c>
      <c r="E117" s="13">
        <v>0.23</v>
      </c>
      <c r="F117" s="13">
        <v>15.12</v>
      </c>
      <c r="G117" s="13">
        <v>0.52</v>
      </c>
      <c r="H117" s="13">
        <v>0</v>
      </c>
      <c r="I117" s="13">
        <v>0</v>
      </c>
      <c r="J117" s="13">
        <v>47.57</v>
      </c>
      <c r="K117" s="13">
        <v>1.64</v>
      </c>
      <c r="L117" s="13">
        <v>7.4</v>
      </c>
      <c r="M117" s="13">
        <v>0.25</v>
      </c>
      <c r="N117" s="13">
        <v>16.71</v>
      </c>
      <c r="O117" s="13">
        <v>0.56999999999999995</v>
      </c>
      <c r="P117" s="13">
        <v>0</v>
      </c>
      <c r="Q117" s="13">
        <v>0</v>
      </c>
      <c r="R117" s="13">
        <v>33.75</v>
      </c>
      <c r="S117" s="13">
        <v>1.1499999999999999</v>
      </c>
    </row>
    <row r="118" spans="1:19">
      <c r="A118" t="s">
        <v>342</v>
      </c>
      <c r="B118" s="13">
        <v>17.299790748898701</v>
      </c>
      <c r="C118" s="13">
        <v>0.47164096916299503</v>
      </c>
      <c r="D118" s="13">
        <v>20.459385474860301</v>
      </c>
      <c r="E118" s="13">
        <v>0.62312849162011097</v>
      </c>
      <c r="F118" s="13">
        <v>12.958</v>
      </c>
      <c r="G118" s="13">
        <v>0.41799999999999998</v>
      </c>
      <c r="H118" s="13">
        <v>0</v>
      </c>
      <c r="I118" s="13">
        <v>0</v>
      </c>
      <c r="J118" s="13">
        <v>19.380209251101299</v>
      </c>
      <c r="K118" s="13">
        <v>0.52835903083700397</v>
      </c>
      <c r="L118" s="13">
        <v>22.880614525139698</v>
      </c>
      <c r="M118" s="13">
        <v>0.69687150837988798</v>
      </c>
      <c r="N118" s="13">
        <v>14.321999999999999</v>
      </c>
      <c r="O118" s="13">
        <v>0.46200000000000002</v>
      </c>
      <c r="P118" s="13">
        <v>0</v>
      </c>
      <c r="Q118" s="13">
        <v>0</v>
      </c>
      <c r="R118" s="13">
        <v>25.17</v>
      </c>
      <c r="S118" s="13">
        <v>0.83</v>
      </c>
    </row>
    <row r="119" spans="1:19">
      <c r="A119" t="s">
        <v>343</v>
      </c>
      <c r="B119" s="13">
        <v>38.67</v>
      </c>
      <c r="C119" s="13">
        <v>1.39</v>
      </c>
      <c r="D119" s="13">
        <v>6.3799999999999901</v>
      </c>
      <c r="E119" s="13">
        <v>0.23</v>
      </c>
      <c r="F119" s="13">
        <v>7.7709999999999999</v>
      </c>
      <c r="G119" s="13">
        <v>0.28000000000000003</v>
      </c>
      <c r="H119" s="13">
        <v>3.8765982404692099</v>
      </c>
      <c r="I119" s="13">
        <v>0.16</v>
      </c>
      <c r="J119" s="13">
        <v>43.29</v>
      </c>
      <c r="K119" s="13">
        <v>1.39</v>
      </c>
      <c r="L119" s="13">
        <v>7.1399999999999899</v>
      </c>
      <c r="M119" s="13">
        <v>0.23</v>
      </c>
      <c r="N119" s="13">
        <v>8.5890000000000004</v>
      </c>
      <c r="O119" s="13">
        <v>0.28000000000000003</v>
      </c>
      <c r="P119" s="13">
        <v>4.2834017595307898</v>
      </c>
      <c r="Q119" s="13">
        <v>0.16</v>
      </c>
      <c r="R119" s="13">
        <v>28.41</v>
      </c>
      <c r="S119" s="13">
        <v>0.96</v>
      </c>
    </row>
    <row r="120" spans="1:19">
      <c r="A120" t="s">
        <v>344</v>
      </c>
      <c r="B120" s="13">
        <v>107.423078084747</v>
      </c>
      <c r="C120" s="13">
        <v>9.7708812294572205</v>
      </c>
      <c r="D120" s="13">
        <v>0</v>
      </c>
      <c r="E120" s="13">
        <v>0</v>
      </c>
      <c r="F120" s="13">
        <v>14.0695</v>
      </c>
      <c r="G120" s="13">
        <v>1.2825</v>
      </c>
      <c r="H120" s="13">
        <v>21.946077292645601</v>
      </c>
      <c r="I120" s="13">
        <v>2.1756067965436601</v>
      </c>
      <c r="J120" s="13">
        <v>120.26692191525299</v>
      </c>
      <c r="K120" s="13">
        <v>10.9391187705428</v>
      </c>
      <c r="L120" s="13">
        <v>0</v>
      </c>
      <c r="M120" s="13">
        <v>0</v>
      </c>
      <c r="N120" s="13">
        <v>15.5505</v>
      </c>
      <c r="O120" s="13">
        <v>1.4175</v>
      </c>
      <c r="P120" s="13">
        <v>24.253922707354398</v>
      </c>
      <c r="Q120" s="13">
        <v>2.4043932034563502</v>
      </c>
      <c r="R120" s="13">
        <v>41</v>
      </c>
      <c r="S120" s="13">
        <v>3.65</v>
      </c>
    </row>
    <row r="121" spans="1:19">
      <c r="A121" t="s">
        <v>345</v>
      </c>
      <c r="B121" s="13">
        <v>63.650914070017002</v>
      </c>
      <c r="C121" s="13">
        <v>2.2744467470949599</v>
      </c>
      <c r="D121" s="13">
        <v>10.5917051509769</v>
      </c>
      <c r="E121" s="13">
        <v>0.36273996447602103</v>
      </c>
      <c r="F121" s="13">
        <v>26.329249999999998</v>
      </c>
      <c r="G121" s="13">
        <v>0.92876749999999997</v>
      </c>
      <c r="H121" s="13">
        <v>0</v>
      </c>
      <c r="I121" s="13">
        <v>0</v>
      </c>
      <c r="J121" s="13">
        <v>71.249085929982897</v>
      </c>
      <c r="K121" s="13">
        <v>2.5459532529050399</v>
      </c>
      <c r="L121" s="13">
        <v>11.8682948490231</v>
      </c>
      <c r="M121" s="13">
        <v>0.40646003552397902</v>
      </c>
      <c r="N121" s="13">
        <v>29.100750000000001</v>
      </c>
      <c r="O121" s="13">
        <v>1.0265325000000001</v>
      </c>
      <c r="P121" s="13">
        <v>0</v>
      </c>
      <c r="Q121" s="13">
        <v>0</v>
      </c>
      <c r="R121" s="13">
        <v>38.251399999999997</v>
      </c>
      <c r="S121" s="13">
        <v>1.3339000000000001</v>
      </c>
    </row>
    <row r="122" spans="1:19">
      <c r="A122" t="s">
        <v>346</v>
      </c>
      <c r="B122" s="13">
        <v>42.5294509516837</v>
      </c>
      <c r="C122" s="13">
        <v>1.72</v>
      </c>
      <c r="D122" s="13">
        <v>7.1397485207100502</v>
      </c>
      <c r="E122" s="13">
        <v>0.28999999999999998</v>
      </c>
      <c r="F122" s="13">
        <v>17.271000000000001</v>
      </c>
      <c r="G122" s="13">
        <v>0.62</v>
      </c>
      <c r="H122" s="13">
        <v>0</v>
      </c>
      <c r="I122" s="13">
        <v>0</v>
      </c>
      <c r="J122" s="13">
        <v>47.610549048316301</v>
      </c>
      <c r="K122" s="13">
        <v>1.71</v>
      </c>
      <c r="L122" s="13">
        <v>7.9902514792899302</v>
      </c>
      <c r="M122" s="13">
        <v>0.28000000000000003</v>
      </c>
      <c r="N122" s="13">
        <v>19.088999999999999</v>
      </c>
      <c r="O122" s="13">
        <v>0.61</v>
      </c>
      <c r="P122" s="13">
        <v>0</v>
      </c>
      <c r="Q122" s="13">
        <v>0</v>
      </c>
      <c r="R122" s="13">
        <v>21.8</v>
      </c>
      <c r="S122" s="13">
        <v>0.74</v>
      </c>
    </row>
    <row r="123" spans="1:19">
      <c r="A123" t="s">
        <v>347</v>
      </c>
      <c r="B123" s="13">
        <v>42.48</v>
      </c>
      <c r="C123" s="13">
        <v>0.98780000000000001</v>
      </c>
      <c r="D123" s="13">
        <v>0</v>
      </c>
      <c r="E123" s="13">
        <v>0</v>
      </c>
      <c r="F123" s="13">
        <v>15.114699999999999</v>
      </c>
      <c r="G123" s="13">
        <v>0.35410000000000003</v>
      </c>
      <c r="H123" s="13">
        <v>0</v>
      </c>
      <c r="I123" s="13">
        <v>0</v>
      </c>
      <c r="J123" s="13">
        <v>47.56</v>
      </c>
      <c r="K123" s="13">
        <v>1.1204000000000001</v>
      </c>
      <c r="L123" s="13">
        <v>0</v>
      </c>
      <c r="M123" s="13">
        <v>0</v>
      </c>
      <c r="N123" s="13">
        <v>16.706</v>
      </c>
      <c r="O123" s="13">
        <v>0.38840000000000002</v>
      </c>
      <c r="P123" s="13">
        <v>0</v>
      </c>
      <c r="Q123" s="13">
        <v>0</v>
      </c>
      <c r="R123" s="13">
        <v>14.976000000000001</v>
      </c>
      <c r="S123" s="13">
        <v>0.33729999999999999</v>
      </c>
    </row>
    <row r="124" spans="1:19">
      <c r="A124" t="s">
        <v>348</v>
      </c>
      <c r="B124" s="13">
        <v>117.94883183796701</v>
      </c>
      <c r="C124" s="13">
        <v>44.059187990956701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132.05116816203201</v>
      </c>
      <c r="K124" s="13">
        <v>49.327044209043201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</row>
    <row r="125" spans="1:19">
      <c r="A125" t="s">
        <v>349</v>
      </c>
      <c r="B125" s="13">
        <v>0</v>
      </c>
      <c r="C125" s="13">
        <v>0</v>
      </c>
      <c r="D125" s="13">
        <v>42.494</v>
      </c>
      <c r="E125" s="13">
        <v>1.6672769000000001</v>
      </c>
      <c r="F125" s="13">
        <v>86.361999999999995</v>
      </c>
      <c r="G125" s="13">
        <v>3.3354615000000001</v>
      </c>
      <c r="H125" s="13">
        <v>0</v>
      </c>
      <c r="I125" s="13">
        <v>0</v>
      </c>
      <c r="J125" s="13">
        <v>0</v>
      </c>
      <c r="K125" s="13">
        <v>0</v>
      </c>
      <c r="L125" s="13">
        <v>48.5801315</v>
      </c>
      <c r="M125" s="13">
        <v>1.8585217999999999</v>
      </c>
      <c r="N125" s="13">
        <v>95.453999999999994</v>
      </c>
      <c r="O125" s="13">
        <v>3.6901299999999999</v>
      </c>
      <c r="P125" s="13">
        <v>0</v>
      </c>
      <c r="Q125" s="13">
        <v>0</v>
      </c>
      <c r="R125" s="13">
        <v>68.099000000000004</v>
      </c>
      <c r="S125" s="13">
        <v>2.5942395999999999</v>
      </c>
    </row>
    <row r="126" spans="1:19">
      <c r="A126" t="s">
        <v>33</v>
      </c>
    </row>
    <row r="129" spans="1:8">
      <c r="A129" s="78" t="s">
        <v>1115</v>
      </c>
    </row>
    <row r="130" spans="1:8">
      <c r="A130" s="78" t="s">
        <v>1116</v>
      </c>
      <c r="B130" s="79">
        <v>0</v>
      </c>
      <c r="C130" s="79">
        <v>0.05</v>
      </c>
      <c r="D130" s="79">
        <v>0.1</v>
      </c>
      <c r="E130" s="79">
        <v>0.15</v>
      </c>
      <c r="F130" s="79">
        <v>0.2</v>
      </c>
      <c r="G130" s="79">
        <v>0.25</v>
      </c>
      <c r="H130" s="79">
        <v>0.3</v>
      </c>
    </row>
    <row r="131" spans="1:8">
      <c r="A131" s="13">
        <v>3.22</v>
      </c>
      <c r="B131" s="13"/>
      <c r="C131" s="13"/>
      <c r="D131" s="13"/>
      <c r="E131" s="13"/>
      <c r="F131" s="13"/>
      <c r="G131" s="13"/>
      <c r="H131" s="13">
        <v>1.1100000000000001</v>
      </c>
    </row>
    <row r="132" spans="1:8">
      <c r="A132" s="13">
        <v>3.3</v>
      </c>
      <c r="B132" s="13"/>
      <c r="C132" s="13"/>
      <c r="D132" s="13"/>
      <c r="E132" s="13"/>
      <c r="F132" s="13"/>
      <c r="G132" s="13"/>
      <c r="H132" s="13">
        <v>1.1499999999999999</v>
      </c>
    </row>
    <row r="133" spans="1:8">
      <c r="A133" s="13">
        <v>3.4</v>
      </c>
      <c r="B133" s="13"/>
      <c r="C133" s="13"/>
      <c r="D133" s="13"/>
      <c r="E133" s="13"/>
      <c r="F133" s="13"/>
      <c r="G133" s="13">
        <v>1.1100000000000001</v>
      </c>
      <c r="H133" s="13">
        <v>1.19</v>
      </c>
    </row>
    <row r="134" spans="1:8">
      <c r="A134" s="13">
        <v>3.5</v>
      </c>
      <c r="B134" s="13"/>
      <c r="C134" s="13"/>
      <c r="D134" s="13"/>
      <c r="E134" s="13"/>
      <c r="F134" s="13"/>
      <c r="G134" s="13">
        <v>1.1599999999999999</v>
      </c>
      <c r="H134" s="13">
        <v>1.23</v>
      </c>
    </row>
    <row r="135" spans="1:8">
      <c r="A135" s="13">
        <v>3.6</v>
      </c>
      <c r="B135" s="13"/>
      <c r="C135" s="13"/>
      <c r="D135" s="13"/>
      <c r="E135" s="13"/>
      <c r="F135" s="13">
        <v>1.1200000000000001</v>
      </c>
      <c r="G135" s="13">
        <v>1.2</v>
      </c>
      <c r="H135" s="13">
        <v>1.28</v>
      </c>
    </row>
    <row r="136" spans="1:8">
      <c r="A136" s="13">
        <v>3.7</v>
      </c>
      <c r="B136" s="13"/>
      <c r="C136" s="13"/>
      <c r="D136" s="13"/>
      <c r="E136" s="13"/>
      <c r="F136" s="13">
        <v>1.1599999999999999</v>
      </c>
      <c r="G136" s="13">
        <v>1.24</v>
      </c>
      <c r="H136" s="13">
        <v>1.32</v>
      </c>
    </row>
    <row r="137" spans="1:8">
      <c r="A137" s="13">
        <v>3.8</v>
      </c>
      <c r="B137" s="13"/>
      <c r="C137" s="13"/>
      <c r="D137" s="13"/>
      <c r="E137" s="13">
        <v>1.1299999999999999</v>
      </c>
      <c r="F137" s="13">
        <v>1.2</v>
      </c>
      <c r="G137" s="13">
        <v>1.28</v>
      </c>
      <c r="H137" s="13">
        <v>1.35</v>
      </c>
    </row>
    <row r="138" spans="1:8">
      <c r="A138" s="13">
        <v>3.9</v>
      </c>
      <c r="B138" s="13"/>
      <c r="C138" s="13"/>
      <c r="D138" s="13">
        <v>1.1100000000000001</v>
      </c>
      <c r="E138" s="13">
        <v>1.17</v>
      </c>
      <c r="F138" s="13">
        <v>1.24</v>
      </c>
      <c r="G138" s="13">
        <v>1.31</v>
      </c>
      <c r="H138" s="13">
        <v>1.38</v>
      </c>
    </row>
    <row r="139" spans="1:8">
      <c r="A139" s="13">
        <v>4</v>
      </c>
      <c r="B139" s="13"/>
      <c r="C139" s="13"/>
      <c r="D139" s="13">
        <v>1.1399999999999999</v>
      </c>
      <c r="E139" s="13">
        <v>1.21</v>
      </c>
      <c r="F139" s="13">
        <v>1.27</v>
      </c>
      <c r="G139" s="13">
        <v>1.34</v>
      </c>
      <c r="H139" s="13">
        <v>1.43</v>
      </c>
    </row>
    <row r="140" spans="1:8">
      <c r="A140" s="13">
        <v>4.0999999999999996</v>
      </c>
      <c r="B140" s="13"/>
      <c r="C140" s="13">
        <v>1.1200000000000001</v>
      </c>
      <c r="D140" s="13">
        <v>1.18</v>
      </c>
      <c r="E140" s="13">
        <v>1.23</v>
      </c>
      <c r="F140" s="13">
        <v>1.3</v>
      </c>
      <c r="G140" s="13">
        <v>1.37</v>
      </c>
      <c r="H140" s="13">
        <v>1.47</v>
      </c>
    </row>
    <row r="141" spans="1:8">
      <c r="A141" s="13">
        <v>4.2</v>
      </c>
      <c r="B141" s="13"/>
      <c r="C141" s="13">
        <v>1.1499999999999999</v>
      </c>
      <c r="D141" s="13">
        <v>1.2</v>
      </c>
      <c r="E141" s="13">
        <v>1.26</v>
      </c>
      <c r="F141" s="13">
        <v>1.33</v>
      </c>
      <c r="G141" s="13">
        <v>1.41</v>
      </c>
      <c r="H141" s="13">
        <v>1.51</v>
      </c>
    </row>
    <row r="142" spans="1:8">
      <c r="A142" s="13">
        <v>4.25</v>
      </c>
      <c r="B142" s="13">
        <v>1.1100000000000001</v>
      </c>
      <c r="C142" s="13">
        <v>1.1599999999999999</v>
      </c>
      <c r="D142" s="13">
        <v>1.22</v>
      </c>
      <c r="E142" s="13">
        <v>1.27</v>
      </c>
      <c r="F142" s="13">
        <v>1.35</v>
      </c>
      <c r="G142" s="13">
        <v>1.43</v>
      </c>
      <c r="H142" s="13">
        <v>1.53</v>
      </c>
    </row>
    <row r="143" spans="1:8">
      <c r="A143" s="13">
        <v>4.3</v>
      </c>
      <c r="B143" s="13">
        <v>1.1200000000000001</v>
      </c>
      <c r="C143" s="13">
        <v>1.18</v>
      </c>
      <c r="D143" s="13">
        <v>1.23</v>
      </c>
      <c r="E143" s="13">
        <v>1.29</v>
      </c>
      <c r="F143" s="13">
        <v>1.37</v>
      </c>
      <c r="G143" s="13">
        <v>1.45</v>
      </c>
      <c r="H143" s="13">
        <v>1.56</v>
      </c>
    </row>
    <row r="144" spans="1:8">
      <c r="A144" s="13">
        <v>4.4000000000000004</v>
      </c>
      <c r="B144" s="13">
        <v>1.1499999999999999</v>
      </c>
      <c r="C144" s="13">
        <v>1.2</v>
      </c>
      <c r="D144" s="13">
        <v>1.25</v>
      </c>
      <c r="E144" s="13">
        <v>1.32</v>
      </c>
      <c r="F144" s="13">
        <v>1.4</v>
      </c>
      <c r="G144" s="13">
        <v>1.49</v>
      </c>
      <c r="H144" s="13">
        <v>1.6</v>
      </c>
    </row>
    <row r="145" spans="1:11">
      <c r="A145" s="13">
        <v>4.5</v>
      </c>
      <c r="B145" s="13">
        <v>1.17</v>
      </c>
      <c r="C145" s="13">
        <v>1.22</v>
      </c>
      <c r="D145" s="13">
        <v>1.29</v>
      </c>
      <c r="E145" s="13">
        <v>1.36</v>
      </c>
      <c r="F145" s="13">
        <v>1.44</v>
      </c>
      <c r="G145" s="13">
        <v>1.53</v>
      </c>
      <c r="H145" s="13">
        <v>1.64</v>
      </c>
    </row>
    <row r="148" spans="1:11">
      <c r="A148" s="78" t="s">
        <v>1117</v>
      </c>
    </row>
    <row r="149" spans="1:11">
      <c r="A149" s="78" t="s">
        <v>1116</v>
      </c>
      <c r="B149" s="79">
        <v>0</v>
      </c>
      <c r="C149" s="79">
        <v>0.05</v>
      </c>
      <c r="D149" s="79">
        <v>0.1</v>
      </c>
      <c r="E149" s="79">
        <v>0.15</v>
      </c>
      <c r="F149" s="79">
        <v>0.2</v>
      </c>
      <c r="G149" s="79">
        <v>0.25</v>
      </c>
      <c r="H149" s="79">
        <v>0.3</v>
      </c>
      <c r="I149" s="79">
        <v>0.35</v>
      </c>
    </row>
    <row r="150" spans="1:11">
      <c r="A150" s="13">
        <v>3.22</v>
      </c>
      <c r="B150" s="13"/>
      <c r="C150" s="13"/>
      <c r="D150" s="13"/>
      <c r="E150" s="13"/>
      <c r="F150" s="13"/>
      <c r="G150" s="13"/>
      <c r="H150" s="13"/>
      <c r="I150" s="71" t="s">
        <v>1118</v>
      </c>
      <c r="K150" t="s">
        <v>1119</v>
      </c>
    </row>
    <row r="151" spans="1:11">
      <c r="A151" s="13">
        <v>3.3</v>
      </c>
      <c r="B151" s="13"/>
      <c r="C151" s="13"/>
      <c r="D151" s="13"/>
      <c r="E151" s="13"/>
      <c r="F151" s="13"/>
      <c r="G151" s="13"/>
      <c r="H151" s="71" t="s">
        <v>1120</v>
      </c>
      <c r="I151" s="13">
        <v>1.19</v>
      </c>
      <c r="K151" t="s">
        <v>1121</v>
      </c>
    </row>
    <row r="152" spans="1:11">
      <c r="A152" s="13">
        <v>3.4</v>
      </c>
      <c r="B152" s="13"/>
      <c r="C152" s="13"/>
      <c r="D152" s="13"/>
      <c r="E152" s="13"/>
      <c r="F152" s="13"/>
      <c r="G152" s="13"/>
      <c r="H152" s="13">
        <v>1.1599999999999999</v>
      </c>
      <c r="I152" s="13">
        <v>1.24</v>
      </c>
    </row>
    <row r="153" spans="1:11">
      <c r="A153" s="13">
        <v>3.5</v>
      </c>
      <c r="B153" s="13"/>
      <c r="C153" s="13"/>
      <c r="D153" s="13"/>
      <c r="E153" s="13"/>
      <c r="F153" s="13"/>
      <c r="G153" s="13">
        <v>1.1200000000000001</v>
      </c>
      <c r="H153" s="13">
        <v>1.2</v>
      </c>
      <c r="I153" s="13">
        <v>1.29</v>
      </c>
    </row>
    <row r="154" spans="1:11">
      <c r="A154" s="13">
        <v>3.6</v>
      </c>
      <c r="B154" s="13"/>
      <c r="C154" s="13"/>
      <c r="D154" s="13"/>
      <c r="E154" s="13"/>
      <c r="F154" s="13"/>
      <c r="G154" s="13">
        <v>1.1599999999999999</v>
      </c>
      <c r="H154" s="13">
        <v>1.24</v>
      </c>
      <c r="I154" s="13">
        <v>1.33</v>
      </c>
    </row>
    <row r="155" spans="1:11">
      <c r="A155" s="13">
        <v>3.7</v>
      </c>
      <c r="B155" s="13"/>
      <c r="C155" s="13"/>
      <c r="D155" s="13"/>
      <c r="E155" s="13"/>
      <c r="F155" s="13">
        <v>1.1299999999999999</v>
      </c>
      <c r="G155" s="13">
        <v>1.2</v>
      </c>
      <c r="H155" s="13">
        <v>1.29</v>
      </c>
      <c r="I155" s="13">
        <v>1.38</v>
      </c>
    </row>
    <row r="156" spans="1:11">
      <c r="A156" s="13">
        <v>3.8</v>
      </c>
      <c r="B156" s="13"/>
      <c r="C156" s="13"/>
      <c r="D156" s="13"/>
      <c r="E156" s="13"/>
      <c r="F156" s="13">
        <v>1.17</v>
      </c>
      <c r="G156" s="13">
        <v>1.24</v>
      </c>
      <c r="H156" s="13">
        <v>1.33</v>
      </c>
      <c r="I156" s="13">
        <v>1.41</v>
      </c>
    </row>
    <row r="157" spans="1:11">
      <c r="A157" s="13">
        <v>3.9</v>
      </c>
      <c r="B157" s="13"/>
      <c r="C157" s="13"/>
      <c r="D157" s="13"/>
      <c r="E157" s="13">
        <v>1.1399999999999999</v>
      </c>
      <c r="F157" s="13">
        <v>1.21</v>
      </c>
      <c r="G157" s="13">
        <v>1.28</v>
      </c>
      <c r="H157" s="13">
        <v>1.36</v>
      </c>
      <c r="I157" s="13">
        <v>1.44</v>
      </c>
    </row>
    <row r="158" spans="1:11">
      <c r="A158" s="13">
        <v>4</v>
      </c>
      <c r="B158" s="13"/>
      <c r="C158" s="13"/>
      <c r="D158" s="13"/>
      <c r="E158" s="13">
        <v>1.17</v>
      </c>
      <c r="F158" s="13">
        <v>1.24</v>
      </c>
      <c r="G158" s="13">
        <v>1.31</v>
      </c>
      <c r="H158" s="13">
        <v>1.39</v>
      </c>
      <c r="I158" s="13">
        <v>1.49</v>
      </c>
    </row>
    <row r="159" spans="1:11">
      <c r="A159" s="13">
        <v>4.0999999999999996</v>
      </c>
      <c r="B159" s="13"/>
      <c r="C159" s="13"/>
      <c r="D159" s="13">
        <v>1.1399999999999999</v>
      </c>
      <c r="E159" s="13">
        <v>1.21</v>
      </c>
      <c r="F159" s="13">
        <v>1.27</v>
      </c>
      <c r="G159" s="13">
        <v>1.34</v>
      </c>
      <c r="H159" s="13">
        <v>1.43</v>
      </c>
      <c r="I159" s="13">
        <v>1.53</v>
      </c>
    </row>
    <row r="160" spans="1:11">
      <c r="A160" s="13">
        <v>4.2</v>
      </c>
      <c r="B160" s="13"/>
      <c r="C160" s="13">
        <v>1.1200000000000001</v>
      </c>
      <c r="D160" s="13">
        <v>1.18</v>
      </c>
      <c r="E160" s="13">
        <v>1.24</v>
      </c>
      <c r="F160" s="13">
        <v>1.3</v>
      </c>
      <c r="G160" s="13">
        <v>1.37</v>
      </c>
      <c r="H160" s="13">
        <v>1.47</v>
      </c>
      <c r="I160" s="13">
        <v>1.58</v>
      </c>
    </row>
    <row r="161" spans="1:9">
      <c r="A161" s="13">
        <v>4.25</v>
      </c>
      <c r="B161" s="13"/>
      <c r="C161" s="13">
        <v>1.1299999999999999</v>
      </c>
      <c r="D161" s="13">
        <v>1.19</v>
      </c>
      <c r="E161" s="13">
        <v>1.25</v>
      </c>
      <c r="F161" s="13">
        <v>1.31</v>
      </c>
      <c r="G161" s="13">
        <v>1.39</v>
      </c>
      <c r="H161" s="13">
        <v>1.49</v>
      </c>
      <c r="I161" s="13">
        <v>1.6</v>
      </c>
    </row>
    <row r="162" spans="1:9">
      <c r="A162" s="13">
        <v>4.3</v>
      </c>
      <c r="B162" s="13"/>
      <c r="C162" s="13">
        <v>1.1499999999999999</v>
      </c>
      <c r="D162" s="13">
        <v>1.2</v>
      </c>
      <c r="E162" s="13">
        <v>1.26</v>
      </c>
      <c r="F162" s="13">
        <v>1.33</v>
      </c>
      <c r="G162" s="13">
        <v>1.41</v>
      </c>
      <c r="H162" s="13">
        <v>1.51</v>
      </c>
      <c r="I162" s="13">
        <v>1.62</v>
      </c>
    </row>
    <row r="163" spans="1:9">
      <c r="A163" s="13">
        <v>4.4000000000000004</v>
      </c>
      <c r="B163" s="13">
        <v>1.1200000000000001</v>
      </c>
      <c r="C163" s="13">
        <v>1.18</v>
      </c>
      <c r="D163" s="13">
        <v>1.23</v>
      </c>
      <c r="E163" s="13">
        <v>1.29</v>
      </c>
      <c r="F163" s="13">
        <v>1.36</v>
      </c>
      <c r="G163" s="13">
        <v>1.45</v>
      </c>
      <c r="H163" s="13">
        <v>1.55</v>
      </c>
      <c r="I163" s="13">
        <v>1.67</v>
      </c>
    </row>
    <row r="164" spans="1:9">
      <c r="A164" s="13">
        <v>4.5</v>
      </c>
      <c r="B164" s="13">
        <v>1.1499999999999999</v>
      </c>
      <c r="C164" s="13">
        <v>1.2</v>
      </c>
      <c r="D164" s="13">
        <v>1.25</v>
      </c>
      <c r="E164" s="13">
        <v>1.32</v>
      </c>
      <c r="F164" s="13">
        <v>1.4</v>
      </c>
      <c r="G164" s="13">
        <v>1.49</v>
      </c>
      <c r="H164" s="13">
        <v>1.59</v>
      </c>
      <c r="I164" s="13">
        <v>1.71</v>
      </c>
    </row>
  </sheetData>
  <autoFilter ref="A74:M88" xr:uid="{00000000-0009-0000-0000-000014000000}">
    <sortState xmlns:xlrd2="http://schemas.microsoft.com/office/spreadsheetml/2017/richdata2" ref="A74:M88">
      <sortCondition descending="1" ref="D74:D88"/>
    </sortState>
  </autoFilter>
  <pageMargins left="0.69930555555555596" right="0.69930555555555596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AA161"/>
  <sheetViews>
    <sheetView zoomScale="85" zoomScaleNormal="85" workbookViewId="0">
      <selection activeCell="C107" sqref="C107"/>
    </sheetView>
  </sheetViews>
  <sheetFormatPr defaultColWidth="8.88671875" defaultRowHeight="14.4"/>
  <cols>
    <col min="2" max="2" width="32.109375" customWidth="1"/>
    <col min="3" max="3" width="15.33203125" customWidth="1"/>
    <col min="4" max="5" width="10.44140625" bestFit="1" customWidth="1"/>
    <col min="6" max="6" width="10.6640625" bestFit="1" customWidth="1"/>
    <col min="7" max="7" width="13.6640625" customWidth="1"/>
    <col min="8" max="8" width="12" customWidth="1"/>
    <col min="9" max="9" width="10.6640625" bestFit="1" customWidth="1"/>
    <col min="10" max="10" width="12.33203125" customWidth="1"/>
    <col min="11" max="11" width="11.5546875" customWidth="1"/>
    <col min="12" max="12" width="10.44140625" customWidth="1"/>
    <col min="13" max="14" width="10.6640625" bestFit="1" customWidth="1"/>
    <col min="15" max="15" width="12.44140625" customWidth="1"/>
    <col min="16" max="16" width="10.6640625" bestFit="1" customWidth="1"/>
    <col min="17" max="17" width="10.44140625" bestFit="1" customWidth="1"/>
    <col min="18" max="26" width="10.6640625" bestFit="1" customWidth="1"/>
    <col min="27" max="27" width="10.44140625" bestFit="1" customWidth="1"/>
  </cols>
  <sheetData>
    <row r="2" spans="2:27">
      <c r="B2" s="508" t="s">
        <v>1253</v>
      </c>
      <c r="C2" s="509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</row>
    <row r="3" spans="2:27">
      <c r="C3" s="400">
        <f>DATE(2018,3,31)</f>
        <v>43190</v>
      </c>
      <c r="D3" s="400">
        <f>EOMONTH(C3,12)</f>
        <v>43555</v>
      </c>
      <c r="E3" s="400">
        <f>EOMONTH(D3,12)</f>
        <v>43921</v>
      </c>
      <c r="F3" s="400">
        <f t="shared" ref="F3:Z3" si="0">EOMONTH(E3,12)</f>
        <v>44286</v>
      </c>
      <c r="G3" s="400">
        <f t="shared" si="0"/>
        <v>44651</v>
      </c>
      <c r="H3" s="400">
        <f t="shared" si="0"/>
        <v>45016</v>
      </c>
      <c r="I3" s="400">
        <f t="shared" si="0"/>
        <v>45382</v>
      </c>
      <c r="J3" s="400">
        <f t="shared" si="0"/>
        <v>45747</v>
      </c>
      <c r="K3" s="400">
        <f t="shared" si="0"/>
        <v>46112</v>
      </c>
      <c r="L3" s="400">
        <f t="shared" si="0"/>
        <v>46477</v>
      </c>
      <c r="M3" s="400">
        <f t="shared" si="0"/>
        <v>46843</v>
      </c>
      <c r="N3" s="400">
        <f t="shared" si="0"/>
        <v>47208</v>
      </c>
      <c r="O3" s="400">
        <f t="shared" si="0"/>
        <v>47573</v>
      </c>
      <c r="P3" s="400">
        <f t="shared" si="0"/>
        <v>47938</v>
      </c>
      <c r="Q3" s="400">
        <f t="shared" si="0"/>
        <v>48304</v>
      </c>
      <c r="R3" s="400">
        <f t="shared" si="0"/>
        <v>48669</v>
      </c>
      <c r="S3" s="400">
        <f t="shared" si="0"/>
        <v>49034</v>
      </c>
      <c r="T3" s="400">
        <f t="shared" si="0"/>
        <v>49399</v>
      </c>
      <c r="U3" s="400">
        <f t="shared" si="0"/>
        <v>49765</v>
      </c>
      <c r="V3" s="400">
        <f t="shared" si="0"/>
        <v>50130</v>
      </c>
      <c r="W3" s="400">
        <f t="shared" si="0"/>
        <v>50495</v>
      </c>
      <c r="X3" s="400">
        <f t="shared" si="0"/>
        <v>50860</v>
      </c>
      <c r="Y3" s="400">
        <f t="shared" si="0"/>
        <v>51226</v>
      </c>
      <c r="Z3" s="400">
        <f t="shared" si="0"/>
        <v>51591</v>
      </c>
    </row>
    <row r="4" spans="2:27">
      <c r="B4" s="3"/>
    </row>
    <row r="5" spans="2:27">
      <c r="B5" s="3" t="s">
        <v>1254</v>
      </c>
    </row>
    <row r="7" spans="2:27">
      <c r="B7" s="1" t="s">
        <v>1255</v>
      </c>
      <c r="C7" s="525">
        <f>Financials!H3</f>
        <v>1815.88</v>
      </c>
      <c r="D7" s="525">
        <f>Financials!I3</f>
        <v>1523.48</v>
      </c>
      <c r="E7" s="525">
        <f>Financials!J3</f>
        <v>1550.95</v>
      </c>
      <c r="F7" s="525">
        <f>Financials!K3</f>
        <v>1897.29</v>
      </c>
      <c r="G7" s="525">
        <f>Financials!L3</f>
        <v>913.89</v>
      </c>
      <c r="H7" s="525">
        <f>Financials!M3</f>
        <v>1886.48</v>
      </c>
      <c r="I7" s="525">
        <f>Financials!N3</f>
        <v>3155.4006019199996</v>
      </c>
      <c r="J7" s="525">
        <f>Financials!O3</f>
        <v>3146.7792887999999</v>
      </c>
      <c r="K7" s="525">
        <f>Financials!P3</f>
        <v>3146.7792887999999</v>
      </c>
      <c r="L7" s="525">
        <f>Financials!Q3</f>
        <v>3379.9469883479996</v>
      </c>
      <c r="M7" s="525">
        <f>Financials!R3</f>
        <v>3389.2071170831996</v>
      </c>
      <c r="N7" s="525">
        <f>Financials!S3</f>
        <v>3601.2439330560001</v>
      </c>
      <c r="O7" s="525">
        <f>Financials!T3</f>
        <v>3700.6124436288001</v>
      </c>
      <c r="P7" s="525">
        <f>Financials!U3</f>
        <v>3852.2805494922</v>
      </c>
      <c r="Q7" s="525">
        <f>Financials!V3</f>
        <v>3862.8347427784802</v>
      </c>
      <c r="R7" s="525">
        <f>Financials!W3</f>
        <v>4114.8066499633806</v>
      </c>
      <c r="S7" s="525">
        <f>Financials!X3</f>
        <v>4204.1460881233816</v>
      </c>
      <c r="T7" s="525">
        <f>Financials!Y3</f>
        <v>4363.3975992799506</v>
      </c>
      <c r="U7" s="525">
        <f>Financials!Z3</f>
        <v>4495.5048494691091</v>
      </c>
      <c r="V7" s="525">
        <f>Financials!AA3</f>
        <v>4574.0024461739486</v>
      </c>
      <c r="W7" s="525">
        <f>Financials!AB3</f>
        <v>4634.5227107339488</v>
      </c>
      <c r="X7" s="525">
        <f>Financials!AC3</f>
        <v>4866.248846270646</v>
      </c>
      <c r="Y7" s="525">
        <f>Financials!AD3</f>
        <v>4270.2331656905644</v>
      </c>
      <c r="Z7" s="525">
        <f>Financials!AE3</f>
        <v>2077.5097493129183</v>
      </c>
    </row>
    <row r="8" spans="2:27">
      <c r="B8" s="526" t="s">
        <v>1256</v>
      </c>
      <c r="C8" s="527" t="s">
        <v>719</v>
      </c>
      <c r="D8" s="528">
        <f t="shared" ref="D8:P8" si="1">(D7-C7)/C7</f>
        <v>-0.1610238562019517</v>
      </c>
      <c r="E8" s="528">
        <f t="shared" si="1"/>
        <v>1.803108672250376E-2</v>
      </c>
      <c r="F8" s="528">
        <f t="shared" si="1"/>
        <v>0.22330829491601917</v>
      </c>
      <c r="G8" s="528">
        <f t="shared" si="1"/>
        <v>-0.51831823284790413</v>
      </c>
      <c r="H8" s="528">
        <f t="shared" si="1"/>
        <v>1.0642309249472037</v>
      </c>
      <c r="I8" s="528">
        <f t="shared" si="1"/>
        <v>0.67263930808701899</v>
      </c>
      <c r="J8" s="528">
        <f t="shared" si="1"/>
        <v>-2.732240437158388E-3</v>
      </c>
      <c r="K8" s="528">
        <f t="shared" si="1"/>
        <v>0</v>
      </c>
      <c r="L8" s="528">
        <f t="shared" si="1"/>
        <v>7.4097252507631842E-2</v>
      </c>
      <c r="M8" s="528">
        <f t="shared" si="1"/>
        <v>2.7397260273972434E-3</v>
      </c>
      <c r="N8" s="528">
        <f t="shared" si="1"/>
        <v>6.256236595988339E-2</v>
      </c>
      <c r="O8" s="528">
        <f t="shared" si="1"/>
        <v>2.7592829705505764E-2</v>
      </c>
      <c r="P8" s="528">
        <f t="shared" si="1"/>
        <v>4.0984595975328608E-2</v>
      </c>
      <c r="Q8" s="528">
        <f t="shared" ref="Q8:Z8" si="2">(Q7-P7)/P7</f>
        <v>2.7397260273973184E-3</v>
      </c>
      <c r="R8" s="528">
        <f t="shared" si="2"/>
        <v>6.5229792099172401E-2</v>
      </c>
      <c r="S8" s="528">
        <f t="shared" si="2"/>
        <v>2.1711697719939301E-2</v>
      </c>
      <c r="T8" s="528">
        <f t="shared" si="2"/>
        <v>3.7879633061860277E-2</v>
      </c>
      <c r="U8" s="528">
        <f t="shared" si="2"/>
        <v>3.0276234787991574E-2</v>
      </c>
      <c r="V8" s="528">
        <f t="shared" si="2"/>
        <v>1.7461352914369458E-2</v>
      </c>
      <c r="W8" s="528">
        <f t="shared" si="2"/>
        <v>1.32313581534317E-2</v>
      </c>
      <c r="X8" s="528">
        <f t="shared" si="2"/>
        <v>4.9999999999999961E-2</v>
      </c>
      <c r="Y8" s="528">
        <f t="shared" si="2"/>
        <v>-0.12247949075535892</v>
      </c>
      <c r="Z8" s="528">
        <f t="shared" si="2"/>
        <v>-0.51349032507058612</v>
      </c>
    </row>
    <row r="10" spans="2:27">
      <c r="B10" s="1" t="s">
        <v>1140</v>
      </c>
      <c r="C10" s="525">
        <f>Financials!H158</f>
        <v>519.82000000000016</v>
      </c>
      <c r="D10" s="525">
        <f>Financials!I158</f>
        <v>293.06999999999971</v>
      </c>
      <c r="E10" s="525">
        <f>Financials!J158</f>
        <v>224.20000000000005</v>
      </c>
      <c r="F10" s="525">
        <f>Financials!K158</f>
        <v>896.08000000000015</v>
      </c>
      <c r="G10" s="525">
        <f>Financials!L158</f>
        <v>122.76000000000022</v>
      </c>
      <c r="H10" s="525">
        <f>Financials!M158</f>
        <v>-21.259999999999536</v>
      </c>
      <c r="I10" s="525">
        <f>Financials!N158</f>
        <v>-1002.2541599804199</v>
      </c>
      <c r="J10" s="525">
        <f>Financials!O158</f>
        <v>-1083.9764287410603</v>
      </c>
      <c r="K10" s="525">
        <f>Financials!P158</f>
        <v>-1169.443825245105</v>
      </c>
      <c r="L10" s="525">
        <f>Financials!Q158</f>
        <v>-1209.1619027183124</v>
      </c>
      <c r="M10" s="525">
        <f>Financials!R158</f>
        <v>-1304.9835973211939</v>
      </c>
      <c r="N10" s="525">
        <f>Financials!S158</f>
        <v>-1369.5893939640373</v>
      </c>
      <c r="O10" s="525">
        <f>Financials!T158</f>
        <v>-1371.758286506787</v>
      </c>
      <c r="P10" s="525">
        <f>Financials!U158</f>
        <v>-1525.0926086174609</v>
      </c>
      <c r="Q10" s="525">
        <f>Financials!V158</f>
        <v>-1638.9456836098661</v>
      </c>
      <c r="R10" s="525">
        <f>Financials!W158</f>
        <v>-1695.4587354656505</v>
      </c>
      <c r="S10" s="525">
        <f>Financials!X158</f>
        <v>-1726.0624767775098</v>
      </c>
      <c r="T10" s="525">
        <f>Financials!Y158</f>
        <v>-1907.7490730390609</v>
      </c>
      <c r="U10" s="525">
        <f>Financials!Z158</f>
        <v>-1922.1556881505203</v>
      </c>
      <c r="V10" s="525">
        <f>Financials!AA158</f>
        <v>-2099.2335661002417</v>
      </c>
      <c r="W10" s="525">
        <f>Financials!AB158</f>
        <v>-2272.3430886752139</v>
      </c>
      <c r="X10" s="525">
        <f>Financials!AC158</f>
        <v>-2172.3016356996031</v>
      </c>
      <c r="Y10" s="525">
        <f>Financials!AD158</f>
        <v>-1905.6631538349902</v>
      </c>
      <c r="Z10" s="525">
        <f>Financials!AE158</f>
        <v>-813.05145619662153</v>
      </c>
    </row>
    <row r="11" spans="2:27">
      <c r="B11" s="526" t="s">
        <v>1257</v>
      </c>
      <c r="C11" s="528">
        <f t="shared" ref="C11:H11" si="3">C10/C7</f>
        <v>0.28626340947639717</v>
      </c>
      <c r="D11" s="528">
        <f t="shared" si="3"/>
        <v>0.19236878725024267</v>
      </c>
      <c r="E11" s="528">
        <f t="shared" si="3"/>
        <v>0.14455656210709567</v>
      </c>
      <c r="F11" s="528">
        <f t="shared" si="3"/>
        <v>0.47229469401093149</v>
      </c>
      <c r="G11" s="528">
        <f t="shared" si="3"/>
        <v>0.13432688835636697</v>
      </c>
      <c r="H11" s="528">
        <f t="shared" si="3"/>
        <v>-1.126966625673187E-2</v>
      </c>
      <c r="I11" s="528">
        <f t="shared" ref="I11:Z11" si="4">I10/I7</f>
        <v>-0.31763135221897587</v>
      </c>
      <c r="J11" s="528">
        <f t="shared" si="4"/>
        <v>-0.34447170559407947</v>
      </c>
      <c r="K11" s="528">
        <f t="shared" si="4"/>
        <v>-0.37163198239145123</v>
      </c>
      <c r="L11" s="528">
        <f t="shared" si="4"/>
        <v>-0.357745818761882</v>
      </c>
      <c r="M11" s="528">
        <f t="shared" si="4"/>
        <v>-0.3850409704215072</v>
      </c>
      <c r="N11" s="528">
        <f t="shared" si="4"/>
        <v>-0.38031008713197878</v>
      </c>
      <c r="O11" s="528">
        <f t="shared" si="4"/>
        <v>-0.37068412523675365</v>
      </c>
      <c r="P11" s="528">
        <f t="shared" si="4"/>
        <v>-0.39589344260466586</v>
      </c>
      <c r="Q11" s="528">
        <f t="shared" si="4"/>
        <v>-0.42428573644623396</v>
      </c>
      <c r="R11" s="528">
        <f t="shared" si="4"/>
        <v>-0.41203849407620141</v>
      </c>
      <c r="S11" s="528">
        <f t="shared" si="4"/>
        <v>-0.41056196445066395</v>
      </c>
      <c r="T11" s="528">
        <f t="shared" si="4"/>
        <v>-0.43721641900199021</v>
      </c>
      <c r="U11" s="528">
        <f t="shared" si="4"/>
        <v>-0.42757282052037265</v>
      </c>
      <c r="V11" s="528">
        <f t="shared" si="4"/>
        <v>-0.45894893822284766</v>
      </c>
      <c r="W11" s="528">
        <f t="shared" si="4"/>
        <v>-0.49030789803063735</v>
      </c>
      <c r="X11" s="528">
        <f t="shared" si="4"/>
        <v>-0.44640167495018118</v>
      </c>
      <c r="Y11" s="528">
        <f t="shared" si="4"/>
        <v>-0.44626676808801713</v>
      </c>
      <c r="Z11" s="528">
        <f t="shared" si="4"/>
        <v>-0.39135867182597672</v>
      </c>
    </row>
    <row r="13" spans="2:27">
      <c r="B13" s="1" t="s">
        <v>1241</v>
      </c>
      <c r="C13" s="525">
        <f>Financials!H159</f>
        <v>319.47000000000014</v>
      </c>
      <c r="D13" s="525">
        <f>Financials!I159</f>
        <v>91.499999999999716</v>
      </c>
      <c r="E13" s="525">
        <f>Financials!J159</f>
        <v>23.410000000000053</v>
      </c>
      <c r="F13" s="525">
        <f>Financials!K159</f>
        <v>695.7800000000002</v>
      </c>
      <c r="G13" s="525">
        <f>Financials!L159</f>
        <v>-76.989999999999782</v>
      </c>
      <c r="H13" s="525">
        <f>Financials!M159</f>
        <v>-222.74999999999955</v>
      </c>
      <c r="I13" s="525">
        <f>Financials!N159</f>
        <v>-1296.0240900626118</v>
      </c>
      <c r="J13" s="525">
        <f>Financials!O159</f>
        <v>-1376.9437087410604</v>
      </c>
      <c r="K13" s="525">
        <f>Financials!P159</f>
        <v>-1462.4111052451051</v>
      </c>
      <c r="L13" s="525">
        <f>Financials!Q159</f>
        <v>-1502.1291827183124</v>
      </c>
      <c r="M13" s="525">
        <f>Financials!R159</f>
        <v>-1598.7535274033858</v>
      </c>
      <c r="N13" s="525">
        <f>Financials!S159</f>
        <v>-1662.5566739640374</v>
      </c>
      <c r="O13" s="525">
        <f>Financials!T159</f>
        <v>-1664.7255665067871</v>
      </c>
      <c r="P13" s="525">
        <f>Financials!U159</f>
        <v>-1818.059888617461</v>
      </c>
      <c r="Q13" s="525">
        <f>Financials!V159</f>
        <v>-1932.715613692058</v>
      </c>
      <c r="R13" s="525">
        <f>Financials!W159</f>
        <v>-1988.4260154656506</v>
      </c>
      <c r="S13" s="525">
        <f>Financials!X159</f>
        <v>-2019.0297567775099</v>
      </c>
      <c r="T13" s="525">
        <f>Financials!Y159</f>
        <v>-2200.7163530390608</v>
      </c>
      <c r="U13" s="525">
        <f>Financials!Z159</f>
        <v>-2215.9256182327122</v>
      </c>
      <c r="V13" s="525">
        <f>Financials!AA159</f>
        <v>-2392.2008461002415</v>
      </c>
      <c r="W13" s="525">
        <f>Financials!AB159</f>
        <v>-2565.3103686752138</v>
      </c>
      <c r="X13" s="525">
        <f>Financials!AC159</f>
        <v>-2465.268915699603</v>
      </c>
      <c r="Y13" s="525">
        <f>Financials!AD159</f>
        <v>-2199.4330839171821</v>
      </c>
      <c r="Z13" s="529">
        <f>Financials!AE159</f>
        <v>-1106.0187361966216</v>
      </c>
    </row>
    <row r="14" spans="2:27">
      <c r="B14" s="526" t="s">
        <v>1257</v>
      </c>
      <c r="C14" s="528">
        <f t="shared" ref="C14:J14" si="5">C13/C7</f>
        <v>0.17593122893583282</v>
      </c>
      <c r="D14" s="528">
        <f t="shared" si="5"/>
        <v>6.0059862945361746E-2</v>
      </c>
      <c r="E14" s="528">
        <f t="shared" si="5"/>
        <v>1.5093974660691869E-2</v>
      </c>
      <c r="F14" s="528">
        <f t="shared" si="5"/>
        <v>0.36672306289497136</v>
      </c>
      <c r="G14" s="528">
        <f t="shared" si="5"/>
        <v>-8.4244274475045997E-2</v>
      </c>
      <c r="H14" s="528">
        <f t="shared" si="5"/>
        <v>-0.11807705356006931</v>
      </c>
      <c r="I14" s="528">
        <f t="shared" si="5"/>
        <v>-0.41073202853355811</v>
      </c>
      <c r="J14" s="528">
        <f t="shared" si="5"/>
        <v>-0.43757238190866171</v>
      </c>
      <c r="K14" s="528">
        <f t="shared" ref="K14:R14" si="6">K13/K7</f>
        <v>-0.46473265870603347</v>
      </c>
      <c r="L14" s="528">
        <f t="shared" si="6"/>
        <v>-0.44442388827302315</v>
      </c>
      <c r="M14" s="528">
        <f t="shared" si="6"/>
        <v>-0.47171903993264835</v>
      </c>
      <c r="N14" s="528">
        <f t="shared" si="6"/>
        <v>-0.46166177711633072</v>
      </c>
      <c r="O14" s="528">
        <f t="shared" si="6"/>
        <v>-0.44985136700085415</v>
      </c>
      <c r="P14" s="528">
        <f t="shared" si="6"/>
        <v>-0.47194379154371663</v>
      </c>
      <c r="Q14" s="528">
        <f t="shared" si="6"/>
        <v>-0.50033608538528473</v>
      </c>
      <c r="R14" s="528">
        <f t="shared" si="6"/>
        <v>-0.48323680420885545</v>
      </c>
      <c r="S14" s="528">
        <f t="shared" ref="S14:Y14" si="7">S13/S7</f>
        <v>-0.48024728790496213</v>
      </c>
      <c r="T14" s="528">
        <f t="shared" si="7"/>
        <v>-0.50435842779998408</v>
      </c>
      <c r="U14" s="528">
        <f t="shared" si="7"/>
        <v>-0.49292030426669409</v>
      </c>
      <c r="V14" s="528">
        <f t="shared" si="7"/>
        <v>-0.52299946802635933</v>
      </c>
      <c r="W14" s="528">
        <f t="shared" si="7"/>
        <v>-0.55352201915716948</v>
      </c>
      <c r="X14" s="528">
        <f t="shared" si="7"/>
        <v>-0.50660559983259279</v>
      </c>
      <c r="Y14" s="528">
        <f t="shared" si="7"/>
        <v>-0.51506158998263951</v>
      </c>
      <c r="Z14" s="530" t="s">
        <v>719</v>
      </c>
    </row>
    <row r="15" spans="2:27">
      <c r="B15" s="526"/>
      <c r="C15" s="528"/>
      <c r="D15" s="528"/>
      <c r="E15" s="528"/>
      <c r="F15" s="528"/>
      <c r="G15" s="528"/>
      <c r="H15" s="528"/>
      <c r="I15" s="528"/>
      <c r="J15" s="528"/>
      <c r="K15" s="528"/>
      <c r="L15" s="528"/>
      <c r="M15" s="528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  <c r="Y15" s="528"/>
      <c r="Z15" s="530"/>
    </row>
    <row r="16" spans="2:27">
      <c r="B16" s="531" t="s">
        <v>1258</v>
      </c>
      <c r="C16" s="532">
        <f>Financials!H160</f>
        <v>0</v>
      </c>
      <c r="D16" s="532">
        <f>Financials!I160</f>
        <v>0</v>
      </c>
      <c r="E16" s="532">
        <f>Financials!J160</f>
        <v>0</v>
      </c>
      <c r="F16" s="532">
        <f>Financials!K160</f>
        <v>169.32</v>
      </c>
      <c r="G16" s="532">
        <f>Financials!L160</f>
        <v>-19.54</v>
      </c>
      <c r="H16" s="532">
        <f>Financials!M160</f>
        <v>-149.78</v>
      </c>
      <c r="I16" s="532">
        <f>Financials!N160</f>
        <v>0</v>
      </c>
      <c r="J16" s="532">
        <f>Financials!O160</f>
        <v>0</v>
      </c>
      <c r="K16" s="532">
        <f>Financials!P160</f>
        <v>0</v>
      </c>
      <c r="L16" s="532">
        <f>Financials!Q160</f>
        <v>0</v>
      </c>
      <c r="M16" s="532">
        <f>Financials!R160</f>
        <v>0</v>
      </c>
      <c r="N16" s="532">
        <f>Financials!S160</f>
        <v>0</v>
      </c>
      <c r="O16" s="532">
        <f>Financials!T160</f>
        <v>0</v>
      </c>
      <c r="P16" s="532">
        <f>Financials!U160</f>
        <v>0</v>
      </c>
      <c r="Q16" s="532">
        <f>Financials!V160</f>
        <v>0</v>
      </c>
      <c r="R16" s="532">
        <f>Financials!W160</f>
        <v>0</v>
      </c>
      <c r="S16" s="532">
        <f>Financials!X160</f>
        <v>0</v>
      </c>
      <c r="T16" s="532">
        <f>Financials!Y160</f>
        <v>0</v>
      </c>
      <c r="U16" s="532">
        <f>Financials!Z160</f>
        <v>0</v>
      </c>
      <c r="V16" s="532">
        <f>Financials!AA160</f>
        <v>0</v>
      </c>
      <c r="W16" s="532">
        <f>Financials!AB160</f>
        <v>0</v>
      </c>
      <c r="X16" s="532">
        <f>Financials!AC160</f>
        <v>0</v>
      </c>
      <c r="Y16" s="532">
        <f>Financials!AD160</f>
        <v>0</v>
      </c>
      <c r="Z16" s="532">
        <f>Financials!AE160</f>
        <v>0</v>
      </c>
    </row>
    <row r="18" spans="2:26">
      <c r="B18" s="1" t="s">
        <v>1243</v>
      </c>
      <c r="C18" s="533">
        <f>C13-C16</f>
        <v>319.47000000000014</v>
      </c>
      <c r="D18" s="533">
        <f t="shared" ref="D18:Z18" si="8">D13-D16</f>
        <v>91.499999999999716</v>
      </c>
      <c r="E18" s="533">
        <f t="shared" si="8"/>
        <v>23.410000000000053</v>
      </c>
      <c r="F18" s="533">
        <f t="shared" si="8"/>
        <v>526.46000000000026</v>
      </c>
      <c r="G18" s="533">
        <f t="shared" si="8"/>
        <v>-57.449999999999783</v>
      </c>
      <c r="H18" s="533">
        <f t="shared" si="8"/>
        <v>-72.969999999999544</v>
      </c>
      <c r="I18" s="533">
        <f t="shared" si="8"/>
        <v>-1296.0240900626118</v>
      </c>
      <c r="J18" s="533">
        <f t="shared" si="8"/>
        <v>-1376.9437087410604</v>
      </c>
      <c r="K18" s="533">
        <f t="shared" si="8"/>
        <v>-1462.4111052451051</v>
      </c>
      <c r="L18" s="533">
        <f t="shared" si="8"/>
        <v>-1502.1291827183124</v>
      </c>
      <c r="M18" s="533">
        <f t="shared" si="8"/>
        <v>-1598.7535274033858</v>
      </c>
      <c r="N18" s="533">
        <f t="shared" si="8"/>
        <v>-1662.5566739640374</v>
      </c>
      <c r="O18" s="533">
        <f t="shared" si="8"/>
        <v>-1664.7255665067871</v>
      </c>
      <c r="P18" s="533">
        <f t="shared" si="8"/>
        <v>-1818.059888617461</v>
      </c>
      <c r="Q18" s="533">
        <f t="shared" si="8"/>
        <v>-1932.715613692058</v>
      </c>
      <c r="R18" s="533">
        <f t="shared" si="8"/>
        <v>-1988.4260154656506</v>
      </c>
      <c r="S18" s="533">
        <f t="shared" si="8"/>
        <v>-2019.0297567775099</v>
      </c>
      <c r="T18" s="533">
        <f t="shared" si="8"/>
        <v>-2200.7163530390608</v>
      </c>
      <c r="U18" s="533">
        <f t="shared" si="8"/>
        <v>-2215.9256182327122</v>
      </c>
      <c r="V18" s="533">
        <f t="shared" si="8"/>
        <v>-2392.2008461002415</v>
      </c>
      <c r="W18" s="533">
        <f t="shared" si="8"/>
        <v>-2565.3103686752138</v>
      </c>
      <c r="X18" s="533">
        <f t="shared" si="8"/>
        <v>-2465.268915699603</v>
      </c>
      <c r="Y18" s="533">
        <f t="shared" si="8"/>
        <v>-2199.4330839171821</v>
      </c>
      <c r="Z18" s="533">
        <f t="shared" si="8"/>
        <v>-1106.0187361966216</v>
      </c>
    </row>
    <row r="19" spans="2:26">
      <c r="B19" s="534" t="s">
        <v>1257</v>
      </c>
      <c r="C19" s="77">
        <f>IF(C18&gt;0,C18/C7,0)</f>
        <v>0.17593122893583282</v>
      </c>
      <c r="D19" s="77">
        <f t="shared" ref="D19:Z19" si="9">IF(D18&gt;0,D18/D7,0)</f>
        <v>6.0059862945361746E-2</v>
      </c>
      <c r="E19" s="77">
        <f t="shared" si="9"/>
        <v>1.5093974660691869E-2</v>
      </c>
      <c r="F19" s="77">
        <f t="shared" si="9"/>
        <v>0.27747998460962758</v>
      </c>
      <c r="G19" s="77">
        <f t="shared" si="9"/>
        <v>0</v>
      </c>
      <c r="H19" s="77">
        <f t="shared" si="9"/>
        <v>0</v>
      </c>
      <c r="I19" s="77">
        <f t="shared" si="9"/>
        <v>0</v>
      </c>
      <c r="J19" s="77">
        <f t="shared" si="9"/>
        <v>0</v>
      </c>
      <c r="K19" s="77">
        <f t="shared" si="9"/>
        <v>0</v>
      </c>
      <c r="L19" s="77">
        <f t="shared" si="9"/>
        <v>0</v>
      </c>
      <c r="M19" s="77">
        <f t="shared" si="9"/>
        <v>0</v>
      </c>
      <c r="N19" s="77">
        <f t="shared" si="9"/>
        <v>0</v>
      </c>
      <c r="O19" s="77">
        <f t="shared" si="9"/>
        <v>0</v>
      </c>
      <c r="P19" s="77">
        <f t="shared" si="9"/>
        <v>0</v>
      </c>
      <c r="Q19" s="77">
        <f t="shared" si="9"/>
        <v>0</v>
      </c>
      <c r="R19" s="77">
        <f t="shared" si="9"/>
        <v>0</v>
      </c>
      <c r="S19" s="77">
        <f t="shared" si="9"/>
        <v>0</v>
      </c>
      <c r="T19" s="77">
        <f t="shared" si="9"/>
        <v>0</v>
      </c>
      <c r="U19" s="77">
        <f t="shared" si="9"/>
        <v>0</v>
      </c>
      <c r="V19" s="77">
        <f t="shared" si="9"/>
        <v>0</v>
      </c>
      <c r="W19" s="77">
        <f t="shared" si="9"/>
        <v>0</v>
      </c>
      <c r="X19" s="77">
        <f t="shared" si="9"/>
        <v>0</v>
      </c>
      <c r="Y19" s="77">
        <f t="shared" si="9"/>
        <v>0</v>
      </c>
      <c r="Z19" s="77">
        <f t="shared" si="9"/>
        <v>0</v>
      </c>
    </row>
    <row r="21" spans="2:26">
      <c r="B21" s="535" t="s">
        <v>1259</v>
      </c>
      <c r="C21" s="536">
        <f>Financials!H162</f>
        <v>200.35</v>
      </c>
      <c r="D21" s="536">
        <f>Financials!I162</f>
        <v>201.57</v>
      </c>
      <c r="E21" s="536">
        <f>Financials!J162</f>
        <v>200.79</v>
      </c>
      <c r="F21" s="536">
        <f>Financials!K162</f>
        <v>200.3</v>
      </c>
      <c r="G21" s="536">
        <f>Financials!L162</f>
        <v>199.75</v>
      </c>
      <c r="H21" s="536">
        <f>Financials!M162</f>
        <v>201.49</v>
      </c>
      <c r="I21" s="536">
        <f>Financials!N162</f>
        <v>293.76993008219182</v>
      </c>
      <c r="J21" s="536">
        <f>Financials!O162</f>
        <v>292.96728000000002</v>
      </c>
      <c r="K21" s="536">
        <f>Financials!P162</f>
        <v>292.96728000000002</v>
      </c>
      <c r="L21" s="536">
        <f>Financials!Q162</f>
        <v>292.96728000000002</v>
      </c>
      <c r="M21" s="536">
        <f>Financials!R162</f>
        <v>293.76993008219182</v>
      </c>
      <c r="N21" s="536">
        <f>Financials!S162</f>
        <v>292.96728000000002</v>
      </c>
      <c r="O21" s="536">
        <f>Financials!T162</f>
        <v>292.96728000000002</v>
      </c>
      <c r="P21" s="536">
        <f>Financials!U162</f>
        <v>292.96728000000002</v>
      </c>
      <c r="Q21" s="536">
        <f>Financials!V162</f>
        <v>293.76993008219182</v>
      </c>
      <c r="R21" s="536">
        <f>Financials!W162</f>
        <v>292.96728000000002</v>
      </c>
      <c r="S21" s="536">
        <f>Financials!X162</f>
        <v>292.96728000000002</v>
      </c>
      <c r="T21" s="536">
        <f>Financials!Y162</f>
        <v>292.96728000000002</v>
      </c>
      <c r="U21" s="536">
        <f>Financials!Z162</f>
        <v>293.76993008219182</v>
      </c>
      <c r="V21" s="536">
        <f>Financials!AA162</f>
        <v>292.96728000000002</v>
      </c>
      <c r="W21" s="536">
        <f>Financials!AB162</f>
        <v>292.96728000000002</v>
      </c>
      <c r="X21" s="536">
        <f>Financials!AC162</f>
        <v>292.96728000000002</v>
      </c>
      <c r="Y21" s="536">
        <f>Financials!AD162</f>
        <v>293.76993008219182</v>
      </c>
      <c r="Z21" s="536">
        <f>Financials!AE162</f>
        <v>292.96728000000002</v>
      </c>
    </row>
    <row r="22" spans="2:26">
      <c r="B22" s="534" t="s">
        <v>1257</v>
      </c>
      <c r="C22" s="537">
        <f>C21/C7</f>
        <v>0.11033218054056435</v>
      </c>
      <c r="D22" s="537">
        <f t="shared" ref="D22:Z22" si="10">D21/D7</f>
        <v>0.13230892430488092</v>
      </c>
      <c r="E22" s="537">
        <f t="shared" si="10"/>
        <v>0.12946258744640382</v>
      </c>
      <c r="F22" s="537">
        <f t="shared" si="10"/>
        <v>0.10557163111596014</v>
      </c>
      <c r="G22" s="537">
        <f t="shared" si="10"/>
        <v>0.21857116283141298</v>
      </c>
      <c r="H22" s="537">
        <f t="shared" si="10"/>
        <v>0.10680738730333744</v>
      </c>
      <c r="I22" s="537">
        <f t="shared" si="10"/>
        <v>9.3100676314582229E-2</v>
      </c>
      <c r="J22" s="537">
        <f t="shared" si="10"/>
        <v>9.3100676314582215E-2</v>
      </c>
      <c r="K22" s="537">
        <f t="shared" si="10"/>
        <v>9.3100676314582215E-2</v>
      </c>
      <c r="L22" s="537">
        <f t="shared" si="10"/>
        <v>8.6678069511141126E-2</v>
      </c>
      <c r="M22" s="537">
        <f t="shared" si="10"/>
        <v>8.667806951114114E-2</v>
      </c>
      <c r="N22" s="537">
        <f t="shared" si="10"/>
        <v>8.1351689984351952E-2</v>
      </c>
      <c r="O22" s="537">
        <f t="shared" si="10"/>
        <v>7.9167241764100518E-2</v>
      </c>
      <c r="P22" s="537">
        <f t="shared" si="10"/>
        <v>7.6050348939050758E-2</v>
      </c>
      <c r="Q22" s="537">
        <f t="shared" si="10"/>
        <v>7.6050348939050758E-2</v>
      </c>
      <c r="R22" s="537">
        <f t="shared" si="10"/>
        <v>7.1198310132654041E-2</v>
      </c>
      <c r="S22" s="537">
        <f t="shared" si="10"/>
        <v>6.9685323454298134E-2</v>
      </c>
      <c r="T22" s="537">
        <f t="shared" si="10"/>
        <v>6.7142008797993924E-2</v>
      </c>
      <c r="U22" s="537">
        <f t="shared" si="10"/>
        <v>6.5347483746321447E-2</v>
      </c>
      <c r="V22" s="537">
        <f t="shared" si="10"/>
        <v>6.4050529803511724E-2</v>
      </c>
      <c r="W22" s="537">
        <f t="shared" si="10"/>
        <v>6.3214121126532158E-2</v>
      </c>
      <c r="X22" s="537">
        <f t="shared" si="10"/>
        <v>6.0203924882411587E-2</v>
      </c>
      <c r="Y22" s="537">
        <f t="shared" si="10"/>
        <v>6.8794821894622368E-2</v>
      </c>
      <c r="Z22" s="537">
        <f t="shared" si="10"/>
        <v>0.14101848624146829</v>
      </c>
    </row>
    <row r="24" spans="2:26">
      <c r="B24" s="535" t="s">
        <v>1264</v>
      </c>
      <c r="C24" s="536">
        <f>Financials!H163</f>
        <v>-474.31602024000006</v>
      </c>
      <c r="D24" s="536">
        <f>Financials!I163</f>
        <v>0</v>
      </c>
      <c r="E24" s="536">
        <f>Financials!J163</f>
        <v>-5.3290705182007514E-14</v>
      </c>
      <c r="F24" s="536">
        <f>Financials!K163</f>
        <v>-1.7053025658242404E-13</v>
      </c>
      <c r="G24" s="536">
        <f>Financials!L163</f>
        <v>0</v>
      </c>
      <c r="H24" s="536">
        <f>Financials!M163</f>
        <v>0</v>
      </c>
      <c r="I24" s="536">
        <f>Financials!N163</f>
        <v>0</v>
      </c>
      <c r="J24" s="536">
        <f>Financials!O163</f>
        <v>-2.2204460492503131E-13</v>
      </c>
      <c r="K24" s="536">
        <f>Financials!P163</f>
        <v>1.5631940186722204E-13</v>
      </c>
      <c r="L24" s="536">
        <f>Financials!Q163</f>
        <v>0</v>
      </c>
      <c r="M24" s="536">
        <f>Financials!R163</f>
        <v>-1.1368683772161603E-13</v>
      </c>
      <c r="N24" s="536">
        <f>Financials!S163</f>
        <v>0</v>
      </c>
      <c r="O24" s="536">
        <f>Financials!T163</f>
        <v>3.1974423109204508E-13</v>
      </c>
      <c r="P24" s="536">
        <f>Financials!U163</f>
        <v>0</v>
      </c>
      <c r="Q24" s="536">
        <f>Financials!V163</f>
        <v>-2.9487523534044158E-13</v>
      </c>
      <c r="R24" s="536">
        <f>Financials!W163</f>
        <v>-3.979039320256561E-13</v>
      </c>
      <c r="S24" s="536">
        <f>Financials!X163</f>
        <v>1.3500311979441904E-13</v>
      </c>
      <c r="T24" s="536">
        <f>Financials!Y163</f>
        <v>1.7053025658242404E-13</v>
      </c>
      <c r="U24" s="536">
        <f>Financials!Z163</f>
        <v>0</v>
      </c>
      <c r="V24" s="536">
        <f>Financials!AA163</f>
        <v>0</v>
      </c>
      <c r="W24" s="536">
        <f>Financials!AB163</f>
        <v>1.5631940186722204E-13</v>
      </c>
      <c r="X24" s="536">
        <f>Financials!AC163</f>
        <v>-2.1316282072803006E-13</v>
      </c>
      <c r="Y24" s="536">
        <f>Financials!AD163</f>
        <v>0</v>
      </c>
      <c r="Z24" s="536">
        <f>Financials!AE163</f>
        <v>0</v>
      </c>
    </row>
    <row r="25" spans="2:26">
      <c r="B25" s="534" t="s">
        <v>1257</v>
      </c>
      <c r="C25" s="537">
        <f>C24/C7</f>
        <v>-0.26120449602396634</v>
      </c>
      <c r="D25" s="537">
        <f t="shared" ref="D25:Z25" si="11">D24/D7</f>
        <v>0</v>
      </c>
      <c r="E25" s="537">
        <f t="shared" si="11"/>
        <v>-3.4360040737617275E-17</v>
      </c>
      <c r="F25" s="537">
        <f t="shared" si="11"/>
        <v>-8.9880965262255136E-17</v>
      </c>
      <c r="G25" s="537">
        <f t="shared" si="11"/>
        <v>0</v>
      </c>
      <c r="H25" s="537">
        <f t="shared" si="11"/>
        <v>0</v>
      </c>
      <c r="I25" s="537">
        <f t="shared" si="11"/>
        <v>0</v>
      </c>
      <c r="J25" s="537">
        <f t="shared" si="11"/>
        <v>-7.0562497254043611E-17</v>
      </c>
      <c r="K25" s="537">
        <f t="shared" si="11"/>
        <v>4.9675998066846703E-17</v>
      </c>
      <c r="L25" s="537">
        <f t="shared" si="11"/>
        <v>0</v>
      </c>
      <c r="M25" s="537">
        <f t="shared" si="11"/>
        <v>-3.3543785845539164E-17</v>
      </c>
      <c r="N25" s="537">
        <f t="shared" si="11"/>
        <v>0</v>
      </c>
      <c r="O25" s="537">
        <f t="shared" si="11"/>
        <v>8.6403057862094219E-17</v>
      </c>
      <c r="P25" s="537">
        <f t="shared" si="11"/>
        <v>0</v>
      </c>
      <c r="Q25" s="537">
        <f t="shared" si="11"/>
        <v>-7.6336487314583424E-17</v>
      </c>
      <c r="R25" s="537">
        <f t="shared" si="11"/>
        <v>-9.6700517393495807E-17</v>
      </c>
      <c r="S25" s="537">
        <f t="shared" si="11"/>
        <v>3.2111900244332572E-17</v>
      </c>
      <c r="T25" s="537">
        <f t="shared" si="11"/>
        <v>3.908198890941431E-17</v>
      </c>
      <c r="U25" s="537">
        <f t="shared" si="11"/>
        <v>0</v>
      </c>
      <c r="V25" s="537">
        <f t="shared" si="11"/>
        <v>0</v>
      </c>
      <c r="W25" s="537">
        <f t="shared" si="11"/>
        <v>3.3729342075543834E-17</v>
      </c>
      <c r="X25" s="537">
        <f t="shared" si="11"/>
        <v>-4.3804340357849135E-17</v>
      </c>
      <c r="Y25" s="537">
        <f t="shared" si="11"/>
        <v>0</v>
      </c>
      <c r="Z25" s="537">
        <f t="shared" si="11"/>
        <v>0</v>
      </c>
    </row>
    <row r="27" spans="2:26">
      <c r="B27" s="535" t="s">
        <v>1265</v>
      </c>
      <c r="C27" s="536">
        <f>Financials!H164</f>
        <v>435.22978999999998</v>
      </c>
      <c r="D27" s="535">
        <f>Financials!I164</f>
        <v>0</v>
      </c>
      <c r="E27" s="535">
        <f>Financials!J164</f>
        <v>0</v>
      </c>
      <c r="F27" s="535">
        <f>Financials!K164</f>
        <v>0</v>
      </c>
      <c r="G27" s="535">
        <f>Financials!L164</f>
        <v>0</v>
      </c>
      <c r="H27" s="535">
        <f>Financials!M164</f>
        <v>0</v>
      </c>
      <c r="I27" s="535">
        <f>Financials!N164</f>
        <v>0</v>
      </c>
      <c r="J27" s="535">
        <f>Financials!O164</f>
        <v>0</v>
      </c>
      <c r="K27" s="535">
        <f>Financials!P164</f>
        <v>0</v>
      </c>
      <c r="L27" s="535">
        <f>Financials!Q164</f>
        <v>0</v>
      </c>
      <c r="M27" s="535">
        <f>Financials!R164</f>
        <v>0</v>
      </c>
      <c r="N27" s="535">
        <f>Financials!S164</f>
        <v>0</v>
      </c>
      <c r="O27" s="535">
        <f>Financials!T164</f>
        <v>0</v>
      </c>
      <c r="P27" s="535">
        <f>Financials!U164</f>
        <v>0</v>
      </c>
      <c r="Q27" s="535">
        <f>Financials!V164</f>
        <v>0</v>
      </c>
      <c r="R27" s="535">
        <f>Financials!W164</f>
        <v>0</v>
      </c>
      <c r="S27" s="535">
        <f>Financials!X164</f>
        <v>0</v>
      </c>
      <c r="T27" s="535">
        <f>Financials!Y164</f>
        <v>0</v>
      </c>
      <c r="U27" s="535">
        <f>Financials!Z164</f>
        <v>0</v>
      </c>
      <c r="V27" s="535">
        <f>Financials!AA164</f>
        <v>0</v>
      </c>
      <c r="W27" s="535">
        <f>Financials!AB164</f>
        <v>0</v>
      </c>
      <c r="X27" s="535">
        <f>Financials!AC164</f>
        <v>0</v>
      </c>
      <c r="Y27" s="535">
        <f>Financials!AD164</f>
        <v>0</v>
      </c>
      <c r="Z27" s="535">
        <f>Financials!AE164</f>
        <v>0</v>
      </c>
    </row>
    <row r="28" spans="2:26">
      <c r="B28" s="534" t="s">
        <v>1257</v>
      </c>
      <c r="C28" s="537">
        <f>C27/C7</f>
        <v>0.23967981915104519</v>
      </c>
      <c r="D28" s="537">
        <f t="shared" ref="D28:Z28" si="12">D27/D7</f>
        <v>0</v>
      </c>
      <c r="E28" s="537">
        <f t="shared" si="12"/>
        <v>0</v>
      </c>
      <c r="F28" s="537">
        <f t="shared" si="12"/>
        <v>0</v>
      </c>
      <c r="G28" s="537">
        <f t="shared" si="12"/>
        <v>0</v>
      </c>
      <c r="H28" s="537">
        <f t="shared" si="12"/>
        <v>0</v>
      </c>
      <c r="I28" s="537">
        <f t="shared" si="12"/>
        <v>0</v>
      </c>
      <c r="J28" s="537">
        <f t="shared" si="12"/>
        <v>0</v>
      </c>
      <c r="K28" s="537">
        <f t="shared" si="12"/>
        <v>0</v>
      </c>
      <c r="L28" s="537">
        <f t="shared" si="12"/>
        <v>0</v>
      </c>
      <c r="M28" s="537">
        <f t="shared" si="12"/>
        <v>0</v>
      </c>
      <c r="N28" s="537">
        <f t="shared" si="12"/>
        <v>0</v>
      </c>
      <c r="O28" s="537">
        <f t="shared" si="12"/>
        <v>0</v>
      </c>
      <c r="P28" s="537">
        <f t="shared" si="12"/>
        <v>0</v>
      </c>
      <c r="Q28" s="537">
        <f t="shared" si="12"/>
        <v>0</v>
      </c>
      <c r="R28" s="537">
        <f t="shared" si="12"/>
        <v>0</v>
      </c>
      <c r="S28" s="537">
        <f t="shared" si="12"/>
        <v>0</v>
      </c>
      <c r="T28" s="537">
        <f t="shared" si="12"/>
        <v>0</v>
      </c>
      <c r="U28" s="537">
        <f t="shared" si="12"/>
        <v>0</v>
      </c>
      <c r="V28" s="537">
        <f t="shared" si="12"/>
        <v>0</v>
      </c>
      <c r="W28" s="537">
        <f t="shared" si="12"/>
        <v>0</v>
      </c>
      <c r="X28" s="537">
        <f t="shared" si="12"/>
        <v>0</v>
      </c>
      <c r="Y28" s="537">
        <f t="shared" si="12"/>
        <v>0</v>
      </c>
      <c r="Z28" s="537">
        <f t="shared" si="12"/>
        <v>0</v>
      </c>
    </row>
    <row r="30" spans="2:26">
      <c r="B30" s="535" t="s">
        <v>1266</v>
      </c>
      <c r="C30" s="538">
        <f>C18+C21-C24-C27</f>
        <v>558.90623024000024</v>
      </c>
      <c r="D30" s="538">
        <f t="shared" ref="D30:Z30" si="13">D18+D21-D24-D27</f>
        <v>293.06999999999971</v>
      </c>
      <c r="E30" s="538">
        <f t="shared" si="13"/>
        <v>224.2000000000001</v>
      </c>
      <c r="F30" s="538">
        <f t="shared" si="13"/>
        <v>726.76000000000045</v>
      </c>
      <c r="G30" s="538">
        <f t="shared" si="13"/>
        <v>142.30000000000021</v>
      </c>
      <c r="H30" s="538">
        <f t="shared" si="13"/>
        <v>128.52000000000046</v>
      </c>
      <c r="I30" s="538">
        <f t="shared" si="13"/>
        <v>-1002.2541599804199</v>
      </c>
      <c r="J30" s="538">
        <f t="shared" si="13"/>
        <v>-1083.9764287410601</v>
      </c>
      <c r="K30" s="538">
        <f t="shared" si="13"/>
        <v>-1169.4438252451052</v>
      </c>
      <c r="L30" s="538">
        <f t="shared" si="13"/>
        <v>-1209.1619027183124</v>
      </c>
      <c r="M30" s="538">
        <f t="shared" si="13"/>
        <v>-1304.9835973211939</v>
      </c>
      <c r="N30" s="538">
        <f t="shared" si="13"/>
        <v>-1369.5893939640373</v>
      </c>
      <c r="O30" s="538">
        <f t="shared" si="13"/>
        <v>-1371.7582865067873</v>
      </c>
      <c r="P30" s="538">
        <f t="shared" si="13"/>
        <v>-1525.0926086174609</v>
      </c>
      <c r="Q30" s="538">
        <f t="shared" si="13"/>
        <v>-1638.9456836098659</v>
      </c>
      <c r="R30" s="538">
        <f t="shared" si="13"/>
        <v>-1695.4587354656501</v>
      </c>
      <c r="S30" s="538">
        <f t="shared" si="13"/>
        <v>-1726.06247677751</v>
      </c>
      <c r="T30" s="538">
        <f t="shared" si="13"/>
        <v>-1907.7490730390609</v>
      </c>
      <c r="U30" s="538">
        <f t="shared" si="13"/>
        <v>-1922.1556881505203</v>
      </c>
      <c r="V30" s="538">
        <f t="shared" si="13"/>
        <v>-2099.2335661002417</v>
      </c>
      <c r="W30" s="538">
        <f t="shared" si="13"/>
        <v>-2272.3430886752139</v>
      </c>
      <c r="X30" s="538">
        <f t="shared" si="13"/>
        <v>-2172.3016356996031</v>
      </c>
      <c r="Y30" s="538">
        <f t="shared" si="13"/>
        <v>-1905.6631538349902</v>
      </c>
      <c r="Z30" s="538">
        <f t="shared" si="13"/>
        <v>-813.05145619662153</v>
      </c>
    </row>
    <row r="31" spans="2:26">
      <c r="B31" s="534" t="s">
        <v>1256</v>
      </c>
      <c r="C31" s="539" t="s">
        <v>719</v>
      </c>
      <c r="D31" s="537">
        <f>(D30-C30)/C30</f>
        <v>-0.47563654841680264</v>
      </c>
      <c r="E31" s="537">
        <f t="shared" ref="E31:Z31" si="14">(E30-D30)/D30</f>
        <v>-0.23499505237656421</v>
      </c>
      <c r="F31" s="537">
        <f t="shared" si="14"/>
        <v>2.2415700267618202</v>
      </c>
      <c r="G31" s="537">
        <f t="shared" si="14"/>
        <v>-0.80419946061973679</v>
      </c>
      <c r="H31" s="537">
        <f t="shared" si="14"/>
        <v>-9.6837666900911626E-2</v>
      </c>
      <c r="I31" s="537">
        <f t="shared" si="14"/>
        <v>-8.7984295049830088</v>
      </c>
      <c r="J31" s="537">
        <f t="shared" si="14"/>
        <v>8.1538468009189125E-2</v>
      </c>
      <c r="K31" s="537">
        <f t="shared" si="14"/>
        <v>7.8846176206347721E-2</v>
      </c>
      <c r="L31" s="537">
        <f t="shared" si="14"/>
        <v>3.3963219622697625E-2</v>
      </c>
      <c r="M31" s="537">
        <f t="shared" si="14"/>
        <v>7.9246372539082746E-2</v>
      </c>
      <c r="N31" s="537">
        <f t="shared" si="14"/>
        <v>4.9506979839028638E-2</v>
      </c>
      <c r="O31" s="537">
        <f t="shared" si="14"/>
        <v>1.5836078698539654E-3</v>
      </c>
      <c r="P31" s="537">
        <f t="shared" si="14"/>
        <v>0.11177940284300585</v>
      </c>
      <c r="Q31" s="537">
        <f t="shared" si="14"/>
        <v>7.4653220630067851E-2</v>
      </c>
      <c r="R31" s="537">
        <f t="shared" si="14"/>
        <v>3.4481345184857584E-2</v>
      </c>
      <c r="S31" s="537">
        <f t="shared" si="14"/>
        <v>1.8050419436162077E-2</v>
      </c>
      <c r="T31" s="537">
        <f t="shared" si="14"/>
        <v>0.1052607299596435</v>
      </c>
      <c r="U31" s="537">
        <f t="shared" si="14"/>
        <v>7.5516299890055752E-3</v>
      </c>
      <c r="V31" s="537">
        <f t="shared" si="14"/>
        <v>9.2124628114855778E-2</v>
      </c>
      <c r="W31" s="537">
        <f t="shared" si="14"/>
        <v>8.2463202461343477E-2</v>
      </c>
      <c r="X31" s="537">
        <f t="shared" si="14"/>
        <v>-4.4025681453734797E-2</v>
      </c>
      <c r="Y31" s="537">
        <f t="shared" si="14"/>
        <v>-0.12274468585884959</v>
      </c>
      <c r="Z31" s="537">
        <f t="shared" si="14"/>
        <v>-0.57334985747065403</v>
      </c>
    </row>
    <row r="33" spans="2:16"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</row>
    <row r="35" spans="2:16">
      <c r="B35" s="828" t="s">
        <v>1248</v>
      </c>
      <c r="C35" s="828"/>
    </row>
    <row r="36" spans="2:16" ht="15.6">
      <c r="E36" s="831" t="s">
        <v>1295</v>
      </c>
      <c r="F36" s="831"/>
      <c r="G36" s="831"/>
      <c r="H36" s="831"/>
      <c r="I36" s="507"/>
      <c r="L36" s="551" t="s">
        <v>1260</v>
      </c>
      <c r="M36" s="509"/>
    </row>
    <row r="37" spans="2:16" ht="15.6">
      <c r="B37" t="s">
        <v>1249</v>
      </c>
      <c r="C37" s="400">
        <f>DATE(2018,3,1)</f>
        <v>43160</v>
      </c>
      <c r="L37" s="522" t="s">
        <v>1261</v>
      </c>
      <c r="O37" s="517"/>
      <c r="P37" s="517"/>
    </row>
    <row r="38" spans="2:16" ht="31.2" customHeight="1">
      <c r="B38" t="s">
        <v>99</v>
      </c>
      <c r="C38" s="518" t="e">
        <f ca="1">H41</f>
        <v>#DIV/0!</v>
      </c>
      <c r="E38" s="829" t="s">
        <v>1302</v>
      </c>
      <c r="F38" s="829"/>
      <c r="G38" s="829"/>
      <c r="H38" s="519" t="e">
        <f ca="1">AVERAGE(Financials!H137:Z137)</f>
        <v>#DIV/0!</v>
      </c>
      <c r="L38" s="523" t="s">
        <v>1262</v>
      </c>
      <c r="P38" s="520"/>
    </row>
    <row r="39" spans="2:16" ht="15.6">
      <c r="B39" t="s">
        <v>1250</v>
      </c>
      <c r="C39" s="521">
        <v>0.01</v>
      </c>
      <c r="E39" s="830" t="s">
        <v>1297</v>
      </c>
      <c r="F39" s="830"/>
      <c r="G39" s="830"/>
      <c r="H39" s="79">
        <f>Assum!B103</f>
        <v>0.13650000000000001</v>
      </c>
      <c r="L39" s="517" t="s">
        <v>1263</v>
      </c>
      <c r="P39" s="517"/>
    </row>
    <row r="40" spans="2:16" ht="15.6">
      <c r="B40" t="s">
        <v>1251</v>
      </c>
      <c r="C40" s="518">
        <v>3.5000000000000003E-2</v>
      </c>
      <c r="E40" s="830" t="s">
        <v>1298</v>
      </c>
      <c r="F40" s="830"/>
      <c r="G40" s="830"/>
      <c r="H40" s="79">
        <f>H39+C42</f>
        <v>0.2092</v>
      </c>
      <c r="P40" s="517"/>
    </row>
    <row r="41" spans="2:16" ht="15.6">
      <c r="B41" t="s">
        <v>1252</v>
      </c>
      <c r="C41" s="518">
        <v>7.4999999999999997E-3</v>
      </c>
      <c r="E41" s="830" t="s">
        <v>1301</v>
      </c>
      <c r="F41" s="830"/>
      <c r="G41" s="830"/>
      <c r="H41" s="79" t="e">
        <f ca="1">H38*(1-C43)*H39+(1-H38)*H40</f>
        <v>#DIV/0!</v>
      </c>
      <c r="P41" s="517"/>
    </row>
    <row r="42" spans="2:16" ht="15.6">
      <c r="B42" s="506" t="s">
        <v>1299</v>
      </c>
      <c r="C42" s="524">
        <f>7.27%</f>
        <v>7.2700000000000001E-2</v>
      </c>
      <c r="G42" s="517"/>
      <c r="H42" s="517"/>
    </row>
    <row r="43" spans="2:16">
      <c r="B43" s="506" t="s">
        <v>1300</v>
      </c>
      <c r="C43" s="518">
        <f>Assum!B75</f>
        <v>0.21341600000000002</v>
      </c>
    </row>
    <row r="80" spans="2:27">
      <c r="B80" s="509"/>
      <c r="C80" s="510" t="s">
        <v>1268</v>
      </c>
      <c r="D80" s="509"/>
      <c r="E80" s="509"/>
      <c r="F80" s="509"/>
      <c r="G80" s="509"/>
      <c r="H80" s="509"/>
      <c r="I80" s="509"/>
      <c r="J80" s="509"/>
      <c r="K80" s="509"/>
      <c r="L80" s="509"/>
      <c r="M80" s="509"/>
      <c r="N80" s="509"/>
      <c r="O80" s="509"/>
      <c r="P80" s="509"/>
      <c r="Q80" s="509"/>
      <c r="R80" s="509"/>
      <c r="S80" s="509"/>
      <c r="T80" s="509"/>
      <c r="U80" s="509"/>
      <c r="V80" s="509"/>
      <c r="W80" s="509"/>
      <c r="X80" s="509"/>
      <c r="Y80" s="509"/>
      <c r="Z80" s="509"/>
      <c r="AA80" s="509"/>
    </row>
    <row r="82" spans="2:27">
      <c r="B82" s="510" t="s">
        <v>1267</v>
      </c>
      <c r="C82" s="540"/>
      <c r="D82" s="541">
        <f>(C3-C37)/365</f>
        <v>8.2191780821917804E-2</v>
      </c>
      <c r="E82" s="541">
        <f>(D3-C3)/365+D82</f>
        <v>1.0821917808219177</v>
      </c>
      <c r="F82" s="541">
        <f t="shared" ref="F82:AA82" si="15">ROUND((E3-D3)/365,0)+E82</f>
        <v>2.0821917808219177</v>
      </c>
      <c r="G82" s="541">
        <f t="shared" si="15"/>
        <v>3.0821917808219177</v>
      </c>
      <c r="H82" s="541">
        <f t="shared" si="15"/>
        <v>4.0821917808219172</v>
      </c>
      <c r="I82" s="541">
        <f t="shared" si="15"/>
        <v>5.0821917808219172</v>
      </c>
      <c r="J82" s="541">
        <f t="shared" si="15"/>
        <v>6.0821917808219172</v>
      </c>
      <c r="K82" s="541">
        <f t="shared" si="15"/>
        <v>7.0821917808219172</v>
      </c>
      <c r="L82" s="541">
        <f t="shared" si="15"/>
        <v>8.0821917808219172</v>
      </c>
      <c r="M82" s="541">
        <f t="shared" si="15"/>
        <v>9.0821917808219172</v>
      </c>
      <c r="N82" s="541">
        <f t="shared" si="15"/>
        <v>10.082191780821917</v>
      </c>
      <c r="O82" s="541">
        <f t="shared" si="15"/>
        <v>11.082191780821917</v>
      </c>
      <c r="P82" s="541">
        <f t="shared" si="15"/>
        <v>12.082191780821917</v>
      </c>
      <c r="Q82" s="541">
        <f t="shared" si="15"/>
        <v>13.082191780821917</v>
      </c>
      <c r="R82" s="541">
        <f t="shared" si="15"/>
        <v>14.082191780821917</v>
      </c>
      <c r="S82" s="541">
        <f t="shared" si="15"/>
        <v>15.082191780821917</v>
      </c>
      <c r="T82" s="541">
        <f t="shared" si="15"/>
        <v>16.082191780821915</v>
      </c>
      <c r="U82" s="541">
        <f t="shared" si="15"/>
        <v>17.082191780821915</v>
      </c>
      <c r="V82" s="541">
        <f t="shared" si="15"/>
        <v>18.082191780821915</v>
      </c>
      <c r="W82" s="541">
        <f t="shared" si="15"/>
        <v>19.082191780821915</v>
      </c>
      <c r="X82" s="541">
        <f t="shared" si="15"/>
        <v>20.082191780821915</v>
      </c>
      <c r="Y82" s="541">
        <f t="shared" si="15"/>
        <v>21.082191780821915</v>
      </c>
      <c r="Z82" s="541">
        <f t="shared" si="15"/>
        <v>22.082191780821915</v>
      </c>
      <c r="AA82" s="541">
        <f t="shared" si="15"/>
        <v>23.082191780821915</v>
      </c>
    </row>
    <row r="84" spans="2:27">
      <c r="C84" s="833" t="s">
        <v>1269</v>
      </c>
      <c r="D84" s="833"/>
      <c r="E84" s="833"/>
      <c r="F84" s="833"/>
    </row>
    <row r="87" spans="2:27">
      <c r="C87" s="471" t="e">
        <f ca="1">C38-C39</f>
        <v>#DIV/0!</v>
      </c>
      <c r="D87" s="542" t="e">
        <f ca="1">C30/(1+C$87)^D82</f>
        <v>#DIV/0!</v>
      </c>
      <c r="E87" s="542" t="e">
        <f ca="1">D30/(1+C87)^E82</f>
        <v>#DIV/0!</v>
      </c>
      <c r="F87" s="542" t="e">
        <f t="shared" ref="F87:Z87" ca="1" si="16">E30/(1+$C87)^F82</f>
        <v>#DIV/0!</v>
      </c>
      <c r="G87" s="542" t="e">
        <f t="shared" ca="1" si="16"/>
        <v>#DIV/0!</v>
      </c>
      <c r="H87" s="542" t="e">
        <f t="shared" ca="1" si="16"/>
        <v>#DIV/0!</v>
      </c>
      <c r="I87" s="542" t="e">
        <f t="shared" ca="1" si="16"/>
        <v>#DIV/0!</v>
      </c>
      <c r="J87" s="542" t="e">
        <f t="shared" ca="1" si="16"/>
        <v>#DIV/0!</v>
      </c>
      <c r="K87" s="542" t="e">
        <f t="shared" ca="1" si="16"/>
        <v>#DIV/0!</v>
      </c>
      <c r="L87" s="542" t="e">
        <f t="shared" ca="1" si="16"/>
        <v>#DIV/0!</v>
      </c>
      <c r="M87" s="542" t="e">
        <f t="shared" ca="1" si="16"/>
        <v>#DIV/0!</v>
      </c>
      <c r="N87" s="542" t="e">
        <f t="shared" ca="1" si="16"/>
        <v>#DIV/0!</v>
      </c>
      <c r="O87" s="542" t="e">
        <f t="shared" ca="1" si="16"/>
        <v>#DIV/0!</v>
      </c>
      <c r="P87" s="542" t="e">
        <f t="shared" ca="1" si="16"/>
        <v>#DIV/0!</v>
      </c>
      <c r="Q87" s="542" t="e">
        <f t="shared" ca="1" si="16"/>
        <v>#DIV/0!</v>
      </c>
      <c r="R87" s="542" t="e">
        <f t="shared" ca="1" si="16"/>
        <v>#DIV/0!</v>
      </c>
      <c r="S87" s="542" t="e">
        <f t="shared" ca="1" si="16"/>
        <v>#DIV/0!</v>
      </c>
      <c r="T87" s="542" t="e">
        <f t="shared" ca="1" si="16"/>
        <v>#DIV/0!</v>
      </c>
      <c r="U87" s="542" t="e">
        <f t="shared" ca="1" si="16"/>
        <v>#DIV/0!</v>
      </c>
      <c r="V87" s="542" t="e">
        <f t="shared" ca="1" si="16"/>
        <v>#DIV/0!</v>
      </c>
      <c r="W87" s="542" t="e">
        <f t="shared" ca="1" si="16"/>
        <v>#DIV/0!</v>
      </c>
      <c r="X87" s="542" t="e">
        <f t="shared" ca="1" si="16"/>
        <v>#DIV/0!</v>
      </c>
      <c r="Y87" s="542" t="e">
        <f t="shared" ca="1" si="16"/>
        <v>#DIV/0!</v>
      </c>
      <c r="Z87" s="542" t="e">
        <f t="shared" ca="1" si="16"/>
        <v>#DIV/0!</v>
      </c>
      <c r="AA87" s="542"/>
    </row>
    <row r="88" spans="2:27">
      <c r="C88" s="471" t="e">
        <f ca="1">C38</f>
        <v>#DIV/0!</v>
      </c>
      <c r="D88" s="542" t="e">
        <f ca="1">C30/(1+C$88)^D82</f>
        <v>#DIV/0!</v>
      </c>
      <c r="E88" s="542" t="e">
        <f ca="1">D30/(1+C88)^E82</f>
        <v>#DIV/0!</v>
      </c>
      <c r="F88" s="542" t="e">
        <f t="shared" ref="F88:Z88" ca="1" si="17">E30/(1+$C$88)^F82</f>
        <v>#DIV/0!</v>
      </c>
      <c r="G88" s="542" t="e">
        <f t="shared" ca="1" si="17"/>
        <v>#DIV/0!</v>
      </c>
      <c r="H88" s="542" t="e">
        <f t="shared" ca="1" si="17"/>
        <v>#DIV/0!</v>
      </c>
      <c r="I88" s="542" t="e">
        <f t="shared" ca="1" si="17"/>
        <v>#DIV/0!</v>
      </c>
      <c r="J88" s="542" t="e">
        <f t="shared" ca="1" si="17"/>
        <v>#DIV/0!</v>
      </c>
      <c r="K88" s="542" t="e">
        <f t="shared" ca="1" si="17"/>
        <v>#DIV/0!</v>
      </c>
      <c r="L88" s="542" t="e">
        <f t="shared" ca="1" si="17"/>
        <v>#DIV/0!</v>
      </c>
      <c r="M88" s="542" t="e">
        <f t="shared" ca="1" si="17"/>
        <v>#DIV/0!</v>
      </c>
      <c r="N88" s="542" t="e">
        <f t="shared" ca="1" si="17"/>
        <v>#DIV/0!</v>
      </c>
      <c r="O88" s="542" t="e">
        <f t="shared" ca="1" si="17"/>
        <v>#DIV/0!</v>
      </c>
      <c r="P88" s="542" t="e">
        <f t="shared" ca="1" si="17"/>
        <v>#DIV/0!</v>
      </c>
      <c r="Q88" s="542" t="e">
        <f t="shared" ca="1" si="17"/>
        <v>#DIV/0!</v>
      </c>
      <c r="R88" s="542" t="e">
        <f t="shared" ca="1" si="17"/>
        <v>#DIV/0!</v>
      </c>
      <c r="S88" s="542" t="e">
        <f t="shared" ca="1" si="17"/>
        <v>#DIV/0!</v>
      </c>
      <c r="T88" s="542" t="e">
        <f t="shared" ca="1" si="17"/>
        <v>#DIV/0!</v>
      </c>
      <c r="U88" s="542" t="e">
        <f t="shared" ca="1" si="17"/>
        <v>#DIV/0!</v>
      </c>
      <c r="V88" s="542" t="e">
        <f t="shared" ca="1" si="17"/>
        <v>#DIV/0!</v>
      </c>
      <c r="W88" s="542" t="e">
        <f t="shared" ca="1" si="17"/>
        <v>#DIV/0!</v>
      </c>
      <c r="X88" s="542" t="e">
        <f t="shared" ca="1" si="17"/>
        <v>#DIV/0!</v>
      </c>
      <c r="Y88" s="542" t="e">
        <f t="shared" ca="1" si="17"/>
        <v>#DIV/0!</v>
      </c>
      <c r="Z88" s="542" t="e">
        <f t="shared" ca="1" si="17"/>
        <v>#DIV/0!</v>
      </c>
    </row>
    <row r="89" spans="2:27">
      <c r="C89" s="471" t="e">
        <f ca="1">C38+C39</f>
        <v>#DIV/0!</v>
      </c>
      <c r="D89" s="542" t="e">
        <f ca="1">C30/(1+C89)^D82</f>
        <v>#DIV/0!</v>
      </c>
      <c r="E89" s="542" t="e">
        <f t="shared" ref="E89:Z89" ca="1" si="18">D30/(1+$C$89)^E82</f>
        <v>#DIV/0!</v>
      </c>
      <c r="F89" s="542" t="e">
        <f t="shared" ca="1" si="18"/>
        <v>#DIV/0!</v>
      </c>
      <c r="G89" s="542" t="e">
        <f t="shared" ca="1" si="18"/>
        <v>#DIV/0!</v>
      </c>
      <c r="H89" s="542" t="e">
        <f t="shared" ca="1" si="18"/>
        <v>#DIV/0!</v>
      </c>
      <c r="I89" s="542" t="e">
        <f t="shared" ca="1" si="18"/>
        <v>#DIV/0!</v>
      </c>
      <c r="J89" s="542" t="e">
        <f t="shared" ca="1" si="18"/>
        <v>#DIV/0!</v>
      </c>
      <c r="K89" s="542" t="e">
        <f t="shared" ca="1" si="18"/>
        <v>#DIV/0!</v>
      </c>
      <c r="L89" s="542" t="e">
        <f t="shared" ca="1" si="18"/>
        <v>#DIV/0!</v>
      </c>
      <c r="M89" s="542" t="e">
        <f t="shared" ca="1" si="18"/>
        <v>#DIV/0!</v>
      </c>
      <c r="N89" s="542" t="e">
        <f t="shared" ca="1" si="18"/>
        <v>#DIV/0!</v>
      </c>
      <c r="O89" s="542" t="e">
        <f t="shared" ca="1" si="18"/>
        <v>#DIV/0!</v>
      </c>
      <c r="P89" s="542" t="e">
        <f t="shared" ca="1" si="18"/>
        <v>#DIV/0!</v>
      </c>
      <c r="Q89" s="542" t="e">
        <f t="shared" ca="1" si="18"/>
        <v>#DIV/0!</v>
      </c>
      <c r="R89" s="542" t="e">
        <f t="shared" ca="1" si="18"/>
        <v>#DIV/0!</v>
      </c>
      <c r="S89" s="542" t="e">
        <f t="shared" ca="1" si="18"/>
        <v>#DIV/0!</v>
      </c>
      <c r="T89" s="542" t="e">
        <f t="shared" ca="1" si="18"/>
        <v>#DIV/0!</v>
      </c>
      <c r="U89" s="542" t="e">
        <f t="shared" ca="1" si="18"/>
        <v>#DIV/0!</v>
      </c>
      <c r="V89" s="542" t="e">
        <f t="shared" ca="1" si="18"/>
        <v>#DIV/0!</v>
      </c>
      <c r="W89" s="542" t="e">
        <f t="shared" ca="1" si="18"/>
        <v>#DIV/0!</v>
      </c>
      <c r="X89" s="542" t="e">
        <f t="shared" ca="1" si="18"/>
        <v>#DIV/0!</v>
      </c>
      <c r="Y89" s="542" t="e">
        <f t="shared" ca="1" si="18"/>
        <v>#DIV/0!</v>
      </c>
      <c r="Z89" s="542" t="e">
        <f t="shared" ca="1" si="18"/>
        <v>#DIV/0!</v>
      </c>
    </row>
    <row r="92" spans="2:27">
      <c r="C92" s="832" t="s">
        <v>1270</v>
      </c>
      <c r="D92" s="832"/>
      <c r="E92" s="832"/>
      <c r="F92" s="832"/>
      <c r="G92" s="832"/>
    </row>
    <row r="94" spans="2:27" ht="14.4" customHeight="1">
      <c r="B94" s="552"/>
      <c r="C94" s="543" t="s">
        <v>1278</v>
      </c>
      <c r="D94" s="836" t="e">
        <f ca="1">C87</f>
        <v>#DIV/0!</v>
      </c>
      <c r="E94" s="836"/>
      <c r="F94" s="835" t="e">
        <f ca="1">SUM(D87:Z87)</f>
        <v>#DIV/0!</v>
      </c>
      <c r="G94" s="835"/>
    </row>
    <row r="95" spans="2:27" ht="14.4" customHeight="1">
      <c r="B95" s="552"/>
      <c r="C95" s="540" t="s">
        <v>1276</v>
      </c>
      <c r="D95" s="836" t="e">
        <f ca="1">C88</f>
        <v>#DIV/0!</v>
      </c>
      <c r="E95" s="836"/>
      <c r="F95" s="835" t="e">
        <f ca="1">SUM(D88:Z88)</f>
        <v>#DIV/0!</v>
      </c>
      <c r="G95" s="835"/>
    </row>
    <row r="96" spans="2:27" ht="14.4" customHeight="1">
      <c r="B96" s="552"/>
      <c r="C96" s="540" t="s">
        <v>1277</v>
      </c>
      <c r="D96" s="836" t="e">
        <f ca="1">C89</f>
        <v>#DIV/0!</v>
      </c>
      <c r="E96" s="836"/>
      <c r="F96" s="835" t="e">
        <f ca="1">SUM(D89:Z89)</f>
        <v>#DIV/0!</v>
      </c>
      <c r="G96" s="835"/>
    </row>
    <row r="98" spans="3:22">
      <c r="C98" s="535" t="s">
        <v>1271</v>
      </c>
    </row>
    <row r="101" spans="3:22" ht="15.6">
      <c r="C101" s="544" t="s">
        <v>1272</v>
      </c>
      <c r="D101" s="511">
        <f>Z10</f>
        <v>-813.05145619662153</v>
      </c>
      <c r="J101" s="834" t="s">
        <v>1275</v>
      </c>
      <c r="K101" s="834"/>
      <c r="L101" s="834"/>
      <c r="M101" s="834"/>
      <c r="N101" s="834"/>
      <c r="R101" s="834" t="s">
        <v>1279</v>
      </c>
      <c r="S101" s="834"/>
      <c r="T101" s="834"/>
      <c r="U101" s="834"/>
      <c r="V101" s="834"/>
    </row>
    <row r="102" spans="3:22" ht="15.6" customHeight="1">
      <c r="C102" s="544" t="s">
        <v>1273</v>
      </c>
      <c r="D102" s="512">
        <f>Z30</f>
        <v>-813.05145619662153</v>
      </c>
      <c r="F102" s="545"/>
      <c r="J102" s="79">
        <f>D106-D107</f>
        <v>2.7500000000000004E-2</v>
      </c>
      <c r="K102" s="79">
        <f>D106</f>
        <v>3.5000000000000003E-2</v>
      </c>
      <c r="L102" s="79">
        <f>D106+D107</f>
        <v>4.2500000000000003E-2</v>
      </c>
      <c r="P102" s="839"/>
      <c r="Q102" s="839"/>
      <c r="S102" s="79">
        <f>J102</f>
        <v>2.7500000000000004E-2</v>
      </c>
      <c r="T102" s="79">
        <f>K102</f>
        <v>3.5000000000000003E-2</v>
      </c>
      <c r="U102" s="79">
        <f>L102</f>
        <v>4.2500000000000003E-2</v>
      </c>
    </row>
    <row r="103" spans="3:22" ht="15.6" customHeight="1">
      <c r="C103" s="544" t="s">
        <v>1274</v>
      </c>
      <c r="D103" s="513">
        <f>AA82</f>
        <v>23.082191780821915</v>
      </c>
      <c r="F103" s="545"/>
    </row>
    <row r="104" spans="3:22" ht="15.6" customHeight="1">
      <c r="C104" s="544" t="s">
        <v>99</v>
      </c>
      <c r="D104" s="514" t="e">
        <f ca="1">C38</f>
        <v>#DIV/0!</v>
      </c>
      <c r="F104" s="545"/>
      <c r="H104" s="543" t="s">
        <v>1278</v>
      </c>
      <c r="I104" s="471" t="e">
        <f ca="1">D104-D105</f>
        <v>#DIV/0!</v>
      </c>
      <c r="J104" s="542" t="e">
        <f ca="1">D102*(1+J102)/(I104-J102)</f>
        <v>#DIV/0!</v>
      </c>
      <c r="K104" t="e">
        <f ca="1">D102*(1+K102)/(I104-K102)</f>
        <v>#DIV/0!</v>
      </c>
      <c r="L104" t="e">
        <f ca="1">$D$102*(1+$L$102)/(I104-$L$102)</f>
        <v>#DIV/0!</v>
      </c>
      <c r="P104" s="837" t="s">
        <v>1278</v>
      </c>
      <c r="Q104" s="837"/>
      <c r="R104" s="471" t="e">
        <f ca="1">I104</f>
        <v>#DIV/0!</v>
      </c>
      <c r="S104" s="542" t="e">
        <f ca="1">J104/(1+$R$104)^$D$103</f>
        <v>#DIV/0!</v>
      </c>
      <c r="T104" s="542" t="e">
        <f ca="1">K104/(1+$R$104)^$D$103</f>
        <v>#DIV/0!</v>
      </c>
      <c r="U104" s="542" t="e">
        <f ca="1">L104/(1+$R$104)^$D$103</f>
        <v>#DIV/0!</v>
      </c>
    </row>
    <row r="105" spans="3:22" ht="15.6">
      <c r="C105" s="544" t="s">
        <v>1250</v>
      </c>
      <c r="D105" s="514">
        <f>C39</f>
        <v>0.01</v>
      </c>
      <c r="F105" s="545"/>
      <c r="H105" s="540" t="s">
        <v>1276</v>
      </c>
      <c r="I105" s="471" t="e">
        <f ca="1">D104</f>
        <v>#DIV/0!</v>
      </c>
      <c r="J105" s="542" t="e">
        <f ca="1">$D$102*(1+$J$102)/(I105-$J$102)</f>
        <v>#DIV/0!</v>
      </c>
      <c r="K105" t="e">
        <f ca="1">$D$102*(1+$K$102)/(I105-$K$102)</f>
        <v>#DIV/0!</v>
      </c>
      <c r="L105" t="e">
        <f ca="1">$D$102*(1+$L$102)/(I105-$L$102)</f>
        <v>#DIV/0!</v>
      </c>
      <c r="P105" s="838" t="s">
        <v>1276</v>
      </c>
      <c r="Q105" s="838"/>
      <c r="R105" s="471" t="e">
        <f ca="1">I105</f>
        <v>#DIV/0!</v>
      </c>
      <c r="S105" s="542" t="e">
        <f ca="1">J105/(1+$R$105)^$D$103</f>
        <v>#DIV/0!</v>
      </c>
      <c r="T105" s="542" t="e">
        <f ca="1">K105/(1+$R$105)^$D$103</f>
        <v>#DIV/0!</v>
      </c>
      <c r="U105" s="542" t="e">
        <f ca="1">L105/(1+$R$105)^$D$103</f>
        <v>#DIV/0!</v>
      </c>
    </row>
    <row r="106" spans="3:22" ht="15.6">
      <c r="C106" s="544" t="s">
        <v>1251</v>
      </c>
      <c r="D106" s="515">
        <f>C40</f>
        <v>3.5000000000000003E-2</v>
      </c>
      <c r="F106" s="545"/>
      <c r="H106" s="540" t="s">
        <v>1277</v>
      </c>
      <c r="I106" s="471" t="e">
        <f ca="1">D104+D105</f>
        <v>#DIV/0!</v>
      </c>
      <c r="J106" s="542" t="e">
        <f ca="1">$D$102*(1+$J$102)/(I106-$J$102)</f>
        <v>#DIV/0!</v>
      </c>
      <c r="K106" t="e">
        <f ca="1">$D$102*(1+$K$102)/(I106-$K$102)</f>
        <v>#DIV/0!</v>
      </c>
      <c r="L106" t="e">
        <f ca="1">$D$102*(1+$L$102)/(I106-$L$102)</f>
        <v>#DIV/0!</v>
      </c>
      <c r="P106" s="838" t="s">
        <v>1277</v>
      </c>
      <c r="Q106" s="838"/>
      <c r="R106" s="471" t="e">
        <f ca="1">I106</f>
        <v>#DIV/0!</v>
      </c>
      <c r="S106" s="542" t="e">
        <f ca="1">J106/(1+$R$106)^$D$103</f>
        <v>#DIV/0!</v>
      </c>
      <c r="T106" s="542" t="e">
        <f ca="1">K106/(1+$R$106)^$D$103</f>
        <v>#DIV/0!</v>
      </c>
      <c r="U106" s="542" t="e">
        <f ca="1">L106/(1+$R$106)^$D$103</f>
        <v>#DIV/0!</v>
      </c>
    </row>
    <row r="107" spans="3:22" ht="15.6">
      <c r="C107" s="544" t="s">
        <v>1252</v>
      </c>
      <c r="D107" s="515">
        <f>C41</f>
        <v>7.4999999999999997E-3</v>
      </c>
      <c r="F107" s="546"/>
    </row>
    <row r="108" spans="3:22">
      <c r="D108" s="516"/>
    </row>
    <row r="111" spans="3:22">
      <c r="J111" s="834" t="s">
        <v>1280</v>
      </c>
      <c r="K111" s="834"/>
      <c r="L111" s="834"/>
      <c r="M111" s="834"/>
      <c r="N111" s="834"/>
    </row>
    <row r="112" spans="3:22">
      <c r="J112" s="79">
        <f>J102</f>
        <v>2.7500000000000004E-2</v>
      </c>
      <c r="K112" s="79">
        <f>K102</f>
        <v>3.5000000000000003E-2</v>
      </c>
      <c r="L112" s="79">
        <f>L102</f>
        <v>4.2500000000000003E-2</v>
      </c>
    </row>
    <row r="114" spans="8:12">
      <c r="H114" s="543" t="s">
        <v>1278</v>
      </c>
      <c r="I114" s="471" t="e">
        <f ca="1">I104</f>
        <v>#DIV/0!</v>
      </c>
      <c r="J114" s="547" t="e">
        <f ca="1">J104*(1+$I$114)^$D$82/$D$101</f>
        <v>#DIV/0!</v>
      </c>
      <c r="K114" s="547" t="e">
        <f ca="1">K104*(1+$I$114)^$D$82/$D$101</f>
        <v>#DIV/0!</v>
      </c>
      <c r="L114" s="547" t="e">
        <f ca="1">L104*(1+$I$114)^$D$82/$D$101</f>
        <v>#DIV/0!</v>
      </c>
    </row>
    <row r="115" spans="8:12">
      <c r="H115" s="540" t="s">
        <v>1276</v>
      </c>
      <c r="I115" s="471" t="e">
        <f ca="1">R105</f>
        <v>#DIV/0!</v>
      </c>
      <c r="J115" s="547" t="e">
        <f ca="1">J105*(1+$I$115)^$D$82/$D101</f>
        <v>#DIV/0!</v>
      </c>
      <c r="K115" s="547" t="e">
        <f ca="1">K105*(1+$I$115)^$D$82/$D101</f>
        <v>#DIV/0!</v>
      </c>
      <c r="L115" s="547" t="e">
        <f ca="1">L105*(1+$I$115)^$D$82/$D101</f>
        <v>#DIV/0!</v>
      </c>
    </row>
    <row r="116" spans="8:12">
      <c r="H116" s="540" t="s">
        <v>1277</v>
      </c>
      <c r="I116" s="471" t="e">
        <f ca="1">R106</f>
        <v>#DIV/0!</v>
      </c>
      <c r="J116" s="547" t="e">
        <f ca="1">J106*(1+$I$116)^$D$82/$D$101</f>
        <v>#DIV/0!</v>
      </c>
      <c r="K116" s="547" t="e">
        <f ca="1">K106*(1+$I$116)^$D$82/$D$101</f>
        <v>#DIV/0!</v>
      </c>
      <c r="L116" s="547" t="e">
        <f ca="1">L106*(1+$I$116)^$D$82/$D$101</f>
        <v>#DIV/0!</v>
      </c>
    </row>
    <row r="146" spans="3:17">
      <c r="C146" s="535" t="s">
        <v>1281</v>
      </c>
    </row>
    <row r="147" spans="3:17">
      <c r="C147" s="535"/>
    </row>
    <row r="148" spans="3:17" ht="24" customHeight="1">
      <c r="G148" s="535" t="s">
        <v>1282</v>
      </c>
      <c r="H148" s="535"/>
      <c r="I148" s="548">
        <f>C40-C41</f>
        <v>2.7500000000000004E-2</v>
      </c>
      <c r="J148" s="535"/>
      <c r="K148" s="535" t="s">
        <v>1282</v>
      </c>
      <c r="L148" s="535"/>
      <c r="M148" s="548">
        <f>C40</f>
        <v>3.5000000000000003E-2</v>
      </c>
      <c r="N148" s="535"/>
      <c r="O148" s="535" t="s">
        <v>1282</v>
      </c>
      <c r="P148" s="535"/>
      <c r="Q148" s="548">
        <f>C40+C41</f>
        <v>4.2500000000000003E-2</v>
      </c>
    </row>
    <row r="149" spans="3:17" ht="22.2" customHeight="1">
      <c r="C149" s="535" t="s">
        <v>99</v>
      </c>
      <c r="G149" s="549" t="e">
        <f ca="1">C38-C39</f>
        <v>#DIV/0!</v>
      </c>
      <c r="H149" s="549" t="e">
        <f ca="1">C38</f>
        <v>#DIV/0!</v>
      </c>
      <c r="I149" s="549" t="e">
        <f ca="1">C38+C39</f>
        <v>#DIV/0!</v>
      </c>
      <c r="J149" s="540"/>
      <c r="K149" s="549" t="e">
        <f ca="1">C38-C39</f>
        <v>#DIV/0!</v>
      </c>
      <c r="L149" s="549" t="e">
        <f ca="1">C38</f>
        <v>#DIV/0!</v>
      </c>
      <c r="M149" s="549" t="e">
        <f ca="1">C38+C39</f>
        <v>#DIV/0!</v>
      </c>
      <c r="N149" s="540"/>
      <c r="O149" s="549" t="e">
        <f ca="1">C38-C39</f>
        <v>#DIV/0!</v>
      </c>
      <c r="P149" s="549" t="e">
        <f ca="1">C38</f>
        <v>#DIV/0!</v>
      </c>
      <c r="Q149" s="549" t="e">
        <f ca="1">C38+C39</f>
        <v>#DIV/0!</v>
      </c>
    </row>
    <row r="150" spans="3:17">
      <c r="C150" s="535" t="s">
        <v>1283</v>
      </c>
      <c r="G150" s="542" t="e">
        <f ca="1">F94</f>
        <v>#DIV/0!</v>
      </c>
      <c r="H150" s="542" t="e">
        <f ca="1">F95</f>
        <v>#DIV/0!</v>
      </c>
      <c r="I150" s="542" t="e">
        <f ca="1">F96</f>
        <v>#DIV/0!</v>
      </c>
      <c r="K150" s="542" t="e">
        <f ca="1">F94</f>
        <v>#DIV/0!</v>
      </c>
      <c r="L150" s="542" t="e">
        <f ca="1">F95</f>
        <v>#DIV/0!</v>
      </c>
      <c r="M150" s="542" t="e">
        <f ca="1">F96</f>
        <v>#DIV/0!</v>
      </c>
      <c r="O150" s="542" t="e">
        <f ca="1">F94</f>
        <v>#DIV/0!</v>
      </c>
      <c r="P150" s="542" t="e">
        <f ca="1">F95</f>
        <v>#DIV/0!</v>
      </c>
      <c r="Q150" s="542" t="e">
        <f ca="1">F96</f>
        <v>#DIV/0!</v>
      </c>
    </row>
    <row r="151" spans="3:17">
      <c r="C151" s="535" t="s">
        <v>1290</v>
      </c>
      <c r="G151" s="542" t="e">
        <f ca="1">S104</f>
        <v>#DIV/0!</v>
      </c>
      <c r="H151" s="542" t="e">
        <f ca="1">S105</f>
        <v>#DIV/0!</v>
      </c>
      <c r="I151" s="542" t="e">
        <f ca="1">S106</f>
        <v>#DIV/0!</v>
      </c>
      <c r="K151" s="542" t="e">
        <f ca="1">T104</f>
        <v>#DIV/0!</v>
      </c>
      <c r="L151" s="542" t="e">
        <f ca="1">T105</f>
        <v>#DIV/0!</v>
      </c>
      <c r="M151" s="542" t="e">
        <f ca="1">T106</f>
        <v>#DIV/0!</v>
      </c>
      <c r="O151" s="542" t="e">
        <f ca="1">U104</f>
        <v>#DIV/0!</v>
      </c>
      <c r="P151" s="542" t="e">
        <f ca="1">U105</f>
        <v>#DIV/0!</v>
      </c>
      <c r="Q151" s="542" t="e">
        <f ca="1">U106</f>
        <v>#DIV/0!</v>
      </c>
    </row>
    <row r="152" spans="3:17">
      <c r="C152" s="535" t="s">
        <v>1284</v>
      </c>
      <c r="G152" s="542" t="e">
        <f ca="1">SUM(G150:G151)</f>
        <v>#DIV/0!</v>
      </c>
      <c r="H152" s="542" t="e">
        <f ca="1">SUM(H150:H151)</f>
        <v>#DIV/0!</v>
      </c>
      <c r="I152" s="542" t="e">
        <f ca="1">SUM(I150:I151)</f>
        <v>#DIV/0!</v>
      </c>
      <c r="K152" s="542" t="e">
        <f ca="1">SUM(K150:K151)</f>
        <v>#DIV/0!</v>
      </c>
      <c r="L152" s="542" t="e">
        <f ca="1">SUM(L150:L151)</f>
        <v>#DIV/0!</v>
      </c>
      <c r="M152" s="542" t="e">
        <f ca="1">SUM(M150:M151)</f>
        <v>#DIV/0!</v>
      </c>
      <c r="O152" s="542" t="e">
        <f ca="1">SUM(O150:O151)</f>
        <v>#DIV/0!</v>
      </c>
      <c r="P152" s="542" t="e">
        <f ca="1">SUM(P150:P151)</f>
        <v>#DIV/0!</v>
      </c>
      <c r="Q152" s="542" t="e">
        <f ca="1">SUM(Q150:Q151)</f>
        <v>#DIV/0!</v>
      </c>
    </row>
    <row r="153" spans="3:17">
      <c r="C153" s="535" t="s">
        <v>1285</v>
      </c>
    </row>
    <row r="154" spans="3:17">
      <c r="C154" s="550" t="s">
        <v>1286</v>
      </c>
      <c r="G154" s="77" t="e">
        <f ca="1">G150/G152</f>
        <v>#DIV/0!</v>
      </c>
      <c r="H154" s="77" t="e">
        <f ca="1">H150/H152</f>
        <v>#DIV/0!</v>
      </c>
      <c r="I154" s="77" t="e">
        <f ca="1">I150/I152</f>
        <v>#DIV/0!</v>
      </c>
      <c r="K154" s="77" t="e">
        <f ca="1">K150/K152</f>
        <v>#DIV/0!</v>
      </c>
      <c r="L154" s="77" t="e">
        <f ca="1">L150/L152</f>
        <v>#DIV/0!</v>
      </c>
      <c r="M154" s="77" t="e">
        <f ca="1">M150/M152</f>
        <v>#DIV/0!</v>
      </c>
      <c r="O154" s="77" t="e">
        <f ca="1">O150/O152</f>
        <v>#DIV/0!</v>
      </c>
      <c r="P154" s="77" t="e">
        <f ca="1">P150/P152</f>
        <v>#DIV/0!</v>
      </c>
      <c r="Q154" s="77" t="e">
        <f ca="1">Q150/Q152</f>
        <v>#DIV/0!</v>
      </c>
    </row>
    <row r="155" spans="3:17">
      <c r="C155" s="550" t="s">
        <v>1287</v>
      </c>
      <c r="G155" s="77" t="e">
        <f ca="1">G151/G152</f>
        <v>#DIV/0!</v>
      </c>
      <c r="H155" s="77" t="e">
        <f ca="1">H151/H152</f>
        <v>#DIV/0!</v>
      </c>
      <c r="I155" s="77" t="e">
        <f ca="1">I151/I152</f>
        <v>#DIV/0!</v>
      </c>
      <c r="K155" s="77" t="e">
        <f ca="1">K151/K152</f>
        <v>#DIV/0!</v>
      </c>
      <c r="L155" s="77" t="e">
        <f ca="1">L151/L152</f>
        <v>#DIV/0!</v>
      </c>
      <c r="M155" s="77" t="e">
        <f ca="1">M151/M152</f>
        <v>#DIV/0!</v>
      </c>
      <c r="O155" s="77" t="e">
        <f ca="1">O151/O152</f>
        <v>#DIV/0!</v>
      </c>
      <c r="P155" s="77" t="e">
        <f ca="1">P151/P152</f>
        <v>#DIV/0!</v>
      </c>
      <c r="Q155" s="77" t="e">
        <f ca="1">Q151/Q152</f>
        <v>#DIV/0!</v>
      </c>
    </row>
    <row r="156" spans="3:17">
      <c r="C156" s="535" t="s">
        <v>1288</v>
      </c>
    </row>
    <row r="157" spans="3:17">
      <c r="C157" s="540" t="s">
        <v>1291</v>
      </c>
      <c r="G157" s="547" t="e">
        <f ca="1">G152/$C7</f>
        <v>#DIV/0!</v>
      </c>
      <c r="H157" s="547" t="e">
        <f ca="1">H152/$C7</f>
        <v>#DIV/0!</v>
      </c>
      <c r="I157" s="547" t="e">
        <f ca="1">I152/$C7</f>
        <v>#DIV/0!</v>
      </c>
      <c r="J157" s="547"/>
      <c r="K157" s="547" t="e">
        <f ca="1">K152/$C7</f>
        <v>#DIV/0!</v>
      </c>
      <c r="L157" s="547" t="e">
        <f ca="1">L152/$C7</f>
        <v>#DIV/0!</v>
      </c>
      <c r="M157" s="547" t="e">
        <f ca="1">M152/$C7</f>
        <v>#DIV/0!</v>
      </c>
      <c r="N157" s="547"/>
      <c r="O157" s="547" t="e">
        <f ca="1">O152/$C7</f>
        <v>#DIV/0!</v>
      </c>
      <c r="P157" s="547" t="e">
        <f ca="1">P152/$C7</f>
        <v>#DIV/0!</v>
      </c>
      <c r="Q157" s="547" t="e">
        <f ca="1">Q152/$C7</f>
        <v>#DIV/0!</v>
      </c>
    </row>
    <row r="158" spans="3:17">
      <c r="C158" s="540" t="s">
        <v>1292</v>
      </c>
      <c r="G158" s="547" t="e">
        <f ca="1">G152/$D7</f>
        <v>#DIV/0!</v>
      </c>
      <c r="H158" s="547" t="e">
        <f ca="1">H152/$D7</f>
        <v>#DIV/0!</v>
      </c>
      <c r="I158" s="547" t="e">
        <f ca="1">I152/$D7</f>
        <v>#DIV/0!</v>
      </c>
      <c r="J158" s="547"/>
      <c r="K158" s="547" t="e">
        <f ca="1">K152/$D7</f>
        <v>#DIV/0!</v>
      </c>
      <c r="L158" s="547" t="e">
        <f ca="1">L152/$D7</f>
        <v>#DIV/0!</v>
      </c>
      <c r="M158" s="547" t="e">
        <f ca="1">M152/$D7</f>
        <v>#DIV/0!</v>
      </c>
      <c r="N158" s="547"/>
      <c r="O158" s="547" t="e">
        <f ca="1">O152/$D7</f>
        <v>#DIV/0!</v>
      </c>
      <c r="P158" s="547" t="e">
        <f ca="1">P152/$D7</f>
        <v>#DIV/0!</v>
      </c>
      <c r="Q158" s="547" t="e">
        <f ca="1">Q152/$D7</f>
        <v>#DIV/0!</v>
      </c>
    </row>
    <row r="159" spans="3:17">
      <c r="C159" s="540" t="s">
        <v>1293</v>
      </c>
      <c r="G159" s="547" t="e">
        <f ca="1">G152/$C10</f>
        <v>#DIV/0!</v>
      </c>
      <c r="H159" s="547" t="e">
        <f ca="1">H152/$C10</f>
        <v>#DIV/0!</v>
      </c>
      <c r="I159" s="547" t="e">
        <f ca="1">I152/$C10</f>
        <v>#DIV/0!</v>
      </c>
      <c r="J159" s="547"/>
      <c r="K159" s="547" t="e">
        <f ca="1">K152/$C10</f>
        <v>#DIV/0!</v>
      </c>
      <c r="L159" s="547" t="e">
        <f ca="1">L152/$C10</f>
        <v>#DIV/0!</v>
      </c>
      <c r="M159" s="547" t="e">
        <f ca="1">M152/$C10</f>
        <v>#DIV/0!</v>
      </c>
      <c r="N159" s="547"/>
      <c r="O159" s="547" t="e">
        <f ca="1">O152/$C10</f>
        <v>#DIV/0!</v>
      </c>
      <c r="P159" s="547" t="e">
        <f ca="1">P152/$C10</f>
        <v>#DIV/0!</v>
      </c>
      <c r="Q159" s="547" t="e">
        <f ca="1">Q152/$C10</f>
        <v>#DIV/0!</v>
      </c>
    </row>
    <row r="160" spans="3:17">
      <c r="C160" s="540" t="s">
        <v>1294</v>
      </c>
      <c r="G160" s="547" t="e">
        <f ca="1">G152/$D10</f>
        <v>#DIV/0!</v>
      </c>
      <c r="H160" s="547" t="e">
        <f ca="1">H152/$D10</f>
        <v>#DIV/0!</v>
      </c>
      <c r="I160" s="547" t="e">
        <f ca="1">I152/$D10</f>
        <v>#DIV/0!</v>
      </c>
      <c r="J160" s="547"/>
      <c r="K160" s="547" t="e">
        <f ca="1">K152/$D10</f>
        <v>#DIV/0!</v>
      </c>
      <c r="L160" s="547" t="e">
        <f ca="1">L152/$D10</f>
        <v>#DIV/0!</v>
      </c>
      <c r="M160" s="547" t="e">
        <f ca="1">M152/$D10</f>
        <v>#DIV/0!</v>
      </c>
      <c r="N160" s="547"/>
      <c r="O160" s="547" t="e">
        <f ca="1">O152/$D10</f>
        <v>#DIV/0!</v>
      </c>
      <c r="P160" s="547" t="e">
        <f ca="1">P152/$D10</f>
        <v>#DIV/0!</v>
      </c>
      <c r="Q160" s="547" t="e">
        <f ca="1">Q152/$D10</f>
        <v>#DIV/0!</v>
      </c>
    </row>
    <row r="161" spans="3:17">
      <c r="C161" s="540" t="s">
        <v>1289</v>
      </c>
      <c r="G161" s="547" t="e">
        <f ca="1">J114</f>
        <v>#DIV/0!</v>
      </c>
      <c r="H161" s="547" t="e">
        <f ca="1">J115</f>
        <v>#DIV/0!</v>
      </c>
      <c r="I161" s="547" t="e">
        <f ca="1">J116</f>
        <v>#DIV/0!</v>
      </c>
      <c r="K161" s="547" t="e">
        <f ca="1">K114</f>
        <v>#DIV/0!</v>
      </c>
      <c r="L161" s="547" t="e">
        <f ca="1">K115</f>
        <v>#DIV/0!</v>
      </c>
      <c r="M161" s="547" t="e">
        <f ca="1">K116</f>
        <v>#DIV/0!</v>
      </c>
      <c r="O161" s="547" t="e">
        <f ca="1">L114</f>
        <v>#DIV/0!</v>
      </c>
      <c r="P161" s="547" t="e">
        <f ca="1">L115</f>
        <v>#DIV/0!</v>
      </c>
      <c r="Q161" s="547" t="e">
        <f ca="1">L116</f>
        <v>#DIV/0!</v>
      </c>
    </row>
  </sheetData>
  <mergeCells count="21">
    <mergeCell ref="J111:N111"/>
    <mergeCell ref="P104:Q104"/>
    <mergeCell ref="P105:Q105"/>
    <mergeCell ref="P106:Q106"/>
    <mergeCell ref="R101:V101"/>
    <mergeCell ref="P102:Q102"/>
    <mergeCell ref="C92:G92"/>
    <mergeCell ref="C84:F84"/>
    <mergeCell ref="J101:N101"/>
    <mergeCell ref="F94:G94"/>
    <mergeCell ref="F95:G95"/>
    <mergeCell ref="F96:G96"/>
    <mergeCell ref="D94:E94"/>
    <mergeCell ref="D95:E95"/>
    <mergeCell ref="D96:E96"/>
    <mergeCell ref="B35:C35"/>
    <mergeCell ref="E38:G38"/>
    <mergeCell ref="E39:G39"/>
    <mergeCell ref="E40:G40"/>
    <mergeCell ref="E41:G41"/>
    <mergeCell ref="E36:H36"/>
  </mergeCells>
  <pageMargins left="0.75" right="0.75" top="1" bottom="1" header="0.51180555555555596" footer="0.51180555555555596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201"/>
  <sheetViews>
    <sheetView zoomScaleNormal="100" workbookViewId="0">
      <selection activeCell="I11" sqref="I11"/>
    </sheetView>
  </sheetViews>
  <sheetFormatPr defaultColWidth="9.109375" defaultRowHeight="14.4"/>
  <cols>
    <col min="1" max="1" width="42.33203125" customWidth="1"/>
    <col min="2" max="5" width="15.6640625" customWidth="1"/>
    <col min="6" max="6" width="10.6640625" customWidth="1"/>
    <col min="7" max="7" width="11.33203125" customWidth="1"/>
    <col min="8" max="8" width="12" customWidth="1"/>
    <col min="9" max="9" width="10.109375" customWidth="1"/>
    <col min="10" max="10" width="11.6640625" customWidth="1"/>
    <col min="11" max="11" width="10.5546875" customWidth="1"/>
    <col min="12" max="26" width="9.6640625" bestFit="1" customWidth="1"/>
  </cols>
  <sheetData>
    <row r="1" spans="1:26">
      <c r="A1" t="s">
        <v>22</v>
      </c>
      <c r="C1" s="764" t="s">
        <v>1497</v>
      </c>
      <c r="D1" t="s">
        <v>1498</v>
      </c>
    </row>
    <row r="2" spans="1:26">
      <c r="A2" s="8" t="s">
        <v>23</v>
      </c>
      <c r="B2" s="788" t="s">
        <v>1502</v>
      </c>
      <c r="C2" t="s">
        <v>24</v>
      </c>
    </row>
    <row r="3" spans="1:26">
      <c r="A3" s="453" t="s">
        <v>25</v>
      </c>
      <c r="B3" s="454">
        <v>41996</v>
      </c>
      <c r="C3" s="455">
        <v>25</v>
      </c>
      <c r="D3" s="456">
        <f>EDATE(B3,$B$150*C3)-1</f>
        <v>51126</v>
      </c>
      <c r="E3" s="66"/>
      <c r="G3" s="456">
        <v>51226</v>
      </c>
      <c r="H3">
        <f>G3-D3</f>
        <v>100</v>
      </c>
    </row>
    <row r="4" spans="1:26">
      <c r="A4" s="453" t="s">
        <v>26</v>
      </c>
      <c r="B4" s="454">
        <v>42382</v>
      </c>
      <c r="C4" s="455">
        <v>25</v>
      </c>
      <c r="D4" s="456">
        <f>EDATE(B4,$B$150*C4)-1</f>
        <v>51513</v>
      </c>
      <c r="E4" s="66">
        <v>21.25</v>
      </c>
      <c r="F4" s="456">
        <f>EDATE(B4,$B$150*E4)-1</f>
        <v>50142</v>
      </c>
      <c r="G4" s="456">
        <v>51591</v>
      </c>
      <c r="H4">
        <f>G4-D4</f>
        <v>78</v>
      </c>
    </row>
    <row r="5" spans="1:26">
      <c r="A5" s="46"/>
      <c r="B5" s="457" t="s">
        <v>27</v>
      </c>
      <c r="C5" s="457" t="s">
        <v>28</v>
      </c>
      <c r="D5" s="457" t="s">
        <v>29</v>
      </c>
      <c r="E5" s="457" t="s">
        <v>30</v>
      </c>
    </row>
    <row r="6" spans="1:26">
      <c r="A6" t="s">
        <v>31</v>
      </c>
      <c r="B6" s="11">
        <v>600</v>
      </c>
      <c r="C6" s="454">
        <f>DATE(2013,10,1)</f>
        <v>41548</v>
      </c>
      <c r="D6" s="11">
        <v>15</v>
      </c>
      <c r="E6" s="456">
        <f>EOMONTH(C6,$B$150*D6-1)</f>
        <v>47026</v>
      </c>
    </row>
    <row r="7" spans="1:26">
      <c r="A7" t="s">
        <v>32</v>
      </c>
      <c r="B7" s="11">
        <f>600</f>
        <v>600</v>
      </c>
      <c r="C7" s="458"/>
      <c r="D7" s="13"/>
      <c r="E7" s="456"/>
    </row>
    <row r="8" spans="1:26">
      <c r="A8" t="s">
        <v>33</v>
      </c>
      <c r="B8" s="13">
        <f>SUM(B6:B7)</f>
        <v>1200</v>
      </c>
      <c r="K8" s="471">
        <v>0.03</v>
      </c>
    </row>
    <row r="9" spans="1:26">
      <c r="K9" s="471">
        <v>0.02</v>
      </c>
    </row>
    <row r="10" spans="1:26">
      <c r="A10" s="46"/>
      <c r="B10" s="456">
        <f>DATE(2017,9,30)</f>
        <v>43008</v>
      </c>
      <c r="C10" s="456">
        <f>EOMONTH(B10,6)</f>
        <v>43190</v>
      </c>
      <c r="D10" s="456">
        <f>EOMONTH(C10,12)</f>
        <v>43555</v>
      </c>
      <c r="E10" s="456">
        <f>EOMONTH(D10,12)</f>
        <v>43921</v>
      </c>
      <c r="F10" s="456">
        <f>EOMONTH(E10,12)</f>
        <v>44286</v>
      </c>
      <c r="G10" s="456">
        <f>EOMONTH(F10,12)</f>
        <v>44651</v>
      </c>
      <c r="H10" s="456">
        <f>EOMONTH(G10,12)</f>
        <v>45016</v>
      </c>
      <c r="I10" s="456">
        <f t="shared" ref="I10:L10" si="0">EOMONTH(H10,12)</f>
        <v>45382</v>
      </c>
      <c r="J10" s="456">
        <f t="shared" si="0"/>
        <v>45747</v>
      </c>
      <c r="K10" s="456">
        <f t="shared" si="0"/>
        <v>46112</v>
      </c>
      <c r="L10" s="456">
        <f t="shared" si="0"/>
        <v>46477</v>
      </c>
      <c r="M10" s="456">
        <f t="shared" ref="M10" si="1">EOMONTH(L10,12)</f>
        <v>46843</v>
      </c>
      <c r="N10" s="456">
        <f t="shared" ref="N10" si="2">EOMONTH(M10,12)</f>
        <v>47208</v>
      </c>
      <c r="O10" s="456">
        <f t="shared" ref="O10" si="3">EOMONTH(N10,12)</f>
        <v>47573</v>
      </c>
      <c r="P10" s="456">
        <f t="shared" ref="P10" si="4">EOMONTH(O10,12)</f>
        <v>47938</v>
      </c>
      <c r="Q10" s="456">
        <f t="shared" ref="Q10" si="5">EOMONTH(P10,12)</f>
        <v>48304</v>
      </c>
      <c r="R10" s="456">
        <f t="shared" ref="R10" si="6">EOMONTH(Q10,12)</f>
        <v>48669</v>
      </c>
      <c r="S10" s="456">
        <f t="shared" ref="S10" si="7">EOMONTH(R10,12)</f>
        <v>49034</v>
      </c>
      <c r="T10" s="456">
        <f t="shared" ref="T10" si="8">EOMONTH(S10,12)</f>
        <v>49399</v>
      </c>
      <c r="U10" s="456">
        <f t="shared" ref="U10" si="9">EOMONTH(T10,12)</f>
        <v>49765</v>
      </c>
      <c r="V10" s="456">
        <f t="shared" ref="V10" si="10">EOMONTH(U10,12)</f>
        <v>50130</v>
      </c>
      <c r="W10" s="456">
        <f t="shared" ref="W10" si="11">EOMONTH(V10,12)</f>
        <v>50495</v>
      </c>
      <c r="X10" s="456">
        <f t="shared" ref="X10" si="12">EOMONTH(W10,12)</f>
        <v>50860</v>
      </c>
      <c r="Y10" s="456">
        <f t="shared" ref="Y10" si="13">EOMONTH(X10,12)</f>
        <v>51226</v>
      </c>
      <c r="Z10" s="456">
        <f t="shared" ref="Z10" si="14">EOMONTH(Y10,12)</f>
        <v>51591</v>
      </c>
    </row>
    <row r="11" spans="1:26">
      <c r="A11" t="s">
        <v>34</v>
      </c>
      <c r="B11" s="367">
        <v>0.6</v>
      </c>
      <c r="C11" s="459">
        <v>0.65</v>
      </c>
      <c r="D11" s="459">
        <v>0.65</v>
      </c>
      <c r="E11" s="459">
        <v>0.85</v>
      </c>
      <c r="F11" s="79">
        <v>0.20599999999999999</v>
      </c>
      <c r="G11" s="79">
        <v>0.183</v>
      </c>
      <c r="H11" s="79">
        <v>2.9000000000000001E-2</v>
      </c>
      <c r="I11" s="459">
        <v>0.5</v>
      </c>
      <c r="J11" s="459">
        <v>0.5</v>
      </c>
      <c r="K11" s="459">
        <f>J11</f>
        <v>0.5</v>
      </c>
      <c r="L11" s="459">
        <f>K11+K8</f>
        <v>0.53</v>
      </c>
      <c r="M11" s="459">
        <f>L11</f>
        <v>0.53</v>
      </c>
      <c r="N11" s="459">
        <f>M11+K8</f>
        <v>0.56000000000000005</v>
      </c>
      <c r="O11" s="459">
        <f t="shared" ref="O11:Z12" si="15">N11</f>
        <v>0.56000000000000005</v>
      </c>
      <c r="P11" s="459">
        <f>O11+K8</f>
        <v>0.59000000000000008</v>
      </c>
      <c r="Q11" s="459">
        <f t="shared" si="15"/>
        <v>0.59000000000000008</v>
      </c>
      <c r="R11" s="459">
        <f>Q11+K8</f>
        <v>0.62000000000000011</v>
      </c>
      <c r="S11" s="459">
        <f t="shared" si="15"/>
        <v>0.62000000000000011</v>
      </c>
      <c r="T11" s="459">
        <f>S11+K8</f>
        <v>0.65000000000000013</v>
      </c>
      <c r="U11" s="459">
        <f t="shared" si="15"/>
        <v>0.65000000000000013</v>
      </c>
      <c r="V11" s="459">
        <f>U11+K8</f>
        <v>0.68000000000000016</v>
      </c>
      <c r="W11" s="459">
        <v>0.7</v>
      </c>
      <c r="X11" s="459">
        <f>W11</f>
        <v>0.7</v>
      </c>
      <c r="Y11" s="459">
        <f t="shared" si="15"/>
        <v>0.7</v>
      </c>
      <c r="Z11" s="459">
        <f t="shared" si="15"/>
        <v>0.7</v>
      </c>
    </row>
    <row r="12" spans="1:26">
      <c r="A12" t="s">
        <v>35</v>
      </c>
      <c r="B12" s="367"/>
      <c r="C12" s="459">
        <v>0</v>
      </c>
      <c r="D12" s="459">
        <v>0.3</v>
      </c>
      <c r="E12" s="459">
        <v>0.85</v>
      </c>
      <c r="F12" s="79">
        <v>0.23100000000000001</v>
      </c>
      <c r="G12" s="79">
        <v>7.3999999999999996E-2</v>
      </c>
      <c r="H12" s="79">
        <v>0.41899999999999998</v>
      </c>
      <c r="I12" s="459">
        <v>0.6</v>
      </c>
      <c r="J12" s="459">
        <v>0.6</v>
      </c>
      <c r="K12" s="459">
        <f>J12</f>
        <v>0.6</v>
      </c>
      <c r="L12" s="459">
        <f>K12+K9</f>
        <v>0.62</v>
      </c>
      <c r="M12" s="459">
        <f>L12</f>
        <v>0.62</v>
      </c>
      <c r="N12" s="459">
        <f>M12+K9</f>
        <v>0.64</v>
      </c>
      <c r="O12" s="459">
        <f>N12</f>
        <v>0.64</v>
      </c>
      <c r="P12" s="459">
        <f>O12+K9</f>
        <v>0.66</v>
      </c>
      <c r="Q12" s="459">
        <f>P12</f>
        <v>0.66</v>
      </c>
      <c r="R12" s="459">
        <f>Q12+K9</f>
        <v>0.68</v>
      </c>
      <c r="S12" s="459">
        <f>R12</f>
        <v>0.68</v>
      </c>
      <c r="T12" s="459">
        <f>S12+K9</f>
        <v>0.70000000000000007</v>
      </c>
      <c r="U12" s="459">
        <f>T12</f>
        <v>0.70000000000000007</v>
      </c>
      <c r="V12" s="459">
        <f t="shared" ref="V12" si="16">U12</f>
        <v>0.70000000000000007</v>
      </c>
      <c r="W12" s="459">
        <f t="shared" si="15"/>
        <v>0.70000000000000007</v>
      </c>
      <c r="X12" s="459">
        <f t="shared" ref="X12" si="17">W12</f>
        <v>0.70000000000000007</v>
      </c>
      <c r="Y12" s="459">
        <f t="shared" si="15"/>
        <v>0.70000000000000007</v>
      </c>
      <c r="Z12" s="459">
        <f t="shared" si="15"/>
        <v>0.70000000000000007</v>
      </c>
    </row>
    <row r="13" spans="1:26" hidden="1">
      <c r="A13" t="s">
        <v>36</v>
      </c>
      <c r="B13" s="39">
        <f>Tariff!D24</f>
        <v>5.4441784056612654</v>
      </c>
      <c r="C13" s="39">
        <f>B13</f>
        <v>5.4441784056612654</v>
      </c>
      <c r="D13" s="39">
        <f>Tariff!E24</f>
        <v>5.4691007792056352</v>
      </c>
      <c r="E13" s="39">
        <f>Tariff!F24</f>
        <v>5.4735485759769631</v>
      </c>
      <c r="G13" s="13"/>
      <c r="H13" s="418"/>
      <c r="I13" s="456"/>
      <c r="J13" s="31"/>
      <c r="K13" s="79"/>
      <c r="L13" s="79"/>
    </row>
    <row r="14" spans="1:26" hidden="1">
      <c r="A14" t="s">
        <v>37</v>
      </c>
      <c r="B14" s="11"/>
      <c r="C14" s="11">
        <v>3.22</v>
      </c>
      <c r="D14" s="11">
        <v>4</v>
      </c>
      <c r="E14" s="11">
        <v>4.45</v>
      </c>
      <c r="G14" s="27"/>
    </row>
    <row r="15" spans="1:26">
      <c r="A15" t="s">
        <v>38</v>
      </c>
      <c r="B15" s="367">
        <v>6.25E-2</v>
      </c>
      <c r="D15" s="460">
        <f>1-C14/D14</f>
        <v>0.19499999999999995</v>
      </c>
      <c r="E15" s="460">
        <f>1-D14/E14</f>
        <v>0.101123595505618</v>
      </c>
      <c r="G15" s="79"/>
      <c r="I15" s="459"/>
      <c r="J15" s="459"/>
      <c r="K15" s="459"/>
      <c r="L15" s="459"/>
    </row>
    <row r="16" spans="1:26">
      <c r="A16" s="553" t="s">
        <v>39</v>
      </c>
      <c r="B16" s="367">
        <v>5.0000000000000001E-3</v>
      </c>
      <c r="D16" s="460"/>
      <c r="G16" s="27"/>
    </row>
    <row r="17" spans="1:12">
      <c r="A17" t="s">
        <v>1314</v>
      </c>
      <c r="B17" s="367">
        <v>0.95</v>
      </c>
      <c r="C17" s="367"/>
      <c r="D17" s="367"/>
      <c r="E17" s="367"/>
      <c r="F17" s="367">
        <v>0.85199999999999998</v>
      </c>
      <c r="G17" s="367">
        <v>0.71899999999999997</v>
      </c>
      <c r="H17" s="367">
        <v>0.48399999999999999</v>
      </c>
    </row>
    <row r="18" spans="1:12" hidden="1">
      <c r="A18" s="461" t="s">
        <v>40</v>
      </c>
      <c r="B18" s="11">
        <v>2425</v>
      </c>
      <c r="C18">
        <v>2425</v>
      </c>
      <c r="D18" s="11"/>
      <c r="E18" s="11"/>
      <c r="G18" s="9"/>
      <c r="I18" s="9"/>
      <c r="L18" s="9"/>
    </row>
    <row r="19" spans="1:12" hidden="1">
      <c r="A19" s="461" t="s">
        <v>41</v>
      </c>
      <c r="B19" s="11">
        <f>(2347+2288)/2</f>
        <v>2317.5</v>
      </c>
      <c r="C19">
        <f>(2347+2288)/2</f>
        <v>2317.5</v>
      </c>
      <c r="D19" s="11"/>
      <c r="G19" s="9"/>
      <c r="I19" s="9"/>
      <c r="L19" s="9"/>
    </row>
    <row r="20" spans="1:12" hidden="1">
      <c r="A20" s="462" t="s">
        <v>42</v>
      </c>
      <c r="B20" s="11">
        <v>5400</v>
      </c>
      <c r="G20" s="13"/>
      <c r="L20" s="9"/>
    </row>
    <row r="21" spans="1:12" hidden="1">
      <c r="A21" s="462" t="s">
        <v>43</v>
      </c>
      <c r="B21" s="454">
        <f>DATE(2018,6,30)</f>
        <v>43281</v>
      </c>
      <c r="C21" s="13"/>
      <c r="G21" s="9"/>
    </row>
    <row r="22" spans="1:12">
      <c r="A22" s="8" t="s">
        <v>44</v>
      </c>
      <c r="G22" s="9"/>
    </row>
    <row r="23" spans="1:12" hidden="1">
      <c r="A23" s="46" t="s">
        <v>45</v>
      </c>
      <c r="G23" s="9"/>
    </row>
    <row r="24" spans="1:12" hidden="1">
      <c r="A24" t="s">
        <v>46</v>
      </c>
      <c r="C24" t="s">
        <v>47</v>
      </c>
      <c r="G24" s="9"/>
    </row>
    <row r="25" spans="1:12" hidden="1">
      <c r="A25" s="463" t="s">
        <v>48</v>
      </c>
      <c r="B25" s="12">
        <v>136.5</v>
      </c>
      <c r="C25" s="367">
        <v>0.02</v>
      </c>
      <c r="D25" s="472">
        <v>45224</v>
      </c>
      <c r="G25" s="9"/>
    </row>
    <row r="26" spans="1:12" hidden="1">
      <c r="A26" s="463" t="s">
        <v>49</v>
      </c>
      <c r="B26" s="12">
        <v>400</v>
      </c>
      <c r="C26" s="366"/>
    </row>
    <row r="27" spans="1:12" hidden="1">
      <c r="A27" s="463" t="s">
        <v>50</v>
      </c>
      <c r="B27" s="12">
        <v>520</v>
      </c>
      <c r="C27" s="367">
        <v>0.04</v>
      </c>
      <c r="D27" s="468" t="s">
        <v>56</v>
      </c>
    </row>
    <row r="28" spans="1:12" hidden="1">
      <c r="A28" s="463" t="s">
        <v>51</v>
      </c>
      <c r="B28" s="464">
        <v>1.4999999999999999E-2</v>
      </c>
      <c r="C28" s="367"/>
      <c r="F28" s="556" t="s">
        <v>1318</v>
      </c>
      <c r="G28" s="13"/>
      <c r="H28" s="13"/>
    </row>
    <row r="29" spans="1:12" hidden="1">
      <c r="A29" s="463" t="s">
        <v>52</v>
      </c>
      <c r="B29" s="439">
        <v>0.06</v>
      </c>
      <c r="C29" s="472">
        <v>45224</v>
      </c>
      <c r="G29" s="13"/>
      <c r="H29" s="13"/>
    </row>
    <row r="30" spans="1:12" hidden="1">
      <c r="A30" s="463" t="s">
        <v>53</v>
      </c>
      <c r="B30" s="439">
        <v>0.01</v>
      </c>
      <c r="H30" s="13"/>
    </row>
    <row r="31" spans="1:12" hidden="1">
      <c r="A31" s="463"/>
      <c r="B31" s="439"/>
      <c r="E31" t="s">
        <v>54</v>
      </c>
      <c r="H31" s="13"/>
    </row>
    <row r="32" spans="1:12" hidden="1">
      <c r="A32" s="465" t="s">
        <v>55</v>
      </c>
      <c r="B32" s="466">
        <f>B25*B53*(1+(B28+B29))+(B27+B26)</f>
        <v>13118.288374999998</v>
      </c>
    </row>
    <row r="33" spans="1:17">
      <c r="A33" s="46"/>
    </row>
    <row r="34" spans="1:17" hidden="1">
      <c r="A34" s="467" t="s">
        <v>1319</v>
      </c>
      <c r="B34" s="11">
        <f>1827*83.13</f>
        <v>151878.50999999998</v>
      </c>
      <c r="C34" s="367">
        <v>0.02</v>
      </c>
    </row>
    <row r="35" spans="1:17" hidden="1">
      <c r="A35" s="467" t="s">
        <v>57</v>
      </c>
      <c r="B35" s="11">
        <v>1</v>
      </c>
    </row>
    <row r="36" spans="1:17" hidden="1">
      <c r="A36" s="557" t="s">
        <v>58</v>
      </c>
      <c r="B36" s="11">
        <f>10.3215406*1</f>
        <v>10.321540600000001</v>
      </c>
      <c r="C36" s="11"/>
      <c r="E36" s="13"/>
    </row>
    <row r="37" spans="1:17" hidden="1">
      <c r="A37" t="s">
        <v>59</v>
      </c>
      <c r="B37" s="11">
        <f>0.1731*0</f>
        <v>0</v>
      </c>
      <c r="C37" s="31" t="s">
        <v>60</v>
      </c>
    </row>
    <row r="38" spans="1:17">
      <c r="A38" t="s">
        <v>1420</v>
      </c>
      <c r="B38" s="11">
        <f>Financials!M8/1200*100*(1+C38)</f>
        <v>9.9540916666666668</v>
      </c>
      <c r="C38" s="367">
        <v>0.03</v>
      </c>
    </row>
    <row r="39" spans="1:17">
      <c r="A39" s="46" t="s">
        <v>61</v>
      </c>
      <c r="B39" s="11"/>
      <c r="C39" s="367"/>
      <c r="Q39" s="763" t="s">
        <v>425</v>
      </c>
    </row>
    <row r="40" spans="1:17" hidden="1">
      <c r="A40" t="s">
        <v>62</v>
      </c>
      <c r="B40" s="11">
        <f>6000000/B147</f>
        <v>0.6</v>
      </c>
      <c r="C40" s="367" t="s">
        <v>63</v>
      </c>
    </row>
    <row r="41" spans="1:17">
      <c r="A41" t="s">
        <v>64</v>
      </c>
      <c r="B41" s="469">
        <v>0.05</v>
      </c>
      <c r="C41" s="367"/>
    </row>
    <row r="42" spans="1:17">
      <c r="A42" t="s">
        <v>65</v>
      </c>
      <c r="B42" s="469">
        <v>1.4999999999999999E-2</v>
      </c>
      <c r="C42" s="367"/>
      <c r="N42" s="767" t="s">
        <v>1467</v>
      </c>
    </row>
    <row r="43" spans="1:17" hidden="1">
      <c r="A43" t="s">
        <v>66</v>
      </c>
      <c r="B43" s="11">
        <v>9</v>
      </c>
      <c r="C43" s="367" t="s">
        <v>1338</v>
      </c>
    </row>
    <row r="44" spans="1:17" hidden="1">
      <c r="A44" t="s">
        <v>67</v>
      </c>
      <c r="B44" s="11">
        <v>2</v>
      </c>
      <c r="C44" s="367"/>
    </row>
    <row r="45" spans="1:17">
      <c r="A45" t="s">
        <v>68</v>
      </c>
      <c r="B45" s="470">
        <v>0.08</v>
      </c>
      <c r="C45" s="367"/>
      <c r="F45" s="762" t="s">
        <v>1463</v>
      </c>
      <c r="G45" t="s">
        <v>1462</v>
      </c>
      <c r="N45" s="767" t="s">
        <v>1466</v>
      </c>
    </row>
    <row r="46" spans="1:17" hidden="1">
      <c r="A46" t="s">
        <v>69</v>
      </c>
      <c r="B46" s="26">
        <v>1.2</v>
      </c>
      <c r="C46" s="367" t="s">
        <v>63</v>
      </c>
    </row>
    <row r="47" spans="1:17" hidden="1">
      <c r="A47" t="s">
        <v>70</v>
      </c>
      <c r="B47" s="470">
        <v>0.05</v>
      </c>
      <c r="C47" s="367"/>
    </row>
    <row r="48" spans="1:17" hidden="1">
      <c r="A48" t="s">
        <v>71</v>
      </c>
      <c r="B48" s="26">
        <v>4</v>
      </c>
      <c r="C48" s="367" t="s">
        <v>72</v>
      </c>
    </row>
    <row r="49" spans="1:10" hidden="1">
      <c r="A49" t="s">
        <v>69</v>
      </c>
      <c r="B49" s="26">
        <v>1.2</v>
      </c>
      <c r="C49" s="367" t="s">
        <v>73</v>
      </c>
      <c r="E49" s="471"/>
    </row>
    <row r="50" spans="1:10">
      <c r="A50" t="s">
        <v>70</v>
      </c>
      <c r="B50" s="469">
        <v>0.05</v>
      </c>
      <c r="C50" s="367"/>
      <c r="E50" s="471"/>
    </row>
    <row r="51" spans="1:10">
      <c r="A51" t="s">
        <v>74</v>
      </c>
      <c r="B51" s="26">
        <v>36.5</v>
      </c>
      <c r="C51" s="367" t="s">
        <v>63</v>
      </c>
      <c r="E51" s="471"/>
    </row>
    <row r="52" spans="1:10">
      <c r="A52" s="46" t="s">
        <v>75</v>
      </c>
    </row>
    <row r="53" spans="1:10">
      <c r="A53" s="463" t="s">
        <v>76</v>
      </c>
      <c r="B53" s="11">
        <v>83.13</v>
      </c>
      <c r="C53" s="472">
        <v>45224</v>
      </c>
      <c r="G53" s="473"/>
      <c r="H53" s="473"/>
      <c r="I53" s="473"/>
      <c r="J53" s="473"/>
    </row>
    <row r="54" spans="1:10" ht="15" hidden="1" customHeight="1">
      <c r="A54" s="555" t="s">
        <v>1317</v>
      </c>
      <c r="B54" s="459">
        <v>0</v>
      </c>
    </row>
    <row r="55" spans="1:10" hidden="1">
      <c r="A55" s="463" t="s">
        <v>77</v>
      </c>
      <c r="B55" s="11">
        <v>83.13</v>
      </c>
    </row>
    <row r="56" spans="1:10" hidden="1">
      <c r="A56" s="46" t="s">
        <v>78</v>
      </c>
    </row>
    <row r="57" spans="1:10" hidden="1">
      <c r="A57" s="423" t="s">
        <v>79</v>
      </c>
      <c r="B57" s="474">
        <v>5</v>
      </c>
      <c r="C57" s="14"/>
    </row>
    <row r="58" spans="1:10" hidden="1">
      <c r="A58" s="423" t="s">
        <v>80</v>
      </c>
      <c r="B58" s="474">
        <v>2</v>
      </c>
      <c r="C58" s="14"/>
    </row>
    <row r="59" spans="1:10" hidden="1">
      <c r="A59" s="423" t="s">
        <v>81</v>
      </c>
      <c r="B59" s="474">
        <v>1</v>
      </c>
      <c r="C59" s="14"/>
    </row>
    <row r="60" spans="1:10" hidden="1">
      <c r="A60" s="423" t="s">
        <v>82</v>
      </c>
      <c r="B60" s="474">
        <v>1</v>
      </c>
      <c r="C60" s="14"/>
    </row>
    <row r="61" spans="1:10" hidden="1">
      <c r="A61" s="423" t="s">
        <v>83</v>
      </c>
      <c r="B61" s="459">
        <v>0.2</v>
      </c>
      <c r="C61" s="14"/>
    </row>
    <row r="62" spans="1:10" hidden="1">
      <c r="A62" s="423" t="s">
        <v>84</v>
      </c>
      <c r="B62" s="474">
        <v>2</v>
      </c>
      <c r="C62" s="14"/>
    </row>
    <row r="63" spans="1:10" hidden="1">
      <c r="A63" s="423" t="s">
        <v>85</v>
      </c>
      <c r="B63" s="459">
        <v>0</v>
      </c>
    </row>
    <row r="64" spans="1:10" hidden="1">
      <c r="A64" s="562" t="s">
        <v>1327</v>
      </c>
      <c r="B64" s="459">
        <v>0.13650000000000001</v>
      </c>
      <c r="C64" s="46" t="s">
        <v>86</v>
      </c>
    </row>
    <row r="65" spans="1:5" hidden="1">
      <c r="A65" s="423" t="s">
        <v>87</v>
      </c>
      <c r="B65" s="459">
        <v>0.11</v>
      </c>
      <c r="C65" s="459">
        <v>0.5</v>
      </c>
    </row>
    <row r="66" spans="1:5" hidden="1">
      <c r="A66" s="423" t="s">
        <v>88</v>
      </c>
      <c r="B66" s="459">
        <v>6.5000000000000002E-2</v>
      </c>
      <c r="C66" s="79">
        <f>100%-C65</f>
        <v>0.5</v>
      </c>
    </row>
    <row r="67" spans="1:5" hidden="1">
      <c r="A67" s="475" t="s">
        <v>89</v>
      </c>
      <c r="B67" s="459">
        <v>1</v>
      </c>
    </row>
    <row r="68" spans="1:5" hidden="1">
      <c r="A68" s="475" t="s">
        <v>90</v>
      </c>
      <c r="B68" s="474">
        <v>5</v>
      </c>
    </row>
    <row r="69" spans="1:5" hidden="1">
      <c r="A69" s="475" t="s">
        <v>91</v>
      </c>
      <c r="B69" s="476"/>
    </row>
    <row r="70" spans="1:5" hidden="1">
      <c r="A70" s="475" t="s">
        <v>92</v>
      </c>
      <c r="B70" s="477">
        <v>1.6E-2</v>
      </c>
    </row>
    <row r="71" spans="1:5" hidden="1">
      <c r="A71" s="391" t="s">
        <v>93</v>
      </c>
      <c r="B71" s="474"/>
    </row>
    <row r="72" spans="1:5" hidden="1">
      <c r="A72" s="557" t="s">
        <v>1328</v>
      </c>
      <c r="B72" s="459">
        <f>90%/25</f>
        <v>3.6000000000000004E-2</v>
      </c>
      <c r="C72" s="478">
        <f>DATE(2027,3,31)</f>
        <v>46477</v>
      </c>
      <c r="D72" s="468" t="s">
        <v>94</v>
      </c>
    </row>
    <row r="73" spans="1:5" hidden="1">
      <c r="A73" t="s">
        <v>95</v>
      </c>
      <c r="B73" s="459">
        <f>90%/25</f>
        <v>3.6000000000000004E-2</v>
      </c>
      <c r="C73" s="418"/>
      <c r="D73" s="468" t="s">
        <v>94</v>
      </c>
    </row>
    <row r="74" spans="1:5" hidden="1">
      <c r="A74" s="479" t="s">
        <v>96</v>
      </c>
    </row>
    <row r="75" spans="1:5" hidden="1">
      <c r="A75" t="s">
        <v>97</v>
      </c>
      <c r="B75" s="459">
        <f>18.5%*(1+12%)*(1+3%)</f>
        <v>0.21341600000000002</v>
      </c>
    </row>
    <row r="76" spans="1:5">
      <c r="A76" t="s">
        <v>98</v>
      </c>
      <c r="B76" s="459">
        <v>0.34939999999999999</v>
      </c>
    </row>
    <row r="77" spans="1:5">
      <c r="A77" t="s">
        <v>99</v>
      </c>
      <c r="B77" s="79">
        <v>0.09</v>
      </c>
      <c r="C77" s="13" t="s">
        <v>1320</v>
      </c>
      <c r="D77" s="79"/>
    </row>
    <row r="78" spans="1:5" hidden="1">
      <c r="A78" t="s">
        <v>100</v>
      </c>
      <c r="B78" s="11">
        <f>10</f>
        <v>10</v>
      </c>
      <c r="C78" s="13"/>
      <c r="D78" s="427"/>
    </row>
    <row r="79" spans="1:5" hidden="1">
      <c r="A79" t="s">
        <v>101</v>
      </c>
      <c r="B79" s="480">
        <f>DATE(2020,3,31)</f>
        <v>43921</v>
      </c>
      <c r="D79" s="27"/>
    </row>
    <row r="80" spans="1:5" hidden="1">
      <c r="A80" s="479" t="s">
        <v>102</v>
      </c>
      <c r="B80" s="46" t="s">
        <v>103</v>
      </c>
      <c r="C80" s="46" t="s">
        <v>104</v>
      </c>
      <c r="D80" s="46" t="s">
        <v>105</v>
      </c>
      <c r="E80" s="46" t="s">
        <v>106</v>
      </c>
    </row>
    <row r="81" spans="1:18" hidden="1">
      <c r="A81" t="s">
        <v>107</v>
      </c>
      <c r="B81" s="13">
        <v>3223</v>
      </c>
      <c r="C81" s="13">
        <v>532.82000000000005</v>
      </c>
      <c r="D81" s="13">
        <v>1233</v>
      </c>
      <c r="E81" s="13">
        <v>1139.8399999999999</v>
      </c>
    </row>
    <row r="82" spans="1:18" hidden="1">
      <c r="A82" t="s">
        <v>108</v>
      </c>
      <c r="B82" s="13">
        <v>167.34</v>
      </c>
    </row>
    <row r="83" spans="1:18" hidden="1">
      <c r="B83" s="13"/>
      <c r="N83" s="13"/>
      <c r="O83" s="13"/>
      <c r="P83" s="13"/>
      <c r="Q83" s="13"/>
      <c r="R83" s="13"/>
    </row>
    <row r="84" spans="1:18" hidden="1">
      <c r="A84" s="479" t="s">
        <v>109</v>
      </c>
      <c r="B84" s="13"/>
      <c r="D84" s="13"/>
      <c r="N84" s="13"/>
      <c r="O84" s="13"/>
      <c r="P84" s="13"/>
      <c r="Q84" s="13"/>
      <c r="R84" s="13"/>
    </row>
    <row r="85" spans="1:18" hidden="1">
      <c r="A85" t="s">
        <v>110</v>
      </c>
      <c r="B85" s="11">
        <f>Financials!M99</f>
        <v>107.18</v>
      </c>
      <c r="N85" s="13"/>
      <c r="O85" s="13"/>
      <c r="P85" s="13"/>
      <c r="Q85" s="13"/>
      <c r="R85" s="13"/>
    </row>
    <row r="86" spans="1:18" hidden="1">
      <c r="A86" t="s">
        <v>111</v>
      </c>
      <c r="B86" s="11">
        <f>Debt!B17*(1-$B$99)+B85</f>
        <v>122.81526370347278</v>
      </c>
      <c r="N86" s="13"/>
      <c r="O86" s="13"/>
      <c r="P86" s="13"/>
      <c r="Q86" s="13"/>
      <c r="R86" s="13"/>
    </row>
    <row r="87" spans="1:18" hidden="1">
      <c r="A87" t="s">
        <v>112</v>
      </c>
      <c r="B87" s="439">
        <v>0</v>
      </c>
      <c r="C87" s="79">
        <f>1-B87</f>
        <v>1</v>
      </c>
      <c r="E87" s="13" t="e">
        <f ca="1">Debt!B55</f>
        <v>#DIV/0!</v>
      </c>
      <c r="F87" s="9"/>
      <c r="N87" s="13"/>
      <c r="O87" s="13"/>
      <c r="P87" s="13"/>
      <c r="Q87" s="13"/>
      <c r="R87" s="13"/>
    </row>
    <row r="88" spans="1:18" hidden="1">
      <c r="A88" t="s">
        <v>113</v>
      </c>
      <c r="B88" s="13">
        <f>B86*(1-B87)</f>
        <v>122.81526370347278</v>
      </c>
      <c r="C88" s="478">
        <f>DATE(2018,4,1)</f>
        <v>43191</v>
      </c>
      <c r="D88" s="481">
        <f>EOMONTH(C88,0)</f>
        <v>43220</v>
      </c>
      <c r="E88" s="13" t="e">
        <f ca="1">Debt!B56</f>
        <v>#DIV/0!</v>
      </c>
      <c r="F88" s="9"/>
      <c r="N88" s="13"/>
      <c r="O88" s="13"/>
      <c r="P88" s="13"/>
      <c r="Q88" s="13"/>
      <c r="R88" s="13"/>
    </row>
    <row r="89" spans="1:18" hidden="1">
      <c r="A89" t="s">
        <v>114</v>
      </c>
      <c r="B89" s="478">
        <f>DATE(2017,3,31)</f>
        <v>42825</v>
      </c>
      <c r="N89" s="13"/>
      <c r="O89" s="13"/>
      <c r="P89" s="13"/>
      <c r="Q89" s="13"/>
      <c r="R89" s="13"/>
    </row>
    <row r="90" spans="1:18" hidden="1">
      <c r="A90" t="s">
        <v>115</v>
      </c>
      <c r="B90" s="11">
        <v>20</v>
      </c>
      <c r="C90" s="481">
        <f>EOMONTH(B89,12*B90)</f>
        <v>50130</v>
      </c>
      <c r="D90" s="9"/>
      <c r="E90" s="9" t="e">
        <f ca="1">MIN(Financials!H87:AE87)</f>
        <v>#DIV/0!</v>
      </c>
      <c r="N90" s="13"/>
      <c r="O90" s="13"/>
      <c r="P90" s="13"/>
      <c r="Q90" s="13"/>
      <c r="R90" s="13"/>
    </row>
    <row r="91" spans="1:18" hidden="1">
      <c r="A91" t="s">
        <v>116</v>
      </c>
      <c r="B91" s="481">
        <f>B89</f>
        <v>42825</v>
      </c>
      <c r="N91" s="13"/>
      <c r="O91" s="13"/>
      <c r="P91" s="13"/>
      <c r="Q91" s="13"/>
      <c r="R91" s="13"/>
    </row>
    <row r="92" spans="1:18" hidden="1">
      <c r="A92" t="s">
        <v>117</v>
      </c>
      <c r="B92" s="11">
        <v>24</v>
      </c>
      <c r="N92" s="13"/>
      <c r="O92" s="13"/>
      <c r="P92" s="13"/>
      <c r="Q92" s="13"/>
      <c r="R92" s="13"/>
    </row>
    <row r="93" spans="1:18" hidden="1">
      <c r="A93" t="s">
        <v>118</v>
      </c>
      <c r="B93" s="481">
        <f>IF(DAY(B91)&gt;15,EOMONTH(B91,B92),EOMONTH(B91,B92-1))</f>
        <v>43555</v>
      </c>
      <c r="N93" s="13"/>
      <c r="O93" s="13"/>
      <c r="P93" s="13"/>
      <c r="Q93" s="13"/>
      <c r="R93" s="13"/>
    </row>
    <row r="94" spans="1:18" hidden="1">
      <c r="A94" t="s">
        <v>119</v>
      </c>
      <c r="B94" s="482" t="s">
        <v>120</v>
      </c>
      <c r="C94" s="483" t="s">
        <v>121</v>
      </c>
      <c r="D94" s="5"/>
      <c r="N94" s="13"/>
      <c r="O94" s="13"/>
      <c r="P94" s="13"/>
      <c r="Q94" s="13"/>
      <c r="R94" s="13"/>
    </row>
    <row r="95" spans="1:18" hidden="1">
      <c r="A95" t="s">
        <v>122</v>
      </c>
      <c r="B95" s="13">
        <f>VLOOKUP($B$94,$A$150:$C$153,3,FALSE)</f>
        <v>12</v>
      </c>
      <c r="N95" s="13"/>
      <c r="O95" s="13"/>
      <c r="P95" s="13"/>
      <c r="Q95" s="13"/>
      <c r="R95" s="13"/>
    </row>
    <row r="96" spans="1:18" hidden="1">
      <c r="A96" t="s">
        <v>123</v>
      </c>
      <c r="B96" s="481">
        <f>IF(DAY(B93)&gt;15,EOMONTH(B93,12/B95),EOMONTH(B93,12/(B95-1)))</f>
        <v>43585</v>
      </c>
      <c r="N96" s="13"/>
      <c r="O96" s="13"/>
      <c r="P96" s="13"/>
      <c r="Q96" s="13"/>
      <c r="R96" s="13"/>
    </row>
    <row r="97" spans="1:18" hidden="1">
      <c r="A97" t="s">
        <v>124</v>
      </c>
      <c r="B97" s="11">
        <f>(B90*12-B92)*B95/12</f>
        <v>216</v>
      </c>
      <c r="C97" t="s">
        <v>125</v>
      </c>
      <c r="N97" s="13"/>
      <c r="O97" s="13"/>
      <c r="P97" s="13"/>
      <c r="Q97" s="13"/>
      <c r="R97" s="13"/>
    </row>
    <row r="98" spans="1:18" hidden="1">
      <c r="A98" t="s">
        <v>126</v>
      </c>
      <c r="B98" s="481">
        <f>EOMONTH(B96,(B97-1)*12/B95)</f>
        <v>50130</v>
      </c>
      <c r="N98" s="13"/>
      <c r="O98" s="13"/>
      <c r="P98" s="13"/>
      <c r="Q98" s="13"/>
      <c r="R98" s="13"/>
    </row>
    <row r="99" spans="1:18" hidden="1">
      <c r="A99" t="s">
        <v>127</v>
      </c>
      <c r="B99" s="484">
        <v>0</v>
      </c>
      <c r="N99" s="13"/>
      <c r="O99" s="13"/>
      <c r="P99" s="13"/>
      <c r="Q99" s="13"/>
      <c r="R99" s="13"/>
    </row>
    <row r="100" spans="1:18" hidden="1">
      <c r="A100" t="s">
        <v>128</v>
      </c>
      <c r="B100" s="484">
        <v>0</v>
      </c>
      <c r="N100" s="13"/>
      <c r="O100" s="13"/>
      <c r="P100" s="13"/>
      <c r="Q100" s="13"/>
      <c r="R100" s="13"/>
    </row>
    <row r="101" spans="1:18" hidden="1">
      <c r="A101" s="4" t="s">
        <v>129</v>
      </c>
      <c r="B101" s="481"/>
    </row>
    <row r="102" spans="1:18" hidden="1">
      <c r="A102" t="s">
        <v>130</v>
      </c>
      <c r="B102" s="469">
        <v>0.10100000000000001</v>
      </c>
      <c r="D102" s="21"/>
    </row>
    <row r="103" spans="1:18" hidden="1">
      <c r="A103" t="s">
        <v>131</v>
      </c>
      <c r="B103" s="367">
        <f>B102+3.55%</f>
        <v>0.13650000000000001</v>
      </c>
      <c r="C103" s="11">
        <v>5970.6139712329305</v>
      </c>
    </row>
    <row r="104" spans="1:18" hidden="1">
      <c r="A104" t="s">
        <v>132</v>
      </c>
      <c r="B104" s="459">
        <f>B102+5.25%</f>
        <v>0.1535</v>
      </c>
      <c r="C104" s="11">
        <v>161.53</v>
      </c>
    </row>
    <row r="105" spans="1:18" hidden="1">
      <c r="A105" t="s">
        <v>133</v>
      </c>
      <c r="B105" s="27">
        <f>(B103*C103+B104*C104)/(C103+C104)</f>
        <v>0.13694780585923655</v>
      </c>
      <c r="C105" s="13"/>
    </row>
    <row r="106" spans="1:18" hidden="1">
      <c r="A106" t="s">
        <v>134</v>
      </c>
      <c r="B106" s="459">
        <v>0.11</v>
      </c>
    </row>
    <row r="107" spans="1:18" hidden="1">
      <c r="A107" t="s">
        <v>135</v>
      </c>
      <c r="B107" s="485">
        <f>DATE(2017,3,31)</f>
        <v>42825</v>
      </c>
    </row>
    <row r="108" spans="1:18" hidden="1">
      <c r="A108" s="4" t="s">
        <v>136</v>
      </c>
      <c r="B108" s="389">
        <f>B86-B88+B110</f>
        <v>0</v>
      </c>
      <c r="C108" s="9">
        <f>B86-B88</f>
        <v>0</v>
      </c>
    </row>
    <row r="109" spans="1:18" hidden="1">
      <c r="A109" t="s">
        <v>137</v>
      </c>
      <c r="B109" s="13">
        <f>(Debt!B17+Debt!B24)*0</f>
        <v>0</v>
      </c>
    </row>
    <row r="110" spans="1:18" hidden="1">
      <c r="A110" t="s">
        <v>138</v>
      </c>
      <c r="B110" s="486">
        <f>(WC!C11-WC!C8)*0</f>
        <v>0</v>
      </c>
    </row>
    <row r="111" spans="1:18" hidden="1">
      <c r="A111" t="s">
        <v>139</v>
      </c>
      <c r="B111" s="367">
        <v>1E-3</v>
      </c>
    </row>
    <row r="112" spans="1:18" hidden="1">
      <c r="A112" t="s">
        <v>140</v>
      </c>
      <c r="B112" s="367">
        <v>0</v>
      </c>
      <c r="C112" s="9">
        <f>Financials!$H$92</f>
        <v>103.343075</v>
      </c>
    </row>
    <row r="113" spans="1:7" hidden="1">
      <c r="A113" s="4" t="s">
        <v>141</v>
      </c>
      <c r="B113" s="367"/>
    </row>
    <row r="114" spans="1:7" hidden="1">
      <c r="A114" t="s">
        <v>142</v>
      </c>
      <c r="B114" s="12">
        <v>3</v>
      </c>
    </row>
    <row r="115" spans="1:7" hidden="1">
      <c r="A115" s="487" t="s">
        <v>143</v>
      </c>
      <c r="B115" s="367">
        <v>0</v>
      </c>
    </row>
    <row r="116" spans="1:7" hidden="1">
      <c r="A116" s="487" t="s">
        <v>144</v>
      </c>
      <c r="B116" s="480">
        <f>DATE(2019,6,30)</f>
        <v>43646</v>
      </c>
    </row>
    <row r="117" spans="1:7" hidden="1"/>
    <row r="118" spans="1:7" hidden="1">
      <c r="A118" s="46" t="s">
        <v>145</v>
      </c>
    </row>
    <row r="119" spans="1:7" hidden="1">
      <c r="A119" t="s">
        <v>146</v>
      </c>
      <c r="B119" s="11">
        <v>394.99799999999999</v>
      </c>
      <c r="G119" s="9"/>
    </row>
    <row r="120" spans="1:7" hidden="1">
      <c r="A120" t="s">
        <v>147</v>
      </c>
      <c r="B120" s="11">
        <f>Financials!E110</f>
        <v>1.7682099999999998</v>
      </c>
      <c r="G120" s="9"/>
    </row>
    <row r="121" spans="1:7" hidden="1">
      <c r="A121" t="s">
        <v>148</v>
      </c>
      <c r="B121" s="11">
        <f>B119-B120</f>
        <v>393.22978999999998</v>
      </c>
      <c r="G121" s="9"/>
    </row>
    <row r="122" spans="1:7" hidden="1">
      <c r="A122" t="s">
        <v>149</v>
      </c>
      <c r="B122" s="488">
        <v>42</v>
      </c>
      <c r="C122" s="478">
        <f>DATE(2018,3,31)</f>
        <v>43190</v>
      </c>
      <c r="D122" s="400">
        <f>DATE(IF(MONTH(C122)&lt;=3,YEAR(C122),YEAR(D120)+1),3,31)</f>
        <v>43190</v>
      </c>
      <c r="G122" s="9"/>
    </row>
    <row r="123" spans="1:7" hidden="1">
      <c r="B123" s="488"/>
      <c r="G123" s="9"/>
    </row>
    <row r="124" spans="1:7" hidden="1">
      <c r="A124" t="s">
        <v>150</v>
      </c>
      <c r="B124" s="488">
        <f>(74.44+15.87+35.46)*0</f>
        <v>0</v>
      </c>
      <c r="G124" s="9"/>
    </row>
    <row r="125" spans="1:7" hidden="1">
      <c r="A125" t="s">
        <v>151</v>
      </c>
      <c r="B125" s="488">
        <f>Financials!E100*0</f>
        <v>0</v>
      </c>
      <c r="G125" s="9"/>
    </row>
    <row r="126" spans="1:7" hidden="1">
      <c r="G126" s="9"/>
    </row>
    <row r="127" spans="1:7" hidden="1">
      <c r="A127" t="s">
        <v>152</v>
      </c>
      <c r="G127" s="9"/>
    </row>
    <row r="128" spans="1:7" hidden="1">
      <c r="A128" t="s">
        <v>153</v>
      </c>
      <c r="B128" s="39">
        <v>85161247</v>
      </c>
      <c r="C128" s="27">
        <v>0.41</v>
      </c>
      <c r="D128" s="28">
        <f>B128</f>
        <v>85161247</v>
      </c>
      <c r="E128" s="27">
        <f>D128/$D$130</f>
        <v>0.40379107192233249</v>
      </c>
      <c r="G128" s="9"/>
    </row>
    <row r="129" spans="1:7" hidden="1">
      <c r="A129" s="468" t="s">
        <v>154</v>
      </c>
      <c r="B129" s="39">
        <v>18181828</v>
      </c>
      <c r="C129" s="27">
        <v>8.5000000000000006E-2</v>
      </c>
      <c r="D129" s="9">
        <f>D131+B129</f>
        <v>125742987.69387755</v>
      </c>
      <c r="E129" s="27">
        <f>D129/$D$130</f>
        <v>0.59620892807766757</v>
      </c>
      <c r="G129" s="9"/>
    </row>
    <row r="130" spans="1:7" hidden="1">
      <c r="A130" t="s">
        <v>33</v>
      </c>
      <c r="B130" s="9">
        <f>SUM(B128:B129)</f>
        <v>103343075</v>
      </c>
      <c r="C130" s="79">
        <f>SUM(C128:C129)</f>
        <v>0.495</v>
      </c>
      <c r="D130" s="28">
        <f>SUM(D128:D129)</f>
        <v>210904234.69387755</v>
      </c>
      <c r="E130" s="79">
        <f>SUM(E128:E129)</f>
        <v>1</v>
      </c>
      <c r="G130" s="9"/>
    </row>
    <row r="131" spans="1:7" hidden="1">
      <c r="A131" t="s">
        <v>155</v>
      </c>
      <c r="D131" s="13">
        <f>B130/49%-B130</f>
        <v>107561159.69387755</v>
      </c>
      <c r="G131" s="9"/>
    </row>
    <row r="132" spans="1:7" hidden="1">
      <c r="B132" s="11"/>
      <c r="G132" s="9"/>
    </row>
    <row r="133" spans="1:7" hidden="1">
      <c r="A133" t="s">
        <v>156</v>
      </c>
      <c r="B133" s="11">
        <v>0</v>
      </c>
      <c r="G133" s="9"/>
    </row>
    <row r="134" spans="1:7" hidden="1">
      <c r="A134" t="s">
        <v>157</v>
      </c>
      <c r="B134" s="11">
        <v>0</v>
      </c>
      <c r="G134" s="9"/>
    </row>
    <row r="135" spans="1:7" hidden="1">
      <c r="A135" t="s">
        <v>158</v>
      </c>
      <c r="B135" s="9">
        <f>B134/D131*10^7</f>
        <v>0</v>
      </c>
      <c r="C135" s="9">
        <f>B134</f>
        <v>0</v>
      </c>
      <c r="G135" s="9"/>
    </row>
    <row r="136" spans="1:7" hidden="1">
      <c r="A136" t="s">
        <v>159</v>
      </c>
      <c r="B136" s="11">
        <f>10</f>
        <v>10</v>
      </c>
      <c r="C136" s="9">
        <v>0</v>
      </c>
      <c r="G136" s="9"/>
    </row>
    <row r="137" spans="1:7" hidden="1">
      <c r="A137" t="s">
        <v>160</v>
      </c>
      <c r="B137" s="9">
        <f>B135-B136</f>
        <v>-10</v>
      </c>
      <c r="C137" s="9">
        <v>0</v>
      </c>
      <c r="G137" s="9"/>
    </row>
    <row r="138" spans="1:7" hidden="1">
      <c r="A138" t="s">
        <v>161</v>
      </c>
      <c r="B138" s="9">
        <f>B133-B134</f>
        <v>0</v>
      </c>
      <c r="C138" s="9"/>
      <c r="G138" s="9"/>
    </row>
    <row r="139" spans="1:7" hidden="1">
      <c r="A139" t="s">
        <v>162</v>
      </c>
      <c r="B139" s="459">
        <v>0</v>
      </c>
      <c r="C139" s="9"/>
      <c r="G139" s="9"/>
    </row>
    <row r="140" spans="1:7" hidden="1">
      <c r="A140" s="1" t="s">
        <v>163</v>
      </c>
      <c r="G140" s="9"/>
    </row>
    <row r="141" spans="1:7" hidden="1">
      <c r="A141" t="s">
        <v>164</v>
      </c>
      <c r="C141" s="11">
        <f>(B138-SUM(C142:C144))*0</f>
        <v>0</v>
      </c>
      <c r="G141" s="9"/>
    </row>
    <row r="142" spans="1:7" hidden="1">
      <c r="A142" t="s">
        <v>165</v>
      </c>
      <c r="C142" s="9">
        <f>(WC!C7-WC!D7)*0</f>
        <v>0</v>
      </c>
      <c r="G142" s="9"/>
    </row>
    <row r="143" spans="1:7" hidden="1">
      <c r="A143" t="s">
        <v>166</v>
      </c>
      <c r="C143" s="39">
        <v>0</v>
      </c>
      <c r="G143" s="9"/>
    </row>
    <row r="144" spans="1:7" hidden="1">
      <c r="A144" t="s">
        <v>167</v>
      </c>
      <c r="C144" s="9">
        <f>(B124+B125)*0</f>
        <v>0</v>
      </c>
      <c r="G144" s="9"/>
    </row>
    <row r="145" spans="1:7">
      <c r="C145" s="9">
        <f>SUM(C141:C144)</f>
        <v>0</v>
      </c>
      <c r="G145" s="9"/>
    </row>
    <row r="146" spans="1:7">
      <c r="A146" s="383" t="s">
        <v>168</v>
      </c>
      <c r="B146" s="380"/>
      <c r="C146" s="380"/>
    </row>
    <row r="147" spans="1:7">
      <c r="A147" s="489" t="s">
        <v>169</v>
      </c>
      <c r="B147" s="490">
        <v>10000000</v>
      </c>
    </row>
    <row r="148" spans="1:7">
      <c r="A148" s="489" t="s">
        <v>170</v>
      </c>
      <c r="B148" s="490">
        <v>100000</v>
      </c>
    </row>
    <row r="149" spans="1:7">
      <c r="A149" s="489" t="s">
        <v>171</v>
      </c>
      <c r="B149" s="490">
        <v>1000000</v>
      </c>
    </row>
    <row r="150" spans="1:7">
      <c r="A150" s="380" t="s">
        <v>172</v>
      </c>
      <c r="B150" s="490">
        <v>12</v>
      </c>
      <c r="C150" s="380">
        <v>1</v>
      </c>
    </row>
    <row r="151" spans="1:7">
      <c r="A151" s="380" t="s">
        <v>173</v>
      </c>
      <c r="B151" s="490">
        <v>6</v>
      </c>
      <c r="C151" s="380">
        <v>2</v>
      </c>
    </row>
    <row r="152" spans="1:7">
      <c r="A152" s="380" t="s">
        <v>174</v>
      </c>
      <c r="B152" s="490">
        <v>3</v>
      </c>
      <c r="C152" s="380">
        <v>4</v>
      </c>
    </row>
    <row r="153" spans="1:7">
      <c r="A153" s="380" t="s">
        <v>120</v>
      </c>
      <c r="B153" s="490">
        <v>1</v>
      </c>
      <c r="C153" s="380">
        <v>12</v>
      </c>
    </row>
    <row r="154" spans="1:7">
      <c r="A154" s="380" t="s">
        <v>175</v>
      </c>
      <c r="B154" s="490"/>
      <c r="C154" s="380"/>
    </row>
    <row r="155" spans="1:7">
      <c r="A155" s="380" t="s">
        <v>176</v>
      </c>
      <c r="B155" s="490">
        <v>24</v>
      </c>
      <c r="C155" s="380" t="s">
        <v>177</v>
      </c>
    </row>
    <row r="156" spans="1:7">
      <c r="A156" s="380" t="s">
        <v>178</v>
      </c>
      <c r="B156" s="490">
        <v>1000</v>
      </c>
      <c r="C156" s="380" t="s">
        <v>179</v>
      </c>
    </row>
    <row r="157" spans="1:7">
      <c r="A157" s="380" t="s">
        <v>180</v>
      </c>
      <c r="B157" s="490">
        <v>1000</v>
      </c>
      <c r="C157" s="380" t="s">
        <v>181</v>
      </c>
    </row>
    <row r="159" spans="1:7">
      <c r="A159" s="380" t="s">
        <v>1324</v>
      </c>
      <c r="B159" s="490" t="s">
        <v>1323</v>
      </c>
      <c r="C159" s="13"/>
    </row>
    <row r="160" spans="1:7">
      <c r="B160" s="439"/>
      <c r="C160" s="13"/>
    </row>
    <row r="161" spans="1:3">
      <c r="B161" s="439"/>
      <c r="C161" s="13"/>
    </row>
    <row r="162" spans="1:3" hidden="1">
      <c r="A162" t="s">
        <v>182</v>
      </c>
      <c r="B162" s="439" t="s">
        <v>183</v>
      </c>
      <c r="C162" s="9"/>
    </row>
    <row r="163" spans="1:3" hidden="1">
      <c r="A163" t="s">
        <v>184</v>
      </c>
      <c r="B163" s="439" t="s">
        <v>185</v>
      </c>
      <c r="C163" s="9"/>
    </row>
    <row r="179" spans="2:5">
      <c r="B179" s="481"/>
      <c r="C179" s="481"/>
      <c r="D179" s="481"/>
      <c r="E179" s="481"/>
    </row>
    <row r="180" spans="2:5">
      <c r="B180" s="55"/>
    </row>
    <row r="181" spans="2:5" hidden="1"/>
    <row r="186" spans="2:5">
      <c r="D186" s="9"/>
    </row>
    <row r="187" spans="2:5">
      <c r="D187" s="9"/>
    </row>
    <row r="188" spans="2:5">
      <c r="D188" s="9"/>
    </row>
    <row r="189" spans="2:5">
      <c r="D189" s="9"/>
    </row>
    <row r="190" spans="2:5">
      <c r="D190" s="9"/>
    </row>
    <row r="191" spans="2:5">
      <c r="D191" s="9"/>
    </row>
    <row r="201" spans="4:4">
      <c r="D201" s="13"/>
    </row>
  </sheetData>
  <dataValidations disablePrompts="1" count="1">
    <dataValidation type="list" allowBlank="1" showInputMessage="1" showErrorMessage="1" sqref="B94" xr:uid="{00000000-0002-0000-0200-000000000000}">
      <formula1>$A$150:$A$153</formula1>
    </dataValidation>
  </dataValidations>
  <hyperlinks>
    <hyperlink ref="C1" r:id="rId1" xr:uid="{92372711-D429-461F-8666-138C9BC7B994}"/>
  </hyperlinks>
  <pageMargins left="0.69930555555555596" right="0.69930555555555596" top="0.75" bottom="0.75" header="0.3" footer="0.3"/>
  <pageSetup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44"/>
  <sheetViews>
    <sheetView workbookViewId="0">
      <pane xSplit="2" ySplit="2" topLeftCell="C28" activePane="bottomRight" state="frozen"/>
      <selection pane="topRight"/>
      <selection pane="bottomLeft"/>
      <selection pane="bottomRight" activeCell="D40" sqref="D40"/>
    </sheetView>
  </sheetViews>
  <sheetFormatPr defaultColWidth="9" defaultRowHeight="14.4"/>
  <cols>
    <col min="1" max="1" width="57.109375" customWidth="1"/>
    <col min="3" max="4" width="10.6640625" customWidth="1"/>
    <col min="5" max="22" width="10.88671875" customWidth="1"/>
    <col min="23" max="27" width="10.6640625" customWidth="1"/>
  </cols>
  <sheetData>
    <row r="1" spans="1:27" hidden="1">
      <c r="A1" s="46" t="s">
        <v>0</v>
      </c>
      <c r="C1" s="46"/>
      <c r="D1" s="456">
        <f>DATE(2017,4,1)</f>
        <v>42826</v>
      </c>
      <c r="E1" s="418">
        <f>D2+1</f>
        <v>43191</v>
      </c>
      <c r="F1" s="418">
        <f>E2+1</f>
        <v>43556</v>
      </c>
      <c r="G1" s="418">
        <f>F2+1</f>
        <v>43922</v>
      </c>
      <c r="H1" s="418">
        <f t="shared" ref="H1:U1" si="0">G2+1</f>
        <v>44287</v>
      </c>
      <c r="I1" s="418">
        <f t="shared" si="0"/>
        <v>44652</v>
      </c>
      <c r="J1" s="418">
        <f t="shared" si="0"/>
        <v>45017</v>
      </c>
      <c r="K1" s="418">
        <f t="shared" si="0"/>
        <v>45383</v>
      </c>
      <c r="L1" s="418">
        <f t="shared" si="0"/>
        <v>45748</v>
      </c>
      <c r="M1" s="418">
        <f t="shared" si="0"/>
        <v>46113</v>
      </c>
      <c r="N1" s="418">
        <f t="shared" si="0"/>
        <v>46478</v>
      </c>
      <c r="O1" s="418">
        <f t="shared" si="0"/>
        <v>46844</v>
      </c>
      <c r="P1" s="418">
        <f t="shared" si="0"/>
        <v>47209</v>
      </c>
      <c r="Q1" s="418">
        <f t="shared" si="0"/>
        <v>47574</v>
      </c>
      <c r="R1" s="418">
        <f t="shared" si="0"/>
        <v>47939</v>
      </c>
      <c r="S1" s="418">
        <f t="shared" si="0"/>
        <v>48305</v>
      </c>
      <c r="T1" s="418">
        <f t="shared" si="0"/>
        <v>48670</v>
      </c>
      <c r="U1" s="418">
        <f t="shared" si="0"/>
        <v>49035</v>
      </c>
      <c r="V1" s="418">
        <f>U2+1</f>
        <v>49400</v>
      </c>
      <c r="W1" s="418">
        <f>V2+1</f>
        <v>49766</v>
      </c>
      <c r="X1" s="418">
        <f>W2+1</f>
        <v>50131</v>
      </c>
      <c r="Y1" s="418">
        <f>X2+1</f>
        <v>50496</v>
      </c>
      <c r="Z1" s="418">
        <f>Y2+1</f>
        <v>50861</v>
      </c>
      <c r="AA1" s="418"/>
    </row>
    <row r="2" spans="1:27" hidden="1">
      <c r="A2" s="46" t="s">
        <v>1</v>
      </c>
      <c r="C2" s="46"/>
      <c r="D2" s="418">
        <f>EOMONTH(D1,12-1)</f>
        <v>43190</v>
      </c>
      <c r="E2" s="418">
        <f>EOMONTH(E1,12-1)</f>
        <v>43555</v>
      </c>
      <c r="F2" s="418">
        <f>EOMONTH(F1,12-1)</f>
        <v>43921</v>
      </c>
      <c r="G2" s="418">
        <f>EOMONTH(G1,12-1)</f>
        <v>44286</v>
      </c>
      <c r="H2" s="418">
        <f t="shared" ref="H2:T2" si="1">EOMONTH(H1,12-1)</f>
        <v>44651</v>
      </c>
      <c r="I2" s="418">
        <f t="shared" si="1"/>
        <v>45016</v>
      </c>
      <c r="J2" s="418">
        <f t="shared" si="1"/>
        <v>45382</v>
      </c>
      <c r="K2" s="418">
        <f t="shared" si="1"/>
        <v>45747</v>
      </c>
      <c r="L2" s="418">
        <f t="shared" si="1"/>
        <v>46112</v>
      </c>
      <c r="M2" s="418">
        <f t="shared" si="1"/>
        <v>46477</v>
      </c>
      <c r="N2" s="418">
        <f t="shared" si="1"/>
        <v>46843</v>
      </c>
      <c r="O2" s="418">
        <f t="shared" si="1"/>
        <v>47208</v>
      </c>
      <c r="P2" s="418">
        <f t="shared" si="1"/>
        <v>47573</v>
      </c>
      <c r="Q2" s="418">
        <f t="shared" si="1"/>
        <v>47938</v>
      </c>
      <c r="R2" s="418">
        <f t="shared" si="1"/>
        <v>48304</v>
      </c>
      <c r="S2" s="418">
        <f t="shared" si="1"/>
        <v>48669</v>
      </c>
      <c r="T2" s="418">
        <f t="shared" si="1"/>
        <v>49034</v>
      </c>
      <c r="U2" s="418">
        <f t="shared" ref="U2:Z2" si="2">EOMONTH(U1,12-1)</f>
        <v>49399</v>
      </c>
      <c r="V2" s="418">
        <f t="shared" si="2"/>
        <v>49765</v>
      </c>
      <c r="W2" s="418">
        <f t="shared" si="2"/>
        <v>50130</v>
      </c>
      <c r="X2" s="418">
        <f t="shared" si="2"/>
        <v>50495</v>
      </c>
      <c r="Y2" s="418">
        <f t="shared" si="2"/>
        <v>50860</v>
      </c>
      <c r="Z2" s="418">
        <f t="shared" si="2"/>
        <v>51226</v>
      </c>
      <c r="AA2" s="418"/>
    </row>
    <row r="3" spans="1:27" hidden="1">
      <c r="A3" s="491" t="s">
        <v>2</v>
      </c>
      <c r="C3" s="491"/>
      <c r="D3" s="492" t="s">
        <v>3</v>
      </c>
    </row>
    <row r="4" spans="1:27" hidden="1">
      <c r="A4" t="s">
        <v>4</v>
      </c>
      <c r="D4" s="493">
        <v>4.7100000000000003E-2</v>
      </c>
    </row>
    <row r="5" spans="1:27" hidden="1">
      <c r="A5" t="s">
        <v>5</v>
      </c>
      <c r="D5" s="493">
        <v>0</v>
      </c>
    </row>
    <row r="6" spans="1:27" hidden="1">
      <c r="A6" t="s">
        <v>6</v>
      </c>
      <c r="D6" s="493">
        <v>4.7100000000000003E-2</v>
      </c>
    </row>
    <row r="7" spans="1:27" hidden="1">
      <c r="A7" t="s">
        <v>7</v>
      </c>
      <c r="D7" s="13">
        <f>Assum!$B$53</f>
        <v>83.13</v>
      </c>
      <c r="E7" s="13">
        <f>MIN(D7*(1+Assum!$B$54),Assum!$B$55)</f>
        <v>83.13</v>
      </c>
      <c r="F7" s="13">
        <f>MIN(E7*(1+Assum!$B$54),Assum!$B$55)</f>
        <v>83.13</v>
      </c>
      <c r="G7" s="13">
        <f>MIN(F7*(1+Assum!$B$54),Assum!$B$55)</f>
        <v>83.13</v>
      </c>
      <c r="H7" s="13">
        <f>MIN(G7*(1+Assum!$B$54),Assum!$B$55)</f>
        <v>83.13</v>
      </c>
      <c r="I7" s="13">
        <f>MIN(H7*(1+Assum!$B$54),Assum!$B$55)</f>
        <v>83.13</v>
      </c>
      <c r="J7" s="13">
        <f>MIN(I7*(1+Assum!$B$54),Assum!$B$55)</f>
        <v>83.13</v>
      </c>
      <c r="K7" s="13">
        <f>MIN(J7*(1+Assum!$B$54),Assum!$B$55)</f>
        <v>83.13</v>
      </c>
      <c r="L7" s="13">
        <f>MIN(K7*(1+Assum!$B$54),Assum!$B$55)</f>
        <v>83.13</v>
      </c>
      <c r="M7" s="13">
        <f>MIN(L7*(1+Assum!$B$54),Assum!$B$55)</f>
        <v>83.13</v>
      </c>
      <c r="N7" s="13">
        <f>MIN(M7*(1+Assum!$B$54),Assum!$B$55)</f>
        <v>83.13</v>
      </c>
      <c r="O7" s="13">
        <f>MIN(N7*(1+Assum!$B$54),Assum!$B$55)</f>
        <v>83.13</v>
      </c>
      <c r="P7" s="13">
        <f>MIN(O7*(1+Assum!$B$54),Assum!$B$55)</f>
        <v>83.13</v>
      </c>
      <c r="Q7" s="13">
        <f>MIN(P7*(1+Assum!$B$54),Assum!$B$55)</f>
        <v>83.13</v>
      </c>
      <c r="R7" s="13">
        <f>MIN(Q7*(1+Assum!$B$54),Assum!$B$55)</f>
        <v>83.13</v>
      </c>
      <c r="S7" s="13">
        <f>MIN(R7*(1+Assum!$B$54),Assum!$B$55)</f>
        <v>83.13</v>
      </c>
      <c r="T7" s="13">
        <f>MIN(S7*(1+Assum!$B$54),Assum!$B$55)</f>
        <v>83.13</v>
      </c>
      <c r="U7" s="13">
        <f>MIN(T7*(1+Assum!$B$54),Assum!$B$55)</f>
        <v>83.13</v>
      </c>
      <c r="V7" s="13">
        <f>MIN(U7*(1+Assum!$B$54),Assum!$B$55)</f>
        <v>83.13</v>
      </c>
      <c r="W7" s="13">
        <f>MIN(V7*(1+Assum!$B$54),Assum!$B$55)</f>
        <v>83.13</v>
      </c>
      <c r="X7" s="13">
        <f>MIN(W7*(1+Assum!$B$54),Assum!$B$55)</f>
        <v>83.13</v>
      </c>
      <c r="Y7" s="13">
        <f>MIN(X7*(1+Assum!$B$54),Assum!$B$55)</f>
        <v>83.13</v>
      </c>
      <c r="Z7" s="13">
        <f>MIN(Y7*(1+Assum!$B$54),Assum!$B$55)</f>
        <v>83.13</v>
      </c>
      <c r="AA7" s="13"/>
    </row>
    <row r="8" spans="1:27" hidden="1">
      <c r="A8" s="491" t="s">
        <v>1315</v>
      </c>
      <c r="C8" s="491"/>
    </row>
    <row r="9" spans="1:27" hidden="1">
      <c r="A9" s="494" t="s">
        <v>8</v>
      </c>
      <c r="C9" s="495">
        <f>0.263066</f>
        <v>0.26306600000000002</v>
      </c>
      <c r="D9" s="13">
        <f t="shared" ref="D9:P9" si="3">C9*(1+($D4/2))^2</f>
        <v>0.27560230566126503</v>
      </c>
      <c r="E9" s="13">
        <f t="shared" si="3"/>
        <v>0.28873602398563614</v>
      </c>
      <c r="F9" s="13">
        <f t="shared" si="3"/>
        <v>0.30249562443610206</v>
      </c>
      <c r="G9" s="13">
        <f t="shared" si="3"/>
        <v>0.3169109331765938</v>
      </c>
      <c r="H9" s="13">
        <f t="shared" si="3"/>
        <v>0.33201319772502841</v>
      </c>
      <c r="I9" s="13">
        <f t="shared" si="3"/>
        <v>0.34783515468736853</v>
      </c>
      <c r="J9" s="13">
        <f t="shared" si="3"/>
        <v>0.3644111007195211</v>
      </c>
      <c r="K9" s="13">
        <f t="shared" si="3"/>
        <v>0.38177696687089735</v>
      </c>
      <c r="L9" s="13">
        <f t="shared" si="3"/>
        <v>0.39997039647078564</v>
      </c>
      <c r="M9" s="13">
        <f t="shared" si="3"/>
        <v>0.41903082672636832</v>
      </c>
      <c r="N9" s="13">
        <f t="shared" si="3"/>
        <v>0.43899957420925978</v>
      </c>
      <c r="O9" s="13">
        <f t="shared" si="3"/>
        <v>0.45991992441587132</v>
      </c>
      <c r="P9" s="13">
        <f t="shared" si="3"/>
        <v>0.48183722559573972</v>
      </c>
      <c r="Q9" s="13">
        <f>P9*(1+Assum!$C$38)</f>
        <v>0.49629234236361192</v>
      </c>
      <c r="R9" s="13">
        <f>Q9*(1+Assum!$C$38)</f>
        <v>0.51118111263452026</v>
      </c>
      <c r="S9" s="13">
        <f>R9*(1+Assum!$C$38)</f>
        <v>0.52651654601355591</v>
      </c>
      <c r="T9" s="13">
        <f>S9*(1+Assum!$C$38)</f>
        <v>0.54231204239396258</v>
      </c>
      <c r="U9" s="13">
        <f>T9*(1+Assum!$C$38)</f>
        <v>0.55858140366578146</v>
      </c>
      <c r="V9" s="13">
        <f>U9*(1+Assum!$C$38)</f>
        <v>0.57533884577575489</v>
      </c>
      <c r="W9" s="13">
        <f>V9*(1+Assum!$C$38)</f>
        <v>0.59259901114902758</v>
      </c>
      <c r="X9" s="13">
        <f>W9*(1+Assum!$C$38)</f>
        <v>0.61037698148349839</v>
      </c>
      <c r="Y9" s="13">
        <f>X9*(1+Assum!$C$38)</f>
        <v>0.62868829092800338</v>
      </c>
      <c r="Z9" s="13">
        <f>Y9*(1+Assum!$C$38)</f>
        <v>0.64754893965584348</v>
      </c>
      <c r="AA9" s="13"/>
    </row>
    <row r="10" spans="1:27" hidden="1">
      <c r="A10" s="494" t="s">
        <v>9</v>
      </c>
      <c r="C10" s="494"/>
      <c r="D10" s="11">
        <v>1.55</v>
      </c>
      <c r="E10" s="11">
        <v>1.49</v>
      </c>
      <c r="F10" s="11">
        <v>1.41</v>
      </c>
      <c r="G10" s="11">
        <v>1.2490000000000001</v>
      </c>
      <c r="H10" s="11">
        <v>1.1499999999999999</v>
      </c>
      <c r="I10" s="11">
        <v>1.1000000000000001</v>
      </c>
      <c r="J10" s="11">
        <v>1.05</v>
      </c>
      <c r="K10" s="11">
        <v>1</v>
      </c>
      <c r="L10" s="11">
        <v>0.95</v>
      </c>
      <c r="M10" s="11">
        <v>0.95</v>
      </c>
      <c r="N10" s="11">
        <v>0.9</v>
      </c>
      <c r="O10" s="11">
        <v>0.9</v>
      </c>
      <c r="P10" s="9">
        <f>O10</f>
        <v>0.9</v>
      </c>
      <c r="Q10" s="9">
        <f>P10</f>
        <v>0.9</v>
      </c>
      <c r="R10" s="9">
        <f t="shared" ref="R10:Z10" si="4">Q10</f>
        <v>0.9</v>
      </c>
      <c r="S10" s="9">
        <f t="shared" si="4"/>
        <v>0.9</v>
      </c>
      <c r="T10" s="9">
        <f t="shared" si="4"/>
        <v>0.9</v>
      </c>
      <c r="U10" s="9">
        <f t="shared" si="4"/>
        <v>0.9</v>
      </c>
      <c r="V10" s="9">
        <f t="shared" si="4"/>
        <v>0.9</v>
      </c>
      <c r="W10" s="9">
        <f t="shared" si="4"/>
        <v>0.9</v>
      </c>
      <c r="X10" s="9">
        <f t="shared" si="4"/>
        <v>0.9</v>
      </c>
      <c r="Y10" s="9">
        <f t="shared" si="4"/>
        <v>0.9</v>
      </c>
      <c r="Z10" s="9">
        <f t="shared" si="4"/>
        <v>0.9</v>
      </c>
      <c r="AA10" s="9"/>
    </row>
    <row r="11" spans="1:27" hidden="1">
      <c r="A11" t="s">
        <v>10</v>
      </c>
      <c r="D11" s="31">
        <f>SUM(D9:D10)</f>
        <v>1.8256023056612651</v>
      </c>
      <c r="E11" s="31">
        <f>SUM(E9:E10)</f>
        <v>1.778736023985636</v>
      </c>
      <c r="F11" s="31">
        <f t="shared" ref="F11:P11" si="5">SUM(F9:F10)</f>
        <v>1.712495624436102</v>
      </c>
      <c r="G11" s="31">
        <f t="shared" si="5"/>
        <v>1.5659109331765939</v>
      </c>
      <c r="H11" s="31">
        <f t="shared" si="5"/>
        <v>1.4820131977250284</v>
      </c>
      <c r="I11" s="31">
        <f t="shared" si="5"/>
        <v>1.4478351546873687</v>
      </c>
      <c r="J11" s="31">
        <f t="shared" si="5"/>
        <v>1.414411100719521</v>
      </c>
      <c r="K11" s="31">
        <f t="shared" si="5"/>
        <v>1.3817769668708975</v>
      </c>
      <c r="L11" s="31">
        <f t="shared" si="5"/>
        <v>1.3499703964707856</v>
      </c>
      <c r="M11" s="31">
        <f t="shared" si="5"/>
        <v>1.3690308267263682</v>
      </c>
      <c r="N11" s="31">
        <f t="shared" si="5"/>
        <v>1.3389995742092597</v>
      </c>
      <c r="O11" s="31">
        <f t="shared" si="5"/>
        <v>1.3599199244158713</v>
      </c>
      <c r="P11" s="31">
        <f t="shared" si="5"/>
        <v>1.3818372255957398</v>
      </c>
      <c r="Q11" s="31">
        <f t="shared" ref="Q11:Z11" si="6">SUM(Q9:Q10)</f>
        <v>1.396292342363612</v>
      </c>
      <c r="R11" s="31">
        <f t="shared" si="6"/>
        <v>1.4111811126345204</v>
      </c>
      <c r="S11" s="31">
        <f t="shared" si="6"/>
        <v>1.426516546013556</v>
      </c>
      <c r="T11" s="31">
        <f t="shared" si="6"/>
        <v>1.4423120423939626</v>
      </c>
      <c r="U11" s="31">
        <f t="shared" si="6"/>
        <v>1.4585814036657814</v>
      </c>
      <c r="V11" s="31">
        <f t="shared" si="6"/>
        <v>1.475338845775755</v>
      </c>
      <c r="W11" s="31">
        <f t="shared" si="6"/>
        <v>1.4925990111490277</v>
      </c>
      <c r="X11" s="31">
        <f t="shared" si="6"/>
        <v>1.5103769814834984</v>
      </c>
      <c r="Y11" s="31">
        <f t="shared" si="6"/>
        <v>1.5286882909280033</v>
      </c>
      <c r="Z11" s="31">
        <f t="shared" si="6"/>
        <v>1.5475489396558435</v>
      </c>
      <c r="AA11" s="31"/>
    </row>
    <row r="12" spans="1:27" hidden="1">
      <c r="D12" s="11"/>
    </row>
    <row r="13" spans="1:27" hidden="1">
      <c r="A13" s="491" t="s">
        <v>1316</v>
      </c>
      <c r="C13" s="491"/>
      <c r="D13" s="11"/>
    </row>
    <row r="14" spans="1:27" hidden="1">
      <c r="A14" s="496" t="s">
        <v>11</v>
      </c>
      <c r="C14" s="496"/>
      <c r="D14" s="497">
        <v>3.567E-2</v>
      </c>
      <c r="E14" s="497">
        <v>3.5479999999999998E-2</v>
      </c>
      <c r="F14" s="497">
        <v>3.576E-2</v>
      </c>
      <c r="G14" s="497">
        <v>3.5540000000000002E-2</v>
      </c>
      <c r="H14" s="497">
        <v>3.3000000000000002E-2</v>
      </c>
      <c r="I14" s="498">
        <v>3.1E-2</v>
      </c>
      <c r="J14" s="498">
        <v>2.8750000000000001E-2</v>
      </c>
      <c r="K14" s="498">
        <v>2.811E-2</v>
      </c>
      <c r="L14" s="498">
        <v>2.76E-2</v>
      </c>
      <c r="M14" s="497">
        <v>2.5899999999999999E-2</v>
      </c>
      <c r="N14" s="497">
        <v>2.52E-2</v>
      </c>
      <c r="O14" s="501">
        <v>2.4E-2</v>
      </c>
    </row>
    <row r="15" spans="1:27" hidden="1">
      <c r="A15" s="496" t="s">
        <v>12</v>
      </c>
      <c r="C15" s="496"/>
      <c r="D15" s="13">
        <f t="shared" ref="D15:O15" si="7">D14*E$7</f>
        <v>2.9652471</v>
      </c>
      <c r="E15" s="13">
        <f t="shared" si="7"/>
        <v>2.9494523999999998</v>
      </c>
      <c r="F15" s="13">
        <f t="shared" si="7"/>
        <v>2.9727288000000001</v>
      </c>
      <c r="G15" s="13">
        <f t="shared" si="7"/>
        <v>2.9544402000000001</v>
      </c>
      <c r="H15" s="13">
        <f t="shared" si="7"/>
        <v>2.74329</v>
      </c>
      <c r="I15" s="13">
        <f t="shared" si="7"/>
        <v>2.5770299999999997</v>
      </c>
      <c r="J15" s="13">
        <f t="shared" si="7"/>
        <v>2.3899875000000002</v>
      </c>
      <c r="K15" s="13">
        <f t="shared" si="7"/>
        <v>2.3367842999999997</v>
      </c>
      <c r="L15" s="13">
        <f t="shared" si="7"/>
        <v>2.2943879999999996</v>
      </c>
      <c r="M15" s="13">
        <f t="shared" si="7"/>
        <v>2.1530669999999996</v>
      </c>
      <c r="N15" s="13">
        <f t="shared" si="7"/>
        <v>2.0948759999999997</v>
      </c>
      <c r="O15" s="502">
        <f t="shared" si="7"/>
        <v>1.99512</v>
      </c>
    </row>
    <row r="16" spans="1:27" hidden="1">
      <c r="A16" s="496" t="s">
        <v>13</v>
      </c>
      <c r="C16" s="496"/>
      <c r="D16" s="499">
        <v>1.116E-2</v>
      </c>
      <c r="E16" s="499">
        <v>1.2070000000000001E-2</v>
      </c>
      <c r="F16" s="499">
        <v>1.2489999999999999E-2</v>
      </c>
      <c r="G16" s="499">
        <v>1.2930000000000001E-2</v>
      </c>
      <c r="H16" s="499">
        <v>1.338E-2</v>
      </c>
      <c r="I16" s="499">
        <v>1.3849999999999999E-2</v>
      </c>
      <c r="J16" s="499">
        <v>1.4330000000000001E-2</v>
      </c>
      <c r="K16" s="499">
        <v>1.4760000000000001E-2</v>
      </c>
      <c r="L16" s="499">
        <v>1.521E-2</v>
      </c>
      <c r="M16" s="499">
        <v>1.566E-2</v>
      </c>
      <c r="N16" s="499">
        <v>1.6129999999999999E-2</v>
      </c>
      <c r="O16" s="503">
        <v>1.6613900000000001E-2</v>
      </c>
    </row>
    <row r="17" spans="1:27" hidden="1">
      <c r="A17" s="496" t="s">
        <v>14</v>
      </c>
      <c r="C17" s="496"/>
      <c r="D17" s="13">
        <f t="shared" ref="D17:O17" si="8">D16*E$7</f>
        <v>0.92773079999999997</v>
      </c>
      <c r="E17" s="13">
        <f t="shared" si="8"/>
        <v>1.0033791000000001</v>
      </c>
      <c r="F17" s="13">
        <f t="shared" si="8"/>
        <v>1.0382936999999999</v>
      </c>
      <c r="G17" s="13">
        <f t="shared" si="8"/>
        <v>1.0748709000000001</v>
      </c>
      <c r="H17" s="13">
        <f t="shared" si="8"/>
        <v>1.1122793999999998</v>
      </c>
      <c r="I17" s="13">
        <f t="shared" si="8"/>
        <v>1.1513504999999999</v>
      </c>
      <c r="J17" s="13">
        <f t="shared" si="8"/>
        <v>1.1912529000000001</v>
      </c>
      <c r="K17" s="13">
        <f t="shared" si="8"/>
        <v>1.2269988000000001</v>
      </c>
      <c r="L17" s="13">
        <f t="shared" si="8"/>
        <v>1.2644072999999998</v>
      </c>
      <c r="M17" s="13">
        <f t="shared" si="8"/>
        <v>1.3018158</v>
      </c>
      <c r="N17" s="13">
        <f t="shared" si="8"/>
        <v>1.3408868999999999</v>
      </c>
      <c r="O17" s="502">
        <f t="shared" si="8"/>
        <v>1.381113507</v>
      </c>
    </row>
    <row r="18" spans="1:27" hidden="1">
      <c r="A18" s="496" t="s">
        <v>15</v>
      </c>
      <c r="C18" s="12">
        <v>0.22220000000000001</v>
      </c>
      <c r="D18" s="13">
        <f>C18*(1+($D$5))</f>
        <v>0.22220000000000001</v>
      </c>
      <c r="E18" s="13">
        <f>D18*(1+($D$5))</f>
        <v>0.22220000000000001</v>
      </c>
      <c r="F18" s="13">
        <f t="shared" ref="F18:O18" si="9">E18*(1+($D$5))</f>
        <v>0.22220000000000001</v>
      </c>
      <c r="G18" s="13">
        <f t="shared" si="9"/>
        <v>0.22220000000000001</v>
      </c>
      <c r="H18" s="13">
        <f t="shared" si="9"/>
        <v>0.22220000000000001</v>
      </c>
      <c r="I18" s="13">
        <f t="shared" si="9"/>
        <v>0.22220000000000001</v>
      </c>
      <c r="J18" s="13">
        <f t="shared" si="9"/>
        <v>0.22220000000000001</v>
      </c>
      <c r="K18" s="13">
        <f t="shared" si="9"/>
        <v>0.22220000000000001</v>
      </c>
      <c r="L18" s="13">
        <f t="shared" si="9"/>
        <v>0.22220000000000001</v>
      </c>
      <c r="M18" s="13">
        <f t="shared" si="9"/>
        <v>0.22220000000000001</v>
      </c>
      <c r="N18" s="13">
        <f t="shared" si="9"/>
        <v>0.22220000000000001</v>
      </c>
      <c r="O18" s="13">
        <f t="shared" si="9"/>
        <v>0.22220000000000001</v>
      </c>
      <c r="P18" s="502"/>
    </row>
    <row r="19" spans="1:27" hidden="1">
      <c r="A19" s="496" t="s">
        <v>16</v>
      </c>
      <c r="C19" s="495">
        <v>0.24199999999999999</v>
      </c>
      <c r="D19" s="13">
        <f>C19*(1+($D$6))</f>
        <v>0.25339819999999996</v>
      </c>
      <c r="E19" s="13">
        <f>D19*(1+($D$6))</f>
        <v>0.26533325521999995</v>
      </c>
      <c r="F19" s="13">
        <f t="shared" ref="F19:O19" si="10">E19*(1+($D$6))</f>
        <v>0.27783045154086194</v>
      </c>
      <c r="G19" s="13">
        <f t="shared" si="10"/>
        <v>0.29091626580843655</v>
      </c>
      <c r="H19" s="13">
        <f t="shared" si="10"/>
        <v>0.30461842192801386</v>
      </c>
      <c r="I19" s="13">
        <f t="shared" si="10"/>
        <v>0.31896594960082331</v>
      </c>
      <c r="J19" s="13">
        <f t="shared" si="10"/>
        <v>0.33398924582702205</v>
      </c>
      <c r="K19" s="13">
        <f t="shared" si="10"/>
        <v>0.34972013930547474</v>
      </c>
      <c r="L19" s="13">
        <f t="shared" si="10"/>
        <v>0.36619195786676256</v>
      </c>
      <c r="M19" s="13">
        <f t="shared" si="10"/>
        <v>0.38343959908228703</v>
      </c>
      <c r="N19" s="13">
        <f t="shared" si="10"/>
        <v>0.40149960419906272</v>
      </c>
      <c r="O19" s="13">
        <f t="shared" si="10"/>
        <v>0.42041023555683854</v>
      </c>
      <c r="P19" s="502"/>
    </row>
    <row r="20" spans="1:27" hidden="1">
      <c r="A20" t="s">
        <v>17</v>
      </c>
      <c r="D20" s="9">
        <f>SUM(D17:D19,D15)</f>
        <v>4.3685761000000003</v>
      </c>
      <c r="E20" s="9">
        <f t="shared" ref="E20:O20" si="11">SUM(E17:E19,E15)</f>
        <v>4.4403647552199992</v>
      </c>
      <c r="F20" s="9">
        <f t="shared" si="11"/>
        <v>4.5110529515408615</v>
      </c>
      <c r="G20" s="9">
        <f t="shared" si="11"/>
        <v>4.5424273658084369</v>
      </c>
      <c r="H20" s="9">
        <f t="shared" si="11"/>
        <v>4.3823878219280132</v>
      </c>
      <c r="I20" s="9">
        <f t="shared" si="11"/>
        <v>4.2695464496008224</v>
      </c>
      <c r="J20" s="9">
        <f t="shared" si="11"/>
        <v>4.1374296458270221</v>
      </c>
      <c r="K20" s="9">
        <f t="shared" si="11"/>
        <v>4.1357032393054745</v>
      </c>
      <c r="L20" s="9">
        <f t="shared" si="11"/>
        <v>4.1471872578667615</v>
      </c>
      <c r="M20" s="9">
        <f t="shared" si="11"/>
        <v>4.0605223990822861</v>
      </c>
      <c r="N20" s="9">
        <f t="shared" si="11"/>
        <v>4.0594625041990628</v>
      </c>
      <c r="O20" s="9">
        <f t="shared" si="11"/>
        <v>4.0188437425568386</v>
      </c>
      <c r="P20" s="9"/>
    </row>
    <row r="21" spans="1:27" hidden="1">
      <c r="A21" s="496" t="s">
        <v>18</v>
      </c>
      <c r="C21" s="496"/>
      <c r="D21" s="11">
        <v>0.75</v>
      </c>
      <c r="E21" s="11">
        <v>0.75</v>
      </c>
      <c r="F21" s="11">
        <v>0.75</v>
      </c>
      <c r="G21" s="11">
        <v>0.75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504"/>
    </row>
    <row r="22" spans="1:27" hidden="1">
      <c r="A22" t="s">
        <v>19</v>
      </c>
      <c r="D22" s="9">
        <f>D20-D21</f>
        <v>3.6185761000000003</v>
      </c>
      <c r="E22" s="9">
        <f t="shared" ref="E22:O22" si="12">E20-E21</f>
        <v>3.6903647552199992</v>
      </c>
      <c r="F22" s="9">
        <f t="shared" si="12"/>
        <v>3.7610529515408615</v>
      </c>
      <c r="G22" s="9">
        <f t="shared" si="12"/>
        <v>3.7924273658084369</v>
      </c>
      <c r="H22" s="9">
        <f t="shared" si="12"/>
        <v>4.3823878219280132</v>
      </c>
      <c r="I22" s="9">
        <f t="shared" si="12"/>
        <v>4.2695464496008224</v>
      </c>
      <c r="J22" s="9">
        <f t="shared" si="12"/>
        <v>4.1374296458270221</v>
      </c>
      <c r="K22" s="9">
        <f t="shared" si="12"/>
        <v>4.1357032393054745</v>
      </c>
      <c r="L22" s="9">
        <f t="shared" si="12"/>
        <v>4.1471872578667615</v>
      </c>
      <c r="M22" s="9">
        <f t="shared" si="12"/>
        <v>4.0605223990822861</v>
      </c>
      <c r="N22" s="9">
        <f t="shared" si="12"/>
        <v>4.0594625041990628</v>
      </c>
      <c r="O22" s="9">
        <f t="shared" si="12"/>
        <v>4.0188437425568386</v>
      </c>
      <c r="P22" s="9">
        <f>O22*(1+Assum!$C$25)</f>
        <v>4.0992206174079753</v>
      </c>
      <c r="Q22" s="9">
        <f>P22*(1+Assum!$C$25)</f>
        <v>4.1812050297561347</v>
      </c>
      <c r="R22" s="9">
        <f>Q22*(1+Assum!$C$25)</f>
        <v>4.2648291303512575</v>
      </c>
      <c r="S22" s="9">
        <f>R22*(1+Assum!$C$25)</f>
        <v>4.3501257129582829</v>
      </c>
      <c r="T22" s="9">
        <f>S22*(1+Assum!$C$25)</f>
        <v>4.4371282272174488</v>
      </c>
      <c r="U22" s="9">
        <f>T22*(1+Assum!$C$25)</f>
        <v>4.5258707917617977</v>
      </c>
      <c r="V22" s="9">
        <f>U22*(1+Assum!$C$25)</f>
        <v>4.6163882075970335</v>
      </c>
      <c r="W22" s="9">
        <f>V22*(1+Assum!$C$25)</f>
        <v>4.7087159717489744</v>
      </c>
      <c r="X22" s="9">
        <f>W22*(1+Assum!$C$25)</f>
        <v>4.8028902911839539</v>
      </c>
      <c r="Y22" s="9">
        <f>X22*(1+Assum!$C$25)</f>
        <v>4.8989480970076329</v>
      </c>
      <c r="Z22" s="9">
        <f>Y22*(1+Assum!$C$25)</f>
        <v>4.9969270589477857</v>
      </c>
      <c r="AA22" s="9"/>
    </row>
    <row r="23" spans="1:27" hidden="1">
      <c r="D23" s="500"/>
      <c r="E23" s="500"/>
      <c r="F23" s="500"/>
      <c r="G23" s="500"/>
      <c r="H23" s="500"/>
      <c r="I23" s="500"/>
      <c r="J23" s="500"/>
      <c r="K23" s="500"/>
      <c r="L23" s="500"/>
      <c r="M23" s="500"/>
      <c r="N23" s="500"/>
      <c r="O23" s="500"/>
      <c r="P23" s="500"/>
    </row>
    <row r="24" spans="1:27" s="1" customFormat="1" hidden="1">
      <c r="A24" s="1" t="s">
        <v>20</v>
      </c>
      <c r="D24" s="35">
        <f>D22+D11</f>
        <v>5.4441784056612654</v>
      </c>
      <c r="E24" s="35">
        <f t="shared" ref="E24:Z24" si="13">E22+E11</f>
        <v>5.4691007792056352</v>
      </c>
      <c r="F24" s="35">
        <f t="shared" si="13"/>
        <v>5.4735485759769631</v>
      </c>
      <c r="G24" s="35">
        <f t="shared" si="13"/>
        <v>5.3583382989850303</v>
      </c>
      <c r="H24" s="35">
        <f t="shared" si="13"/>
        <v>5.8644010196530418</v>
      </c>
      <c r="I24" s="35">
        <f t="shared" si="13"/>
        <v>5.7173816042881906</v>
      </c>
      <c r="J24" s="35">
        <f t="shared" si="13"/>
        <v>5.5518407465465431</v>
      </c>
      <c r="K24" s="35">
        <f t="shared" si="13"/>
        <v>5.5174802061763719</v>
      </c>
      <c r="L24" s="35">
        <f t="shared" si="13"/>
        <v>5.4971576543375473</v>
      </c>
      <c r="M24" s="35">
        <f t="shared" si="13"/>
        <v>5.4295532258086538</v>
      </c>
      <c r="N24" s="35">
        <f t="shared" si="13"/>
        <v>5.3984620784083228</v>
      </c>
      <c r="O24" s="35">
        <f t="shared" si="13"/>
        <v>5.3787636669727101</v>
      </c>
      <c r="P24" s="35">
        <f t="shared" si="13"/>
        <v>5.4810578430037147</v>
      </c>
      <c r="Q24" s="389">
        <f t="shared" si="13"/>
        <v>5.5774973721197467</v>
      </c>
      <c r="R24" s="389">
        <f t="shared" si="13"/>
        <v>5.6760102429857779</v>
      </c>
      <c r="S24" s="389">
        <f t="shared" si="13"/>
        <v>5.7766422589718385</v>
      </c>
      <c r="T24" s="389">
        <f t="shared" si="13"/>
        <v>5.8794402696114112</v>
      </c>
      <c r="U24" s="389">
        <f t="shared" si="13"/>
        <v>5.9844521954275791</v>
      </c>
      <c r="V24" s="389">
        <f t="shared" si="13"/>
        <v>6.0917270533727885</v>
      </c>
      <c r="W24" s="389">
        <f t="shared" si="13"/>
        <v>6.2013149828980021</v>
      </c>
      <c r="X24" s="389">
        <f t="shared" si="13"/>
        <v>6.3132672726674528</v>
      </c>
      <c r="Y24" s="389">
        <f t="shared" si="13"/>
        <v>6.4276363879356362</v>
      </c>
      <c r="Z24" s="389">
        <f t="shared" si="13"/>
        <v>6.5444759986036294</v>
      </c>
      <c r="AA24" s="389"/>
    </row>
    <row r="25" spans="1:27" hidden="1">
      <c r="D25" s="11">
        <v>1</v>
      </c>
      <c r="E25" s="13">
        <f>D25/(1+Assum!$B$77)</f>
        <v>0.9174311926605504</v>
      </c>
      <c r="F25" s="13">
        <f>E25/(1+Assum!$B$77)</f>
        <v>0.84167999326655996</v>
      </c>
      <c r="G25" s="13">
        <f>F25/(1+Assum!$B$77)</f>
        <v>0.77218348006106408</v>
      </c>
      <c r="H25" s="13">
        <f>G25/(1+Assum!$B$77)</f>
        <v>0.7084252110651964</v>
      </c>
      <c r="I25" s="13">
        <f>H25/(1+Assum!$B$77)</f>
        <v>0.64993138629834524</v>
      </c>
      <c r="J25" s="13">
        <f>I25/(1+Assum!$B$77)</f>
        <v>0.5962673268792158</v>
      </c>
      <c r="K25" s="13">
        <f>J25/(1+Assum!$B$77)</f>
        <v>0.5470342448433172</v>
      </c>
      <c r="L25" s="13">
        <f>K25/(1+Assum!$B$77)</f>
        <v>0.50186627967276798</v>
      </c>
      <c r="M25" s="13">
        <f>L25/(1+Assum!$B$77)</f>
        <v>0.46042777951630087</v>
      </c>
      <c r="N25" s="13">
        <f>M25/(1+Assum!$B$77)</f>
        <v>0.42241080689568883</v>
      </c>
      <c r="O25" s="13">
        <f>N25/(1+Assum!$B$77)</f>
        <v>0.38753285036301727</v>
      </c>
      <c r="P25" s="13"/>
    </row>
    <row r="26" spans="1:27" hidden="1">
      <c r="D26" s="13">
        <f t="shared" ref="D26:O26" si="14">D24*D25</f>
        <v>5.4441784056612654</v>
      </c>
      <c r="E26" s="13">
        <f t="shared" si="14"/>
        <v>5.0175236506473713</v>
      </c>
      <c r="F26" s="13">
        <f t="shared" si="14"/>
        <v>4.606976328572479</v>
      </c>
      <c r="G26" s="13">
        <f t="shared" si="14"/>
        <v>4.1376203150547433</v>
      </c>
      <c r="H26" s="13">
        <f t="shared" si="14"/>
        <v>4.1544895301186591</v>
      </c>
      <c r="I26" s="13">
        <f t="shared" si="14"/>
        <v>3.7159057520716807</v>
      </c>
      <c r="J26" s="13">
        <f t="shared" si="14"/>
        <v>3.3103812412024172</v>
      </c>
      <c r="K26" s="13">
        <f t="shared" si="14"/>
        <v>3.0182506180236417</v>
      </c>
      <c r="L26" s="13">
        <f t="shared" si="14"/>
        <v>2.7588380607570646</v>
      </c>
      <c r="M26" s="13">
        <f t="shared" si="14"/>
        <v>2.499917135524647</v>
      </c>
      <c r="N26" s="13">
        <f t="shared" si="14"/>
        <v>2.2803687225362368</v>
      </c>
      <c r="O26" s="13">
        <f t="shared" si="14"/>
        <v>2.0844476152909692</v>
      </c>
      <c r="P26" s="13"/>
    </row>
    <row r="27" spans="1:27" hidden="1">
      <c r="A27" s="491" t="s">
        <v>21</v>
      </c>
      <c r="C27" s="491"/>
      <c r="D27" s="35">
        <f>SUM(D26:O26)/SUM(D25:O25)</f>
        <v>5.5128567446787677</v>
      </c>
    </row>
    <row r="29" spans="1:27">
      <c r="A29" s="491" t="s">
        <v>1321</v>
      </c>
      <c r="D29" s="1">
        <v>4.91</v>
      </c>
    </row>
    <row r="30" spans="1:27">
      <c r="A30" s="491" t="s">
        <v>1322</v>
      </c>
      <c r="B30" s="781" t="s">
        <v>25</v>
      </c>
      <c r="C30" s="558">
        <v>5.6</v>
      </c>
      <c r="D30" s="542">
        <f>C30+C30*D32</f>
        <v>5.88</v>
      </c>
      <c r="E30" s="542">
        <f>D30+D30*D32</f>
        <v>6.1739999999999995</v>
      </c>
      <c r="F30" s="542">
        <f>E30+E30*D32</f>
        <v>6.4826999999999995</v>
      </c>
      <c r="G30" s="542">
        <f>F30+F30*D32</f>
        <v>6.8068349999999995</v>
      </c>
      <c r="H30" s="542">
        <f>G30+G30*D32</f>
        <v>7.1471767499999999</v>
      </c>
    </row>
    <row r="31" spans="1:27">
      <c r="B31" s="781" t="s">
        <v>26</v>
      </c>
      <c r="C31" s="558">
        <f>5.534+C32</f>
        <v>6.0339999999999998</v>
      </c>
      <c r="D31" s="542">
        <f>C31+C31*$D$32</f>
        <v>6.3357000000000001</v>
      </c>
      <c r="E31" s="542">
        <f>D31+D31*$D$32</f>
        <v>6.6524850000000004</v>
      </c>
      <c r="F31" s="542">
        <f t="shared" ref="F31:H31" si="15">E31+E31*$D$32</f>
        <v>6.9851092500000007</v>
      </c>
      <c r="G31" s="542">
        <f t="shared" si="15"/>
        <v>7.3343647125000011</v>
      </c>
      <c r="H31" s="542">
        <f t="shared" si="15"/>
        <v>7.7010829481250012</v>
      </c>
    </row>
    <row r="32" spans="1:27">
      <c r="A32" s="786" t="s">
        <v>1500</v>
      </c>
      <c r="B32" s="764" t="s">
        <v>1499</v>
      </c>
      <c r="C32" s="542">
        <v>0.5</v>
      </c>
      <c r="D32" s="471">
        <v>0.05</v>
      </c>
      <c r="E32" s="558">
        <v>5.6</v>
      </c>
    </row>
    <row r="36" spans="1:3">
      <c r="C36" s="768" t="s">
        <v>1468</v>
      </c>
    </row>
    <row r="44" spans="1:3">
      <c r="A44" t="s">
        <v>1465</v>
      </c>
      <c r="C44" s="764" t="s">
        <v>1464</v>
      </c>
    </row>
  </sheetData>
  <hyperlinks>
    <hyperlink ref="C44" r:id="rId1" display="https://powerline.net.in/2021/07/07/cost-economics-3/" xr:uid="{4B17B98D-360A-4EB0-B002-D4D63D9FC5FD}"/>
    <hyperlink ref="B32" r:id="rId2" display="https://www.iexindia.com/marketdata/areaprice.aspx" xr:uid="{D434024C-43A9-4EE2-A10C-93EF743CA190}"/>
  </hyperlinks>
  <pageMargins left="0.69930555555555596" right="0.69930555555555596" top="0.75" bottom="0.75" header="0.3" footer="0.3"/>
  <pageSetup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98"/>
  <sheetViews>
    <sheetView tabSelected="1" workbookViewId="0">
      <pane ySplit="2" topLeftCell="A3" activePane="bottomLeft" state="frozen"/>
      <selection pane="bottomLeft" activeCell="K6" sqref="K6"/>
    </sheetView>
  </sheetViews>
  <sheetFormatPr defaultColWidth="9.109375" defaultRowHeight="14.4"/>
  <cols>
    <col min="1" max="1" width="34" customWidth="1"/>
    <col min="2" max="2" width="11.5546875" hidden="1" customWidth="1"/>
    <col min="3" max="10" width="10.6640625" hidden="1" customWidth="1"/>
    <col min="11" max="11" width="11.88671875" customWidth="1"/>
    <col min="12" max="12" width="13.109375" customWidth="1"/>
    <col min="13" max="21" width="10.6640625" customWidth="1"/>
    <col min="22" max="28" width="11.6640625" customWidth="1"/>
    <col min="29" max="31" width="10.6640625" customWidth="1"/>
  </cols>
  <sheetData>
    <row r="1" spans="1:31">
      <c r="A1" s="750"/>
      <c r="B1" s="789">
        <f>DATE(2017,3,31)</f>
        <v>42825</v>
      </c>
      <c r="C1" s="790">
        <f>EOMONTH(B1,Assum!$B$151)</f>
        <v>43008</v>
      </c>
      <c r="D1" s="790">
        <f>EOMONTH(C1,Assum!$B$151)</f>
        <v>43190</v>
      </c>
      <c r="E1" s="790">
        <f>D1</f>
        <v>43190</v>
      </c>
      <c r="F1" s="790">
        <f>EOMONTH(D1,Assum!$B$150)</f>
        <v>43555</v>
      </c>
      <c r="G1" s="790">
        <f>EOMONTH(F1,Assum!$B$150)</f>
        <v>43921</v>
      </c>
      <c r="H1" s="790">
        <f>EOMONTH(G1,Assum!$B$150)</f>
        <v>44286</v>
      </c>
      <c r="I1" s="790">
        <f>EOMONTH(H1,Assum!$B$150)</f>
        <v>44651</v>
      </c>
      <c r="J1" s="790">
        <f>EOMONTH(I1,Assum!$B$150)</f>
        <v>45016</v>
      </c>
      <c r="K1" s="790">
        <f>EOMONTH(J1,Assum!$B$150)</f>
        <v>45382</v>
      </c>
      <c r="L1" s="790">
        <f>EOMONTH(K1,Assum!$B$150)</f>
        <v>45747</v>
      </c>
      <c r="M1" s="790">
        <f>EOMONTH(L1,Assum!$B$150)</f>
        <v>46112</v>
      </c>
      <c r="N1" s="790">
        <f>EOMONTH(M1,Assum!$B$150)</f>
        <v>46477</v>
      </c>
      <c r="O1" s="790">
        <f>EOMONTH(N1,Assum!$B$150)</f>
        <v>46843</v>
      </c>
      <c r="P1" s="790">
        <f>EOMONTH(O1,Assum!$B$150)</f>
        <v>47208</v>
      </c>
      <c r="Q1" s="790">
        <f>EOMONTH(P1,Assum!$B$150)</f>
        <v>47573</v>
      </c>
      <c r="R1" s="790">
        <f>EOMONTH(Q1,Assum!$B$150)</f>
        <v>47938</v>
      </c>
      <c r="S1" s="790">
        <f>EOMONTH(R1,Assum!$B$150)</f>
        <v>48304</v>
      </c>
      <c r="T1" s="790">
        <f>EOMONTH(S1,Assum!$B$150)</f>
        <v>48669</v>
      </c>
      <c r="U1" s="790">
        <f>EOMONTH(T1,Assum!$B$150)</f>
        <v>49034</v>
      </c>
      <c r="V1" s="790">
        <f>EOMONTH(U1,Assum!$B$150)</f>
        <v>49399</v>
      </c>
      <c r="W1" s="790">
        <f>EOMONTH(V1,Assum!$B$150)</f>
        <v>49765</v>
      </c>
      <c r="X1" s="790">
        <f>EOMONTH(W1,Assum!$B$150)</f>
        <v>50130</v>
      </c>
      <c r="Y1" s="790">
        <f>EOMONTH(X1,Assum!$B$150)</f>
        <v>50495</v>
      </c>
      <c r="Z1" s="790">
        <f>EOMONTH(Y1,Assum!$B$150)</f>
        <v>50860</v>
      </c>
      <c r="AA1" s="790">
        <f>EOMONTH(Z1,Assum!$B$150)</f>
        <v>51226</v>
      </c>
      <c r="AB1" s="790">
        <f>Assum!D4</f>
        <v>51513</v>
      </c>
      <c r="AD1" s="385"/>
      <c r="AE1" s="385"/>
    </row>
    <row r="2" spans="1:31">
      <c r="A2" s="750" t="s">
        <v>75</v>
      </c>
      <c r="B2" s="789"/>
      <c r="C2" s="791">
        <f>Assum!$B$53</f>
        <v>83.13</v>
      </c>
      <c r="D2" s="792">
        <f>C2</f>
        <v>83.13</v>
      </c>
      <c r="E2" s="792">
        <f>D2</f>
        <v>83.13</v>
      </c>
      <c r="F2" s="792">
        <f>IF(D2*(1+Assum!$B$54)&gt;Assum!$B$55,Assum!$B$55,D2*(1+Assum!$B$54))</f>
        <v>83.13</v>
      </c>
      <c r="G2" s="792">
        <f>IF(F2*(1+Assum!$B$54)&gt;Assum!$B$55,Assum!$B$55,F2*(1+Assum!$B$54))</f>
        <v>83.13</v>
      </c>
      <c r="H2" s="792">
        <f>IF(G2*(1+Assum!$B$54)&gt;Assum!$B$55,Assum!$B$55,G2*(1+Assum!$B$54))</f>
        <v>83.13</v>
      </c>
      <c r="I2" s="792">
        <f>IF(H2*(1+Assum!$B$54)&gt;Assum!$B$55,Assum!$B$55,H2*(1+Assum!$B$54))</f>
        <v>83.13</v>
      </c>
      <c r="J2" s="792">
        <f>IF(I2*(1+Assum!$B$54)&gt;Assum!$B$55,Assum!$B$55,I2*(1+Assum!$B$54))</f>
        <v>83.13</v>
      </c>
      <c r="K2" s="792">
        <f>IF(J2*(1+Assum!$B$54)&gt;Assum!$B$55,Assum!$B$55,J2*(1+Assum!$B$54))</f>
        <v>83.13</v>
      </c>
      <c r="L2" s="792">
        <f>IF(K2*(1+Assum!$B$54)&gt;Assum!$B$55,Assum!$B$55,K2*(1+Assum!$B$54))</f>
        <v>83.13</v>
      </c>
      <c r="M2" s="792">
        <f>IF(L2*(1+Assum!$B$54)&gt;Assum!$B$55,Assum!$B$55,L2*(1+Assum!$B$54))</f>
        <v>83.13</v>
      </c>
      <c r="N2" s="792">
        <f>IF(M2*(1+Assum!$B$54)&gt;Assum!$B$55,Assum!$B$55,M2*(1+Assum!$B$54))</f>
        <v>83.13</v>
      </c>
      <c r="O2" s="792">
        <f>IF(N2*(1+Assum!$B$54)&gt;Assum!$B$55,Assum!$B$55,N2*(1+Assum!$B$54))</f>
        <v>83.13</v>
      </c>
      <c r="P2" s="792">
        <f>IF(O2*(1+Assum!$B$54)&gt;Assum!$B$55,Assum!$B$55,O2*(1+Assum!$B$54))</f>
        <v>83.13</v>
      </c>
      <c r="Q2" s="792">
        <f>IF(P2*(1+Assum!$B$54)&gt;Assum!$B$55,Assum!$B$55,P2*(1+Assum!$B$54))</f>
        <v>83.13</v>
      </c>
      <c r="R2" s="792">
        <f>IF(Q2*(1+Assum!$B$54)&gt;Assum!$B$55,Assum!$B$55,Q2*(1+Assum!$B$54))</f>
        <v>83.13</v>
      </c>
      <c r="S2" s="792">
        <f>IF(R2*(1+Assum!$B$54)&gt;Assum!$B$55,Assum!$B$55,R2*(1+Assum!$B$54))</f>
        <v>83.13</v>
      </c>
      <c r="T2" s="792">
        <f>IF(S2*(1+Assum!$B$54)&gt;Assum!$B$55,Assum!$B$55,S2*(1+Assum!$B$54))</f>
        <v>83.13</v>
      </c>
      <c r="U2" s="792">
        <f>IF(T2*(1+Assum!$B$54)&gt;Assum!$B$55,Assum!$B$55,T2*(1+Assum!$B$54))</f>
        <v>83.13</v>
      </c>
      <c r="V2" s="792">
        <f>IF(U2*(1+Assum!$B$54)&gt;Assum!$B$55,Assum!$B$55,U2*(1+Assum!$B$54))</f>
        <v>83.13</v>
      </c>
      <c r="W2" s="792">
        <f>IF(V2*(1+Assum!$B$54)&gt;Assum!$B$55,Assum!$B$55,V2*(1+Assum!$B$54))</f>
        <v>83.13</v>
      </c>
      <c r="X2" s="792">
        <f>IF(W2*(1+Assum!$B$54)&gt;Assum!$B$55,Assum!$B$55,W2*(1+Assum!$B$54))</f>
        <v>83.13</v>
      </c>
      <c r="Y2" s="792">
        <f>IF(X2*(1+Assum!$B$54)&gt;Assum!$B$55,Assum!$B$55,X2*(1+Assum!$B$54))</f>
        <v>83.13</v>
      </c>
      <c r="Z2" s="792">
        <f>IF(Y2*(1+Assum!$B$54)&gt;Assum!$B$55,Assum!$B$55,Y2*(1+Assum!$B$54))</f>
        <v>83.13</v>
      </c>
      <c r="AA2" s="792">
        <f>IF(Z2*(1+Assum!$B$54)&gt;Assum!$B$55,Assum!$B$55,Z2*(1+Assum!$B$54))</f>
        <v>83.13</v>
      </c>
      <c r="AB2" s="792">
        <f>IF(AA2*(1+Assum!$B$54)&gt;Assum!$B$55,Assum!$B$55,AA2*(1+Assum!$B$54))</f>
        <v>83.13</v>
      </c>
      <c r="AC2" s="386"/>
      <c r="AD2" s="385"/>
      <c r="AE2" s="385"/>
    </row>
    <row r="3" spans="1:31">
      <c r="A3" s="750"/>
      <c r="B3" s="789"/>
      <c r="C3" s="791"/>
      <c r="D3" s="792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  <c r="W3" s="792"/>
      <c r="X3" s="792"/>
      <c r="Y3" s="792"/>
      <c r="Z3" s="792"/>
      <c r="AA3" s="791">
        <f>AA4-Assum!H3</f>
        <v>266</v>
      </c>
      <c r="AB3" s="792">
        <f>Z4-Assum!H4</f>
        <v>287</v>
      </c>
      <c r="AC3" s="386"/>
      <c r="AD3" s="385"/>
      <c r="AE3" s="385"/>
    </row>
    <row r="4" spans="1:31">
      <c r="A4" s="750"/>
      <c r="B4" s="789"/>
      <c r="C4" s="791">
        <f>C1-B1</f>
        <v>183</v>
      </c>
      <c r="D4" s="791">
        <f>D1-C1</f>
        <v>182</v>
      </c>
      <c r="E4" s="791">
        <f>E1-B1</f>
        <v>365</v>
      </c>
      <c r="F4" s="791">
        <f>F1-D1</f>
        <v>365</v>
      </c>
      <c r="G4" s="791">
        <f t="shared" ref="G4:AB4" si="0">G1-F1</f>
        <v>366</v>
      </c>
      <c r="H4" s="791">
        <f t="shared" si="0"/>
        <v>365</v>
      </c>
      <c r="I4" s="791">
        <f t="shared" si="0"/>
        <v>365</v>
      </c>
      <c r="J4" s="791">
        <f t="shared" si="0"/>
        <v>365</v>
      </c>
      <c r="K4" s="791">
        <f t="shared" si="0"/>
        <v>366</v>
      </c>
      <c r="L4" s="791">
        <f t="shared" si="0"/>
        <v>365</v>
      </c>
      <c r="M4" s="791">
        <f t="shared" si="0"/>
        <v>365</v>
      </c>
      <c r="N4" s="791">
        <f t="shared" si="0"/>
        <v>365</v>
      </c>
      <c r="O4" s="791">
        <f t="shared" si="0"/>
        <v>366</v>
      </c>
      <c r="P4" s="791">
        <f t="shared" si="0"/>
        <v>365</v>
      </c>
      <c r="Q4" s="791">
        <f t="shared" si="0"/>
        <v>365</v>
      </c>
      <c r="R4" s="791">
        <f t="shared" si="0"/>
        <v>365</v>
      </c>
      <c r="S4" s="791">
        <f t="shared" si="0"/>
        <v>366</v>
      </c>
      <c r="T4" s="791">
        <f t="shared" si="0"/>
        <v>365</v>
      </c>
      <c r="U4" s="791">
        <f t="shared" si="0"/>
        <v>365</v>
      </c>
      <c r="V4" s="791">
        <f t="shared" si="0"/>
        <v>365</v>
      </c>
      <c r="W4" s="791">
        <f t="shared" si="0"/>
        <v>366</v>
      </c>
      <c r="X4" s="791">
        <f t="shared" si="0"/>
        <v>365</v>
      </c>
      <c r="Y4" s="791">
        <f t="shared" si="0"/>
        <v>365</v>
      </c>
      <c r="Z4" s="791">
        <f t="shared" si="0"/>
        <v>365</v>
      </c>
      <c r="AA4" s="791">
        <f t="shared" si="0"/>
        <v>366</v>
      </c>
      <c r="AB4" s="791">
        <f t="shared" si="0"/>
        <v>287</v>
      </c>
      <c r="AC4" s="386"/>
      <c r="AD4" s="385"/>
      <c r="AE4" s="385"/>
    </row>
    <row r="5" spans="1:31">
      <c r="A5" s="793" t="s">
        <v>25</v>
      </c>
      <c r="B5" s="750"/>
      <c r="C5" s="794">
        <f>Assum!$B$6</f>
        <v>600</v>
      </c>
      <c r="D5" s="794">
        <f>Assum!$B$6</f>
        <v>600</v>
      </c>
      <c r="E5" s="794"/>
      <c r="F5" s="794">
        <f>Assum!$B$6</f>
        <v>600</v>
      </c>
      <c r="G5" s="794">
        <f>Assum!$B$6</f>
        <v>600</v>
      </c>
      <c r="H5" s="794">
        <f>Assum!$B$6</f>
        <v>600</v>
      </c>
      <c r="I5" s="794">
        <f>Assum!$B$6</f>
        <v>600</v>
      </c>
      <c r="J5" s="794">
        <f>Assum!$B$6</f>
        <v>600</v>
      </c>
      <c r="K5" s="794">
        <f>Assum!$B$6</f>
        <v>600</v>
      </c>
      <c r="L5" s="794">
        <f>Assum!$B$6</f>
        <v>600</v>
      </c>
      <c r="M5" s="794">
        <f>Assum!$B$6</f>
        <v>600</v>
      </c>
      <c r="N5" s="794">
        <f>Assum!$B$6</f>
        <v>600</v>
      </c>
      <c r="O5" s="794">
        <f>Assum!$B$6</f>
        <v>600</v>
      </c>
      <c r="P5" s="794">
        <f>Assum!$B$6</f>
        <v>600</v>
      </c>
      <c r="Q5" s="794">
        <f>Assum!$B$6</f>
        <v>600</v>
      </c>
      <c r="R5" s="794">
        <f>Assum!$B$6</f>
        <v>600</v>
      </c>
      <c r="S5" s="794">
        <f>Assum!$B$6</f>
        <v>600</v>
      </c>
      <c r="T5" s="794">
        <f>Assum!$B$6</f>
        <v>600</v>
      </c>
      <c r="U5" s="794">
        <f>Assum!$B$6</f>
        <v>600</v>
      </c>
      <c r="V5" s="794">
        <f>Assum!$B$6</f>
        <v>600</v>
      </c>
      <c r="W5" s="794">
        <f>Assum!$B$6</f>
        <v>600</v>
      </c>
      <c r="X5" s="794">
        <f>Assum!$B$6</f>
        <v>600</v>
      </c>
      <c r="Y5" s="794">
        <f>Assum!$B$6</f>
        <v>600</v>
      </c>
      <c r="Z5" s="794">
        <f>Assum!$B$6</f>
        <v>600</v>
      </c>
      <c r="AA5" s="794">
        <f>Assum!$B$6</f>
        <v>600</v>
      </c>
      <c r="AB5" s="794"/>
      <c r="AC5" s="9"/>
    </row>
    <row r="6" spans="1:31">
      <c r="A6" s="795" t="s">
        <v>281</v>
      </c>
      <c r="B6" s="750"/>
      <c r="C6" s="755">
        <f>C5*Assum!$B$156*Assum!$B$155*(C$1-B$1)*Assum!$B$11/mn</f>
        <v>1581.12</v>
      </c>
      <c r="D6" s="755">
        <f>D5*Assum!$B$156*Assum!$B$155*(D$1-C$1)*Assum!$C$11/mn</f>
        <v>1703.52</v>
      </c>
      <c r="E6" s="755">
        <f>D6+C6</f>
        <v>3284.64</v>
      </c>
      <c r="F6" s="755">
        <f>F5*Assum!$B$156*Assum!$B$155*(F$1-D$1)*Assum!$D$11/mn</f>
        <v>3416.4</v>
      </c>
      <c r="G6" s="755">
        <f>G5*Assum!$B$156*Assum!$B$155*(G$1-F$1)*Assum!$E$11/mn</f>
        <v>4479.84</v>
      </c>
      <c r="H6" s="755">
        <f>H5*Assum!$B$156*Assum!$B$155*(H$1-G$1)*Assum!$E$11/mn</f>
        <v>4467.6000000000004</v>
      </c>
      <c r="I6" s="755">
        <f>I5*Assum!$B$156*Assum!$B$155*(I$1-H$1)*Assum!$E$11/mn</f>
        <v>4467.6000000000004</v>
      </c>
      <c r="J6" s="755">
        <f>J5*Assum!$B$156*Assum!$B$155*(J$1-I$1)*Assum!$E$11/mn</f>
        <v>4467.6000000000004</v>
      </c>
      <c r="K6" s="755">
        <f>K5*Assum!$B$155*(K$1-J$1)*Assum!I11/1000</f>
        <v>2635.2</v>
      </c>
      <c r="L6" s="755">
        <f>L5*Assum!$B$156*Assum!$B$155*(L$1-K$1)*Assum!J11/mn</f>
        <v>2628</v>
      </c>
      <c r="M6" s="755">
        <f>M5*Assum!$B$156*Assum!$B$155*(M$1-L$1)*Assum!K11/mn</f>
        <v>2628</v>
      </c>
      <c r="N6" s="755">
        <f>N5*Assum!$B$156*Assum!$B$155*(N$1-M$1)*Assum!L11/mn</f>
        <v>2785.68</v>
      </c>
      <c r="O6" s="755">
        <f>O5*Assum!$B$156*Assum!$B$155*(O$1-N$1)*Assum!M11/mn</f>
        <v>2793.3119999999999</v>
      </c>
      <c r="P6" s="755">
        <f>P5*Assum!$B$156*Assum!$B$155*(P$1-O$1)*Assum!N11/mn</f>
        <v>2943.3600000000006</v>
      </c>
      <c r="Q6" s="755">
        <f>Q5*Assum!$B$156*Assum!$B$155*(Q$1-P$1)*Assum!O11/mn</f>
        <v>2943.3600000000006</v>
      </c>
      <c r="R6" s="755">
        <f>R5*Assum!$B$156*Assum!$B$155*(R$1-Q$1)*Assum!P11/mn</f>
        <v>3101.0400000000004</v>
      </c>
      <c r="S6" s="755">
        <f>S5*Assum!$B$156*Assum!$B$155*(S$1-R$1)*Assum!Q11/mn</f>
        <v>3109.5360000000005</v>
      </c>
      <c r="T6" s="755">
        <f>T5*Assum!$B$156*Assum!$B$155*(T$1-S$1)*Assum!R11/mn</f>
        <v>3258.7200000000003</v>
      </c>
      <c r="U6" s="755">
        <f>U5*Assum!$B$156*Assum!$B$155*(U$1-T$1)*Assum!S11/mn</f>
        <v>3258.7200000000003</v>
      </c>
      <c r="V6" s="755">
        <f>V5*Assum!$B$156*Assum!$B$155*(V$1-U$1)*Assum!T11/mn</f>
        <v>3416.4000000000005</v>
      </c>
      <c r="W6" s="755">
        <f>W5*Assum!$B$156*Assum!$B$155*(W$1-V$1)*Assum!U11/mn</f>
        <v>3425.7600000000007</v>
      </c>
      <c r="X6" s="755">
        <f>X5*Assum!$B$156*Assum!$B$155*(X$1-W$1)*Assum!V11/mn</f>
        <v>3574.0800000000008</v>
      </c>
      <c r="Y6" s="755">
        <f>Y5*Assum!$B$156*Assum!$B$155*(Y$1-X$1)*Assum!W11/mn</f>
        <v>3679.2</v>
      </c>
      <c r="Z6" s="755">
        <f>Z5*Assum!$B$156*Assum!$B$155*(Z$1-Y$1)*Assum!X11/mn</f>
        <v>3679.2</v>
      </c>
      <c r="AA6" s="755">
        <f>AA5*Assum!$B$156*Assum!$B$155*(AA3)*Assum!Y11/mn</f>
        <v>2681.28</v>
      </c>
      <c r="AB6" s="755"/>
      <c r="AC6" s="13"/>
    </row>
    <row r="7" spans="1:31">
      <c r="A7" s="795" t="s">
        <v>282</v>
      </c>
      <c r="B7" s="750"/>
      <c r="C7" s="794">
        <f>C6*(Assum!$B$15+Assum!$B$16)</f>
        <v>106.7256</v>
      </c>
      <c r="D7" s="794">
        <f>D6*(Assum!$B$15+Assum!$B$16)</f>
        <v>114.9876</v>
      </c>
      <c r="E7" s="755">
        <f>D7+C7</f>
        <v>221.7132</v>
      </c>
      <c r="F7" s="794">
        <f>F6*(Assum!$B$15+Assum!$B$16)</f>
        <v>230.60700000000003</v>
      </c>
      <c r="G7" s="794">
        <f>G6*(Assum!$B$15+Assum!$B$16)</f>
        <v>302.38920000000002</v>
      </c>
      <c r="H7" s="794">
        <f>H6*(Assum!$B$15+Assum!$B$16)</f>
        <v>301.56300000000005</v>
      </c>
      <c r="I7" s="794">
        <f>I6*(Assum!$B$15+Assum!$B$16)</f>
        <v>301.56300000000005</v>
      </c>
      <c r="J7" s="794">
        <f>J6*(Assum!$B$15+Assum!$B$16)</f>
        <v>301.56300000000005</v>
      </c>
      <c r="K7" s="794">
        <f>K6*(Assum!$B$15+Assum!$B$16)</f>
        <v>177.876</v>
      </c>
      <c r="L7" s="794">
        <f>L6*(Assum!$B$15+Assum!$B$16)</f>
        <v>177.39000000000001</v>
      </c>
      <c r="M7" s="794">
        <f>M6*(Assum!$B$15+Assum!$B$16)</f>
        <v>177.39000000000001</v>
      </c>
      <c r="N7" s="794">
        <f>N6*(Assum!$B$15+Assum!$B$16)</f>
        <v>188.0334</v>
      </c>
      <c r="O7" s="794">
        <f>O6*(Assum!$B$15+Assum!$B$16)</f>
        <v>188.54856000000001</v>
      </c>
      <c r="P7" s="794">
        <f>P6*(Assum!$B$15+Assum!$B$16)</f>
        <v>198.67680000000004</v>
      </c>
      <c r="Q7" s="794">
        <f>Q6*(Assum!$B$15+Assum!$B$16)</f>
        <v>198.67680000000004</v>
      </c>
      <c r="R7" s="794">
        <f>R6*(Assum!$B$15+Assum!$B$16)</f>
        <v>209.32020000000003</v>
      </c>
      <c r="S7" s="794">
        <f>S6*(Assum!$B$15+Assum!$B$16)</f>
        <v>209.89368000000005</v>
      </c>
      <c r="T7" s="794">
        <f>T6*(Assum!$B$15+Assum!$B$16)</f>
        <v>219.96360000000004</v>
      </c>
      <c r="U7" s="794">
        <f>U6*(Assum!$B$15+Assum!$B$16)</f>
        <v>219.96360000000004</v>
      </c>
      <c r="V7" s="794">
        <f>V6*(Assum!$B$15+Assum!$B$16)</f>
        <v>230.60700000000006</v>
      </c>
      <c r="W7" s="794">
        <f>W6*(Assum!$B$15+Assum!$B$16)</f>
        <v>231.23880000000005</v>
      </c>
      <c r="X7" s="794">
        <f>X6*(Assum!$B$15+Assum!$B$16)</f>
        <v>241.25040000000007</v>
      </c>
      <c r="Y7" s="794">
        <f>Y6*(Assum!$B$15+Assum!$B$16)</f>
        <v>248.346</v>
      </c>
      <c r="Z7" s="794">
        <f>Z6*(Assum!$B$15+Assum!$B$16)</f>
        <v>248.346</v>
      </c>
      <c r="AA7" s="794">
        <f>AA6*(Assum!$B$15+Assum!$B$16)</f>
        <v>180.98640000000003</v>
      </c>
      <c r="AB7" s="794"/>
    </row>
    <row r="8" spans="1:31">
      <c r="A8" s="796" t="s">
        <v>283</v>
      </c>
      <c r="B8" s="756"/>
      <c r="C8" s="797">
        <f>C6-C7</f>
        <v>1474.3943999999999</v>
      </c>
      <c r="D8" s="797">
        <f t="shared" ref="D8:AA8" si="1">D6-D7</f>
        <v>1588.5324000000001</v>
      </c>
      <c r="E8" s="797">
        <f t="shared" si="1"/>
        <v>3062.9267999999997</v>
      </c>
      <c r="F8" s="797">
        <f t="shared" si="1"/>
        <v>3185.7930000000001</v>
      </c>
      <c r="G8" s="797">
        <f t="shared" si="1"/>
        <v>4177.4508000000005</v>
      </c>
      <c r="H8" s="797">
        <f t="shared" si="1"/>
        <v>4166.0370000000003</v>
      </c>
      <c r="I8" s="797">
        <f t="shared" si="1"/>
        <v>4166.0370000000003</v>
      </c>
      <c r="J8" s="797">
        <f t="shared" si="1"/>
        <v>4166.0370000000003</v>
      </c>
      <c r="K8" s="797">
        <f t="shared" si="1"/>
        <v>2457.3239999999996</v>
      </c>
      <c r="L8" s="797">
        <f t="shared" si="1"/>
        <v>2450.61</v>
      </c>
      <c r="M8" s="797">
        <f t="shared" si="1"/>
        <v>2450.61</v>
      </c>
      <c r="N8" s="797">
        <f t="shared" si="1"/>
        <v>2597.6466</v>
      </c>
      <c r="O8" s="797">
        <f t="shared" si="1"/>
        <v>2604.7634399999997</v>
      </c>
      <c r="P8" s="797">
        <f t="shared" si="1"/>
        <v>2744.6832000000004</v>
      </c>
      <c r="Q8" s="797">
        <f t="shared" si="1"/>
        <v>2744.6832000000004</v>
      </c>
      <c r="R8" s="797">
        <f t="shared" si="1"/>
        <v>2891.7198000000003</v>
      </c>
      <c r="S8" s="797">
        <f t="shared" si="1"/>
        <v>2899.6423200000004</v>
      </c>
      <c r="T8" s="797">
        <f t="shared" si="1"/>
        <v>3038.7564000000002</v>
      </c>
      <c r="U8" s="797">
        <f t="shared" si="1"/>
        <v>3038.7564000000002</v>
      </c>
      <c r="V8" s="797">
        <f t="shared" si="1"/>
        <v>3185.7930000000006</v>
      </c>
      <c r="W8" s="797">
        <f t="shared" si="1"/>
        <v>3194.5212000000006</v>
      </c>
      <c r="X8" s="797">
        <f t="shared" si="1"/>
        <v>3332.8296000000009</v>
      </c>
      <c r="Y8" s="797">
        <f t="shared" si="1"/>
        <v>3430.8539999999998</v>
      </c>
      <c r="Z8" s="797">
        <f t="shared" si="1"/>
        <v>3430.8539999999998</v>
      </c>
      <c r="AA8" s="797">
        <f t="shared" si="1"/>
        <v>2500.2936</v>
      </c>
      <c r="AB8" s="797"/>
    </row>
    <row r="9" spans="1:31">
      <c r="A9" s="796"/>
      <c r="B9" s="756"/>
      <c r="C9" s="797"/>
      <c r="D9" s="797"/>
      <c r="E9" s="797"/>
      <c r="F9" s="797"/>
      <c r="G9" s="797"/>
      <c r="H9" s="797"/>
      <c r="I9" s="797"/>
      <c r="J9" s="797"/>
      <c r="K9" s="797"/>
      <c r="L9" s="797"/>
      <c r="M9" s="797"/>
      <c r="N9" s="797"/>
      <c r="O9" s="797"/>
      <c r="P9" s="797"/>
      <c r="Q9" s="797"/>
      <c r="R9" s="797"/>
      <c r="S9" s="797"/>
      <c r="T9" s="797"/>
      <c r="U9" s="797"/>
      <c r="V9" s="797"/>
      <c r="W9" s="797"/>
      <c r="X9" s="797"/>
      <c r="Y9" s="797"/>
      <c r="Z9" s="797"/>
      <c r="AA9" s="797"/>
      <c r="AB9" s="797"/>
    </row>
    <row r="10" spans="1:31">
      <c r="A10" s="796" t="s">
        <v>284</v>
      </c>
      <c r="B10" s="756"/>
      <c r="C10" s="794" t="e">
        <f>C8*#REF!/Cr*mn</f>
        <v>#REF!</v>
      </c>
      <c r="D10" s="794" t="e">
        <f>D8*#REF!/Cr*mn</f>
        <v>#REF!</v>
      </c>
      <c r="E10" s="755" t="e">
        <f>D10+C10</f>
        <v>#REF!</v>
      </c>
      <c r="F10" s="794" t="e">
        <f>F8*#REF!/Cr*mn</f>
        <v>#REF!</v>
      </c>
      <c r="G10" s="794" t="e">
        <f>G8*#REF!/Cr*mn</f>
        <v>#REF!</v>
      </c>
      <c r="H10" s="794" t="e">
        <f>H8*#REF!/Cr*mn</f>
        <v>#REF!</v>
      </c>
      <c r="I10" s="794" t="e">
        <f>I8*#REF!/Cr*mn</f>
        <v>#REF!</v>
      </c>
      <c r="J10" s="794" t="e">
        <f>J8*#REF!/Cr*mn</f>
        <v>#REF!</v>
      </c>
      <c r="K10" s="797">
        <f>K8*Tariff!$C$30*mn/Cr</f>
        <v>1376.1014399999997</v>
      </c>
      <c r="L10" s="797">
        <f>L8*Tariff!$C$30*mn/Cr</f>
        <v>1372.3416</v>
      </c>
      <c r="M10" s="797">
        <f>M8*Tariff!$C$30*mn/Cr</f>
        <v>1372.3416</v>
      </c>
      <c r="N10" s="797">
        <f>N8*Tariff!$C$30*mn/Cr</f>
        <v>1454.682096</v>
      </c>
      <c r="O10" s="797">
        <f>O8*Tariff!$C$30*mn/Cr</f>
        <v>1458.6675263999998</v>
      </c>
      <c r="P10" s="797">
        <f>P8*Tariff!$D$30*mn/Cr</f>
        <v>1613.8737216000002</v>
      </c>
      <c r="Q10" s="797">
        <f>Q8*Tariff!$D$30*mn/Cr</f>
        <v>1613.8737216000002</v>
      </c>
      <c r="R10" s="797">
        <f>R8*Tariff!$D$30*mn/Cr</f>
        <v>1700.3312424000001</v>
      </c>
      <c r="S10" s="797">
        <f>S8*Tariff!$D$30*mn/Cr</f>
        <v>1704.9896841600003</v>
      </c>
      <c r="T10" s="797">
        <f>T8*Tariff!$D$30*mn/Cr</f>
        <v>1786.7887631999999</v>
      </c>
      <c r="U10" s="797">
        <f>U8*Tariff!$E$30*mn/Cr</f>
        <v>1876.1282013600003</v>
      </c>
      <c r="V10" s="797">
        <f>V8*Tariff!$E$30*mn/Cr</f>
        <v>1966.9085981999999</v>
      </c>
      <c r="W10" s="797">
        <f>W8*Tariff!$E$30*mn/Cr</f>
        <v>1972.2973888800002</v>
      </c>
      <c r="X10" s="797">
        <f>X8*Tariff!$E$30*mn/Cr</f>
        <v>2057.6889950400005</v>
      </c>
      <c r="Y10" s="797">
        <f>Y8*Tariff!$E$30*mn/Cr</f>
        <v>2118.2092596000002</v>
      </c>
      <c r="Z10" s="797">
        <f>Z8*Tariff!$F$30*mn/Cr</f>
        <v>2224.1197225800001</v>
      </c>
      <c r="AA10" s="797">
        <f>AA8*Tariff!$F$30*mn/Cr</f>
        <v>1620.865332072</v>
      </c>
      <c r="AB10" s="794"/>
      <c r="AC10" s="9"/>
    </row>
    <row r="11" spans="1:31">
      <c r="A11" s="796" t="s">
        <v>1130</v>
      </c>
      <c r="B11" s="756"/>
      <c r="C11" s="797"/>
      <c r="D11" s="797"/>
      <c r="E11" s="797"/>
      <c r="F11" s="797"/>
      <c r="G11" s="797"/>
      <c r="H11" s="797"/>
      <c r="I11" s="797"/>
      <c r="J11" s="797"/>
      <c r="K11" s="797"/>
      <c r="L11" s="797"/>
      <c r="M11" s="797"/>
      <c r="N11" s="797"/>
      <c r="O11" s="797"/>
      <c r="P11" s="797"/>
      <c r="Q11" s="797"/>
      <c r="R11" s="797"/>
      <c r="S11" s="797"/>
      <c r="T11" s="797"/>
      <c r="U11" s="797"/>
      <c r="V11" s="797"/>
      <c r="W11" s="797"/>
      <c r="X11" s="797"/>
      <c r="Y11" s="797"/>
      <c r="Z11" s="797"/>
      <c r="AA11" s="797"/>
      <c r="AB11" s="797"/>
    </row>
    <row r="12" spans="1:31" hidden="1">
      <c r="A12" s="750" t="s">
        <v>285</v>
      </c>
      <c r="B12" s="750"/>
      <c r="C12" s="794">
        <f>Assum!$B$18</f>
        <v>2425</v>
      </c>
      <c r="D12" s="794">
        <f>Assum!$B$18</f>
        <v>2425</v>
      </c>
      <c r="E12" s="794"/>
      <c r="F12" s="794">
        <f>Assum!$B$18</f>
        <v>2425</v>
      </c>
      <c r="G12" s="794">
        <f>Assum!$B$18</f>
        <v>2425</v>
      </c>
      <c r="H12" s="794">
        <f>Assum!$B$18</f>
        <v>2425</v>
      </c>
      <c r="I12" s="794">
        <f>Assum!$B$18</f>
        <v>2425</v>
      </c>
      <c r="J12" s="794">
        <f>Assum!$B$18</f>
        <v>2425</v>
      </c>
      <c r="K12" s="794">
        <f>Assum!$B$18</f>
        <v>2425</v>
      </c>
      <c r="L12" s="794">
        <f>Assum!$B$18</f>
        <v>2425</v>
      </c>
      <c r="M12" s="794">
        <f>Assum!$B$18</f>
        <v>2425</v>
      </c>
      <c r="N12" s="794">
        <f>Assum!$B$18</f>
        <v>2425</v>
      </c>
      <c r="O12" s="794">
        <f>Assum!$B$18</f>
        <v>2425</v>
      </c>
      <c r="P12" s="794">
        <f>Assum!$B$18</f>
        <v>2425</v>
      </c>
      <c r="Q12" s="794">
        <f>Assum!$B$18</f>
        <v>2425</v>
      </c>
      <c r="R12" s="794">
        <f>Assum!$B$18</f>
        <v>2425</v>
      </c>
      <c r="S12" s="794">
        <f>Assum!$B$18</f>
        <v>2425</v>
      </c>
      <c r="T12" s="794">
        <f>Assum!$B$18</f>
        <v>2425</v>
      </c>
      <c r="U12" s="794">
        <f>Assum!$B$18</f>
        <v>2425</v>
      </c>
      <c r="V12" s="794">
        <f>Assum!$B$18</f>
        <v>2425</v>
      </c>
      <c r="W12" s="794">
        <f>Assum!$B$18</f>
        <v>2425</v>
      </c>
      <c r="X12" s="794">
        <f>Assum!$B$18</f>
        <v>2425</v>
      </c>
      <c r="Y12" s="794">
        <f>Assum!$B$18</f>
        <v>2425</v>
      </c>
      <c r="Z12" s="794">
        <f>Assum!$B$18</f>
        <v>2425</v>
      </c>
      <c r="AA12" s="794">
        <f>Assum!$B$18</f>
        <v>2425</v>
      </c>
      <c r="AB12" s="794"/>
    </row>
    <row r="13" spans="1:31" hidden="1">
      <c r="A13" s="750" t="s">
        <v>286</v>
      </c>
      <c r="B13" s="750"/>
      <c r="C13" s="794">
        <f>Assum!$B$20</f>
        <v>5400</v>
      </c>
      <c r="D13" s="794">
        <f>Assum!$B$20</f>
        <v>5400</v>
      </c>
      <c r="E13" s="794"/>
      <c r="F13" s="794">
        <f>Assum!$B$20</f>
        <v>5400</v>
      </c>
      <c r="G13" s="794">
        <f>Assum!$B$20</f>
        <v>5400</v>
      </c>
      <c r="H13" s="794">
        <f>Assum!$B$20</f>
        <v>5400</v>
      </c>
      <c r="I13" s="794">
        <f>Assum!$B$20</f>
        <v>5400</v>
      </c>
      <c r="J13" s="794">
        <f>Assum!$B$20</f>
        <v>5400</v>
      </c>
      <c r="K13" s="794">
        <f>Assum!$B$20</f>
        <v>5400</v>
      </c>
      <c r="L13" s="794">
        <f>Assum!$B$20</f>
        <v>5400</v>
      </c>
      <c r="M13" s="794">
        <f>Assum!$B$20</f>
        <v>5400</v>
      </c>
      <c r="N13" s="794">
        <f>Assum!$B$20</f>
        <v>5400</v>
      </c>
      <c r="O13" s="794">
        <f>Assum!$B$20</f>
        <v>5400</v>
      </c>
      <c r="P13" s="794">
        <f>Assum!$B$20</f>
        <v>5400</v>
      </c>
      <c r="Q13" s="794">
        <f>Assum!$B$20</f>
        <v>5400</v>
      </c>
      <c r="R13" s="794">
        <f>Assum!$B$20</f>
        <v>5400</v>
      </c>
      <c r="S13" s="794">
        <f>Assum!$B$20</f>
        <v>5400</v>
      </c>
      <c r="T13" s="794">
        <f>Assum!$B$20</f>
        <v>5400</v>
      </c>
      <c r="U13" s="794">
        <f>Assum!$B$20</f>
        <v>5400</v>
      </c>
      <c r="V13" s="794">
        <f>Assum!$B$20</f>
        <v>5400</v>
      </c>
      <c r="W13" s="794">
        <f>Assum!$B$20</f>
        <v>5400</v>
      </c>
      <c r="X13" s="794">
        <f>Assum!$B$20</f>
        <v>5400</v>
      </c>
      <c r="Y13" s="794">
        <f>Assum!$B$20</f>
        <v>5400</v>
      </c>
      <c r="Z13" s="794">
        <f>Assum!$B$20</f>
        <v>5400</v>
      </c>
      <c r="AA13" s="794">
        <f>Assum!$B$20</f>
        <v>5400</v>
      </c>
      <c r="AB13" s="794"/>
    </row>
    <row r="14" spans="1:31" hidden="1">
      <c r="A14" s="795" t="s">
        <v>287</v>
      </c>
      <c r="B14" s="750"/>
      <c r="C14" s="794">
        <f>C12*C6/C13/Assum!$B$157*(1+Assum!$B$30)</f>
        <v>0.71714040000000001</v>
      </c>
      <c r="D14" s="794">
        <f>D12*D6/D13/Assum!$B$157*(1+Assum!$B$30)</f>
        <v>0.77265673333333329</v>
      </c>
      <c r="E14" s="755">
        <f>D14+C14</f>
        <v>1.4897971333333333</v>
      </c>
      <c r="F14" s="794">
        <f>F12*F6/F13/Assum!$B$157*(1+Assum!$B$30)</f>
        <v>1.5495588333333334</v>
      </c>
      <c r="G14" s="794">
        <f>G12*G6/G13/Assum!$B$157*(1+Assum!$B$30)</f>
        <v>2.0318977999999999</v>
      </c>
      <c r="H14" s="794">
        <f>H12*H6/H13/Assum!$B$157*(1+Assum!$B$30)</f>
        <v>2.0263461666666664</v>
      </c>
      <c r="I14" s="794">
        <f>I12*I6/I13/Assum!$B$157*(1+Assum!$B$30)</f>
        <v>2.0263461666666664</v>
      </c>
      <c r="J14" s="794">
        <f>J12*J6/J13/Assum!$B$157*(1+Assum!$B$30)</f>
        <v>2.0263461666666664</v>
      </c>
      <c r="K14" s="794">
        <f>K12*K6/K13/Assum!$B$157*(1+Assum!$B$30)</f>
        <v>1.1952339999999999</v>
      </c>
      <c r="L14" s="794">
        <f>L12*L6/L13/Assum!$B$157*(1+Assum!$B$30)</f>
        <v>1.1919683333333335</v>
      </c>
      <c r="M14" s="794">
        <f>M12*M6/M13/Assum!$B$157*(1+Assum!$B$30)</f>
        <v>1.1919683333333335</v>
      </c>
      <c r="N14" s="794">
        <f>N12*N6/N13/Assum!$B$157*(1+Assum!$B$30)</f>
        <v>1.2634864333333333</v>
      </c>
      <c r="O14" s="794">
        <f>O12*O6/O13/Assum!$B$157*(1+Assum!$B$30)</f>
        <v>1.2669480400000002</v>
      </c>
      <c r="P14" s="794">
        <f>P12*P6/P13/Assum!$B$157*(1+Assum!$B$30)</f>
        <v>1.3350045333333338</v>
      </c>
      <c r="Q14" s="794">
        <f>Q12*Q6/Q13/Assum!$B$157*(1+Assum!$B$30)</f>
        <v>1.3350045333333338</v>
      </c>
      <c r="R14" s="794">
        <f>R12*R6/R13/Assum!$B$157*(1+Assum!$B$30)</f>
        <v>1.4065226333333334</v>
      </c>
      <c r="S14" s="794">
        <f>S12*S6/S13/Assum!$B$157*(1+Assum!$B$30)</f>
        <v>1.4103761200000002</v>
      </c>
      <c r="T14" s="794">
        <f>T12*T6/T13/Assum!$B$157*(1+Assum!$B$30)</f>
        <v>1.4780407333333334</v>
      </c>
      <c r="U14" s="794">
        <f>U12*U6/U13/Assum!$B$157*(1+Assum!$B$30)</f>
        <v>1.4780407333333334</v>
      </c>
      <c r="V14" s="794">
        <f>V12*V6/V13/Assum!$B$157*(1+Assum!$B$30)</f>
        <v>1.5495588333333337</v>
      </c>
      <c r="W14" s="794">
        <f>W12*W6/W13/Assum!$B$157*(1+Assum!$B$30)</f>
        <v>1.5538042000000003</v>
      </c>
      <c r="X14" s="794">
        <f>X12*X6/X13/Assum!$B$157*(1+Assum!$B$30)</f>
        <v>1.6210769333333337</v>
      </c>
      <c r="Y14" s="794">
        <f>Y12*Y6/Y13/Assum!$B$157*(1+Assum!$B$30)</f>
        <v>1.6687556666666667</v>
      </c>
      <c r="Z14" s="794">
        <f>Z12*Z6/Z13/Assum!$B$157*(1+Assum!$B$30)</f>
        <v>1.6687556666666667</v>
      </c>
      <c r="AA14" s="794">
        <f>AA12*AA6/AA13/Assum!$B$157*(1+Assum!$B$30)</f>
        <v>1.2161342666666668</v>
      </c>
      <c r="AB14" s="794"/>
    </row>
    <row r="15" spans="1:31" hidden="1">
      <c r="A15" s="798" t="s">
        <v>288</v>
      </c>
      <c r="B15" s="750"/>
      <c r="C15" s="755"/>
      <c r="D15" s="755"/>
      <c r="E15" s="755"/>
      <c r="F15" s="755"/>
      <c r="G15" s="755"/>
      <c r="H15" s="755"/>
      <c r="I15" s="755"/>
      <c r="J15" s="755"/>
      <c r="K15" s="755"/>
      <c r="L15" s="755"/>
      <c r="M15" s="755"/>
      <c r="N15" s="755"/>
      <c r="O15" s="755"/>
      <c r="P15" s="755"/>
      <c r="Q15" s="755"/>
      <c r="R15" s="755"/>
      <c r="S15" s="755"/>
      <c r="T15" s="755"/>
      <c r="U15" s="755"/>
      <c r="V15" s="755"/>
      <c r="W15" s="755"/>
      <c r="X15" s="755"/>
      <c r="Y15" s="755"/>
      <c r="Z15" s="755"/>
      <c r="AA15" s="755"/>
      <c r="AB15" s="755"/>
    </row>
    <row r="16" spans="1:31" hidden="1">
      <c r="A16" s="750" t="s">
        <v>289</v>
      </c>
      <c r="B16" s="750"/>
      <c r="C16" s="794">
        <f>Assum!$B$25</f>
        <v>136.5</v>
      </c>
      <c r="D16" s="794">
        <f>C16</f>
        <v>136.5</v>
      </c>
      <c r="E16" s="794"/>
      <c r="F16" s="755">
        <f>D16</f>
        <v>136.5</v>
      </c>
      <c r="G16" s="755">
        <f>F16*(1+Assum!$C$25)</f>
        <v>139.22999999999999</v>
      </c>
      <c r="H16" s="755">
        <f>G16*(1+Assum!$C$25)</f>
        <v>142.0146</v>
      </c>
      <c r="I16" s="755">
        <f>H16*(1+Assum!$C$25)</f>
        <v>144.85489200000001</v>
      </c>
      <c r="J16" s="755">
        <f>I16*(1+Assum!$C$25)</f>
        <v>147.75198984000002</v>
      </c>
      <c r="K16" s="755">
        <f>J16*(1+Assum!$C$25)</f>
        <v>150.70702963680003</v>
      </c>
      <c r="L16" s="755">
        <f>K16*(1+Assum!$C$25)</f>
        <v>153.72117022953603</v>
      </c>
      <c r="M16" s="755">
        <f>L16*(1+Assum!$C$25)</f>
        <v>156.79559363412676</v>
      </c>
      <c r="N16" s="755">
        <f>M16*(1+Assum!$C$25)</f>
        <v>159.93150550680929</v>
      </c>
      <c r="O16" s="755">
        <f>N16*(1+Assum!$C$25)</f>
        <v>163.13013561694547</v>
      </c>
      <c r="P16" s="755">
        <f>O16*(1+Assum!$C$25)</f>
        <v>166.39273832928438</v>
      </c>
      <c r="Q16" s="755">
        <f>P16*(1+Assum!$C$25)</f>
        <v>169.72059309587007</v>
      </c>
      <c r="R16" s="755">
        <f>Q16*(1+Assum!$C$25)</f>
        <v>173.11500495778748</v>
      </c>
      <c r="S16" s="755">
        <f>R16*(1+Assum!$C$25)</f>
        <v>176.57730505694323</v>
      </c>
      <c r="T16" s="755">
        <f>S16*(1+Assum!$C$25)</f>
        <v>180.1088511580821</v>
      </c>
      <c r="U16" s="755">
        <f>T16*(1+Assum!$C$25)</f>
        <v>183.71102818124376</v>
      </c>
      <c r="V16" s="755">
        <f>U16*(1+Assum!$C$25)</f>
        <v>187.38524874486865</v>
      </c>
      <c r="W16" s="755">
        <f>V16*(1+Assum!$C$25)</f>
        <v>191.13295371976602</v>
      </c>
      <c r="X16" s="755">
        <f>W16*(1+Assum!$C$25)</f>
        <v>194.95561279416134</v>
      </c>
      <c r="Y16" s="755">
        <f>X16*(1+Assum!$C$25)</f>
        <v>198.85472505004458</v>
      </c>
      <c r="Z16" s="755">
        <f>Y16*(1+Assum!$C$25)</f>
        <v>202.83181955104547</v>
      </c>
      <c r="AA16" s="755">
        <f>Z16*(1+Assum!$C$25)</f>
        <v>206.88845594206637</v>
      </c>
      <c r="AB16" s="755"/>
    </row>
    <row r="17" spans="1:30" hidden="1">
      <c r="A17" s="750" t="s">
        <v>290</v>
      </c>
      <c r="B17" s="750"/>
      <c r="C17" s="794">
        <f>C16*C$2</f>
        <v>11347.244999999999</v>
      </c>
      <c r="D17" s="794">
        <f t="shared" ref="D17:K17" si="2">D16*D$2</f>
        <v>11347.244999999999</v>
      </c>
      <c r="E17" s="794"/>
      <c r="F17" s="794">
        <f t="shared" si="2"/>
        <v>11347.244999999999</v>
      </c>
      <c r="G17" s="794">
        <f t="shared" si="2"/>
        <v>11574.189899999999</v>
      </c>
      <c r="H17" s="794">
        <f t="shared" si="2"/>
        <v>11805.673697999999</v>
      </c>
      <c r="I17" s="794">
        <f t="shared" si="2"/>
        <v>12041.787171960001</v>
      </c>
      <c r="J17" s="794">
        <f t="shared" si="2"/>
        <v>12282.622915399201</v>
      </c>
      <c r="K17" s="794">
        <f t="shared" si="2"/>
        <v>12528.275373707185</v>
      </c>
      <c r="L17" s="794">
        <f t="shared" ref="L17:AA17" si="3">L16*L$2</f>
        <v>12778.84088118133</v>
      </c>
      <c r="M17" s="794">
        <f t="shared" si="3"/>
        <v>13034.417698804957</v>
      </c>
      <c r="N17" s="794">
        <f t="shared" si="3"/>
        <v>13295.106052781055</v>
      </c>
      <c r="O17" s="794">
        <f t="shared" si="3"/>
        <v>13561.008173836675</v>
      </c>
      <c r="P17" s="794">
        <f t="shared" si="3"/>
        <v>13832.228337313411</v>
      </c>
      <c r="Q17" s="794">
        <f t="shared" si="3"/>
        <v>14108.872904059679</v>
      </c>
      <c r="R17" s="794">
        <f t="shared" si="3"/>
        <v>14391.050362140872</v>
      </c>
      <c r="S17" s="794">
        <f t="shared" si="3"/>
        <v>14678.871369383691</v>
      </c>
      <c r="T17" s="794">
        <f t="shared" si="3"/>
        <v>14972.448796771365</v>
      </c>
      <c r="U17" s="794">
        <f t="shared" si="3"/>
        <v>15271.897772706792</v>
      </c>
      <c r="V17" s="794">
        <f t="shared" si="3"/>
        <v>15577.33572816093</v>
      </c>
      <c r="W17" s="794">
        <f t="shared" si="3"/>
        <v>15888.882442724149</v>
      </c>
      <c r="X17" s="794">
        <f t="shared" si="3"/>
        <v>16206.660091578631</v>
      </c>
      <c r="Y17" s="794">
        <f t="shared" si="3"/>
        <v>16530.793293410206</v>
      </c>
      <c r="Z17" s="794">
        <f t="shared" si="3"/>
        <v>16861.40915927841</v>
      </c>
      <c r="AA17" s="794">
        <f t="shared" si="3"/>
        <v>17198.637342463975</v>
      </c>
      <c r="AB17" s="794"/>
    </row>
    <row r="18" spans="1:30" hidden="1">
      <c r="A18" s="750" t="s">
        <v>291</v>
      </c>
      <c r="B18" s="750"/>
      <c r="C18" s="794">
        <f>C17*Assum!$B$28</f>
        <v>170.20867499999997</v>
      </c>
      <c r="D18" s="794">
        <f>D17*Assum!$B$28</f>
        <v>170.20867499999997</v>
      </c>
      <c r="E18" s="794"/>
      <c r="F18" s="794">
        <f>F17*Assum!$B$28</f>
        <v>170.20867499999997</v>
      </c>
      <c r="G18" s="794">
        <f>G17*Assum!$B$28</f>
        <v>173.61284849999998</v>
      </c>
      <c r="H18" s="794">
        <f>H17*Assum!$B$28</f>
        <v>177.08510546999997</v>
      </c>
      <c r="I18" s="794">
        <f>I17*Assum!$B$28</f>
        <v>180.62680757940001</v>
      </c>
      <c r="J18" s="794">
        <f>J17*Assum!$B$28</f>
        <v>184.239343730988</v>
      </c>
      <c r="K18" s="794">
        <f>K17*Assum!$B$28</f>
        <v>187.92413060560779</v>
      </c>
      <c r="L18" s="794">
        <f>L17*Assum!$B$28</f>
        <v>191.68261321771993</v>
      </c>
      <c r="M18" s="794">
        <f>M17*Assum!$B$28</f>
        <v>195.51626548207435</v>
      </c>
      <c r="N18" s="794">
        <f>N17*Assum!$B$28</f>
        <v>199.42659079171582</v>
      </c>
      <c r="O18" s="794">
        <f>O17*Assum!$B$28</f>
        <v>203.41512260755013</v>
      </c>
      <c r="P18" s="794">
        <f>P17*Assum!$B$28</f>
        <v>207.48342505970115</v>
      </c>
      <c r="Q18" s="794">
        <f>Q17*Assum!$B$28</f>
        <v>211.63309356089519</v>
      </c>
      <c r="R18" s="794">
        <f>R17*Assum!$B$28</f>
        <v>215.86575543211308</v>
      </c>
      <c r="S18" s="794">
        <f>S17*Assum!$B$28</f>
        <v>220.18307054075535</v>
      </c>
      <c r="T18" s="794">
        <f>T17*Assum!$B$28</f>
        <v>224.58673195157047</v>
      </c>
      <c r="U18" s="794">
        <f>U17*Assum!$B$28</f>
        <v>229.07846659060186</v>
      </c>
      <c r="V18" s="794">
        <f>V17*Assum!$B$28</f>
        <v>233.66003592241393</v>
      </c>
      <c r="W18" s="794">
        <f>W17*Assum!$B$28</f>
        <v>238.33323664086222</v>
      </c>
      <c r="X18" s="794">
        <f>X17*Assum!$B$28</f>
        <v>243.09990137367947</v>
      </c>
      <c r="Y18" s="794">
        <f>Y17*Assum!$B$28</f>
        <v>247.96189940115309</v>
      </c>
      <c r="Z18" s="794">
        <f>Z17*Assum!$B$28</f>
        <v>252.92113738917612</v>
      </c>
      <c r="AA18" s="794">
        <f>AA17*Assum!$B$28</f>
        <v>257.97956013695961</v>
      </c>
      <c r="AB18" s="794"/>
    </row>
    <row r="19" spans="1:30" hidden="1">
      <c r="A19" s="750" t="s">
        <v>292</v>
      </c>
      <c r="B19" s="750"/>
      <c r="C19" s="794">
        <f>C17*Assum!$B$29</f>
        <v>680.83469999999988</v>
      </c>
      <c r="D19" s="794">
        <f>D17*Assum!$B$29</f>
        <v>680.83469999999988</v>
      </c>
      <c r="E19" s="794"/>
      <c r="F19" s="794">
        <f>F17*Assum!$B$29</f>
        <v>680.83469999999988</v>
      </c>
      <c r="G19" s="794">
        <f>G17*Assum!$B$29</f>
        <v>694.45139399999994</v>
      </c>
      <c r="H19" s="794">
        <f>H17*Assum!$B$29</f>
        <v>708.34042187999989</v>
      </c>
      <c r="I19" s="794">
        <f>I17*Assum!$B$29</f>
        <v>722.50723031760003</v>
      </c>
      <c r="J19" s="794">
        <f>J17*Assum!$B$29</f>
        <v>736.95737492395199</v>
      </c>
      <c r="K19" s="794">
        <f>K17*Assum!$B$29</f>
        <v>751.69652242243114</v>
      </c>
      <c r="L19" s="794">
        <f>L17*Assum!$B$29</f>
        <v>766.73045287087973</v>
      </c>
      <c r="M19" s="794">
        <f>M17*Assum!$B$29</f>
        <v>782.06506192829738</v>
      </c>
      <c r="N19" s="794">
        <f>N17*Assum!$B$29</f>
        <v>797.7063631668633</v>
      </c>
      <c r="O19" s="794">
        <f>O17*Assum!$B$29</f>
        <v>813.66049043020053</v>
      </c>
      <c r="P19" s="794">
        <f>P17*Assum!$B$29</f>
        <v>829.93370023880459</v>
      </c>
      <c r="Q19" s="794">
        <f>Q17*Assum!$B$29</f>
        <v>846.53237424358076</v>
      </c>
      <c r="R19" s="794">
        <f>R17*Assum!$B$29</f>
        <v>863.4630217284523</v>
      </c>
      <c r="S19" s="794">
        <f>S17*Assum!$B$29</f>
        <v>880.73228216302141</v>
      </c>
      <c r="T19" s="794">
        <f>T17*Assum!$B$29</f>
        <v>898.34692780628188</v>
      </c>
      <c r="U19" s="794">
        <f>U17*Assum!$B$29</f>
        <v>916.31386636240745</v>
      </c>
      <c r="V19" s="794">
        <f>V17*Assum!$B$29</f>
        <v>934.6401436896557</v>
      </c>
      <c r="W19" s="794">
        <f>W17*Assum!$B$29</f>
        <v>953.3329465634489</v>
      </c>
      <c r="X19" s="794">
        <f>X17*Assum!$B$29</f>
        <v>972.39960549471789</v>
      </c>
      <c r="Y19" s="794">
        <f>Y17*Assum!$B$29</f>
        <v>991.84759760461236</v>
      </c>
      <c r="Z19" s="794">
        <f>Z17*Assum!$B$29</f>
        <v>1011.6845495567045</v>
      </c>
      <c r="AA19" s="794">
        <f>AA17*Assum!$B$29</f>
        <v>1031.9182405478384</v>
      </c>
      <c r="AB19" s="794"/>
    </row>
    <row r="20" spans="1:30" hidden="1">
      <c r="A20" s="750" t="s">
        <v>50</v>
      </c>
      <c r="B20" s="750"/>
      <c r="C20" s="794">
        <f>Assum!$B$27</f>
        <v>520</v>
      </c>
      <c r="D20" s="794">
        <f>C20</f>
        <v>520</v>
      </c>
      <c r="E20" s="794"/>
      <c r="F20" s="755">
        <f>D20*(1+Assum!$C$27)</f>
        <v>540.80000000000007</v>
      </c>
      <c r="G20" s="755">
        <f>F20*(1+Assum!$C$27)</f>
        <v>562.43200000000013</v>
      </c>
      <c r="H20" s="755">
        <f>G20*(1+Assum!$C$27)</f>
        <v>584.92928000000018</v>
      </c>
      <c r="I20" s="755">
        <f>H20*(1+Assum!$C$27)</f>
        <v>608.32645120000018</v>
      </c>
      <c r="J20" s="755">
        <f>I20*(1+Assum!$C$27)</f>
        <v>632.65950924800018</v>
      </c>
      <c r="K20" s="755">
        <f>J20*(1+Assum!$C$27)</f>
        <v>657.9658896179202</v>
      </c>
      <c r="L20" s="755">
        <f>K20*(1+Assum!$C$27)</f>
        <v>684.28452520263704</v>
      </c>
      <c r="M20" s="755">
        <f>L20*(1+Assum!$C$27)</f>
        <v>711.6559062107425</v>
      </c>
      <c r="N20" s="755">
        <f>M20*(1+Assum!$C$27)</f>
        <v>740.12214245917221</v>
      </c>
      <c r="O20" s="755">
        <f>N20*(1+Assum!$C$27)</f>
        <v>769.72702815753917</v>
      </c>
      <c r="P20" s="755">
        <f>O20*(1+Assum!$C$27)</f>
        <v>800.51610928384071</v>
      </c>
      <c r="Q20" s="755">
        <f>P20*(1+Assum!$C$27)</f>
        <v>832.53675365519439</v>
      </c>
      <c r="R20" s="755">
        <f>Q20*(1+Assum!$C$27)</f>
        <v>865.83822380140214</v>
      </c>
      <c r="S20" s="755">
        <f>R20*(1+Assum!$C$27)</f>
        <v>900.4717527534583</v>
      </c>
      <c r="T20" s="755">
        <f>S20*(1+Assum!$C$27)</f>
        <v>936.49062286359663</v>
      </c>
      <c r="U20" s="755">
        <f>T20*(1+Assum!$C$27)</f>
        <v>973.95024777814058</v>
      </c>
      <c r="V20" s="755">
        <f>U20*(1+Assum!$C$27)</f>
        <v>1012.9082576892663</v>
      </c>
      <c r="W20" s="755">
        <f>V20*(1+Assum!$C$27)</f>
        <v>1053.4245879968371</v>
      </c>
      <c r="X20" s="755">
        <f>W20*(1+Assum!$C$27)</f>
        <v>1095.5615715167105</v>
      </c>
      <c r="Y20" s="755">
        <f>X20*(1+Assum!$C$27)</f>
        <v>1139.3840343773791</v>
      </c>
      <c r="Z20" s="755">
        <f>Y20*(1+Assum!$C$27)</f>
        <v>1184.9593957524742</v>
      </c>
      <c r="AA20" s="755">
        <f>Z20*(1+Assum!$C$27)</f>
        <v>1232.3577715825732</v>
      </c>
      <c r="AB20" s="755"/>
    </row>
    <row r="21" spans="1:30" hidden="1">
      <c r="A21" s="750" t="s">
        <v>293</v>
      </c>
      <c r="B21" s="750"/>
      <c r="C21" s="794">
        <f>Assum!$B$26</f>
        <v>400</v>
      </c>
      <c r="D21" s="794">
        <f>C21</f>
        <v>400</v>
      </c>
      <c r="E21" s="794"/>
      <c r="F21" s="794">
        <f>D21</f>
        <v>400</v>
      </c>
      <c r="G21" s="794">
        <f t="shared" ref="G21:AA21" si="4">F21</f>
        <v>400</v>
      </c>
      <c r="H21" s="794">
        <f t="shared" si="4"/>
        <v>400</v>
      </c>
      <c r="I21" s="794">
        <f t="shared" si="4"/>
        <v>400</v>
      </c>
      <c r="J21" s="794">
        <f t="shared" si="4"/>
        <v>400</v>
      </c>
      <c r="K21" s="794">
        <f t="shared" si="4"/>
        <v>400</v>
      </c>
      <c r="L21" s="794">
        <f t="shared" si="4"/>
        <v>400</v>
      </c>
      <c r="M21" s="794">
        <f t="shared" si="4"/>
        <v>400</v>
      </c>
      <c r="N21" s="794">
        <f t="shared" si="4"/>
        <v>400</v>
      </c>
      <c r="O21" s="794">
        <f t="shared" si="4"/>
        <v>400</v>
      </c>
      <c r="P21" s="794">
        <f t="shared" si="4"/>
        <v>400</v>
      </c>
      <c r="Q21" s="794">
        <f t="shared" si="4"/>
        <v>400</v>
      </c>
      <c r="R21" s="794">
        <f t="shared" si="4"/>
        <v>400</v>
      </c>
      <c r="S21" s="794">
        <f t="shared" si="4"/>
        <v>400</v>
      </c>
      <c r="T21" s="794">
        <f t="shared" si="4"/>
        <v>400</v>
      </c>
      <c r="U21" s="794">
        <f t="shared" si="4"/>
        <v>400</v>
      </c>
      <c r="V21" s="794">
        <f t="shared" si="4"/>
        <v>400</v>
      </c>
      <c r="W21" s="794">
        <f t="shared" si="4"/>
        <v>400</v>
      </c>
      <c r="X21" s="794">
        <f t="shared" si="4"/>
        <v>400</v>
      </c>
      <c r="Y21" s="794">
        <f t="shared" si="4"/>
        <v>400</v>
      </c>
      <c r="Z21" s="794">
        <f t="shared" si="4"/>
        <v>400</v>
      </c>
      <c r="AA21" s="794">
        <f t="shared" si="4"/>
        <v>400</v>
      </c>
      <c r="AB21" s="794"/>
    </row>
    <row r="22" spans="1:30" hidden="1">
      <c r="A22" s="750" t="s">
        <v>294</v>
      </c>
      <c r="B22" s="750"/>
      <c r="C22" s="794">
        <f>SUM(C17:C21)</f>
        <v>13118.288374999998</v>
      </c>
      <c r="D22" s="794">
        <f>SUM(D17:D21)</f>
        <v>13118.288374999998</v>
      </c>
      <c r="E22" s="794"/>
      <c r="F22" s="794">
        <f t="shared" ref="F22:AA22" si="5">SUM(F17:F21)</f>
        <v>13139.088374999998</v>
      </c>
      <c r="G22" s="794">
        <f t="shared" si="5"/>
        <v>13404.686142500001</v>
      </c>
      <c r="H22" s="794">
        <f t="shared" si="5"/>
        <v>13676.028505349999</v>
      </c>
      <c r="I22" s="794">
        <f t="shared" si="5"/>
        <v>13953.247661057001</v>
      </c>
      <c r="J22" s="794">
        <f t="shared" si="5"/>
        <v>14236.47914330214</v>
      </c>
      <c r="K22" s="794">
        <f t="shared" si="5"/>
        <v>14525.861916353146</v>
      </c>
      <c r="L22" s="794">
        <f t="shared" si="5"/>
        <v>14821.538472472565</v>
      </c>
      <c r="M22" s="794">
        <f t="shared" si="5"/>
        <v>15123.65493242607</v>
      </c>
      <c r="N22" s="794">
        <f t="shared" si="5"/>
        <v>15432.361149198805</v>
      </c>
      <c r="O22" s="794">
        <f t="shared" si="5"/>
        <v>15747.810815031964</v>
      </c>
      <c r="P22" s="794">
        <f t="shared" si="5"/>
        <v>16070.161571895756</v>
      </c>
      <c r="Q22" s="794">
        <f t="shared" si="5"/>
        <v>16399.57512551935</v>
      </c>
      <c r="R22" s="794">
        <f t="shared" si="5"/>
        <v>16736.217363102838</v>
      </c>
      <c r="S22" s="794">
        <f t="shared" si="5"/>
        <v>17080.258474840928</v>
      </c>
      <c r="T22" s="794">
        <f t="shared" si="5"/>
        <v>17431.873079392815</v>
      </c>
      <c r="U22" s="794">
        <f t="shared" si="5"/>
        <v>17791.240353437941</v>
      </c>
      <c r="V22" s="794">
        <f t="shared" si="5"/>
        <v>18158.544165462263</v>
      </c>
      <c r="W22" s="794">
        <f t="shared" si="5"/>
        <v>18533.973213925299</v>
      </c>
      <c r="X22" s="794">
        <f t="shared" si="5"/>
        <v>18917.721169963737</v>
      </c>
      <c r="Y22" s="794">
        <f t="shared" si="5"/>
        <v>19309.986824793355</v>
      </c>
      <c r="Z22" s="794">
        <f t="shared" si="5"/>
        <v>19710.974241976764</v>
      </c>
      <c r="AA22" s="794">
        <f t="shared" si="5"/>
        <v>20120.892914731347</v>
      </c>
      <c r="AB22" s="794"/>
    </row>
    <row r="23" spans="1:30" hidden="1">
      <c r="A23" s="756" t="s">
        <v>295</v>
      </c>
      <c r="B23" s="756"/>
      <c r="C23" s="799">
        <f>C22*C14/10</f>
        <v>940.76545725628489</v>
      </c>
      <c r="D23" s="799">
        <f>D22*D14/10</f>
        <v>1013.593384275214</v>
      </c>
      <c r="E23" s="799">
        <f>D23+C23</f>
        <v>1954.3588415314989</v>
      </c>
      <c r="F23" s="799">
        <f t="shared" ref="F23:AA23" si="6">F22*F14/10</f>
        <v>2035.9790453428559</v>
      </c>
      <c r="G23" s="799">
        <f t="shared" si="6"/>
        <v>2723.6952282636239</v>
      </c>
      <c r="H23" s="799">
        <f t="shared" si="6"/>
        <v>2771.236793704003</v>
      </c>
      <c r="I23" s="799">
        <f t="shared" si="6"/>
        <v>2827.4109910533484</v>
      </c>
      <c r="J23" s="799">
        <f t="shared" si="6"/>
        <v>2884.8034938860242</v>
      </c>
      <c r="K23" s="799">
        <f t="shared" si="6"/>
        <v>1736.1804041730434</v>
      </c>
      <c r="L23" s="799">
        <f t="shared" si="6"/>
        <v>1766.6804510469005</v>
      </c>
      <c r="M23" s="799">
        <f t="shared" si="6"/>
        <v>1802.6917763712349</v>
      </c>
      <c r="N23" s="799">
        <f t="shared" si="6"/>
        <v>1949.85789463131</v>
      </c>
      <c r="O23" s="799">
        <f t="shared" si="6"/>
        <v>1995.1658046395551</v>
      </c>
      <c r="P23" s="799">
        <f t="shared" si="6"/>
        <v>2145.3738549879968</v>
      </c>
      <c r="Q23" s="799">
        <f t="shared" si="6"/>
        <v>2189.3507137308907</v>
      </c>
      <c r="R23" s="799">
        <f t="shared" si="6"/>
        <v>2353.9868517590462</v>
      </c>
      <c r="S23" s="799">
        <f t="shared" si="6"/>
        <v>2408.9588676343269</v>
      </c>
      <c r="T23" s="799">
        <f t="shared" si="6"/>
        <v>2576.5018469639349</v>
      </c>
      <c r="U23" s="799">
        <f t="shared" si="6"/>
        <v>2629.6177938905012</v>
      </c>
      <c r="V23" s="799">
        <f t="shared" si="6"/>
        <v>2813.7732512065513</v>
      </c>
      <c r="W23" s="799">
        <f t="shared" si="6"/>
        <v>2879.8165422484635</v>
      </c>
      <c r="X23" s="799">
        <f t="shared" si="6"/>
        <v>3066.7081419859901</v>
      </c>
      <c r="Y23" s="799">
        <f t="shared" si="6"/>
        <v>3222.3649937132586</v>
      </c>
      <c r="Z23" s="799">
        <f t="shared" si="6"/>
        <v>3289.2799961819428</v>
      </c>
      <c r="AA23" s="799">
        <f t="shared" si="6"/>
        <v>2446.9707349535338</v>
      </c>
      <c r="AB23" s="799"/>
    </row>
    <row r="24" spans="1:30" hidden="1">
      <c r="A24" s="800" t="s">
        <v>296</v>
      </c>
      <c r="B24" s="750"/>
      <c r="C24" s="750"/>
      <c r="D24" s="750"/>
      <c r="E24" s="750"/>
      <c r="F24" s="750"/>
      <c r="G24" s="750"/>
      <c r="H24" s="750"/>
      <c r="I24" s="750"/>
      <c r="J24" s="750"/>
      <c r="K24" s="750"/>
      <c r="L24" s="750"/>
      <c r="M24" s="750"/>
      <c r="N24" s="750"/>
      <c r="O24" s="750"/>
      <c r="P24" s="750"/>
      <c r="Q24" s="750"/>
      <c r="R24" s="750"/>
      <c r="S24" s="750"/>
      <c r="T24" s="750"/>
      <c r="U24" s="750"/>
      <c r="V24" s="750"/>
      <c r="W24" s="750"/>
      <c r="X24" s="750"/>
      <c r="Y24" s="750"/>
      <c r="Z24" s="750"/>
      <c r="AA24" s="750"/>
      <c r="AB24" s="750"/>
    </row>
    <row r="25" spans="1:30" hidden="1">
      <c r="A25" s="750" t="s">
        <v>297</v>
      </c>
      <c r="B25" s="750"/>
      <c r="C25" s="794">
        <f>Assum!$B$34</f>
        <v>151878.50999999998</v>
      </c>
      <c r="D25" s="794">
        <f>C25</f>
        <v>151878.50999999998</v>
      </c>
      <c r="E25" s="794"/>
      <c r="F25" s="755">
        <f>D25*(1+Assum!$C$34)</f>
        <v>154916.0802</v>
      </c>
      <c r="G25" s="755">
        <f>F25*(1+Assum!$C$34)</f>
        <v>158014.40180399999</v>
      </c>
      <c r="H25" s="755">
        <f>G25*(1+Assum!$C$34)</f>
        <v>161174.68984007998</v>
      </c>
      <c r="I25" s="755">
        <f>H25*(1+Assum!$C$34)</f>
        <v>164398.18363688159</v>
      </c>
      <c r="J25" s="755">
        <f>I25*(1+Assum!$C$34)</f>
        <v>167686.14730961923</v>
      </c>
      <c r="K25" s="755">
        <f>J25*(1+Assum!$C$34)</f>
        <v>171039.87025581163</v>
      </c>
      <c r="L25" s="755">
        <f>K25*(1+Assum!$C$34)</f>
        <v>174460.66766092787</v>
      </c>
      <c r="M25" s="755">
        <f>L25*(1+Assum!$C$34)</f>
        <v>177949.88101414643</v>
      </c>
      <c r="N25" s="755">
        <f>M25*(1+Assum!$C$34)</f>
        <v>181508.87863442936</v>
      </c>
      <c r="O25" s="755">
        <f>N25*(1+Assum!$C$34)</f>
        <v>185139.05620711794</v>
      </c>
      <c r="P25" s="755">
        <f>O25*(1+Assum!$C$34)</f>
        <v>188841.83733126029</v>
      </c>
      <c r="Q25" s="755">
        <f>P25*(1+Assum!$C$34)</f>
        <v>192618.67407788549</v>
      </c>
      <c r="R25" s="755">
        <f>Q25*(1+Assum!$C$34)</f>
        <v>196471.04755944319</v>
      </c>
      <c r="S25" s="755">
        <f>R25*(1+Assum!$C$34)</f>
        <v>200400.46851063205</v>
      </c>
      <c r="T25" s="755">
        <f>S25*(1+Assum!$C$34)</f>
        <v>204408.4778808447</v>
      </c>
      <c r="U25" s="755">
        <f>T25*(1+Assum!$C$34)</f>
        <v>208496.6474384616</v>
      </c>
      <c r="V25" s="755">
        <f>U25*(1+Assum!$C$34)</f>
        <v>212666.58038723085</v>
      </c>
      <c r="W25" s="755">
        <f>V25*(1+Assum!$C$34)</f>
        <v>216919.91199497547</v>
      </c>
      <c r="X25" s="755">
        <f>W25*(1+Assum!$C$34)</f>
        <v>221258.31023487498</v>
      </c>
      <c r="Y25" s="755">
        <f>X25*(1+Assum!$C$34)</f>
        <v>225683.47643957249</v>
      </c>
      <c r="Z25" s="755">
        <f>Y25*(1+Assum!$C$34)</f>
        <v>230197.14596836394</v>
      </c>
      <c r="AA25" s="755">
        <f>Z25*(1+Assum!$C$34)</f>
        <v>234801.08888773122</v>
      </c>
      <c r="AB25" s="755"/>
    </row>
    <row r="26" spans="1:30" hidden="1">
      <c r="A26" s="750" t="s">
        <v>298</v>
      </c>
      <c r="B26" s="750"/>
      <c r="C26" s="755">
        <f>C6*Assum!$B$35</f>
        <v>1581.12</v>
      </c>
      <c r="D26" s="755">
        <f>D6*Assum!$B$35</f>
        <v>1703.52</v>
      </c>
      <c r="E26" s="755"/>
      <c r="F26" s="755">
        <f>F6*Assum!$B$35</f>
        <v>3416.4</v>
      </c>
      <c r="G26" s="755">
        <f>G6*Assum!$B$35</f>
        <v>4479.84</v>
      </c>
      <c r="H26" s="755">
        <f>H6*Assum!$B$35</f>
        <v>4467.6000000000004</v>
      </c>
      <c r="I26" s="755">
        <f>I6*Assum!$B$35</f>
        <v>4467.6000000000004</v>
      </c>
      <c r="J26" s="755">
        <f>J6*Assum!$B$35</f>
        <v>4467.6000000000004</v>
      </c>
      <c r="K26" s="755">
        <f>K6*Assum!$B$35</f>
        <v>2635.2</v>
      </c>
      <c r="L26" s="755">
        <f>L6*Assum!$B$35</f>
        <v>2628</v>
      </c>
      <c r="M26" s="755">
        <f>M6*Assum!$B$35</f>
        <v>2628</v>
      </c>
      <c r="N26" s="755">
        <f>N6*Assum!$B$35</f>
        <v>2785.68</v>
      </c>
      <c r="O26" s="755">
        <f>O6*Assum!$B$35</f>
        <v>2793.3119999999999</v>
      </c>
      <c r="P26" s="755">
        <f>P6*Assum!$B$35</f>
        <v>2943.3600000000006</v>
      </c>
      <c r="Q26" s="755">
        <f>Q6*Assum!$B$35</f>
        <v>2943.3600000000006</v>
      </c>
      <c r="R26" s="755">
        <f>R6*Assum!$B$35</f>
        <v>3101.0400000000004</v>
      </c>
      <c r="S26" s="755">
        <f>S6*Assum!$B$35</f>
        <v>3109.5360000000005</v>
      </c>
      <c r="T26" s="755">
        <f>T6*Assum!$B$35</f>
        <v>3258.7200000000003</v>
      </c>
      <c r="U26" s="755">
        <f>U6*Assum!$B$35</f>
        <v>3258.7200000000003</v>
      </c>
      <c r="V26" s="755">
        <f>V6*Assum!$B$35</f>
        <v>3416.4000000000005</v>
      </c>
      <c r="W26" s="755">
        <f>W6*Assum!$B$35</f>
        <v>3425.7600000000007</v>
      </c>
      <c r="X26" s="755">
        <f>X6*Assum!$B$35</f>
        <v>3574.0800000000008</v>
      </c>
      <c r="Y26" s="755">
        <f>Y6*Assum!$B$35</f>
        <v>3679.2</v>
      </c>
      <c r="Z26" s="755">
        <f>Z6*Assum!$B$35</f>
        <v>3679.2</v>
      </c>
      <c r="AA26" s="755">
        <f>AA6*Assum!$B$35</f>
        <v>2681.28</v>
      </c>
      <c r="AB26" s="755"/>
    </row>
    <row r="27" spans="1:30" hidden="1">
      <c r="A27" s="756" t="s">
        <v>299</v>
      </c>
      <c r="B27" s="756"/>
      <c r="C27" s="799">
        <f t="shared" ref="C27:AA27" si="7">C25*C26/Cr</f>
        <v>24.013814973119995</v>
      </c>
      <c r="D27" s="799">
        <f>D25*D26/Cr</f>
        <v>25.872807935519997</v>
      </c>
      <c r="E27" s="799">
        <f>D27+C27</f>
        <v>49.886622908639993</v>
      </c>
      <c r="F27" s="799">
        <f>F25*F26/Cr</f>
        <v>52.925529639528001</v>
      </c>
      <c r="G27" s="799">
        <f t="shared" si="7"/>
        <v>70.78792377776314</v>
      </c>
      <c r="H27" s="799">
        <f t="shared" si="7"/>
        <v>72.006404432954142</v>
      </c>
      <c r="I27" s="799">
        <f t="shared" si="7"/>
        <v>73.446532521613221</v>
      </c>
      <c r="J27" s="799">
        <f t="shared" si="7"/>
        <v>74.915463172045492</v>
      </c>
      <c r="K27" s="799">
        <f t="shared" si="7"/>
        <v>45.07242660981148</v>
      </c>
      <c r="L27" s="799">
        <f t="shared" si="7"/>
        <v>45.848263461291843</v>
      </c>
      <c r="M27" s="799">
        <f t="shared" si="7"/>
        <v>46.765228730517684</v>
      </c>
      <c r="N27" s="799">
        <f t="shared" si="7"/>
        <v>50.562565303435711</v>
      </c>
      <c r="O27" s="799">
        <f t="shared" si="7"/>
        <v>51.715114737201702</v>
      </c>
      <c r="P27" s="799">
        <f t="shared" si="7"/>
        <v>55.582951032733845</v>
      </c>
      <c r="Q27" s="799">
        <f t="shared" si="7"/>
        <v>56.694610053388509</v>
      </c>
      <c r="R27" s="799">
        <f t="shared" si="7"/>
        <v>60.926457732373585</v>
      </c>
      <c r="S27" s="799">
        <f t="shared" si="7"/>
        <v>62.315247125067685</v>
      </c>
      <c r="T27" s="799">
        <f t="shared" si="7"/>
        <v>66.610999503986633</v>
      </c>
      <c r="U27" s="799">
        <f t="shared" si="7"/>
        <v>67.943219494066369</v>
      </c>
      <c r="V27" s="799">
        <f t="shared" si="7"/>
        <v>72.655410523493558</v>
      </c>
      <c r="W27" s="799">
        <f t="shared" si="7"/>
        <v>74.311555771590733</v>
      </c>
      <c r="X27" s="799">
        <f t="shared" si="7"/>
        <v>79.079490144426217</v>
      </c>
      <c r="Y27" s="799">
        <f t="shared" si="7"/>
        <v>83.033464651647506</v>
      </c>
      <c r="Z27" s="799">
        <f t="shared" si="7"/>
        <v>84.694133944680459</v>
      </c>
      <c r="AA27" s="799">
        <f t="shared" si="7"/>
        <v>62.956746361289596</v>
      </c>
      <c r="AB27" s="799"/>
    </row>
    <row r="28" spans="1:30" hidden="1">
      <c r="A28" s="756" t="s">
        <v>300</v>
      </c>
      <c r="B28" s="756"/>
      <c r="C28" s="799">
        <f>Assum!$B$38*C5/Cr*lk*(C$1-B$1)/365</f>
        <v>29.944089452054797</v>
      </c>
      <c r="D28" s="799">
        <f>Assum!$B$38*D5/Cr*lk*(D1-C1)/365</f>
        <v>29.780460547945204</v>
      </c>
      <c r="E28" s="799">
        <f>D28+C28</f>
        <v>59.724550000000001</v>
      </c>
      <c r="F28" s="799">
        <f>Assum!$B$38*F5/Cr*lk*(1+Assum!$C$38)*(F1-E1)/365</f>
        <v>61.5162865</v>
      </c>
      <c r="G28" s="799">
        <f>F28*(1+Assum!$C$38)</f>
        <v>63.361775094999999</v>
      </c>
      <c r="H28" s="799">
        <f>G28*(1+Assum!$C$38)</f>
        <v>65.262628347849997</v>
      </c>
      <c r="I28" s="799">
        <f>H28*(1+Assum!$C$38)</f>
        <v>67.220507198285503</v>
      </c>
      <c r="J28" s="799">
        <f>I28*(1+Assum!$C$38)</f>
        <v>69.237122414234065</v>
      </c>
      <c r="K28" s="799">
        <f>J28*(1+Assum!$C$38)</f>
        <v>71.314236086661083</v>
      </c>
      <c r="L28" s="799">
        <f>K28*(1+Assum!$C$38)</f>
        <v>73.453663169260921</v>
      </c>
      <c r="M28" s="799">
        <f>L28*(1+Assum!$C$38)</f>
        <v>75.657273064338753</v>
      </c>
      <c r="N28" s="799">
        <f>M28*(1+Assum!$C$38)</f>
        <v>77.92699125626892</v>
      </c>
      <c r="O28" s="799">
        <f>N28*(1+Assum!$C$38)</f>
        <v>80.264800993956996</v>
      </c>
      <c r="P28" s="799">
        <f>O28*(1+Assum!$C$38)</f>
        <v>82.672745023775704</v>
      </c>
      <c r="Q28" s="799">
        <f>P28*(1+Assum!$C$38)</f>
        <v>85.152927374488982</v>
      </c>
      <c r="R28" s="799">
        <f>Q28*(1+Assum!$C$38)</f>
        <v>87.707515195723659</v>
      </c>
      <c r="S28" s="799">
        <f>R28*(1+Assum!$C$38)</f>
        <v>90.338740651595373</v>
      </c>
      <c r="T28" s="799">
        <f>S28*(1+Assum!$C$38)</f>
        <v>93.048902871143241</v>
      </c>
      <c r="U28" s="799">
        <f>T28*(1+Assum!$C$38)</f>
        <v>95.840369957277545</v>
      </c>
      <c r="V28" s="799">
        <f>U28*(1+Assum!$C$38)</f>
        <v>98.71558105599587</v>
      </c>
      <c r="W28" s="799">
        <f>V28*(1+Assum!$C$38)</f>
        <v>101.67704848767575</v>
      </c>
      <c r="X28" s="799">
        <f>W28*(1+Assum!$C$38)</f>
        <v>104.72735994230602</v>
      </c>
      <c r="Y28" s="799">
        <f>X28*(1+Assum!$C$38)</f>
        <v>107.8691807405752</v>
      </c>
      <c r="Z28" s="799">
        <f>Y28*(1+Assum!$C$38)</f>
        <v>111.10525616279246</v>
      </c>
      <c r="AA28" s="799">
        <f>Z28*(1+Assum!$C$38)*((Assum!D3-Z1)/AA4)</f>
        <v>83.171087659786551</v>
      </c>
      <c r="AB28" s="799"/>
      <c r="AD28" s="49"/>
    </row>
    <row r="29" spans="1:30" s="384" customFormat="1" hidden="1">
      <c r="A29" s="801" t="s">
        <v>301</v>
      </c>
      <c r="B29" s="801"/>
      <c r="C29" s="802">
        <f>(C27+C23)/C8*Cr/mn</f>
        <v>6.5435630536130978</v>
      </c>
      <c r="D29" s="802">
        <f>(D27+D23)/D8*Cr/mn</f>
        <v>6.5435630536130969</v>
      </c>
      <c r="E29" s="802"/>
      <c r="F29" s="802">
        <f t="shared" ref="F29:AA29" si="8">(F27+F23)/F8*Cr/mn</f>
        <v>6.5569375505011909</v>
      </c>
      <c r="G29" s="802">
        <f t="shared" si="8"/>
        <v>6.6894459942924689</v>
      </c>
      <c r="H29" s="802">
        <f t="shared" si="8"/>
        <v>6.8248150415777804</v>
      </c>
      <c r="I29" s="802">
        <f t="shared" si="8"/>
        <v>6.9631103218117394</v>
      </c>
      <c r="J29" s="802">
        <f t="shared" si="8"/>
        <v>7.1043991137334341</v>
      </c>
      <c r="K29" s="802">
        <f t="shared" si="8"/>
        <v>7.2487503918199439</v>
      </c>
      <c r="L29" s="802">
        <f t="shared" si="8"/>
        <v>7.3962348742076163</v>
      </c>
      <c r="M29" s="802">
        <f t="shared" si="8"/>
        <v>7.5469250721320513</v>
      </c>
      <c r="N29" s="802">
        <f t="shared" si="8"/>
        <v>7.7008953409395486</v>
      </c>
      <c r="O29" s="802">
        <f t="shared" si="8"/>
        <v>7.8582219327247502</v>
      </c>
      <c r="P29" s="802">
        <f t="shared" si="8"/>
        <v>8.0189830506512738</v>
      </c>
      <c r="Q29" s="802">
        <f t="shared" si="8"/>
        <v>8.1832589050141706</v>
      </c>
      <c r="R29" s="802">
        <f t="shared" si="8"/>
        <v>8.3511317711052762</v>
      </c>
      <c r="S29" s="802">
        <f t="shared" si="8"/>
        <v>8.5226860489448022</v>
      </c>
      <c r="T29" s="802">
        <f t="shared" si="8"/>
        <v>8.6980083249447731</v>
      </c>
      <c r="U29" s="802">
        <f t="shared" si="8"/>
        <v>8.8771874355725497</v>
      </c>
      <c r="V29" s="802">
        <f t="shared" si="8"/>
        <v>9.0603145330849948</v>
      </c>
      <c r="W29" s="802">
        <f t="shared" si="8"/>
        <v>9.2474831534066944</v>
      </c>
      <c r="X29" s="802">
        <f t="shared" si="8"/>
        <v>9.4387892862281806</v>
      </c>
      <c r="Y29" s="802">
        <f t="shared" si="8"/>
        <v>9.634331447403202</v>
      </c>
      <c r="Z29" s="802">
        <f t="shared" si="8"/>
        <v>9.8342107537266905</v>
      </c>
      <c r="AA29" s="802">
        <f t="shared" si="8"/>
        <v>10.038531000178635</v>
      </c>
      <c r="AB29" s="802"/>
    </row>
    <row r="30" spans="1:30">
      <c r="A30" s="750"/>
      <c r="B30" s="750"/>
      <c r="C30" s="750"/>
      <c r="D30" s="750"/>
      <c r="E30" s="750"/>
      <c r="F30" s="750"/>
      <c r="G30" s="794"/>
      <c r="H30" s="750"/>
      <c r="I30" s="750"/>
      <c r="J30" s="750"/>
      <c r="K30" s="750"/>
      <c r="L30" s="750"/>
      <c r="M30" s="750"/>
      <c r="N30" s="750"/>
      <c r="O30" s="750"/>
      <c r="P30" s="750"/>
      <c r="Q30" s="750"/>
      <c r="R30" s="750"/>
      <c r="S30" s="750"/>
      <c r="T30" s="750"/>
      <c r="U30" s="750"/>
      <c r="V30" s="750"/>
      <c r="W30" s="750"/>
      <c r="X30" s="750"/>
      <c r="Y30" s="750"/>
      <c r="Z30" s="750"/>
      <c r="AA30" s="750"/>
      <c r="AB30" s="750"/>
    </row>
    <row r="31" spans="1:30">
      <c r="A31" s="793" t="s">
        <v>26</v>
      </c>
      <c r="B31" s="750"/>
      <c r="C31" s="794">
        <f>Assum!B7</f>
        <v>600</v>
      </c>
      <c r="D31" s="794">
        <f>C31</f>
        <v>600</v>
      </c>
      <c r="E31" s="794"/>
      <c r="F31" s="794">
        <f>D31</f>
        <v>600</v>
      </c>
      <c r="G31" s="794">
        <f t="shared" ref="G31:AB31" si="9">F31</f>
        <v>600</v>
      </c>
      <c r="H31" s="794">
        <f t="shared" si="9"/>
        <v>600</v>
      </c>
      <c r="I31" s="794">
        <f t="shared" si="9"/>
        <v>600</v>
      </c>
      <c r="J31" s="794">
        <f t="shared" si="9"/>
        <v>600</v>
      </c>
      <c r="K31" s="794">
        <f t="shared" si="9"/>
        <v>600</v>
      </c>
      <c r="L31" s="794">
        <f t="shared" si="9"/>
        <v>600</v>
      </c>
      <c r="M31" s="794">
        <f t="shared" si="9"/>
        <v>600</v>
      </c>
      <c r="N31" s="794">
        <f t="shared" si="9"/>
        <v>600</v>
      </c>
      <c r="O31" s="794">
        <f t="shared" si="9"/>
        <v>600</v>
      </c>
      <c r="P31" s="794">
        <f t="shared" si="9"/>
        <v>600</v>
      </c>
      <c r="Q31" s="794">
        <f t="shared" si="9"/>
        <v>600</v>
      </c>
      <c r="R31" s="794">
        <f t="shared" si="9"/>
        <v>600</v>
      </c>
      <c r="S31" s="794">
        <f t="shared" si="9"/>
        <v>600</v>
      </c>
      <c r="T31" s="794">
        <f t="shared" si="9"/>
        <v>600</v>
      </c>
      <c r="U31" s="794">
        <f t="shared" si="9"/>
        <v>600</v>
      </c>
      <c r="V31" s="794">
        <f t="shared" si="9"/>
        <v>600</v>
      </c>
      <c r="W31" s="794">
        <f t="shared" si="9"/>
        <v>600</v>
      </c>
      <c r="X31" s="794">
        <f t="shared" si="9"/>
        <v>600</v>
      </c>
      <c r="Y31" s="794">
        <f t="shared" si="9"/>
        <v>600</v>
      </c>
      <c r="Z31" s="794">
        <f t="shared" si="9"/>
        <v>600</v>
      </c>
      <c r="AA31" s="794">
        <f t="shared" si="9"/>
        <v>600</v>
      </c>
      <c r="AB31" s="794">
        <f t="shared" si="9"/>
        <v>600</v>
      </c>
      <c r="AC31" s="9"/>
    </row>
    <row r="32" spans="1:30">
      <c r="A32" s="795" t="s">
        <v>281</v>
      </c>
      <c r="B32" s="750"/>
      <c r="C32" s="755">
        <f>C31*Assum!$B$156*Assum!$B$155*(C$1-B$1)*Assum!$B$12/mn</f>
        <v>0</v>
      </c>
      <c r="D32" s="755">
        <f>D31*Assum!$B$156*Assum!$B$155*(D$1-C$1)*Assum!$C$12/mn</f>
        <v>0</v>
      </c>
      <c r="E32" s="755">
        <f>D32+C32</f>
        <v>0</v>
      </c>
      <c r="F32" s="755">
        <f>F31*Assum!$B$156*Assum!$B$155*(F$1-D$1)*Assum!$D$12/mn</f>
        <v>1576.8</v>
      </c>
      <c r="G32" s="755">
        <f>G31*Assum!$B$156*Assum!$B$155*(G$1-F$1)*Assum!$E$12/mn</f>
        <v>4479.84</v>
      </c>
      <c r="H32" s="755">
        <f>H31*Assum!$B$156*Assum!$B$155*(H$1-G$1)*Assum!$E$12/mn</f>
        <v>4467.6000000000004</v>
      </c>
      <c r="I32" s="755">
        <f>I31*Assum!$B$156*Assum!$B$155*(I$1-H$1)*Assum!$E$12/mn</f>
        <v>4467.6000000000004</v>
      </c>
      <c r="J32" s="755">
        <f>J31*Assum!$B$156*Assum!$B$155*(J$1-I$1)*Assum!$E$12/mn</f>
        <v>4467.6000000000004</v>
      </c>
      <c r="K32" s="755">
        <f>K31*Assum!$B$156*Assum!$B$155*(K$1-J$1)*Assum!I12/mn</f>
        <v>3162.24</v>
      </c>
      <c r="L32" s="755">
        <f>L31*Assum!$B$156*Assum!$B$155*(L$1-K$1)*Assum!J12/mn</f>
        <v>3153.6</v>
      </c>
      <c r="M32" s="755">
        <f>M31*Assum!$B$156*Assum!$B$155*(M$1-L$1)*Assum!K12/mn</f>
        <v>3153.6</v>
      </c>
      <c r="N32" s="755">
        <f>N31*Assum!$B$156*Assum!$B$155*(N$1-M$1)*Assum!L12/mn</f>
        <v>3258.72</v>
      </c>
      <c r="O32" s="755">
        <f>O31*Assum!$B$156*Assum!$B$155*(O$1-N$1)*Assum!M12/mn</f>
        <v>3267.6480000000001</v>
      </c>
      <c r="P32" s="755">
        <f>P31*Assum!$B$156*Assum!$B$155*(P$1-O$1)*Assum!N12/mn</f>
        <v>3363.84</v>
      </c>
      <c r="Q32" s="755">
        <f>Q31*Assum!$B$156*Assum!$B$155*(Q$1-P$1)*Assum!O12/mn</f>
        <v>3363.84</v>
      </c>
      <c r="R32" s="755">
        <f>R31*Assum!$B$156*Assum!$B$155*(R$1-Q$1)*Assum!P12/mn</f>
        <v>3468.96</v>
      </c>
      <c r="S32" s="755">
        <f>S31*Assum!$B$156*Assum!$B$155*(S$1-R$1)*Assum!Q12/mn</f>
        <v>3478.4639999999999</v>
      </c>
      <c r="T32" s="755">
        <f>T31*Assum!$B$156*Assum!$B$155*(T$1-S$1)*Assum!R12/mn</f>
        <v>3574.0800000000004</v>
      </c>
      <c r="U32" s="755">
        <f>U31*Assum!$B$156*Assum!$B$155*(U$1-T$1)*Assum!S12/mn</f>
        <v>3574.0800000000004</v>
      </c>
      <c r="V32" s="755">
        <f>V31*Assum!$B$156*Assum!$B$155*(V$1-U$1)*Assum!T12/mn</f>
        <v>3679.2000000000003</v>
      </c>
      <c r="W32" s="755">
        <f>W31*Assum!$B$156*Assum!$B$155*(W$1-V$1)*Assum!U12/mn</f>
        <v>3689.2800000000007</v>
      </c>
      <c r="X32" s="755">
        <f>X31*Assum!$B$156*Assum!$B$155*(X$1-W$1)*Assum!V12/mn</f>
        <v>3679.2000000000003</v>
      </c>
      <c r="Y32" s="755">
        <f>Y31*Assum!$B$156*Assum!$B$155*(Y$1-X$1)*Assum!W12/mn</f>
        <v>3679.2000000000003</v>
      </c>
      <c r="Z32" s="755">
        <f>Z31*Assum!$B$156*Assum!$B$155*(Z$1-Y$1)*Assum!X12/mn</f>
        <v>3679.2000000000003</v>
      </c>
      <c r="AA32" s="755">
        <f>AA31*Assum!$B$156*Assum!$B$155*(AA$1-Z$1)*Assum!Y12/mn</f>
        <v>3689.2800000000007</v>
      </c>
      <c r="AB32" s="755">
        <f>AB31*Assum!$B$156*Assum!$B$155*(AB$1-AA$1)*Assum!Z12/mn</f>
        <v>2892.9600000000005</v>
      </c>
      <c r="AC32" s="13">
        <f>AC31*Assum!$B$156*Assum!$B$155*(AC$1-AB$1)*Assum!AA12/mn</f>
        <v>0</v>
      </c>
    </row>
    <row r="33" spans="1:30">
      <c r="A33" s="795" t="s">
        <v>282</v>
      </c>
      <c r="B33" s="750"/>
      <c r="C33" s="794">
        <f>C32*(Assum!$B$15+Assum!$B$16)</f>
        <v>0</v>
      </c>
      <c r="D33" s="794">
        <f>D32*(Assum!$B$15+Assum!$B$16)</f>
        <v>0</v>
      </c>
      <c r="E33" s="755">
        <f>D33+C33</f>
        <v>0</v>
      </c>
      <c r="F33" s="794">
        <f>F32*(Assum!$B$15+Assum!$B$16)</f>
        <v>106.434</v>
      </c>
      <c r="G33" s="794">
        <f>G32*(Assum!$B$15+Assum!$B$16)</f>
        <v>302.38920000000002</v>
      </c>
      <c r="H33" s="794">
        <f>H32*(Assum!$B$15+Assum!$B$16)</f>
        <v>301.56300000000005</v>
      </c>
      <c r="I33" s="794">
        <f>I32*(Assum!$B$15+Assum!$B$16)</f>
        <v>301.56300000000005</v>
      </c>
      <c r="J33" s="794">
        <f>J32*(Assum!$B$15+Assum!$B$16)</f>
        <v>301.56300000000005</v>
      </c>
      <c r="K33" s="794">
        <f>K32*(Assum!$B$15+Assum!$B$16)</f>
        <v>213.4512</v>
      </c>
      <c r="L33" s="794">
        <f>L32*(Assum!$B$15+Assum!$B$16)</f>
        <v>212.86799999999999</v>
      </c>
      <c r="M33" s="794">
        <f>M32*(Assum!$B$15+Assum!$B$16)</f>
        <v>212.86799999999999</v>
      </c>
      <c r="N33" s="794">
        <f>N32*(Assum!$B$15+Assum!$B$16)</f>
        <v>219.96360000000001</v>
      </c>
      <c r="O33" s="794">
        <f>O32*(Assum!$B$15+Assum!$B$16)</f>
        <v>220.56624000000002</v>
      </c>
      <c r="P33" s="794">
        <f>P32*(Assum!$B$15+Assum!$B$16)</f>
        <v>227.05920000000003</v>
      </c>
      <c r="Q33" s="794">
        <f>Q32*(Assum!$B$15+Assum!$B$16)</f>
        <v>227.05920000000003</v>
      </c>
      <c r="R33" s="794">
        <f>R32*(Assum!$B$15+Assum!$B$16)</f>
        <v>234.15480000000002</v>
      </c>
      <c r="S33" s="794">
        <f>S32*(Assum!$B$15+Assum!$B$16)</f>
        <v>234.79632000000001</v>
      </c>
      <c r="T33" s="794">
        <f>T32*(Assum!$B$15+Assum!$B$16)</f>
        <v>241.25040000000004</v>
      </c>
      <c r="U33" s="794">
        <f>U32*(Assum!$B$15+Assum!$B$16)</f>
        <v>241.25040000000004</v>
      </c>
      <c r="V33" s="794">
        <f>V32*(Assum!$B$15+Assum!$B$16)</f>
        <v>248.34600000000003</v>
      </c>
      <c r="W33" s="794">
        <f>W32*(Assum!$B$15+Assum!$B$16)</f>
        <v>249.02640000000005</v>
      </c>
      <c r="X33" s="794">
        <f>X32*(Assum!$B$15+Assum!$B$16)</f>
        <v>248.34600000000003</v>
      </c>
      <c r="Y33" s="794">
        <f>Y32*(Assum!$B$15+Assum!$B$16)</f>
        <v>248.34600000000003</v>
      </c>
      <c r="Z33" s="794">
        <f>Z32*(Assum!$B$15+Assum!$B$16)</f>
        <v>248.34600000000003</v>
      </c>
      <c r="AA33" s="794">
        <f>AA32*(Assum!$B$15+Assum!$B$16)</f>
        <v>249.02640000000005</v>
      </c>
      <c r="AB33" s="794">
        <f>AB32*(Assum!$B$15+Assum!$B$16)</f>
        <v>195.27480000000006</v>
      </c>
      <c r="AC33" s="9"/>
    </row>
    <row r="34" spans="1:30">
      <c r="A34" s="796" t="s">
        <v>283</v>
      </c>
      <c r="B34" s="750"/>
      <c r="C34" s="797">
        <f>C32-C33</f>
        <v>0</v>
      </c>
      <c r="D34" s="797">
        <f t="shared" ref="D34:AB34" si="10">D32-D33</f>
        <v>0</v>
      </c>
      <c r="E34" s="799">
        <f>D34+C34</f>
        <v>0</v>
      </c>
      <c r="F34" s="797">
        <f t="shared" si="10"/>
        <v>1470.366</v>
      </c>
      <c r="G34" s="797">
        <f t="shared" si="10"/>
        <v>4177.4508000000005</v>
      </c>
      <c r="H34" s="797">
        <f t="shared" si="10"/>
        <v>4166.0370000000003</v>
      </c>
      <c r="I34" s="797">
        <f t="shared" si="10"/>
        <v>4166.0370000000003</v>
      </c>
      <c r="J34" s="797">
        <f t="shared" si="10"/>
        <v>4166.0370000000003</v>
      </c>
      <c r="K34" s="797">
        <f t="shared" si="10"/>
        <v>2948.7887999999998</v>
      </c>
      <c r="L34" s="797">
        <f t="shared" si="10"/>
        <v>2940.732</v>
      </c>
      <c r="M34" s="797">
        <f t="shared" si="10"/>
        <v>2940.732</v>
      </c>
      <c r="N34" s="797">
        <f t="shared" si="10"/>
        <v>3038.7563999999998</v>
      </c>
      <c r="O34" s="797">
        <f t="shared" si="10"/>
        <v>3047.08176</v>
      </c>
      <c r="P34" s="797">
        <f t="shared" si="10"/>
        <v>3136.7808</v>
      </c>
      <c r="Q34" s="797">
        <f t="shared" si="10"/>
        <v>3136.7808</v>
      </c>
      <c r="R34" s="797">
        <f t="shared" si="10"/>
        <v>3234.8051999999998</v>
      </c>
      <c r="S34" s="797">
        <f t="shared" si="10"/>
        <v>3243.66768</v>
      </c>
      <c r="T34" s="797">
        <f t="shared" si="10"/>
        <v>3332.8296000000005</v>
      </c>
      <c r="U34" s="797">
        <f t="shared" si="10"/>
        <v>3332.8296000000005</v>
      </c>
      <c r="V34" s="797">
        <f t="shared" si="10"/>
        <v>3430.8540000000003</v>
      </c>
      <c r="W34" s="797">
        <f t="shared" si="10"/>
        <v>3440.2536000000005</v>
      </c>
      <c r="X34" s="797">
        <f t="shared" si="10"/>
        <v>3430.8540000000003</v>
      </c>
      <c r="Y34" s="797">
        <f t="shared" si="10"/>
        <v>3430.8540000000003</v>
      </c>
      <c r="Z34" s="797">
        <f t="shared" si="10"/>
        <v>3430.8540000000003</v>
      </c>
      <c r="AA34" s="797">
        <f t="shared" si="10"/>
        <v>3440.2536000000005</v>
      </c>
      <c r="AB34" s="797">
        <f t="shared" si="10"/>
        <v>2697.6852000000003</v>
      </c>
      <c r="AC34" s="9">
        <f>AB34/AA34</f>
        <v>0.78415300546448086</v>
      </c>
      <c r="AD34" s="35"/>
    </row>
    <row r="35" spans="1:30">
      <c r="A35" s="796"/>
      <c r="B35" s="750"/>
      <c r="C35" s="797"/>
      <c r="D35" s="797"/>
      <c r="E35" s="797"/>
      <c r="F35" s="797"/>
      <c r="G35" s="797"/>
      <c r="H35" s="797"/>
      <c r="I35" s="797"/>
      <c r="J35" s="797"/>
      <c r="K35" s="797"/>
      <c r="L35" s="797"/>
      <c r="M35" s="797"/>
      <c r="N35" s="797"/>
      <c r="O35" s="797"/>
      <c r="P35" s="797"/>
      <c r="Q35" s="797"/>
      <c r="R35" s="797"/>
      <c r="S35" s="797"/>
      <c r="T35" s="797"/>
      <c r="U35" s="797"/>
      <c r="V35" s="797"/>
      <c r="W35" s="797"/>
      <c r="X35" s="797"/>
      <c r="Y35" s="797"/>
      <c r="Z35" s="797"/>
      <c r="AA35" s="797"/>
      <c r="AB35" s="797"/>
      <c r="AC35" s="35"/>
    </row>
    <row r="36" spans="1:30">
      <c r="A36" s="796" t="s">
        <v>302</v>
      </c>
      <c r="B36" s="750"/>
      <c r="C36" s="797" t="e">
        <f>SUM(#REF!)</f>
        <v>#REF!</v>
      </c>
      <c r="D36" s="797" t="e">
        <f>SUM(#REF!)</f>
        <v>#REF!</v>
      </c>
      <c r="E36" s="799" t="e">
        <f>D36+C36</f>
        <v>#REF!</v>
      </c>
      <c r="F36" s="797" t="e">
        <f>SUM(#REF!)</f>
        <v>#REF!</v>
      </c>
      <c r="G36" s="797" t="e">
        <f>SUM(#REF!)</f>
        <v>#REF!</v>
      </c>
      <c r="H36" s="797" t="e">
        <f>SUM(#REF!)</f>
        <v>#REF!</v>
      </c>
      <c r="I36" s="797" t="e">
        <f>SUM(#REF!)</f>
        <v>#REF!</v>
      </c>
      <c r="J36" s="797" t="e">
        <f>SUM(#REF!)</f>
        <v>#REF!</v>
      </c>
      <c r="K36" s="797">
        <f>K34*Tariff!$C$31*mn/Cr</f>
        <v>1779.2991619199997</v>
      </c>
      <c r="L36" s="797">
        <f>L34*Tariff!$C$31*mn/Cr</f>
        <v>1774.4376887999999</v>
      </c>
      <c r="M36" s="797">
        <f>M34*Tariff!$C$31*mn/Cr</f>
        <v>1774.4376887999999</v>
      </c>
      <c r="N36" s="797">
        <f>N34*Tariff!$D$31*mn/Cr</f>
        <v>1925.2648923479999</v>
      </c>
      <c r="O36" s="797">
        <f>O34*Tariff!$D$31*mn/Cr</f>
        <v>1930.5395906832</v>
      </c>
      <c r="P36" s="797">
        <f>P34*Tariff!$D$31*mn/Cr</f>
        <v>1987.3702114560001</v>
      </c>
      <c r="Q36" s="797">
        <f>Q34*Tariff!$E$31*mn/Cr</f>
        <v>2086.7387220288001</v>
      </c>
      <c r="R36" s="797">
        <f>R34*Tariff!$E$31*mn/Cr</f>
        <v>2151.9493070921999</v>
      </c>
      <c r="S36" s="797">
        <f>S34*Tariff!$E$31*mn/Cr</f>
        <v>2157.8450586184799</v>
      </c>
      <c r="T36" s="797">
        <f>T34*Tariff!$F$31*mn/Cr</f>
        <v>2328.0178867633808</v>
      </c>
      <c r="U36" s="797">
        <f>U34*Tariff!$F$31*mn/Cr</f>
        <v>2328.0178867633808</v>
      </c>
      <c r="V36" s="797">
        <f>V34*Tariff!$F$31*mn/Cr</f>
        <v>2396.4890010799504</v>
      </c>
      <c r="W36" s="797">
        <f>W34*Tariff!$G$31*mn/Cr</f>
        <v>2523.2074605891094</v>
      </c>
      <c r="X36" s="797">
        <f>X34*Tariff!$G$31*mn/Cr</f>
        <v>2516.3134511339481</v>
      </c>
      <c r="Y36" s="797">
        <f>Y34*Tariff!$G$31*mn/Cr</f>
        <v>2516.3134511339481</v>
      </c>
      <c r="Z36" s="797">
        <f>Z34*Tariff!$H$31*mn/Cr</f>
        <v>2642.1291236906454</v>
      </c>
      <c r="AA36" s="797">
        <f>AA34*Tariff!$H$31*mn/Cr</f>
        <v>2649.3678336185649</v>
      </c>
      <c r="AB36" s="797">
        <f>AB34*Tariff!$H$31*mn/Cr</f>
        <v>2077.5097493129183</v>
      </c>
      <c r="AC36" s="9">
        <f>AB36/AA36</f>
        <v>0.78415300546448086</v>
      </c>
    </row>
    <row r="37" spans="1:30">
      <c r="A37" s="388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95"/>
    </row>
    <row r="38" spans="1:30" hidden="1">
      <c r="A38" t="s">
        <v>285</v>
      </c>
      <c r="C38" s="9">
        <f>Assum!$B$19</f>
        <v>2317.5</v>
      </c>
      <c r="D38" s="9">
        <f>Assum!$B$19</f>
        <v>2317.5</v>
      </c>
      <c r="E38" s="9"/>
      <c r="F38" s="9">
        <f>Assum!$B$19</f>
        <v>2317.5</v>
      </c>
      <c r="G38" s="9">
        <f>Assum!$B$19</f>
        <v>2317.5</v>
      </c>
      <c r="H38" s="9">
        <f>Assum!$B$19</f>
        <v>2317.5</v>
      </c>
      <c r="I38" s="9">
        <f>Assum!$B$19</f>
        <v>2317.5</v>
      </c>
      <c r="J38" s="9">
        <f>Assum!$B$19</f>
        <v>2317.5</v>
      </c>
      <c r="K38" s="9">
        <f>Assum!$B$19</f>
        <v>2317.5</v>
      </c>
      <c r="L38" s="9">
        <f>Assum!$B$19</f>
        <v>2317.5</v>
      </c>
      <c r="M38" s="9">
        <f>Assum!$B$19</f>
        <v>2317.5</v>
      </c>
      <c r="N38" s="9">
        <f>Assum!$B$19</f>
        <v>2317.5</v>
      </c>
      <c r="O38" s="9">
        <f>Assum!$B$19</f>
        <v>2317.5</v>
      </c>
      <c r="P38" s="9">
        <f>Assum!$B$19</f>
        <v>2317.5</v>
      </c>
      <c r="Q38" s="9">
        <f>Assum!$B$19</f>
        <v>2317.5</v>
      </c>
      <c r="R38" s="9">
        <f>Assum!$B$19</f>
        <v>2317.5</v>
      </c>
      <c r="S38" s="9">
        <f>Assum!$B$19</f>
        <v>2317.5</v>
      </c>
      <c r="T38" s="9">
        <f>Assum!$B$19</f>
        <v>2317.5</v>
      </c>
      <c r="U38" s="9">
        <f>Assum!$B$19</f>
        <v>2317.5</v>
      </c>
      <c r="V38" s="9">
        <f>Assum!$B$19</f>
        <v>2317.5</v>
      </c>
      <c r="W38" s="9">
        <f>Assum!$B$19</f>
        <v>2317.5</v>
      </c>
      <c r="X38" s="9">
        <f>Assum!$B$19</f>
        <v>2317.5</v>
      </c>
      <c r="Y38" s="9">
        <f>Assum!$B$19</f>
        <v>2317.5</v>
      </c>
      <c r="Z38" s="9">
        <f>Assum!$B$19</f>
        <v>2317.5</v>
      </c>
      <c r="AA38" s="9">
        <f>Assum!$B$19</f>
        <v>2317.5</v>
      </c>
      <c r="AB38" s="9">
        <f>Assum!$B$19</f>
        <v>2317.5</v>
      </c>
      <c r="AC38" s="9"/>
    </row>
    <row r="39" spans="1:30" hidden="1">
      <c r="A39" t="s">
        <v>286</v>
      </c>
      <c r="C39" s="9">
        <f>Assum!$B$20</f>
        <v>5400</v>
      </c>
      <c r="D39" s="9">
        <f>C39</f>
        <v>5400</v>
      </c>
      <c r="E39" s="9"/>
      <c r="F39" s="9">
        <f>Assum!$B$20</f>
        <v>5400</v>
      </c>
      <c r="G39" s="9">
        <f>Assum!$B$20</f>
        <v>5400</v>
      </c>
      <c r="H39" s="9">
        <f>Assum!$B$20</f>
        <v>5400</v>
      </c>
      <c r="I39" s="9">
        <f>Assum!$B$20</f>
        <v>5400</v>
      </c>
      <c r="J39" s="9">
        <f>Assum!$B$20</f>
        <v>5400</v>
      </c>
      <c r="K39" s="9">
        <f>Assum!$B$20</f>
        <v>5400</v>
      </c>
      <c r="L39" s="9">
        <f>Assum!$B$20</f>
        <v>5400</v>
      </c>
      <c r="M39" s="9">
        <f>Assum!$B$20</f>
        <v>5400</v>
      </c>
      <c r="N39" s="9">
        <f>Assum!$B$20</f>
        <v>5400</v>
      </c>
      <c r="O39" s="9">
        <f>Assum!$B$20</f>
        <v>5400</v>
      </c>
      <c r="P39" s="9">
        <f>Assum!$B$20</f>
        <v>5400</v>
      </c>
      <c r="Q39" s="9">
        <f>Assum!$B$20</f>
        <v>5400</v>
      </c>
      <c r="R39" s="9">
        <f>Assum!$B$20</f>
        <v>5400</v>
      </c>
      <c r="S39" s="9">
        <f>Assum!$B$20</f>
        <v>5400</v>
      </c>
      <c r="T39" s="9">
        <f>Assum!$B$20</f>
        <v>5400</v>
      </c>
      <c r="U39" s="9">
        <f>Assum!$B$20</f>
        <v>5400</v>
      </c>
      <c r="V39" s="9">
        <f>Assum!$B$20</f>
        <v>5400</v>
      </c>
      <c r="W39" s="9">
        <f>Assum!$B$20</f>
        <v>5400</v>
      </c>
      <c r="X39" s="9">
        <f>Assum!$B$20</f>
        <v>5400</v>
      </c>
      <c r="Y39" s="9">
        <f>Assum!$B$20</f>
        <v>5400</v>
      </c>
      <c r="Z39" s="9">
        <f>Assum!$B$20</f>
        <v>5400</v>
      </c>
      <c r="AA39" s="9">
        <f>Assum!$B$20</f>
        <v>5400</v>
      </c>
      <c r="AB39" s="9">
        <f>Assum!$B$20</f>
        <v>5400</v>
      </c>
      <c r="AC39" s="9"/>
    </row>
    <row r="40" spans="1:30" hidden="1">
      <c r="A40" s="387" t="s">
        <v>303</v>
      </c>
      <c r="C40" s="9">
        <f>C38*C32/C39/Assum!$B$157*(1+Assum!$B$30)</f>
        <v>0</v>
      </c>
      <c r="D40" s="9">
        <f>D38*D32/D39/Assum!$B$157*(1+Assum!$B$30)</f>
        <v>0</v>
      </c>
      <c r="E40" s="13">
        <f>D40+C40</f>
        <v>0</v>
      </c>
      <c r="F40" s="9">
        <f>F38*F32/F39/Assum!$B$157*(1+Assum!$B$30)</f>
        <v>0.68347710000000006</v>
      </c>
      <c r="G40" s="9">
        <f>G38*G32/G39/Assum!$B$157*(1+Assum!$B$30)</f>
        <v>1.9418239800000003</v>
      </c>
      <c r="H40" s="9">
        <f>H38*H32/H39/Assum!$B$157*(1+Assum!$B$30)</f>
        <v>1.9365184500000001</v>
      </c>
      <c r="I40" s="9">
        <f>I38*I32/I39/Assum!$B$157*(1+Assum!$B$30)</f>
        <v>1.9365184500000001</v>
      </c>
      <c r="J40" s="9">
        <f>J38*J32/J39/Assum!$B$157*(1+Assum!$B$30)</f>
        <v>1.9365184500000001</v>
      </c>
      <c r="K40" s="9">
        <f>K38*K32/K39/Assum!$B$157*(1+Assum!$B$30)</f>
        <v>1.37069928</v>
      </c>
      <c r="L40" s="9">
        <f>L38*L32/L39/Assum!$B$157*(1+Assum!$B$30)</f>
        <v>1.3669542000000001</v>
      </c>
      <c r="M40" s="9">
        <f>M38*M32/M39/Assum!$B$157*(1+Assum!$B$30)</f>
        <v>1.3669542000000001</v>
      </c>
      <c r="N40" s="9">
        <f>N38*N32/N39/Assum!$B$157*(1+Assum!$B$30)</f>
        <v>1.41251934</v>
      </c>
      <c r="O40" s="9">
        <f>O38*O32/O39/Assum!$B$157*(1+Assum!$B$30)</f>
        <v>1.416389256</v>
      </c>
      <c r="P40" s="9">
        <f>P38*P32/P39/Assum!$B$157*(1+Assum!$B$30)</f>
        <v>1.4580844800000001</v>
      </c>
      <c r="Q40" s="9">
        <f>Q38*Q32/Q39/Assum!$B$157*(1+Assum!$B$30)</f>
        <v>1.4580844800000001</v>
      </c>
      <c r="R40" s="9">
        <f>R38*R32/R39/Assum!$B$157*(1+Assum!$B$30)</f>
        <v>1.50364962</v>
      </c>
      <c r="S40" s="9">
        <f>S38*S32/S39/Assum!$B$157*(1+Assum!$B$30)</f>
        <v>1.507769208</v>
      </c>
      <c r="T40" s="9">
        <f>T38*T32/T39/Assum!$B$157*(1+Assum!$B$30)</f>
        <v>1.5492147600000004</v>
      </c>
      <c r="U40" s="9">
        <f>U38*U32/U39/Assum!$B$157*(1+Assum!$B$30)</f>
        <v>1.5492147600000004</v>
      </c>
      <c r="V40" s="9">
        <f>V38*V32/V39/Assum!$B$157*(1+Assum!$B$30)</f>
        <v>1.5947799</v>
      </c>
      <c r="W40" s="9">
        <f>W38*W32/W39/Assum!$B$157*(1+Assum!$B$30)</f>
        <v>1.5991491600000005</v>
      </c>
      <c r="X40" s="9">
        <f>X38*X32/X39/Assum!$B$157*(1+Assum!$B$30)</f>
        <v>1.5947799</v>
      </c>
      <c r="Y40" s="9">
        <f>Y38*Y32/Y39/Assum!$B$157*(1+Assum!$B$30)</f>
        <v>1.5947799</v>
      </c>
      <c r="Z40" s="9">
        <f>Z38*Z32/Z39/Assum!$B$157*(1+Assum!$B$30)</f>
        <v>1.5947799</v>
      </c>
      <c r="AA40" s="9">
        <f>AA38*AA32/AA39/Assum!$B$157*(1+Assum!$B$30)</f>
        <v>1.5991491600000005</v>
      </c>
      <c r="AB40" s="9">
        <f>AB38*AB32/AB39/Assum!$B$157*(1+Assum!$B$30)</f>
        <v>1.2539776200000001</v>
      </c>
      <c r="AC40" s="9">
        <f>AB40/AA40</f>
        <v>0.78415300546448075</v>
      </c>
    </row>
    <row r="41" spans="1:30" hidden="1">
      <c r="A41" s="390" t="s">
        <v>288</v>
      </c>
    </row>
    <row r="42" spans="1:30" hidden="1">
      <c r="A42" t="s">
        <v>289</v>
      </c>
      <c r="C42" s="9">
        <f>Assum!$B$25</f>
        <v>136.5</v>
      </c>
      <c r="D42" s="9">
        <f>C42</f>
        <v>136.5</v>
      </c>
      <c r="E42" s="9"/>
      <c r="F42" s="13">
        <f>D42</f>
        <v>136.5</v>
      </c>
      <c r="G42" s="13">
        <f>F42*(1+Assum!$C$25)</f>
        <v>139.22999999999999</v>
      </c>
      <c r="H42" s="13">
        <f>G42*(1+Assum!$C$25)</f>
        <v>142.0146</v>
      </c>
      <c r="I42" s="13">
        <f>H42*(1+Assum!$C$25)</f>
        <v>144.85489200000001</v>
      </c>
      <c r="J42" s="13">
        <f>I42*(1+Assum!$C$25)</f>
        <v>147.75198984000002</v>
      </c>
      <c r="K42" s="13">
        <f>J42*(1+Assum!$C$25)</f>
        <v>150.70702963680003</v>
      </c>
      <c r="L42" s="13">
        <f>K42*(1+Assum!$C$25)</f>
        <v>153.72117022953603</v>
      </c>
      <c r="M42" s="13">
        <f>L42*(1+Assum!$C$25)</f>
        <v>156.79559363412676</v>
      </c>
      <c r="N42" s="13">
        <f>M42*(1+Assum!$C$25)</f>
        <v>159.93150550680929</v>
      </c>
      <c r="O42" s="13">
        <f>N42*(1+Assum!$C$25)</f>
        <v>163.13013561694547</v>
      </c>
      <c r="P42" s="13">
        <f>O42*(1+Assum!$C$25)</f>
        <v>166.39273832928438</v>
      </c>
      <c r="Q42" s="13">
        <f>P42*(1+Assum!$C$25)</f>
        <v>169.72059309587007</v>
      </c>
      <c r="R42" s="13">
        <f>Q42*(1+Assum!$C$25)</f>
        <v>173.11500495778748</v>
      </c>
      <c r="S42" s="13">
        <f>R42*(1+Assum!$C$25)</f>
        <v>176.57730505694323</v>
      </c>
      <c r="T42" s="13">
        <f>S42*(1+Assum!$C$25)</f>
        <v>180.1088511580821</v>
      </c>
      <c r="U42" s="13">
        <f>T42*(1+Assum!$C$25)</f>
        <v>183.71102818124376</v>
      </c>
      <c r="V42" s="13">
        <f>U42*(1+Assum!$C$25)</f>
        <v>187.38524874486865</v>
      </c>
      <c r="W42" s="13">
        <f>V42*(1+Assum!$C$25)</f>
        <v>191.13295371976602</v>
      </c>
      <c r="X42" s="13">
        <f>W42*(1+Assum!$C$25)</f>
        <v>194.95561279416134</v>
      </c>
      <c r="Y42" s="13">
        <f>X42*(1+Assum!$C$25)</f>
        <v>198.85472505004458</v>
      </c>
      <c r="Z42" s="13">
        <f>Y42*(1+Assum!$C$25)</f>
        <v>202.83181955104547</v>
      </c>
      <c r="AA42" s="13">
        <f>Z42*(1+Assum!$C$25)</f>
        <v>206.88845594206637</v>
      </c>
      <c r="AB42" s="13">
        <f>AA42*(1+Assum!$C$25)</f>
        <v>211.02622506090771</v>
      </c>
      <c r="AC42" s="13"/>
    </row>
    <row r="43" spans="1:30" hidden="1">
      <c r="A43" t="s">
        <v>290</v>
      </c>
      <c r="C43" s="9">
        <f>C42*C$2</f>
        <v>11347.244999999999</v>
      </c>
      <c r="D43" s="9">
        <f t="shared" ref="D43:AB43" si="11">D42*D$2</f>
        <v>11347.244999999999</v>
      </c>
      <c r="E43" s="9"/>
      <c r="F43" s="9">
        <f t="shared" si="11"/>
        <v>11347.244999999999</v>
      </c>
      <c r="G43" s="9">
        <f t="shared" si="11"/>
        <v>11574.189899999999</v>
      </c>
      <c r="H43" s="9">
        <f t="shared" si="11"/>
        <v>11805.673697999999</v>
      </c>
      <c r="I43" s="9">
        <f t="shared" si="11"/>
        <v>12041.787171960001</v>
      </c>
      <c r="J43" s="9">
        <f t="shared" si="11"/>
        <v>12282.622915399201</v>
      </c>
      <c r="K43" s="9">
        <f t="shared" si="11"/>
        <v>12528.275373707185</v>
      </c>
      <c r="L43" s="9">
        <f t="shared" si="11"/>
        <v>12778.84088118133</v>
      </c>
      <c r="M43" s="9">
        <f t="shared" si="11"/>
        <v>13034.417698804957</v>
      </c>
      <c r="N43" s="9">
        <f t="shared" si="11"/>
        <v>13295.106052781055</v>
      </c>
      <c r="O43" s="9">
        <f t="shared" si="11"/>
        <v>13561.008173836675</v>
      </c>
      <c r="P43" s="9">
        <f t="shared" si="11"/>
        <v>13832.228337313411</v>
      </c>
      <c r="Q43" s="9">
        <f t="shared" si="11"/>
        <v>14108.872904059679</v>
      </c>
      <c r="R43" s="9">
        <f t="shared" si="11"/>
        <v>14391.050362140872</v>
      </c>
      <c r="S43" s="9">
        <f t="shared" si="11"/>
        <v>14678.871369383691</v>
      </c>
      <c r="T43" s="9">
        <f t="shared" si="11"/>
        <v>14972.448796771365</v>
      </c>
      <c r="U43" s="9">
        <f t="shared" si="11"/>
        <v>15271.897772706792</v>
      </c>
      <c r="V43" s="9">
        <f t="shared" si="11"/>
        <v>15577.33572816093</v>
      </c>
      <c r="W43" s="9">
        <f t="shared" si="11"/>
        <v>15888.882442724149</v>
      </c>
      <c r="X43" s="9">
        <f t="shared" si="11"/>
        <v>16206.660091578631</v>
      </c>
      <c r="Y43" s="9">
        <f t="shared" si="11"/>
        <v>16530.793293410206</v>
      </c>
      <c r="Z43" s="9">
        <f t="shared" si="11"/>
        <v>16861.40915927841</v>
      </c>
      <c r="AA43" s="9">
        <f t="shared" si="11"/>
        <v>17198.637342463975</v>
      </c>
      <c r="AB43" s="9">
        <f t="shared" si="11"/>
        <v>17542.610089313257</v>
      </c>
      <c r="AC43" s="9"/>
    </row>
    <row r="44" spans="1:30" hidden="1">
      <c r="A44" t="s">
        <v>291</v>
      </c>
      <c r="C44" s="9">
        <f>C43*Assum!$B$28</f>
        <v>170.20867499999997</v>
      </c>
      <c r="D44" s="9">
        <f>D43*Assum!$B$28</f>
        <v>170.20867499999997</v>
      </c>
      <c r="E44" s="9"/>
      <c r="F44" s="9">
        <f>F43*Assum!$B$28</f>
        <v>170.20867499999997</v>
      </c>
      <c r="G44" s="9">
        <f>G43*Assum!$B$28</f>
        <v>173.61284849999998</v>
      </c>
      <c r="H44" s="9">
        <f>H43*Assum!$B$28</f>
        <v>177.08510546999997</v>
      </c>
      <c r="I44" s="9">
        <f>I43*Assum!$B$28</f>
        <v>180.62680757940001</v>
      </c>
      <c r="J44" s="9">
        <f>J43*Assum!$B$28</f>
        <v>184.239343730988</v>
      </c>
      <c r="K44" s="9">
        <f>K43*Assum!$B$28</f>
        <v>187.92413060560779</v>
      </c>
      <c r="L44" s="9">
        <f>L43*Assum!$B$28</f>
        <v>191.68261321771993</v>
      </c>
      <c r="M44" s="9">
        <f>M43*Assum!$B$28</f>
        <v>195.51626548207435</v>
      </c>
      <c r="N44" s="9">
        <f>N43*Assum!$B$28</f>
        <v>199.42659079171582</v>
      </c>
      <c r="O44" s="9">
        <f>O43*Assum!$B$28</f>
        <v>203.41512260755013</v>
      </c>
      <c r="P44" s="9">
        <f>P43*Assum!$B$28</f>
        <v>207.48342505970115</v>
      </c>
      <c r="Q44" s="9">
        <f>Q43*Assum!$B$28</f>
        <v>211.63309356089519</v>
      </c>
      <c r="R44" s="9">
        <f>R43*Assum!$B$28</f>
        <v>215.86575543211308</v>
      </c>
      <c r="S44" s="9">
        <f>S43*Assum!$B$28</f>
        <v>220.18307054075535</v>
      </c>
      <c r="T44" s="9">
        <f>T43*Assum!$B$28</f>
        <v>224.58673195157047</v>
      </c>
      <c r="U44" s="9">
        <f>U43*Assum!$B$28</f>
        <v>229.07846659060186</v>
      </c>
      <c r="V44" s="9">
        <f>V43*Assum!$B$28</f>
        <v>233.66003592241393</v>
      </c>
      <c r="W44" s="9">
        <f>W43*Assum!$B$28</f>
        <v>238.33323664086222</v>
      </c>
      <c r="X44" s="9">
        <f>X43*Assum!$B$28</f>
        <v>243.09990137367947</v>
      </c>
      <c r="Y44" s="9">
        <f>Y43*Assum!$B$28</f>
        <v>247.96189940115309</v>
      </c>
      <c r="Z44" s="9">
        <f>Z43*Assum!$B$28</f>
        <v>252.92113738917612</v>
      </c>
      <c r="AA44" s="9">
        <f>AA43*Assum!$B$28</f>
        <v>257.97956013695961</v>
      </c>
      <c r="AB44" s="9">
        <f>AB43*Assum!$B$28</f>
        <v>263.13915133969886</v>
      </c>
      <c r="AC44" s="9"/>
    </row>
    <row r="45" spans="1:30" hidden="1">
      <c r="A45" t="s">
        <v>292</v>
      </c>
      <c r="C45" s="9">
        <f>C43*Assum!$B$29</f>
        <v>680.83469999999988</v>
      </c>
      <c r="D45" s="9">
        <f>D43*Assum!$B$29</f>
        <v>680.83469999999988</v>
      </c>
      <c r="E45" s="9"/>
      <c r="F45" s="9">
        <f>F43*Assum!$B$29</f>
        <v>680.83469999999988</v>
      </c>
      <c r="G45" s="9">
        <f>G43*Assum!$B$29</f>
        <v>694.45139399999994</v>
      </c>
      <c r="H45" s="9">
        <f>H43*Assum!$B$29</f>
        <v>708.34042187999989</v>
      </c>
      <c r="I45" s="9">
        <f>I43*Assum!$B$29</f>
        <v>722.50723031760003</v>
      </c>
      <c r="J45" s="9">
        <f>J43*Assum!$B$29</f>
        <v>736.95737492395199</v>
      </c>
      <c r="K45" s="9">
        <f>K43*Assum!$B$29</f>
        <v>751.69652242243114</v>
      </c>
      <c r="L45" s="9">
        <f>L43*Assum!$B$29</f>
        <v>766.73045287087973</v>
      </c>
      <c r="M45" s="9">
        <f>M43*Assum!$B$29</f>
        <v>782.06506192829738</v>
      </c>
      <c r="N45" s="9">
        <f>N43*Assum!$B$29</f>
        <v>797.7063631668633</v>
      </c>
      <c r="O45" s="9">
        <f>O43*Assum!$B$29</f>
        <v>813.66049043020053</v>
      </c>
      <c r="P45" s="9">
        <f>P43*Assum!$B$29</f>
        <v>829.93370023880459</v>
      </c>
      <c r="Q45" s="9">
        <f>Q43*Assum!$B$29</f>
        <v>846.53237424358076</v>
      </c>
      <c r="R45" s="9">
        <f>R43*Assum!$B$29</f>
        <v>863.4630217284523</v>
      </c>
      <c r="S45" s="9">
        <f>S43*Assum!$B$29</f>
        <v>880.73228216302141</v>
      </c>
      <c r="T45" s="9">
        <f>T43*Assum!$B$29</f>
        <v>898.34692780628188</v>
      </c>
      <c r="U45" s="9">
        <f>U43*Assum!$B$29</f>
        <v>916.31386636240745</v>
      </c>
      <c r="V45" s="9">
        <f>V43*Assum!$B$29</f>
        <v>934.6401436896557</v>
      </c>
      <c r="W45" s="9">
        <f>W43*Assum!$B$29</f>
        <v>953.3329465634489</v>
      </c>
      <c r="X45" s="9">
        <f>X43*Assum!$B$29</f>
        <v>972.39960549471789</v>
      </c>
      <c r="Y45" s="9">
        <f>Y43*Assum!$B$29</f>
        <v>991.84759760461236</v>
      </c>
      <c r="Z45" s="9">
        <f>Z43*Assum!$B$29</f>
        <v>1011.6845495567045</v>
      </c>
      <c r="AA45" s="9">
        <f>AA43*Assum!$B$29</f>
        <v>1031.9182405478384</v>
      </c>
      <c r="AB45" s="9">
        <f>AB43*Assum!$B$29</f>
        <v>1052.5566053587954</v>
      </c>
      <c r="AC45" s="9"/>
    </row>
    <row r="46" spans="1:30" hidden="1">
      <c r="A46" t="s">
        <v>50</v>
      </c>
      <c r="C46" s="9">
        <f>Assum!$B$27</f>
        <v>520</v>
      </c>
      <c r="D46" s="9">
        <f>C46</f>
        <v>520</v>
      </c>
      <c r="E46" s="9"/>
      <c r="F46" s="13">
        <f>D46*(1+Assum!$C$27)</f>
        <v>540.80000000000007</v>
      </c>
      <c r="G46" s="13">
        <f>F46*(1+Assum!$C$27)</f>
        <v>562.43200000000013</v>
      </c>
      <c r="H46" s="13">
        <f>G46*(1+Assum!$C$27)</f>
        <v>584.92928000000018</v>
      </c>
      <c r="I46" s="13">
        <f>H46*(1+Assum!$C$27)</f>
        <v>608.32645120000018</v>
      </c>
      <c r="J46" s="13">
        <f>I46*(1+Assum!$C$27)</f>
        <v>632.65950924800018</v>
      </c>
      <c r="K46" s="13">
        <f>J46*(1+Assum!$C$27)</f>
        <v>657.9658896179202</v>
      </c>
      <c r="L46" s="13">
        <f>K46*(1+Assum!$C$27)</f>
        <v>684.28452520263704</v>
      </c>
      <c r="M46" s="13">
        <f>L46*(1+Assum!$C$27)</f>
        <v>711.6559062107425</v>
      </c>
      <c r="N46" s="13">
        <f>M46*(1+Assum!$C$27)</f>
        <v>740.12214245917221</v>
      </c>
      <c r="O46" s="13">
        <f>N46*(1+Assum!$C$27)</f>
        <v>769.72702815753917</v>
      </c>
      <c r="P46" s="13">
        <f>O46*(1+Assum!$C$27)</f>
        <v>800.51610928384071</v>
      </c>
      <c r="Q46" s="13">
        <f>P46*(1+Assum!$C$27)</f>
        <v>832.53675365519439</v>
      </c>
      <c r="R46" s="13">
        <f>Q46*(1+Assum!$C$27)</f>
        <v>865.83822380140214</v>
      </c>
      <c r="S46" s="13">
        <f>R46*(1+Assum!$C$27)</f>
        <v>900.4717527534583</v>
      </c>
      <c r="T46" s="13">
        <f>S46*(1+Assum!$C$27)</f>
        <v>936.49062286359663</v>
      </c>
      <c r="U46" s="13">
        <f>T46*(1+Assum!$C$27)</f>
        <v>973.95024777814058</v>
      </c>
      <c r="V46" s="13">
        <f>U46*(1+Assum!$C$27)</f>
        <v>1012.9082576892663</v>
      </c>
      <c r="W46" s="13">
        <f>V46*(1+Assum!$C$27)</f>
        <v>1053.4245879968371</v>
      </c>
      <c r="X46" s="13">
        <f>W46*(1+Assum!$C$27)</f>
        <v>1095.5615715167105</v>
      </c>
      <c r="Y46" s="13">
        <f>X46*(1+Assum!$C$27)</f>
        <v>1139.3840343773791</v>
      </c>
      <c r="Z46" s="13">
        <f>Y46*(1+Assum!$C$27)</f>
        <v>1184.9593957524742</v>
      </c>
      <c r="AA46" s="13">
        <f>Z46*(1+Assum!$C$27)</f>
        <v>1232.3577715825732</v>
      </c>
      <c r="AB46" s="13">
        <f>AA46*(1+Assum!$C$27)</f>
        <v>1281.6520824458762</v>
      </c>
      <c r="AC46" s="13"/>
    </row>
    <row r="47" spans="1:30" hidden="1">
      <c r="A47" t="s">
        <v>293</v>
      </c>
      <c r="C47" s="9">
        <f>Assum!$B$26</f>
        <v>400</v>
      </c>
      <c r="D47" s="9">
        <f>F47</f>
        <v>400</v>
      </c>
      <c r="E47" s="9"/>
      <c r="F47" s="9">
        <f>C47</f>
        <v>400</v>
      </c>
      <c r="G47" s="9">
        <f t="shared" ref="G47:AB47" si="12">F47</f>
        <v>400</v>
      </c>
      <c r="H47" s="9">
        <f t="shared" si="12"/>
        <v>400</v>
      </c>
      <c r="I47" s="9">
        <f t="shared" si="12"/>
        <v>400</v>
      </c>
      <c r="J47" s="9">
        <f t="shared" si="12"/>
        <v>400</v>
      </c>
      <c r="K47" s="9">
        <f t="shared" si="12"/>
        <v>400</v>
      </c>
      <c r="L47" s="9">
        <f t="shared" si="12"/>
        <v>400</v>
      </c>
      <c r="M47" s="9">
        <f t="shared" si="12"/>
        <v>400</v>
      </c>
      <c r="N47" s="9">
        <f t="shared" si="12"/>
        <v>400</v>
      </c>
      <c r="O47" s="9">
        <f t="shared" si="12"/>
        <v>400</v>
      </c>
      <c r="P47" s="9">
        <f t="shared" si="12"/>
        <v>400</v>
      </c>
      <c r="Q47" s="9">
        <f t="shared" si="12"/>
        <v>400</v>
      </c>
      <c r="R47" s="9">
        <f t="shared" si="12"/>
        <v>400</v>
      </c>
      <c r="S47" s="9">
        <f t="shared" si="12"/>
        <v>400</v>
      </c>
      <c r="T47" s="9">
        <f t="shared" si="12"/>
        <v>400</v>
      </c>
      <c r="U47" s="9">
        <f t="shared" si="12"/>
        <v>400</v>
      </c>
      <c r="V47" s="9">
        <f t="shared" si="12"/>
        <v>400</v>
      </c>
      <c r="W47" s="9">
        <f t="shared" si="12"/>
        <v>400</v>
      </c>
      <c r="X47" s="9">
        <f t="shared" si="12"/>
        <v>400</v>
      </c>
      <c r="Y47" s="9">
        <f t="shared" si="12"/>
        <v>400</v>
      </c>
      <c r="Z47" s="9">
        <f t="shared" si="12"/>
        <v>400</v>
      </c>
      <c r="AA47" s="9">
        <f t="shared" si="12"/>
        <v>400</v>
      </c>
      <c r="AB47" s="9">
        <f t="shared" si="12"/>
        <v>400</v>
      </c>
      <c r="AC47" s="9"/>
    </row>
    <row r="48" spans="1:30" hidden="1">
      <c r="A48" t="s">
        <v>294</v>
      </c>
      <c r="C48" s="9">
        <f>SUM(C43:C47)</f>
        <v>13118.288374999998</v>
      </c>
      <c r="D48" s="9">
        <f>SUM(D43:D47)</f>
        <v>13118.288374999998</v>
      </c>
      <c r="E48" s="9"/>
      <c r="F48" s="9">
        <f t="shared" ref="F48:AB48" si="13">SUM(F43:F47)</f>
        <v>13139.088374999998</v>
      </c>
      <c r="G48" s="9">
        <f t="shared" si="13"/>
        <v>13404.686142500001</v>
      </c>
      <c r="H48" s="9">
        <f t="shared" si="13"/>
        <v>13676.028505349999</v>
      </c>
      <c r="I48" s="9">
        <f t="shared" si="13"/>
        <v>13953.247661057001</v>
      </c>
      <c r="J48" s="9">
        <f t="shared" si="13"/>
        <v>14236.47914330214</v>
      </c>
      <c r="K48" s="9">
        <f t="shared" si="13"/>
        <v>14525.861916353146</v>
      </c>
      <c r="L48" s="9">
        <f t="shared" si="13"/>
        <v>14821.538472472565</v>
      </c>
      <c r="M48" s="9">
        <f t="shared" si="13"/>
        <v>15123.65493242607</v>
      </c>
      <c r="N48" s="9">
        <f t="shared" si="13"/>
        <v>15432.361149198805</v>
      </c>
      <c r="O48" s="9">
        <f t="shared" si="13"/>
        <v>15747.810815031964</v>
      </c>
      <c r="P48" s="9">
        <f t="shared" si="13"/>
        <v>16070.161571895756</v>
      </c>
      <c r="Q48" s="9">
        <f t="shared" si="13"/>
        <v>16399.57512551935</v>
      </c>
      <c r="R48" s="9">
        <f t="shared" si="13"/>
        <v>16736.217363102838</v>
      </c>
      <c r="S48" s="9">
        <f t="shared" si="13"/>
        <v>17080.258474840928</v>
      </c>
      <c r="T48" s="9">
        <f t="shared" si="13"/>
        <v>17431.873079392815</v>
      </c>
      <c r="U48" s="9">
        <f t="shared" si="13"/>
        <v>17791.240353437941</v>
      </c>
      <c r="V48" s="9">
        <f t="shared" si="13"/>
        <v>18158.544165462263</v>
      </c>
      <c r="W48" s="9">
        <f t="shared" si="13"/>
        <v>18533.973213925299</v>
      </c>
      <c r="X48" s="9">
        <f t="shared" si="13"/>
        <v>18917.721169963737</v>
      </c>
      <c r="Y48" s="9">
        <f t="shared" si="13"/>
        <v>19309.986824793355</v>
      </c>
      <c r="Z48" s="9">
        <f t="shared" si="13"/>
        <v>19710.974241976764</v>
      </c>
      <c r="AA48" s="9">
        <f t="shared" si="13"/>
        <v>20120.892914731347</v>
      </c>
      <c r="AB48" s="9">
        <f t="shared" si="13"/>
        <v>20539.957928457628</v>
      </c>
      <c r="AC48" s="9"/>
    </row>
    <row r="49" spans="1:30" hidden="1">
      <c r="A49" s="1" t="s">
        <v>295</v>
      </c>
      <c r="C49" s="389">
        <f>C48*C40/10</f>
        <v>0</v>
      </c>
      <c r="D49" s="389">
        <f>D48*D40/10</f>
        <v>0</v>
      </c>
      <c r="E49" s="389">
        <f>D49+C49</f>
        <v>0</v>
      </c>
      <c r="F49" s="389">
        <f t="shared" ref="F49:AB49" si="14">F48*F40/10</f>
        <v>898.02660191887117</v>
      </c>
      <c r="G49" s="389">
        <f t="shared" si="14"/>
        <v>2602.9540995880207</v>
      </c>
      <c r="H49" s="389">
        <f t="shared" si="14"/>
        <v>2648.3881523336199</v>
      </c>
      <c r="I49" s="389">
        <f t="shared" si="14"/>
        <v>2702.072153305623</v>
      </c>
      <c r="J49" s="389">
        <f t="shared" si="14"/>
        <v>2756.920452404479</v>
      </c>
      <c r="K49" s="389">
        <f t="shared" si="14"/>
        <v>1991.0588470124676</v>
      </c>
      <c r="L49" s="389">
        <f t="shared" si="14"/>
        <v>2026.0364265407959</v>
      </c>
      <c r="M49" s="389">
        <f t="shared" si="14"/>
        <v>2067.3343629230535</v>
      </c>
      <c r="N49" s="389">
        <f t="shared" si="14"/>
        <v>2179.8508585107938</v>
      </c>
      <c r="O49" s="389">
        <f t="shared" si="14"/>
        <v>2230.5030043931879</v>
      </c>
      <c r="P49" s="389">
        <f t="shared" si="14"/>
        <v>2343.165317907361</v>
      </c>
      <c r="Q49" s="389">
        <f t="shared" si="14"/>
        <v>2391.1965969113817</v>
      </c>
      <c r="R49" s="389">
        <f t="shared" si="14"/>
        <v>2516.5406878266986</v>
      </c>
      <c r="S49" s="389">
        <f t="shared" si="14"/>
        <v>2575.3087793046193</v>
      </c>
      <c r="T49" s="389">
        <f t="shared" si="14"/>
        <v>2700.5715069042008</v>
      </c>
      <c r="U49" s="389">
        <f t="shared" si="14"/>
        <v>2756.2452154253683</v>
      </c>
      <c r="V49" s="389">
        <f t="shared" si="14"/>
        <v>2895.888124834149</v>
      </c>
      <c r="W49" s="389">
        <f t="shared" si="14"/>
        <v>2963.8587696511154</v>
      </c>
      <c r="X49" s="389">
        <f t="shared" si="14"/>
        <v>3016.9601475662653</v>
      </c>
      <c r="Y49" s="389">
        <f t="shared" si="14"/>
        <v>3079.5178857445267</v>
      </c>
      <c r="Z49" s="389">
        <f t="shared" si="14"/>
        <v>3143.4665530522279</v>
      </c>
      <c r="AA49" s="389">
        <f t="shared" si="14"/>
        <v>3217.6309003042597</v>
      </c>
      <c r="AB49" s="389">
        <f t="shared" si="14"/>
        <v>2575.664755802743</v>
      </c>
      <c r="AC49" s="9">
        <f>AB49/AA49</f>
        <v>0.80048483981154817</v>
      </c>
    </row>
    <row r="50" spans="1:30" hidden="1">
      <c r="A50" s="391" t="s">
        <v>296</v>
      </c>
    </row>
    <row r="51" spans="1:30" hidden="1">
      <c r="A51" t="s">
        <v>297</v>
      </c>
      <c r="C51" s="9">
        <f>Assum!$B$34</f>
        <v>151878.50999999998</v>
      </c>
      <c r="D51" s="9">
        <f>C51</f>
        <v>151878.50999999998</v>
      </c>
      <c r="E51" s="9"/>
      <c r="F51" s="13">
        <f>D51*(1+Assum!$C$34)</f>
        <v>154916.0802</v>
      </c>
      <c r="G51" s="13">
        <f>F51*(1+Assum!$C$34)</f>
        <v>158014.40180399999</v>
      </c>
      <c r="H51" s="13">
        <f>G51*(1+Assum!$C$34)</f>
        <v>161174.68984007998</v>
      </c>
      <c r="I51" s="13">
        <f>H51*(1+Assum!$C$34)</f>
        <v>164398.18363688159</v>
      </c>
      <c r="J51" s="13">
        <f>I51*(1+Assum!$C$34)</f>
        <v>167686.14730961923</v>
      </c>
      <c r="K51" s="13">
        <f>J51*(1+Assum!$C$34)</f>
        <v>171039.87025581163</v>
      </c>
      <c r="L51" s="13">
        <f>K51*(1+Assum!$C$34)</f>
        <v>174460.66766092787</v>
      </c>
      <c r="M51" s="13">
        <f>L51*(1+Assum!$C$34)</f>
        <v>177949.88101414643</v>
      </c>
      <c r="N51" s="13">
        <f>M51*(1+Assum!$C$34)</f>
        <v>181508.87863442936</v>
      </c>
      <c r="O51" s="13">
        <f>N51*(1+Assum!$C$34)</f>
        <v>185139.05620711794</v>
      </c>
      <c r="P51" s="13">
        <f>O51*(1+Assum!$C$34)</f>
        <v>188841.83733126029</v>
      </c>
      <c r="Q51" s="13">
        <f>P51*(1+Assum!$C$34)</f>
        <v>192618.67407788549</v>
      </c>
      <c r="R51" s="13">
        <f>Q51*(1+Assum!$C$34)</f>
        <v>196471.04755944319</v>
      </c>
      <c r="S51" s="13">
        <f>R51*(1+Assum!$C$34)</f>
        <v>200400.46851063205</v>
      </c>
      <c r="T51" s="13">
        <f>S51*(1+Assum!$C$34)</f>
        <v>204408.4778808447</v>
      </c>
      <c r="U51" s="13">
        <f>T51*(1+Assum!$C$34)</f>
        <v>208496.6474384616</v>
      </c>
      <c r="V51" s="13">
        <f>U51*(1+Assum!$C$34)</f>
        <v>212666.58038723085</v>
      </c>
      <c r="W51" s="13">
        <f>V51*(1+Assum!$C$34)</f>
        <v>216919.91199497547</v>
      </c>
      <c r="X51" s="13">
        <f>W51*(1+Assum!$C$34)</f>
        <v>221258.31023487498</v>
      </c>
      <c r="Y51" s="13">
        <f>X51*(1+Assum!$C$34)</f>
        <v>225683.47643957249</v>
      </c>
      <c r="Z51" s="13">
        <f>Y51*(1+Assum!$C$34)</f>
        <v>230197.14596836394</v>
      </c>
      <c r="AA51" s="13">
        <f>Z51*(1+Assum!$C$34)</f>
        <v>234801.08888773122</v>
      </c>
      <c r="AB51" s="13">
        <f>AA51*(1+Assum!$C$34)</f>
        <v>239497.11066548584</v>
      </c>
      <c r="AC51" s="13"/>
    </row>
    <row r="52" spans="1:30" hidden="1">
      <c r="A52" t="s">
        <v>298</v>
      </c>
      <c r="C52" s="13">
        <f>C32*Assum!$B$35</f>
        <v>0</v>
      </c>
      <c r="D52" s="13">
        <f>D32*Assum!$B$35</f>
        <v>0</v>
      </c>
      <c r="E52" s="13"/>
      <c r="F52" s="13">
        <f>F32*Assum!$B$35</f>
        <v>1576.8</v>
      </c>
      <c r="G52" s="13">
        <f>G32*Assum!$B$35</f>
        <v>4479.84</v>
      </c>
      <c r="H52" s="13">
        <f>H32*Assum!$B$35</f>
        <v>4467.6000000000004</v>
      </c>
      <c r="I52" s="13">
        <f>I32*Assum!$B$35</f>
        <v>4467.6000000000004</v>
      </c>
      <c r="J52" s="13">
        <f>J32*Assum!$B$35</f>
        <v>4467.6000000000004</v>
      </c>
      <c r="K52" s="13">
        <f>K32*Assum!$B$35</f>
        <v>3162.24</v>
      </c>
      <c r="L52" s="13">
        <f>L32*Assum!$B$35</f>
        <v>3153.6</v>
      </c>
      <c r="M52" s="13">
        <f>M32*Assum!$B$35</f>
        <v>3153.6</v>
      </c>
      <c r="N52" s="13">
        <f>N32*Assum!$B$35</f>
        <v>3258.72</v>
      </c>
      <c r="O52" s="13">
        <f>O32*Assum!$B$35</f>
        <v>3267.6480000000001</v>
      </c>
      <c r="P52" s="13">
        <f>P32*Assum!$B$35</f>
        <v>3363.84</v>
      </c>
      <c r="Q52" s="13">
        <f>Q32*Assum!$B$35</f>
        <v>3363.84</v>
      </c>
      <c r="R52" s="13">
        <f>R32*Assum!$B$35</f>
        <v>3468.96</v>
      </c>
      <c r="S52" s="13">
        <f>S32*Assum!$B$35</f>
        <v>3478.4639999999999</v>
      </c>
      <c r="T52" s="13">
        <f>T32*Assum!$B$35</f>
        <v>3574.0800000000004</v>
      </c>
      <c r="U52" s="13">
        <f>U32*Assum!$B$35</f>
        <v>3574.0800000000004</v>
      </c>
      <c r="V52" s="13">
        <f>V32*Assum!$B$35</f>
        <v>3679.2000000000003</v>
      </c>
      <c r="W52" s="13">
        <f>W32*Assum!$B$35</f>
        <v>3689.2800000000007</v>
      </c>
      <c r="X52" s="13">
        <f>X32*Assum!$B$35</f>
        <v>3679.2000000000003</v>
      </c>
      <c r="Y52" s="13">
        <f>Y32*Assum!$B$35</f>
        <v>3679.2000000000003</v>
      </c>
      <c r="Z52" s="13">
        <f>Z32*Assum!$B$35</f>
        <v>3679.2000000000003</v>
      </c>
      <c r="AA52" s="13">
        <f>AA32*Assum!$B$35</f>
        <v>3689.2800000000007</v>
      </c>
      <c r="AB52" s="13">
        <f>AB32*Assum!$B$35</f>
        <v>2892.9600000000005</v>
      </c>
      <c r="AC52" s="13"/>
    </row>
    <row r="53" spans="1:30" hidden="1">
      <c r="A53" s="1" t="s">
        <v>299</v>
      </c>
      <c r="C53" s="392">
        <f t="shared" ref="C53:AB53" si="15">C51*C52/Cr</f>
        <v>0</v>
      </c>
      <c r="D53" s="392">
        <f t="shared" si="15"/>
        <v>0</v>
      </c>
      <c r="E53" s="389">
        <f>D53+C53</f>
        <v>0</v>
      </c>
      <c r="F53" s="392">
        <f t="shared" si="15"/>
        <v>24.427167525935999</v>
      </c>
      <c r="G53" s="392">
        <f t="shared" si="15"/>
        <v>70.78792377776314</v>
      </c>
      <c r="H53" s="392">
        <f t="shared" si="15"/>
        <v>72.006404432954142</v>
      </c>
      <c r="I53" s="392">
        <f t="shared" si="15"/>
        <v>73.446532521613221</v>
      </c>
      <c r="J53" s="392">
        <f t="shared" si="15"/>
        <v>74.915463172045492</v>
      </c>
      <c r="K53" s="392">
        <f t="shared" si="15"/>
        <v>54.08691193177377</v>
      </c>
      <c r="L53" s="392">
        <f t="shared" si="15"/>
        <v>55.01791615355021</v>
      </c>
      <c r="M53" s="392">
        <f t="shared" si="15"/>
        <v>56.118274476621224</v>
      </c>
      <c r="N53" s="392">
        <f t="shared" si="15"/>
        <v>59.148661298358761</v>
      </c>
      <c r="O53" s="392">
        <f t="shared" si="15"/>
        <v>60.496926673707655</v>
      </c>
      <c r="P53" s="392">
        <f t="shared" si="15"/>
        <v>63.523372608838663</v>
      </c>
      <c r="Q53" s="392">
        <f t="shared" si="15"/>
        <v>64.793840061015445</v>
      </c>
      <c r="R53" s="392">
        <f t="shared" si="15"/>
        <v>68.155020514180606</v>
      </c>
      <c r="S53" s="392">
        <f t="shared" si="15"/>
        <v>69.708581529736719</v>
      </c>
      <c r="T53" s="392">
        <f t="shared" si="15"/>
        <v>73.057225262436944</v>
      </c>
      <c r="U53" s="392">
        <f t="shared" si="15"/>
        <v>74.518369767685684</v>
      </c>
      <c r="V53" s="392">
        <f t="shared" si="15"/>
        <v>78.244288256069979</v>
      </c>
      <c r="W53" s="392">
        <f t="shared" si="15"/>
        <v>80.027829292482323</v>
      </c>
      <c r="X53" s="392">
        <f t="shared" si="15"/>
        <v>81.405357501615214</v>
      </c>
      <c r="Y53" s="392">
        <f t="shared" si="15"/>
        <v>83.03346465164752</v>
      </c>
      <c r="Z53" s="392">
        <f t="shared" si="15"/>
        <v>84.694133944680459</v>
      </c>
      <c r="AA53" s="392">
        <f t="shared" si="15"/>
        <v>86.624696121172917</v>
      </c>
      <c r="AB53" s="392">
        <f t="shared" si="15"/>
        <v>69.285556127082401</v>
      </c>
      <c r="AC53" s="9">
        <f>AB53/AA53</f>
        <v>0.79983606557377052</v>
      </c>
      <c r="AD53" s="396"/>
    </row>
    <row r="54" spans="1:30" hidden="1">
      <c r="A54" s="1" t="s">
        <v>300</v>
      </c>
      <c r="B54" s="1"/>
      <c r="C54" s="392">
        <f>Assum!$B$38*C31/Cr*lk*(C$1-B$1)/365</f>
        <v>29.944089452054797</v>
      </c>
      <c r="D54" s="392">
        <f>Assum!$B$38*D31/Cr*lk*(D1-C1)/365</f>
        <v>29.780460547945204</v>
      </c>
      <c r="E54" s="389">
        <f>D54+C54</f>
        <v>59.724550000000001</v>
      </c>
      <c r="F54" s="392">
        <f>Assum!$B$38*F31/Cr*lk*(1+Assum!$C$38)*(F1-E1)/365</f>
        <v>61.5162865</v>
      </c>
      <c r="G54" s="392">
        <f>F54*(1+Assum!$C$38)</f>
        <v>63.361775094999999</v>
      </c>
      <c r="H54" s="392">
        <f>G54*(1+Assum!$C$38)</f>
        <v>65.262628347849997</v>
      </c>
      <c r="I54" s="392">
        <f>H54*(1+Assum!$C$38)</f>
        <v>67.220507198285503</v>
      </c>
      <c r="J54" s="392">
        <f>I54*(1+Assum!$C$38)</f>
        <v>69.237122414234065</v>
      </c>
      <c r="K54" s="392">
        <f>J54*(1+Assum!$C$38)</f>
        <v>71.314236086661083</v>
      </c>
      <c r="L54" s="392">
        <f>K54*(1+Assum!$C$38)</f>
        <v>73.453663169260921</v>
      </c>
      <c r="M54" s="392">
        <f>L54*(1+Assum!$C$38)</f>
        <v>75.657273064338753</v>
      </c>
      <c r="N54" s="392">
        <f>M54*(1+Assum!$C$38)</f>
        <v>77.92699125626892</v>
      </c>
      <c r="O54" s="392">
        <f>N54*(1+Assum!$C$38)</f>
        <v>80.264800993956996</v>
      </c>
      <c r="P54" s="392">
        <f>O54*(1+Assum!$C$38)</f>
        <v>82.672745023775704</v>
      </c>
      <c r="Q54" s="392">
        <f>P54*(1+Assum!$C$38)</f>
        <v>85.152927374488982</v>
      </c>
      <c r="R54" s="392">
        <f>Q54*(1+Assum!$C$38)</f>
        <v>87.707515195723659</v>
      </c>
      <c r="S54" s="392">
        <f>R54*(1+Assum!$C$38)</f>
        <v>90.338740651595373</v>
      </c>
      <c r="T54" s="392">
        <f>S54*(1+Assum!$C$38)</f>
        <v>93.048902871143241</v>
      </c>
      <c r="U54" s="392">
        <f>T54*(1+Assum!$C$38)</f>
        <v>95.840369957277545</v>
      </c>
      <c r="V54" s="392">
        <f>U54*(1+Assum!$C$38)</f>
        <v>98.71558105599587</v>
      </c>
      <c r="W54" s="392">
        <f>V54*(1+Assum!$C$38)</f>
        <v>101.67704848767575</v>
      </c>
      <c r="X54" s="392">
        <f>W54*(1+Assum!$C$38)</f>
        <v>104.72735994230602</v>
      </c>
      <c r="Y54" s="392">
        <f>X54*(1+Assum!$C$38)</f>
        <v>107.8691807405752</v>
      </c>
      <c r="Z54" s="392">
        <f>Y54*(1+Assum!$C$38)</f>
        <v>111.10525616279246</v>
      </c>
      <c r="AA54" s="392">
        <f>Z54*(1+Assum!$C$38)</f>
        <v>114.43841384767623</v>
      </c>
      <c r="AB54" s="397">
        <f>AA54*(1+Assum!$C$38)*AB4/365</f>
        <v>92.682574020579636</v>
      </c>
      <c r="AC54" s="9">
        <f>AB54/AA54</f>
        <v>0.80989041095890402</v>
      </c>
      <c r="AD54" s="396"/>
    </row>
    <row r="55" spans="1:30" s="384" customFormat="1" hidden="1">
      <c r="A55" s="393" t="s">
        <v>301</v>
      </c>
      <c r="C55" s="394">
        <f>IFERROR((C53+C49)/C34*Cr/mn,0)</f>
        <v>0</v>
      </c>
      <c r="D55" s="394">
        <f>IFERROR((D53+D49)/D34*Cr/mn,0)</f>
        <v>0</v>
      </c>
      <c r="E55" s="394"/>
      <c r="F55" s="394">
        <f t="shared" ref="F55:AB55" si="16">IFERROR((F53+F49)/F34*Cr/mn,0)</f>
        <v>6.2736337037500007</v>
      </c>
      <c r="G55" s="394">
        <f t="shared" si="16"/>
        <v>6.4004153522664673</v>
      </c>
      <c r="H55" s="394">
        <f t="shared" si="16"/>
        <v>6.5299337398265402</v>
      </c>
      <c r="I55" s="394">
        <f t="shared" si="16"/>
        <v>6.6622516454540275</v>
      </c>
      <c r="J55" s="394">
        <f t="shared" si="16"/>
        <v>6.7974334255229225</v>
      </c>
      <c r="K55" s="394">
        <f t="shared" si="16"/>
        <v>6.9355450581752116</v>
      </c>
      <c r="L55" s="394">
        <f t="shared" si="16"/>
        <v>7.0766541891418386</v>
      </c>
      <c r="M55" s="394">
        <f t="shared" si="16"/>
        <v>7.2208301790155458</v>
      </c>
      <c r="N55" s="394">
        <f t="shared" si="16"/>
        <v>7.3681441520259821</v>
      </c>
      <c r="O55" s="394">
        <f t="shared" si="16"/>
        <v>7.5186690463694532</v>
      </c>
      <c r="P55" s="394">
        <f t="shared" si="16"/>
        <v>7.6724796661475345</v>
      </c>
      <c r="Q55" s="394">
        <f t="shared" si="16"/>
        <v>7.8296527349708249</v>
      </c>
      <c r="R55" s="394">
        <f t="shared" si="16"/>
        <v>7.9902669512862143</v>
      </c>
      <c r="S55" s="394">
        <f t="shared" si="16"/>
        <v>8.1544030454881735</v>
      </c>
      <c r="T55" s="394">
        <f t="shared" si="16"/>
        <v>8.3221438388768441</v>
      </c>
      <c r="U55" s="394">
        <f t="shared" si="16"/>
        <v>8.4935743045280621</v>
      </c>
      <c r="V55" s="394">
        <f t="shared" si="16"/>
        <v>8.6687816301428686</v>
      </c>
      <c r="W55" s="394">
        <f t="shared" si="16"/>
        <v>8.8478552829465755</v>
      </c>
      <c r="X55" s="394">
        <f t="shared" si="16"/>
        <v>9.0308870767099965</v>
      </c>
      <c r="Y55" s="394">
        <f t="shared" si="16"/>
        <v>9.2179712409684988</v>
      </c>
      <c r="Z55" s="394">
        <f t="shared" si="16"/>
        <v>9.4092044925167535</v>
      </c>
      <c r="AA55" s="394">
        <f t="shared" si="16"/>
        <v>9.6046861092607596</v>
      </c>
      <c r="AB55" s="394">
        <f t="shared" si="16"/>
        <v>9.8045180065110102</v>
      </c>
      <c r="AC55" s="394"/>
    </row>
    <row r="56" spans="1:30" hidden="1">
      <c r="F56" s="9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</row>
    <row r="57" spans="1:30" hidden="1">
      <c r="A57" t="s">
        <v>304</v>
      </c>
      <c r="C57" s="9" t="e">
        <f>C36+#REF!</f>
        <v>#REF!</v>
      </c>
      <c r="D57" s="9" t="e">
        <f>D36+#REF!</f>
        <v>#REF!</v>
      </c>
      <c r="E57" s="9" t="e">
        <f>E36+#REF!</f>
        <v>#REF!</v>
      </c>
      <c r="F57" s="9" t="e">
        <f>F36+#REF!</f>
        <v>#REF!</v>
      </c>
      <c r="G57" s="9" t="e">
        <f>G36+#REF!</f>
        <v>#REF!</v>
      </c>
      <c r="H57" s="9" t="e">
        <f>H36+#REF!</f>
        <v>#REF!</v>
      </c>
      <c r="I57" s="9" t="e">
        <f>I36+#REF!</f>
        <v>#REF!</v>
      </c>
      <c r="J57" s="9" t="e">
        <f>J36+#REF!</f>
        <v>#REF!</v>
      </c>
      <c r="K57" s="9">
        <f>K36+K10</f>
        <v>3155.4006019199996</v>
      </c>
      <c r="L57" s="9">
        <f>L36+L10</f>
        <v>3146.7792887999999</v>
      </c>
      <c r="M57" s="9">
        <f t="shared" ref="M57:AB57" si="17">M36+M10</f>
        <v>3146.7792887999999</v>
      </c>
      <c r="N57" s="9">
        <f t="shared" si="17"/>
        <v>3379.9469883479996</v>
      </c>
      <c r="O57" s="9">
        <f>O36+O10</f>
        <v>3389.2071170831996</v>
      </c>
      <c r="P57" s="9">
        <f t="shared" si="17"/>
        <v>3601.2439330560001</v>
      </c>
      <c r="Q57" s="9">
        <f t="shared" si="17"/>
        <v>3700.6124436288001</v>
      </c>
      <c r="R57" s="9">
        <f t="shared" si="17"/>
        <v>3852.2805494922</v>
      </c>
      <c r="S57" s="9">
        <f t="shared" si="17"/>
        <v>3862.8347427784802</v>
      </c>
      <c r="T57" s="9">
        <f t="shared" si="17"/>
        <v>4114.8066499633806</v>
      </c>
      <c r="U57" s="9">
        <f t="shared" si="17"/>
        <v>4204.1460881233816</v>
      </c>
      <c r="V57" s="9">
        <f t="shared" si="17"/>
        <v>4363.3975992799506</v>
      </c>
      <c r="W57" s="9">
        <f t="shared" si="17"/>
        <v>4495.5048494691091</v>
      </c>
      <c r="X57" s="9">
        <f t="shared" si="17"/>
        <v>4574.0024461739486</v>
      </c>
      <c r="Y57" s="9">
        <f t="shared" si="17"/>
        <v>4634.5227107339488</v>
      </c>
      <c r="Z57" s="9">
        <f t="shared" si="17"/>
        <v>4866.248846270646</v>
      </c>
      <c r="AA57" s="9">
        <f t="shared" si="17"/>
        <v>4270.2331656905644</v>
      </c>
      <c r="AB57" s="9">
        <f t="shared" si="17"/>
        <v>2077.5097493129183</v>
      </c>
      <c r="AC57" s="9"/>
    </row>
    <row r="58" spans="1:30" hidden="1">
      <c r="A58" t="s">
        <v>305</v>
      </c>
      <c r="C58" s="9">
        <f t="shared" ref="C58:AB58" si="18">C49+C23</f>
        <v>940.76545725628489</v>
      </c>
      <c r="D58" s="9">
        <f t="shared" si="18"/>
        <v>1013.593384275214</v>
      </c>
      <c r="E58" s="9">
        <f t="shared" si="18"/>
        <v>1954.3588415314989</v>
      </c>
      <c r="F58" s="9">
        <f t="shared" si="18"/>
        <v>2934.0056472617271</v>
      </c>
      <c r="G58" s="9">
        <f t="shared" si="18"/>
        <v>5326.6493278516446</v>
      </c>
      <c r="H58" s="9">
        <f t="shared" si="18"/>
        <v>5419.624946037623</v>
      </c>
      <c r="I58" s="9">
        <f t="shared" si="18"/>
        <v>5529.4831443589719</v>
      </c>
      <c r="J58" s="9">
        <f t="shared" si="18"/>
        <v>5641.7239462905036</v>
      </c>
      <c r="K58" s="9">
        <f t="shared" si="18"/>
        <v>3727.239251185511</v>
      </c>
      <c r="L58" s="9">
        <f t="shared" si="18"/>
        <v>3792.7168775876962</v>
      </c>
      <c r="M58" s="9">
        <f t="shared" si="18"/>
        <v>3870.0261392942884</v>
      </c>
      <c r="N58" s="9">
        <f t="shared" si="18"/>
        <v>4129.7087531421039</v>
      </c>
      <c r="O58" s="9">
        <f t="shared" si="18"/>
        <v>4225.6688090327425</v>
      </c>
      <c r="P58" s="9">
        <f t="shared" si="18"/>
        <v>4488.5391728953582</v>
      </c>
      <c r="Q58" s="9">
        <f t="shared" si="18"/>
        <v>4580.5473106422724</v>
      </c>
      <c r="R58" s="9">
        <f t="shared" si="18"/>
        <v>4870.5275395857443</v>
      </c>
      <c r="S58" s="9">
        <f t="shared" si="18"/>
        <v>4984.2676469389462</v>
      </c>
      <c r="T58" s="9">
        <f t="shared" si="18"/>
        <v>5277.0733538681361</v>
      </c>
      <c r="U58" s="9">
        <f t="shared" si="18"/>
        <v>5385.8630093158699</v>
      </c>
      <c r="V58" s="9">
        <f t="shared" si="18"/>
        <v>5709.6613760406999</v>
      </c>
      <c r="W58" s="9">
        <f t="shared" si="18"/>
        <v>5843.6753118995784</v>
      </c>
      <c r="X58" s="9">
        <f t="shared" si="18"/>
        <v>6083.6682895522554</v>
      </c>
      <c r="Y58" s="9">
        <f t="shared" si="18"/>
        <v>6301.8828794577857</v>
      </c>
      <c r="Z58" s="9">
        <f t="shared" si="18"/>
        <v>6432.7465492341707</v>
      </c>
      <c r="AA58" s="9">
        <f t="shared" si="18"/>
        <v>5664.6016352577935</v>
      </c>
      <c r="AB58" s="9">
        <f t="shared" si="18"/>
        <v>2575.664755802743</v>
      </c>
      <c r="AC58" s="9"/>
    </row>
    <row r="59" spans="1:30" hidden="1">
      <c r="A59" t="s">
        <v>306</v>
      </c>
      <c r="C59" s="9">
        <f t="shared" ref="C59:AB59" si="19">C53+C27</f>
        <v>24.013814973119995</v>
      </c>
      <c r="D59" s="9">
        <f t="shared" si="19"/>
        <v>25.872807935519997</v>
      </c>
      <c r="E59" s="9">
        <f t="shared" si="19"/>
        <v>49.886622908639993</v>
      </c>
      <c r="F59" s="9">
        <f t="shared" si="19"/>
        <v>77.352697165464008</v>
      </c>
      <c r="G59" s="9">
        <f t="shared" si="19"/>
        <v>141.57584755552628</v>
      </c>
      <c r="H59" s="9">
        <f t="shared" si="19"/>
        <v>144.01280886590828</v>
      </c>
      <c r="I59" s="9">
        <f t="shared" si="19"/>
        <v>146.89306504322644</v>
      </c>
      <c r="J59" s="9">
        <f t="shared" si="19"/>
        <v>149.83092634409098</v>
      </c>
      <c r="K59" s="9">
        <f t="shared" si="19"/>
        <v>99.159338541585242</v>
      </c>
      <c r="L59" s="9">
        <f t="shared" si="19"/>
        <v>100.86617961484205</v>
      </c>
      <c r="M59" s="9">
        <f t="shared" si="19"/>
        <v>102.88350320713892</v>
      </c>
      <c r="N59" s="9">
        <f t="shared" si="19"/>
        <v>109.71122660179446</v>
      </c>
      <c r="O59" s="9">
        <f t="shared" si="19"/>
        <v>112.21204141090936</v>
      </c>
      <c r="P59" s="9">
        <f t="shared" si="19"/>
        <v>119.10632364157252</v>
      </c>
      <c r="Q59" s="9">
        <f t="shared" si="19"/>
        <v>121.48845011440395</v>
      </c>
      <c r="R59" s="9">
        <f t="shared" si="19"/>
        <v>129.08147824655418</v>
      </c>
      <c r="S59" s="9">
        <f t="shared" si="19"/>
        <v>132.02382865480439</v>
      </c>
      <c r="T59" s="9">
        <f t="shared" si="19"/>
        <v>139.66822476642358</v>
      </c>
      <c r="U59" s="9">
        <f t="shared" si="19"/>
        <v>142.46158926175207</v>
      </c>
      <c r="V59" s="9">
        <f t="shared" si="19"/>
        <v>150.89969877956355</v>
      </c>
      <c r="W59" s="9">
        <f t="shared" si="19"/>
        <v>154.33938506407304</v>
      </c>
      <c r="X59" s="9">
        <f t="shared" si="19"/>
        <v>160.48484764604143</v>
      </c>
      <c r="Y59" s="9">
        <f t="shared" si="19"/>
        <v>166.06692930329501</v>
      </c>
      <c r="Z59" s="9">
        <f t="shared" si="19"/>
        <v>169.38826788936092</v>
      </c>
      <c r="AA59" s="9">
        <f t="shared" si="19"/>
        <v>149.58144248246251</v>
      </c>
      <c r="AB59" s="9">
        <f t="shared" si="19"/>
        <v>69.285556127082401</v>
      </c>
      <c r="AC59" s="9"/>
    </row>
    <row r="60" spans="1:30" hidden="1">
      <c r="A60" t="s">
        <v>307</v>
      </c>
      <c r="C60" s="9">
        <f t="shared" ref="C60:AB60" si="20">C54+C28</f>
        <v>59.888178904109594</v>
      </c>
      <c r="D60" s="9">
        <f t="shared" si="20"/>
        <v>59.560921095890407</v>
      </c>
      <c r="E60" s="9">
        <f t="shared" si="20"/>
        <v>119.4491</v>
      </c>
      <c r="F60" s="9">
        <f t="shared" si="20"/>
        <v>123.032573</v>
      </c>
      <c r="G60" s="9">
        <f t="shared" si="20"/>
        <v>126.72355019</v>
      </c>
      <c r="H60" s="9">
        <f t="shared" si="20"/>
        <v>130.52525669569999</v>
      </c>
      <c r="I60" s="9">
        <f t="shared" si="20"/>
        <v>134.44101439657101</v>
      </c>
      <c r="J60" s="9">
        <f t="shared" si="20"/>
        <v>138.47424482846813</v>
      </c>
      <c r="K60" s="9">
        <f t="shared" si="20"/>
        <v>142.62847217332217</v>
      </c>
      <c r="L60" s="9">
        <f t="shared" si="20"/>
        <v>146.90732633852184</v>
      </c>
      <c r="M60" s="9">
        <f t="shared" si="20"/>
        <v>151.31454612867751</v>
      </c>
      <c r="N60" s="9">
        <f t="shared" si="20"/>
        <v>155.85398251253784</v>
      </c>
      <c r="O60" s="9">
        <f t="shared" si="20"/>
        <v>160.52960198791399</v>
      </c>
      <c r="P60" s="9">
        <f t="shared" si="20"/>
        <v>165.34549004755141</v>
      </c>
      <c r="Q60" s="9">
        <f t="shared" si="20"/>
        <v>170.30585474897796</v>
      </c>
      <c r="R60" s="9">
        <f t="shared" si="20"/>
        <v>175.41503039144732</v>
      </c>
      <c r="S60" s="9">
        <f t="shared" si="20"/>
        <v>180.67748130319075</v>
      </c>
      <c r="T60" s="9">
        <f t="shared" si="20"/>
        <v>186.09780574228648</v>
      </c>
      <c r="U60" s="9">
        <f t="shared" si="20"/>
        <v>191.68073991455509</v>
      </c>
      <c r="V60" s="9">
        <f t="shared" si="20"/>
        <v>197.43116211199174</v>
      </c>
      <c r="W60" s="9">
        <f t="shared" si="20"/>
        <v>203.3540969753515</v>
      </c>
      <c r="X60" s="9">
        <f t="shared" si="20"/>
        <v>209.45471988461205</v>
      </c>
      <c r="Y60" s="9">
        <f t="shared" si="20"/>
        <v>215.73836148115041</v>
      </c>
      <c r="Z60" s="9">
        <f t="shared" si="20"/>
        <v>222.21051232558492</v>
      </c>
      <c r="AA60" s="9">
        <f t="shared" si="20"/>
        <v>197.60950150746277</v>
      </c>
      <c r="AB60" s="9">
        <f t="shared" si="20"/>
        <v>92.682574020579636</v>
      </c>
      <c r="AC60" s="9"/>
    </row>
    <row r="61" spans="1:30" hidden="1">
      <c r="F61" s="9"/>
    </row>
    <row r="62" spans="1:30" hidden="1">
      <c r="A62" s="1" t="s">
        <v>25</v>
      </c>
      <c r="F62" s="9"/>
      <c r="G62" s="9"/>
    </row>
    <row r="63" spans="1:30" hidden="1">
      <c r="A63" t="s">
        <v>304</v>
      </c>
      <c r="D63" s="13" t="e">
        <f>F63</f>
        <v>#REF!</v>
      </c>
      <c r="E63" s="13"/>
      <c r="F63" s="13" t="e">
        <f>#REF!/F$8*10</f>
        <v>#REF!</v>
      </c>
      <c r="G63" s="13" t="e">
        <f>#REF!/G$8*10</f>
        <v>#REF!</v>
      </c>
      <c r="H63" s="13" t="e">
        <f>#REF!/H$8*10</f>
        <v>#REF!</v>
      </c>
      <c r="I63" s="13" t="e">
        <f>#REF!/I$8*10</f>
        <v>#REF!</v>
      </c>
      <c r="J63" s="13" t="e">
        <f>#REF!/J$8*10</f>
        <v>#REF!</v>
      </c>
      <c r="K63" s="13">
        <f>K36/K34*10</f>
        <v>6.0339999999999989</v>
      </c>
      <c r="L63" s="13">
        <f t="shared" ref="L63:AA63" si="21">L36/L34*10</f>
        <v>6.0339999999999989</v>
      </c>
      <c r="M63" s="13">
        <f t="shared" si="21"/>
        <v>6.0339999999999989</v>
      </c>
      <c r="N63" s="13">
        <f t="shared" si="21"/>
        <v>6.3356999999999992</v>
      </c>
      <c r="O63" s="13">
        <f t="shared" si="21"/>
        <v>6.3356999999999992</v>
      </c>
      <c r="P63" s="13">
        <f t="shared" si="21"/>
        <v>6.335700000000001</v>
      </c>
      <c r="Q63" s="13">
        <f t="shared" si="21"/>
        <v>6.6524850000000004</v>
      </c>
      <c r="R63" s="13">
        <f t="shared" si="21"/>
        <v>6.6524850000000004</v>
      </c>
      <c r="S63" s="13">
        <f t="shared" si="21"/>
        <v>6.6524850000000004</v>
      </c>
      <c r="T63" s="13">
        <f t="shared" si="21"/>
        <v>6.9851092500000007</v>
      </c>
      <c r="U63" s="13">
        <f t="shared" si="21"/>
        <v>6.9851092500000007</v>
      </c>
      <c r="V63" s="13">
        <f t="shared" si="21"/>
        <v>6.9851092500000007</v>
      </c>
      <c r="W63" s="13">
        <f t="shared" si="21"/>
        <v>7.3343647125000002</v>
      </c>
      <c r="X63" s="13">
        <f t="shared" si="21"/>
        <v>7.3343647125000011</v>
      </c>
      <c r="Y63" s="13">
        <f t="shared" si="21"/>
        <v>7.3343647125000011</v>
      </c>
      <c r="Z63" s="13">
        <f t="shared" si="21"/>
        <v>7.7010829481250012</v>
      </c>
      <c r="AA63" s="13">
        <f t="shared" si="21"/>
        <v>7.7010829481250003</v>
      </c>
      <c r="AB63" s="13"/>
      <c r="AC63" s="13"/>
    </row>
    <row r="64" spans="1:30" hidden="1">
      <c r="A64" t="s">
        <v>308</v>
      </c>
      <c r="D64" s="9">
        <f>F64</f>
        <v>3.6903647552199992</v>
      </c>
      <c r="E64" s="9"/>
      <c r="F64" s="9">
        <f>Tariff!E22</f>
        <v>3.6903647552199992</v>
      </c>
      <c r="G64" s="9">
        <f>Tariff!F22</f>
        <v>3.7610529515408615</v>
      </c>
      <c r="H64" s="9">
        <f>Tariff!G22</f>
        <v>3.7924273658084369</v>
      </c>
      <c r="I64" s="9">
        <f>Tariff!H22</f>
        <v>4.3823878219280132</v>
      </c>
      <c r="J64" s="9">
        <f>Tariff!I22</f>
        <v>4.2695464496008224</v>
      </c>
      <c r="K64" s="9">
        <f>Tariff!J22</f>
        <v>4.1374296458270221</v>
      </c>
      <c r="L64" s="9">
        <f>Tariff!K22</f>
        <v>4.1357032393054745</v>
      </c>
      <c r="M64" s="9">
        <f>Tariff!L22</f>
        <v>4.1471872578667615</v>
      </c>
      <c r="N64" s="9">
        <f>Tariff!M22</f>
        <v>4.0605223990822861</v>
      </c>
      <c r="O64" s="9">
        <f>Tariff!N22</f>
        <v>4.0594625041990628</v>
      </c>
      <c r="P64" s="9">
        <f>Tariff!O22</f>
        <v>4.0188437425568386</v>
      </c>
      <c r="Q64" s="9">
        <f>Tariff!P22</f>
        <v>4.0992206174079753</v>
      </c>
      <c r="R64" s="9">
        <f>Tariff!Q22</f>
        <v>4.1812050297561347</v>
      </c>
      <c r="S64" s="9">
        <f>Tariff!R22</f>
        <v>4.2648291303512575</v>
      </c>
      <c r="T64" s="9">
        <f>Tariff!S22</f>
        <v>4.3501257129582829</v>
      </c>
      <c r="U64" s="9">
        <f>Tariff!T22</f>
        <v>4.4371282272174488</v>
      </c>
      <c r="V64" s="9">
        <f>Tariff!U22</f>
        <v>4.5258707917617977</v>
      </c>
      <c r="W64" s="9">
        <f>Tariff!V22</f>
        <v>4.6163882075970335</v>
      </c>
      <c r="X64" s="9">
        <f>Tariff!W22</f>
        <v>4.7087159717489744</v>
      </c>
      <c r="Y64" s="9">
        <f>Tariff!X22</f>
        <v>4.8028902911839539</v>
      </c>
      <c r="Z64" s="9">
        <f>Tariff!Y22</f>
        <v>4.8989480970076329</v>
      </c>
      <c r="AA64" s="9">
        <f>Tariff!Z22</f>
        <v>4.9969270589477857</v>
      </c>
      <c r="AB64" s="9"/>
    </row>
    <row r="65" spans="1:29" hidden="1">
      <c r="A65" t="s">
        <v>309</v>
      </c>
      <c r="D65" s="9">
        <f>F65</f>
        <v>1.778736023985636</v>
      </c>
      <c r="E65" s="9"/>
      <c r="F65" s="9">
        <f>Tariff!E11</f>
        <v>1.778736023985636</v>
      </c>
      <c r="G65" s="9">
        <f>Tariff!F11</f>
        <v>1.712495624436102</v>
      </c>
      <c r="H65" s="9">
        <f>Tariff!G11</f>
        <v>1.5659109331765939</v>
      </c>
      <c r="I65" s="9">
        <f>Tariff!H11</f>
        <v>1.4820131977250284</v>
      </c>
      <c r="J65" s="9">
        <f>Tariff!I11</f>
        <v>1.4478351546873687</v>
      </c>
      <c r="K65" s="9">
        <f>Tariff!J11</f>
        <v>1.414411100719521</v>
      </c>
      <c r="L65" s="9">
        <f>Tariff!K11</f>
        <v>1.3817769668708975</v>
      </c>
      <c r="M65" s="9">
        <f>Tariff!L11</f>
        <v>1.3499703964707856</v>
      </c>
      <c r="N65" s="9">
        <f>Tariff!M11</f>
        <v>1.3690308267263682</v>
      </c>
      <c r="O65" s="9">
        <f>Tariff!N11</f>
        <v>1.3389995742092597</v>
      </c>
      <c r="P65" s="9">
        <f>Tariff!O11</f>
        <v>1.3599199244158713</v>
      </c>
      <c r="Q65" s="9">
        <f>Tariff!P11</f>
        <v>1.3818372255957398</v>
      </c>
      <c r="R65" s="9">
        <f>Tariff!Q11</f>
        <v>1.396292342363612</v>
      </c>
      <c r="S65" s="9">
        <f>Tariff!R11</f>
        <v>1.4111811126345204</v>
      </c>
      <c r="T65" s="9">
        <f>Tariff!S11</f>
        <v>1.426516546013556</v>
      </c>
      <c r="U65" s="9">
        <f>Tariff!T11</f>
        <v>1.4423120423939626</v>
      </c>
      <c r="V65" s="9">
        <f>Tariff!U11</f>
        <v>1.4585814036657814</v>
      </c>
      <c r="W65" s="9">
        <f>Tariff!V11</f>
        <v>1.475338845775755</v>
      </c>
      <c r="X65" s="9">
        <f>Tariff!W11</f>
        <v>1.4925990111490277</v>
      </c>
      <c r="Y65" s="9">
        <f>Tariff!X11</f>
        <v>1.5103769814834984</v>
      </c>
      <c r="Z65" s="9">
        <f>Tariff!Y11</f>
        <v>1.5286882909280033</v>
      </c>
      <c r="AA65" s="9">
        <f>Tariff!Z11</f>
        <v>1.5475489396558435</v>
      </c>
      <c r="AB65" s="9"/>
    </row>
    <row r="66" spans="1:29" hidden="1">
      <c r="F66" s="9"/>
      <c r="G66" s="9"/>
    </row>
    <row r="67" spans="1:29" hidden="1">
      <c r="A67" s="46" t="s">
        <v>310</v>
      </c>
      <c r="F67" s="9"/>
      <c r="G67" s="9"/>
    </row>
    <row r="68" spans="1:29" hidden="1">
      <c r="A68" t="s">
        <v>305</v>
      </c>
      <c r="D68" s="13">
        <f>D23/D$8*10</f>
        <v>6.3806906568302546</v>
      </c>
      <c r="E68" s="13"/>
      <c r="F68" s="13">
        <f t="shared" ref="F68:AA68" si="22">F23/F$8*10</f>
        <v>6.3908077057826915</v>
      </c>
      <c r="G68" s="13">
        <f t="shared" si="22"/>
        <v>6.5199935526795993</v>
      </c>
      <c r="H68" s="13">
        <f t="shared" si="22"/>
        <v>6.6519735511326541</v>
      </c>
      <c r="I68" s="13">
        <f t="shared" si="22"/>
        <v>6.7868120015577116</v>
      </c>
      <c r="J68" s="13">
        <f t="shared" si="22"/>
        <v>6.9245748270743244</v>
      </c>
      <c r="K68" s="13">
        <f t="shared" si="22"/>
        <v>7.0653296194276525</v>
      </c>
      <c r="L68" s="13">
        <f t="shared" si="22"/>
        <v>7.2091456863674779</v>
      </c>
      <c r="M68" s="13">
        <f t="shared" si="22"/>
        <v>7.3560941005351115</v>
      </c>
      <c r="N68" s="13">
        <f t="shared" si="22"/>
        <v>7.5062477499106697</v>
      </c>
      <c r="O68" s="13">
        <f t="shared" si="22"/>
        <v>7.6596813898752947</v>
      </c>
      <c r="P68" s="13">
        <f t="shared" si="22"/>
        <v>7.8164716969448289</v>
      </c>
      <c r="Q68" s="13">
        <f t="shared" si="22"/>
        <v>7.9766973242335961</v>
      </c>
      <c r="R68" s="13">
        <f t="shared" si="22"/>
        <v>8.1404389587090904</v>
      </c>
      <c r="S68" s="13">
        <f t="shared" si="22"/>
        <v>8.3077793803006941</v>
      </c>
      <c r="T68" s="13">
        <f t="shared" si="22"/>
        <v>8.4788035229277821</v>
      </c>
      <c r="U68" s="13">
        <f t="shared" si="22"/>
        <v>8.6535985375152187</v>
      </c>
      <c r="V68" s="13">
        <f t="shared" si="22"/>
        <v>8.832253857066517</v>
      </c>
      <c r="W68" s="13">
        <f t="shared" si="22"/>
        <v>9.0148612638678465</v>
      </c>
      <c r="X68" s="13">
        <f t="shared" si="22"/>
        <v>9.2015149588985565</v>
      </c>
      <c r="Y68" s="13">
        <f t="shared" si="22"/>
        <v>9.3923116335269832</v>
      </c>
      <c r="Z68" s="13">
        <f t="shared" si="22"/>
        <v>9.5873505435729491</v>
      </c>
      <c r="AA68" s="13">
        <f t="shared" si="22"/>
        <v>9.7867335858218159</v>
      </c>
      <c r="AB68" s="13"/>
    </row>
    <row r="69" spans="1:29" hidden="1">
      <c r="A69" t="s">
        <v>311</v>
      </c>
      <c r="D69" s="13">
        <f>D27/D$8*10</f>
        <v>0.16287239678284182</v>
      </c>
      <c r="E69" s="13"/>
      <c r="F69" s="13">
        <f t="shared" ref="F69:AA69" si="23">F27/F$8*10</f>
        <v>0.16612984471849865</v>
      </c>
      <c r="G69" s="13">
        <f t="shared" si="23"/>
        <v>0.1694524416128686</v>
      </c>
      <c r="H69" s="13">
        <f t="shared" si="23"/>
        <v>0.17284149044512601</v>
      </c>
      <c r="I69" s="13">
        <f t="shared" si="23"/>
        <v>0.17629832025402853</v>
      </c>
      <c r="J69" s="13">
        <f t="shared" si="23"/>
        <v>0.17982428665910907</v>
      </c>
      <c r="K69" s="13">
        <f t="shared" si="23"/>
        <v>0.18342077239229132</v>
      </c>
      <c r="L69" s="13">
        <f t="shared" si="23"/>
        <v>0.18708918784013709</v>
      </c>
      <c r="M69" s="13">
        <f t="shared" si="23"/>
        <v>0.19083097159693987</v>
      </c>
      <c r="N69" s="13">
        <f t="shared" si="23"/>
        <v>0.19464759102887863</v>
      </c>
      <c r="O69" s="13">
        <f t="shared" si="23"/>
        <v>0.19854054284945627</v>
      </c>
      <c r="P69" s="13">
        <f t="shared" si="23"/>
        <v>0.20251135370644541</v>
      </c>
      <c r="Q69" s="13">
        <f t="shared" si="23"/>
        <v>0.20656158078057424</v>
      </c>
      <c r="R69" s="13">
        <f t="shared" si="23"/>
        <v>0.21069281239618573</v>
      </c>
      <c r="S69" s="13">
        <f t="shared" si="23"/>
        <v>0.21490666864410946</v>
      </c>
      <c r="T69" s="13">
        <f t="shared" si="23"/>
        <v>0.21920480201699163</v>
      </c>
      <c r="U69" s="13">
        <f t="shared" si="23"/>
        <v>0.22358889805733151</v>
      </c>
      <c r="V69" s="13">
        <f t="shared" si="23"/>
        <v>0.2280606760184781</v>
      </c>
      <c r="W69" s="13">
        <f t="shared" si="23"/>
        <v>0.23262188953884769</v>
      </c>
      <c r="X69" s="13">
        <f t="shared" si="23"/>
        <v>0.23727432732962464</v>
      </c>
      <c r="Y69" s="13">
        <f t="shared" si="23"/>
        <v>0.24201981387621713</v>
      </c>
      <c r="Z69" s="13">
        <f t="shared" si="23"/>
        <v>0.24686021015374149</v>
      </c>
      <c r="AA69" s="13">
        <f t="shared" si="23"/>
        <v>0.2517974143568163</v>
      </c>
      <c r="AB69" s="13"/>
    </row>
    <row r="70" spans="1:29" hidden="1">
      <c r="A70" t="s">
        <v>312</v>
      </c>
      <c r="D70" s="13">
        <f>D28/D$8*10</f>
        <v>0.18747153377510717</v>
      </c>
      <c r="E70" s="13"/>
      <c r="F70" s="13">
        <f t="shared" ref="F70:AA70" si="24">F28/F$8*10</f>
        <v>0.19309567978836037</v>
      </c>
      <c r="G70" s="13">
        <f t="shared" si="24"/>
        <v>0.15167569440913581</v>
      </c>
      <c r="H70" s="13">
        <f t="shared" si="24"/>
        <v>0.15665398158453706</v>
      </c>
      <c r="I70" s="13">
        <f t="shared" si="24"/>
        <v>0.16135360103207316</v>
      </c>
      <c r="J70" s="13">
        <f t="shared" si="24"/>
        <v>0.16619420906303534</v>
      </c>
      <c r="K70" s="13">
        <f t="shared" si="24"/>
        <v>0.29021096154459525</v>
      </c>
      <c r="L70" s="13">
        <f t="shared" si="24"/>
        <v>0.29973624187145614</v>
      </c>
      <c r="M70" s="13">
        <f t="shared" si="24"/>
        <v>0.30872832912759984</v>
      </c>
      <c r="N70" s="13">
        <f t="shared" si="24"/>
        <v>0.29999073490700745</v>
      </c>
      <c r="O70" s="13">
        <f t="shared" si="24"/>
        <v>0.30814622073303133</v>
      </c>
      <c r="P70" s="13">
        <f t="shared" si="24"/>
        <v>0.30121051866304893</v>
      </c>
      <c r="Q70" s="13">
        <f t="shared" si="24"/>
        <v>0.31024683422294042</v>
      </c>
      <c r="R70" s="13">
        <f t="shared" si="24"/>
        <v>0.30330571860981709</v>
      </c>
      <c r="S70" s="13">
        <f t="shared" si="24"/>
        <v>0.31155132489442822</v>
      </c>
      <c r="T70" s="13">
        <f t="shared" si="24"/>
        <v>0.30620718025026039</v>
      </c>
      <c r="U70" s="13">
        <f t="shared" si="24"/>
        <v>0.31539339565776819</v>
      </c>
      <c r="V70" s="13">
        <f t="shared" si="24"/>
        <v>0.3098618807185396</v>
      </c>
      <c r="W70" s="13">
        <f t="shared" si="24"/>
        <v>0.31828572146484962</v>
      </c>
      <c r="X70" s="13">
        <f t="shared" si="24"/>
        <v>0.31422956619896197</v>
      </c>
      <c r="Y70" s="13">
        <f t="shared" si="24"/>
        <v>0.31440912595107573</v>
      </c>
      <c r="Z70" s="13">
        <f t="shared" si="24"/>
        <v>0.32384139972960801</v>
      </c>
      <c r="AA70" s="13">
        <f t="shared" si="24"/>
        <v>0.33264528477690203</v>
      </c>
      <c r="AB70" s="13"/>
    </row>
    <row r="71" spans="1:29" hidden="1">
      <c r="A71" t="s">
        <v>78</v>
      </c>
      <c r="D71" s="9">
        <f>D85</f>
        <v>0</v>
      </c>
      <c r="E71" s="9"/>
      <c r="F71" s="9">
        <f>F85</f>
        <v>0.13315691807345928</v>
      </c>
      <c r="G71" s="9">
        <f t="shared" ref="G71:AA71" si="25">G85</f>
        <v>6.8474958659796373E-2</v>
      </c>
      <c r="H71" s="9">
        <f t="shared" si="25"/>
        <v>8.0305075703040213E-2</v>
      </c>
      <c r="I71" s="9">
        <f t="shared" si="25"/>
        <v>4.1688797511079873E-2</v>
      </c>
      <c r="J71" s="9">
        <f t="shared" si="25"/>
        <v>8.0801555731102093E-2</v>
      </c>
      <c r="K71" s="9">
        <f t="shared" si="25"/>
        <v>0.20426542262483993</v>
      </c>
      <c r="L71" s="9">
        <f t="shared" si="25"/>
        <v>0.21362190999610614</v>
      </c>
      <c r="M71" s="9">
        <f t="shared" si="25"/>
        <v>0.21360168476152022</v>
      </c>
      <c r="N71" s="9">
        <f t="shared" si="25"/>
        <v>0.21857082230784763</v>
      </c>
      <c r="O71" s="9">
        <f t="shared" si="25"/>
        <v>0.21931175214181498</v>
      </c>
      <c r="P71" s="9">
        <f t="shared" si="25"/>
        <v>0.22316699806814108</v>
      </c>
      <c r="Q71" s="9">
        <f t="shared" si="25"/>
        <v>0.23007096843809308</v>
      </c>
      <c r="R71" s="9">
        <f t="shared" si="25"/>
        <v>0.22906405222688958</v>
      </c>
      <c r="S71" s="9">
        <f t="shared" si="25"/>
        <v>0.22979266417640129</v>
      </c>
      <c r="T71" s="9">
        <f t="shared" si="25"/>
        <v>0.23525290464412932</v>
      </c>
      <c r="U71" s="9">
        <f t="shared" si="25"/>
        <v>0.24109895719059307</v>
      </c>
      <c r="V71" s="9">
        <f t="shared" si="25"/>
        <v>0.24010380829342207</v>
      </c>
      <c r="W71" s="9">
        <f t="shared" si="25"/>
        <v>0.24742611116915406</v>
      </c>
      <c r="X71" s="9">
        <f t="shared" si="25"/>
        <v>0.24654079456033329</v>
      </c>
      <c r="Y71" s="9">
        <f t="shared" si="25"/>
        <v>0.24630308784751281</v>
      </c>
      <c r="Z71" s="9">
        <f t="shared" si="25"/>
        <v>0.2589427337408306</v>
      </c>
      <c r="AA71" s="9">
        <f t="shared" si="25"/>
        <v>0.26654701112465018</v>
      </c>
      <c r="AB71" s="9"/>
    </row>
    <row r="72" spans="1:29" hidden="1">
      <c r="A72" t="s">
        <v>313</v>
      </c>
      <c r="D72" s="9">
        <f>D86</f>
        <v>0</v>
      </c>
      <c r="E72" s="9"/>
      <c r="F72" s="9">
        <f>F86</f>
        <v>0</v>
      </c>
      <c r="G72" s="9">
        <f t="shared" ref="G72:AA72" si="26">G86</f>
        <v>0</v>
      </c>
      <c r="H72" s="9">
        <f t="shared" si="26"/>
        <v>0</v>
      </c>
      <c r="I72" s="9">
        <f t="shared" si="26"/>
        <v>0</v>
      </c>
      <c r="J72" s="9">
        <f t="shared" si="26"/>
        <v>0</v>
      </c>
      <c r="K72" s="9">
        <f t="shared" si="26"/>
        <v>0</v>
      </c>
      <c r="L72" s="9">
        <f t="shared" si="26"/>
        <v>0</v>
      </c>
      <c r="M72" s="9">
        <f t="shared" si="26"/>
        <v>0</v>
      </c>
      <c r="N72" s="9">
        <f t="shared" si="26"/>
        <v>0</v>
      </c>
      <c r="O72" s="9">
        <f t="shared" si="26"/>
        <v>0</v>
      </c>
      <c r="P72" s="9">
        <f t="shared" si="26"/>
        <v>0</v>
      </c>
      <c r="Q72" s="9">
        <f t="shared" si="26"/>
        <v>0</v>
      </c>
      <c r="R72" s="9">
        <f t="shared" si="26"/>
        <v>0</v>
      </c>
      <c r="S72" s="9">
        <f t="shared" si="26"/>
        <v>0</v>
      </c>
      <c r="T72" s="9">
        <f t="shared" si="26"/>
        <v>0</v>
      </c>
      <c r="U72" s="9">
        <f t="shared" si="26"/>
        <v>0</v>
      </c>
      <c r="V72" s="9">
        <f t="shared" si="26"/>
        <v>0</v>
      </c>
      <c r="W72" s="9">
        <f t="shared" si="26"/>
        <v>0</v>
      </c>
      <c r="X72" s="9">
        <f t="shared" si="26"/>
        <v>0</v>
      </c>
      <c r="Y72" s="9">
        <f t="shared" si="26"/>
        <v>0</v>
      </c>
      <c r="Z72" s="9">
        <f t="shared" si="26"/>
        <v>0</v>
      </c>
      <c r="AA72" s="9">
        <f t="shared" si="26"/>
        <v>0</v>
      </c>
      <c r="AB72" s="9"/>
    </row>
    <row r="73" spans="1:29" hidden="1">
      <c r="A73" t="s">
        <v>314</v>
      </c>
      <c r="D73" s="9">
        <f>Financials!F63/(Gen!D8+Gen!D34)*10</f>
        <v>0</v>
      </c>
      <c r="E73" s="9"/>
      <c r="F73" s="9">
        <f>Financials!G63/(Gen!F8+Gen!F34)*10</f>
        <v>0</v>
      </c>
      <c r="G73" s="9" t="e">
        <f ca="1">Financials!I63/(Gen!G8+Gen!G34)*10</f>
        <v>#DIV/0!</v>
      </c>
      <c r="H73" s="9" t="e">
        <f ca="1">Financials!J63/(Gen!H8+Gen!H34)*10</f>
        <v>#DIV/0!</v>
      </c>
      <c r="I73" s="9" t="e">
        <f ca="1">Financials!K63/(Gen!I8+Gen!I34)*10</f>
        <v>#DIV/0!</v>
      </c>
      <c r="J73" s="9" t="e">
        <f ca="1">Financials!L63/(Gen!J8+Gen!J34)*10</f>
        <v>#DIV/0!</v>
      </c>
      <c r="K73" s="9" t="e">
        <f ca="1">Financials!M63/(Gen!K8+Gen!K34)*10</f>
        <v>#DIV/0!</v>
      </c>
      <c r="L73" s="9" t="e">
        <f ca="1">Financials!N63/(Gen!L8+Gen!L34)*10</f>
        <v>#DIV/0!</v>
      </c>
      <c r="M73" s="9" t="e">
        <f ca="1">Financials!O63/(Gen!M8+Gen!M34)*10</f>
        <v>#DIV/0!</v>
      </c>
      <c r="N73" s="9" t="e">
        <f ca="1">Financials!P63/(Gen!N8+Gen!N34)*10</f>
        <v>#DIV/0!</v>
      </c>
      <c r="O73" s="9" t="e">
        <f ca="1">Financials!Q63/(Gen!O8+Gen!O34)*10</f>
        <v>#DIV/0!</v>
      </c>
      <c r="P73" s="9" t="e">
        <f ca="1">Financials!R63/(Gen!P8+Gen!P34)*10</f>
        <v>#DIV/0!</v>
      </c>
      <c r="Q73" s="9" t="e">
        <f ca="1">Financials!S63/(Gen!Q8+Gen!Q34)*10</f>
        <v>#DIV/0!</v>
      </c>
      <c r="R73" s="9" t="e">
        <f ca="1">Financials!T63/(Gen!R8+Gen!R34)*10</f>
        <v>#DIV/0!</v>
      </c>
      <c r="S73" s="9" t="e">
        <f ca="1">Financials!U63/(Gen!S8+Gen!S34)*10</f>
        <v>#DIV/0!</v>
      </c>
      <c r="T73" s="9" t="e">
        <f ca="1">Financials!V63/(Gen!T8+Gen!T34)*10</f>
        <v>#DIV/0!</v>
      </c>
      <c r="U73" s="9" t="e">
        <f ca="1">Financials!W63/(Gen!U8+Gen!U34)*10</f>
        <v>#DIV/0!</v>
      </c>
      <c r="V73" s="9" t="e">
        <f ca="1">Financials!X63/(Gen!V8+Gen!V34)*10</f>
        <v>#DIV/0!</v>
      </c>
      <c r="W73" s="9" t="e">
        <f ca="1">Financials!Y63/(Gen!W8+Gen!W34)*10</f>
        <v>#DIV/0!</v>
      </c>
      <c r="X73" s="9" t="e">
        <f ca="1">Financials!Z63/(Gen!X8+Gen!X34)*10</f>
        <v>#DIV/0!</v>
      </c>
      <c r="Y73" s="9" t="e">
        <f ca="1">Financials!AA63/(Gen!Y8+Gen!Y34)*10</f>
        <v>#DIV/0!</v>
      </c>
      <c r="Z73" s="9" t="e">
        <f ca="1">Financials!AB63/(Gen!Z8+Gen!Z34)*10</f>
        <v>#DIV/0!</v>
      </c>
      <c r="AA73" s="9" t="e">
        <f ca="1">Financials!AC63/(Gen!AA8+Gen!AA34)*10</f>
        <v>#DIV/0!</v>
      </c>
      <c r="AB73" s="9"/>
      <c r="AC73" s="9"/>
    </row>
    <row r="74" spans="1:29" hidden="1">
      <c r="A74" s="1" t="s">
        <v>315</v>
      </c>
      <c r="B74" s="1"/>
      <c r="C74" s="1"/>
      <c r="D74" s="35" t="e">
        <f t="shared" ref="D74:AA74" si="27">D63-SUM(D68:D73)</f>
        <v>#REF!</v>
      </c>
      <c r="E74" s="35"/>
      <c r="F74" s="35" t="e">
        <f t="shared" si="27"/>
        <v>#REF!</v>
      </c>
      <c r="G74" s="35" t="e">
        <f t="shared" ca="1" si="27"/>
        <v>#REF!</v>
      </c>
      <c r="H74" s="35" t="e">
        <f t="shared" ca="1" si="27"/>
        <v>#REF!</v>
      </c>
      <c r="I74" s="35" t="e">
        <f t="shared" ca="1" si="27"/>
        <v>#REF!</v>
      </c>
      <c r="J74" s="35" t="e">
        <f t="shared" ca="1" si="27"/>
        <v>#REF!</v>
      </c>
      <c r="K74" s="35" t="e">
        <f t="shared" ca="1" si="27"/>
        <v>#DIV/0!</v>
      </c>
      <c r="L74" s="35" t="e">
        <f t="shared" ca="1" si="27"/>
        <v>#DIV/0!</v>
      </c>
      <c r="M74" s="35" t="e">
        <f t="shared" ca="1" si="27"/>
        <v>#DIV/0!</v>
      </c>
      <c r="N74" s="35" t="e">
        <f t="shared" ca="1" si="27"/>
        <v>#DIV/0!</v>
      </c>
      <c r="O74" s="35" t="e">
        <f t="shared" ca="1" si="27"/>
        <v>#DIV/0!</v>
      </c>
      <c r="P74" s="35" t="e">
        <f t="shared" ca="1" si="27"/>
        <v>#DIV/0!</v>
      </c>
      <c r="Q74" s="35" t="e">
        <f t="shared" ca="1" si="27"/>
        <v>#DIV/0!</v>
      </c>
      <c r="R74" s="35" t="e">
        <f t="shared" ca="1" si="27"/>
        <v>#DIV/0!</v>
      </c>
      <c r="S74" s="35" t="e">
        <f t="shared" ca="1" si="27"/>
        <v>#DIV/0!</v>
      </c>
      <c r="T74" s="35" t="e">
        <f t="shared" ca="1" si="27"/>
        <v>#DIV/0!</v>
      </c>
      <c r="U74" s="35" t="e">
        <f t="shared" ca="1" si="27"/>
        <v>#DIV/0!</v>
      </c>
      <c r="V74" s="35" t="e">
        <f t="shared" ca="1" si="27"/>
        <v>#DIV/0!</v>
      </c>
      <c r="W74" s="35" t="e">
        <f t="shared" ca="1" si="27"/>
        <v>#DIV/0!</v>
      </c>
      <c r="X74" s="35" t="e">
        <f t="shared" ca="1" si="27"/>
        <v>#DIV/0!</v>
      </c>
      <c r="Y74" s="35" t="e">
        <f t="shared" ca="1" si="27"/>
        <v>#DIV/0!</v>
      </c>
      <c r="Z74" s="35" t="e">
        <f t="shared" ca="1" si="27"/>
        <v>#DIV/0!</v>
      </c>
      <c r="AA74" s="35" t="e">
        <f t="shared" ca="1" si="27"/>
        <v>#DIV/0!</v>
      </c>
      <c r="AB74" s="35"/>
      <c r="AC74" s="35"/>
    </row>
    <row r="75" spans="1:29" hidden="1">
      <c r="F75" s="9"/>
      <c r="G75" s="9"/>
    </row>
    <row r="76" spans="1:29" hidden="1">
      <c r="A76" s="1" t="s">
        <v>26</v>
      </c>
      <c r="F76" s="9"/>
      <c r="G76" s="9"/>
    </row>
    <row r="77" spans="1:29" ht="13.95" hidden="1" customHeight="1">
      <c r="A77" t="s">
        <v>304</v>
      </c>
      <c r="C77" s="13"/>
      <c r="D77" s="13"/>
      <c r="E77" s="13"/>
      <c r="F77" s="13" t="e">
        <f t="shared" ref="F77:AB77" si="28">F36/F34*10</f>
        <v>#REF!</v>
      </c>
      <c r="G77" s="13" t="e">
        <f t="shared" si="28"/>
        <v>#REF!</v>
      </c>
      <c r="H77" s="13" t="e">
        <f t="shared" si="28"/>
        <v>#REF!</v>
      </c>
      <c r="I77" s="13" t="e">
        <f t="shared" si="28"/>
        <v>#REF!</v>
      </c>
      <c r="J77" s="13" t="e">
        <f t="shared" si="28"/>
        <v>#REF!</v>
      </c>
      <c r="K77" s="13">
        <f t="shared" si="28"/>
        <v>6.0339999999999989</v>
      </c>
      <c r="L77" s="13">
        <f t="shared" si="28"/>
        <v>6.0339999999999989</v>
      </c>
      <c r="M77" s="13">
        <f t="shared" si="28"/>
        <v>6.0339999999999989</v>
      </c>
      <c r="N77" s="13">
        <f t="shared" si="28"/>
        <v>6.3356999999999992</v>
      </c>
      <c r="O77" s="13">
        <f t="shared" si="28"/>
        <v>6.3356999999999992</v>
      </c>
      <c r="P77" s="13">
        <f t="shared" si="28"/>
        <v>6.335700000000001</v>
      </c>
      <c r="Q77" s="13">
        <f t="shared" si="28"/>
        <v>6.6524850000000004</v>
      </c>
      <c r="R77" s="13">
        <f t="shared" si="28"/>
        <v>6.6524850000000004</v>
      </c>
      <c r="S77" s="13">
        <f t="shared" si="28"/>
        <v>6.6524850000000004</v>
      </c>
      <c r="T77" s="13">
        <f t="shared" si="28"/>
        <v>6.9851092500000007</v>
      </c>
      <c r="U77" s="13">
        <f t="shared" si="28"/>
        <v>6.9851092500000007</v>
      </c>
      <c r="V77" s="13">
        <f t="shared" si="28"/>
        <v>6.9851092500000007</v>
      </c>
      <c r="W77" s="13">
        <f t="shared" si="28"/>
        <v>7.3343647125000002</v>
      </c>
      <c r="X77" s="13">
        <f t="shared" si="28"/>
        <v>7.3343647125000011</v>
      </c>
      <c r="Y77" s="13">
        <f t="shared" si="28"/>
        <v>7.3343647125000011</v>
      </c>
      <c r="Z77" s="13">
        <f t="shared" si="28"/>
        <v>7.7010829481250012</v>
      </c>
      <c r="AA77" s="13">
        <f t="shared" si="28"/>
        <v>7.7010829481250003</v>
      </c>
      <c r="AB77" s="13">
        <f t="shared" si="28"/>
        <v>7.7010829481250003</v>
      </c>
      <c r="AC77" s="13"/>
    </row>
    <row r="78" spans="1:29" hidden="1">
      <c r="A78" t="s">
        <v>308</v>
      </c>
      <c r="C78" s="9"/>
      <c r="D78" s="9"/>
      <c r="E78" s="9"/>
      <c r="F78" s="9">
        <f t="shared" ref="F78:AB78" si="29">F55</f>
        <v>6.2736337037500007</v>
      </c>
      <c r="G78" s="9">
        <f t="shared" si="29"/>
        <v>6.4004153522664673</v>
      </c>
      <c r="H78" s="9">
        <f t="shared" si="29"/>
        <v>6.5299337398265402</v>
      </c>
      <c r="I78" s="9">
        <f t="shared" si="29"/>
        <v>6.6622516454540275</v>
      </c>
      <c r="J78" s="9">
        <f t="shared" si="29"/>
        <v>6.7974334255229225</v>
      </c>
      <c r="K78" s="9">
        <f t="shared" si="29"/>
        <v>6.9355450581752116</v>
      </c>
      <c r="L78" s="9">
        <f t="shared" si="29"/>
        <v>7.0766541891418386</v>
      </c>
      <c r="M78" s="9">
        <f t="shared" si="29"/>
        <v>7.2208301790155458</v>
      </c>
      <c r="N78" s="9">
        <f t="shared" si="29"/>
        <v>7.3681441520259821</v>
      </c>
      <c r="O78" s="9">
        <f t="shared" si="29"/>
        <v>7.5186690463694532</v>
      </c>
      <c r="P78" s="9">
        <f t="shared" si="29"/>
        <v>7.6724796661475345</v>
      </c>
      <c r="Q78" s="9">
        <f t="shared" si="29"/>
        <v>7.8296527349708249</v>
      </c>
      <c r="R78" s="9">
        <f t="shared" si="29"/>
        <v>7.9902669512862143</v>
      </c>
      <c r="S78" s="9">
        <f t="shared" si="29"/>
        <v>8.1544030454881735</v>
      </c>
      <c r="T78" s="9">
        <f t="shared" si="29"/>
        <v>8.3221438388768441</v>
      </c>
      <c r="U78" s="9">
        <f t="shared" si="29"/>
        <v>8.4935743045280621</v>
      </c>
      <c r="V78" s="9">
        <f t="shared" si="29"/>
        <v>8.6687816301428686</v>
      </c>
      <c r="W78" s="9">
        <f t="shared" si="29"/>
        <v>8.8478552829465755</v>
      </c>
      <c r="X78" s="9">
        <f t="shared" si="29"/>
        <v>9.0308870767099965</v>
      </c>
      <c r="Y78" s="9">
        <f t="shared" si="29"/>
        <v>9.2179712409684988</v>
      </c>
      <c r="Z78" s="9">
        <f t="shared" si="29"/>
        <v>9.4092044925167535</v>
      </c>
      <c r="AA78" s="9">
        <f t="shared" si="29"/>
        <v>9.6046861092607596</v>
      </c>
      <c r="AB78" s="9">
        <f t="shared" si="29"/>
        <v>9.8045180065110102</v>
      </c>
      <c r="AC78" s="9"/>
    </row>
    <row r="79" spans="1:29" hidden="1">
      <c r="A79" t="s">
        <v>309</v>
      </c>
      <c r="C79" s="9"/>
      <c r="D79" s="9"/>
      <c r="E79" s="9"/>
      <c r="F79" s="9" t="e">
        <f t="shared" ref="F79:AB79" si="30">F77-F78</f>
        <v>#REF!</v>
      </c>
      <c r="G79" s="9" t="e">
        <f t="shared" si="30"/>
        <v>#REF!</v>
      </c>
      <c r="H79" s="9" t="e">
        <f t="shared" si="30"/>
        <v>#REF!</v>
      </c>
      <c r="I79" s="9" t="e">
        <f t="shared" si="30"/>
        <v>#REF!</v>
      </c>
      <c r="J79" s="9" t="e">
        <f t="shared" si="30"/>
        <v>#REF!</v>
      </c>
      <c r="K79" s="9">
        <f t="shared" si="30"/>
        <v>-0.90154505817521269</v>
      </c>
      <c r="L79" s="9">
        <f t="shared" si="30"/>
        <v>-1.0426541891418397</v>
      </c>
      <c r="M79" s="9">
        <f t="shared" si="30"/>
        <v>-1.1868301790155469</v>
      </c>
      <c r="N79" s="9">
        <f t="shared" si="30"/>
        <v>-1.0324441520259828</v>
      </c>
      <c r="O79" s="9">
        <f t="shared" si="30"/>
        <v>-1.182969046369454</v>
      </c>
      <c r="P79" s="9">
        <f t="shared" si="30"/>
        <v>-1.3367796661475335</v>
      </c>
      <c r="Q79" s="9">
        <f t="shared" si="30"/>
        <v>-1.1771677349708245</v>
      </c>
      <c r="R79" s="9">
        <f t="shared" si="30"/>
        <v>-1.3377819512862139</v>
      </c>
      <c r="S79" s="9">
        <f t="shared" si="30"/>
        <v>-1.5019180454881731</v>
      </c>
      <c r="T79" s="9">
        <f t="shared" si="30"/>
        <v>-1.3370345888768433</v>
      </c>
      <c r="U79" s="9">
        <f t="shared" si="30"/>
        <v>-1.5084650545280613</v>
      </c>
      <c r="V79" s="9">
        <f t="shared" si="30"/>
        <v>-1.6836723801428679</v>
      </c>
      <c r="W79" s="9">
        <f t="shared" si="30"/>
        <v>-1.5134905704465753</v>
      </c>
      <c r="X79" s="9">
        <f t="shared" si="30"/>
        <v>-1.6965223642099954</v>
      </c>
      <c r="Y79" s="9">
        <f t="shared" si="30"/>
        <v>-1.8836065284684977</v>
      </c>
      <c r="Z79" s="9">
        <f t="shared" si="30"/>
        <v>-1.7081215443917523</v>
      </c>
      <c r="AA79" s="9">
        <f t="shared" si="30"/>
        <v>-1.9036031611357593</v>
      </c>
      <c r="AB79" s="9">
        <f t="shared" si="30"/>
        <v>-2.10343505838601</v>
      </c>
      <c r="AC79" s="9"/>
    </row>
    <row r="80" spans="1:29" hidden="1"/>
    <row r="81" spans="1:29" hidden="1">
      <c r="A81" s="46" t="s">
        <v>310</v>
      </c>
    </row>
    <row r="82" spans="1:29" hidden="1">
      <c r="A82" t="s">
        <v>305</v>
      </c>
      <c r="C82" s="13"/>
      <c r="D82" s="13"/>
      <c r="E82" s="13"/>
      <c r="F82" s="13">
        <f t="shared" ref="F82:AB82" si="31">F49/F34*10</f>
        <v>6.1075038590315014</v>
      </c>
      <c r="G82" s="13">
        <f t="shared" si="31"/>
        <v>6.2309629106535978</v>
      </c>
      <c r="H82" s="13">
        <f t="shared" si="31"/>
        <v>6.3570922493814139</v>
      </c>
      <c r="I82" s="13">
        <f t="shared" si="31"/>
        <v>6.4859533251999988</v>
      </c>
      <c r="J82" s="13">
        <f t="shared" si="31"/>
        <v>6.6176091388638145</v>
      </c>
      <c r="K82" s="13">
        <f t="shared" si="31"/>
        <v>6.7521242857829211</v>
      </c>
      <c r="L82" s="13">
        <f t="shared" si="31"/>
        <v>6.8895650013017029</v>
      </c>
      <c r="M82" s="13">
        <f t="shared" si="31"/>
        <v>7.0299992074186068</v>
      </c>
      <c r="N82" s="13">
        <f t="shared" si="31"/>
        <v>7.1734965609971031</v>
      </c>
      <c r="O82" s="13">
        <f t="shared" si="31"/>
        <v>7.3201285035199968</v>
      </c>
      <c r="P82" s="13">
        <f t="shared" si="31"/>
        <v>7.4699683124410887</v>
      </c>
      <c r="Q82" s="13">
        <f t="shared" si="31"/>
        <v>7.6230911541902504</v>
      </c>
      <c r="R82" s="13">
        <f t="shared" si="31"/>
        <v>7.7795741388900286</v>
      </c>
      <c r="S82" s="13">
        <f t="shared" si="31"/>
        <v>7.9394963768440636</v>
      </c>
      <c r="T82" s="13">
        <f t="shared" si="31"/>
        <v>8.1029390368598513</v>
      </c>
      <c r="U82" s="13">
        <f t="shared" si="31"/>
        <v>8.269985406470731</v>
      </c>
      <c r="V82" s="13">
        <f t="shared" si="31"/>
        <v>8.4407209541243926</v>
      </c>
      <c r="W82" s="13">
        <f t="shared" si="31"/>
        <v>8.6152333934077276</v>
      </c>
      <c r="X82" s="13">
        <f t="shared" si="31"/>
        <v>8.7936127493803724</v>
      </c>
      <c r="Y82" s="13">
        <f t="shared" si="31"/>
        <v>8.9759514270922818</v>
      </c>
      <c r="Z82" s="13">
        <f t="shared" si="31"/>
        <v>9.1623442823630139</v>
      </c>
      <c r="AA82" s="13">
        <f t="shared" si="31"/>
        <v>9.3528886949039443</v>
      </c>
      <c r="AB82" s="13">
        <f t="shared" si="31"/>
        <v>9.547684643867056</v>
      </c>
      <c r="AC82" s="13"/>
    </row>
    <row r="83" spans="1:29" hidden="1">
      <c r="A83" t="s">
        <v>311</v>
      </c>
      <c r="C83" s="13"/>
      <c r="D83" s="13"/>
      <c r="E83" s="13"/>
      <c r="F83" s="13">
        <f t="shared" ref="F83:AB83" si="32">F53/F$34*10</f>
        <v>0.16612984471849865</v>
      </c>
      <c r="G83" s="13">
        <f t="shared" si="32"/>
        <v>0.1694524416128686</v>
      </c>
      <c r="H83" s="13">
        <f t="shared" si="32"/>
        <v>0.17284149044512601</v>
      </c>
      <c r="I83" s="13">
        <f t="shared" si="32"/>
        <v>0.17629832025402853</v>
      </c>
      <c r="J83" s="13">
        <f t="shared" si="32"/>
        <v>0.17982428665910907</v>
      </c>
      <c r="K83" s="13">
        <f t="shared" si="32"/>
        <v>0.18342077239229126</v>
      </c>
      <c r="L83" s="13">
        <f t="shared" si="32"/>
        <v>0.18708918784013712</v>
      </c>
      <c r="M83" s="13">
        <f t="shared" si="32"/>
        <v>0.1908309715969399</v>
      </c>
      <c r="N83" s="13">
        <f t="shared" si="32"/>
        <v>0.19464759102887866</v>
      </c>
      <c r="O83" s="13">
        <f t="shared" si="32"/>
        <v>0.19854054284945627</v>
      </c>
      <c r="P83" s="13">
        <f t="shared" si="32"/>
        <v>0.20251135370644535</v>
      </c>
      <c r="Q83" s="13">
        <f t="shared" si="32"/>
        <v>0.20656158078057429</v>
      </c>
      <c r="R83" s="13">
        <f t="shared" si="32"/>
        <v>0.21069281239618573</v>
      </c>
      <c r="S83" s="13">
        <f t="shared" si="32"/>
        <v>0.21490666864410946</v>
      </c>
      <c r="T83" s="13">
        <f t="shared" si="32"/>
        <v>0.21920480201699161</v>
      </c>
      <c r="U83" s="13">
        <f t="shared" si="32"/>
        <v>0.22358889805733143</v>
      </c>
      <c r="V83" s="13">
        <f t="shared" si="32"/>
        <v>0.2280606760184781</v>
      </c>
      <c r="W83" s="13">
        <f t="shared" si="32"/>
        <v>0.23262188953884769</v>
      </c>
      <c r="X83" s="13">
        <f t="shared" si="32"/>
        <v>0.23727432732962464</v>
      </c>
      <c r="Y83" s="13">
        <f t="shared" si="32"/>
        <v>0.24201981387621718</v>
      </c>
      <c r="Z83" s="13">
        <f t="shared" si="32"/>
        <v>0.24686021015374146</v>
      </c>
      <c r="AA83" s="13">
        <f t="shared" si="32"/>
        <v>0.2517974143568163</v>
      </c>
      <c r="AB83" s="13">
        <f t="shared" si="32"/>
        <v>0.25683336264395262</v>
      </c>
      <c r="AC83" s="13"/>
    </row>
    <row r="84" spans="1:29" hidden="1">
      <c r="A84" t="s">
        <v>312</v>
      </c>
      <c r="C84" s="13"/>
      <c r="D84" s="13"/>
      <c r="E84" s="13"/>
      <c r="F84" s="13">
        <f t="shared" ref="F84:AB84" si="33">F54/F$34*10</f>
        <v>0.41837397287478084</v>
      </c>
      <c r="G84" s="13">
        <f t="shared" si="33"/>
        <v>0.15167569440913581</v>
      </c>
      <c r="H84" s="13">
        <f t="shared" si="33"/>
        <v>0.15665398158453706</v>
      </c>
      <c r="I84" s="13">
        <f t="shared" si="33"/>
        <v>0.16135360103207316</v>
      </c>
      <c r="J84" s="13">
        <f t="shared" si="33"/>
        <v>0.16619420906303534</v>
      </c>
      <c r="K84" s="13">
        <f t="shared" si="33"/>
        <v>0.24184246795382933</v>
      </c>
      <c r="L84" s="13">
        <f t="shared" si="33"/>
        <v>0.24978020155954681</v>
      </c>
      <c r="M84" s="13">
        <f t="shared" si="33"/>
        <v>0.25727360760633322</v>
      </c>
      <c r="N84" s="13">
        <f t="shared" si="33"/>
        <v>0.25644369274308704</v>
      </c>
      <c r="O84" s="13">
        <f t="shared" si="33"/>
        <v>0.26341531772339771</v>
      </c>
      <c r="P84" s="13">
        <f t="shared" si="33"/>
        <v>0.26355920383016784</v>
      </c>
      <c r="Q84" s="13">
        <f t="shared" si="33"/>
        <v>0.27146597994507293</v>
      </c>
      <c r="R84" s="13">
        <f t="shared" si="33"/>
        <v>0.27113693027241226</v>
      </c>
      <c r="S84" s="13">
        <f t="shared" si="33"/>
        <v>0.27850800255714042</v>
      </c>
      <c r="T84" s="13">
        <f t="shared" si="33"/>
        <v>0.27918889963994326</v>
      </c>
      <c r="U84" s="13">
        <f t="shared" si="33"/>
        <v>0.28756456662914159</v>
      </c>
      <c r="V84" s="13">
        <f t="shared" si="33"/>
        <v>0.28772888923864398</v>
      </c>
      <c r="W84" s="13">
        <f t="shared" si="33"/>
        <v>0.29555102707450326</v>
      </c>
      <c r="X84" s="13">
        <f t="shared" si="33"/>
        <v>0.3052515785932774</v>
      </c>
      <c r="Y84" s="13">
        <f t="shared" si="33"/>
        <v>0.31440912595107567</v>
      </c>
      <c r="Z84" s="13">
        <f t="shared" si="33"/>
        <v>0.32384139972960801</v>
      </c>
      <c r="AA84" s="13">
        <f t="shared" si="33"/>
        <v>0.33264528477690192</v>
      </c>
      <c r="AB84" s="13">
        <f t="shared" si="33"/>
        <v>0.34356334097314101</v>
      </c>
      <c r="AC84" s="13"/>
    </row>
    <row r="85" spans="1:29" hidden="1">
      <c r="A85" t="s">
        <v>316</v>
      </c>
      <c r="C85" s="9">
        <f>WC!D12/(C$34+C$8)*10</f>
        <v>0</v>
      </c>
      <c r="D85" s="9">
        <f>WC!E12/(D$34+D$8)*10</f>
        <v>0</v>
      </c>
      <c r="E85" s="9">
        <f>WC!F12/(E$34+E$8)*10</f>
        <v>0.3352341338193261</v>
      </c>
      <c r="F85" s="9">
        <f>WC!G12/(F$34+F$8)*10</f>
        <v>0.13315691807345928</v>
      </c>
      <c r="G85" s="9">
        <f>WC!H12/(G$34+G$8)*10</f>
        <v>6.8474958659796373E-2</v>
      </c>
      <c r="H85" s="9">
        <f>WC!I12/(H$34+H$8)*10</f>
        <v>8.0305075703040213E-2</v>
      </c>
      <c r="I85" s="9">
        <f>WC!J12/(I$34+I$8)*10</f>
        <v>4.1688797511079873E-2</v>
      </c>
      <c r="J85" s="9">
        <f>WC!K12/(J$34+J$8)*10</f>
        <v>8.0801555731102093E-2</v>
      </c>
      <c r="K85" s="9">
        <f>WC!L12/(K$34+K$8)*10</f>
        <v>0.20426542262483993</v>
      </c>
      <c r="L85" s="9">
        <f>WC!M12/(L$34+L$8)*10</f>
        <v>0.21362190999610614</v>
      </c>
      <c r="M85" s="9">
        <f>WC!N12/(M$34+M$8)*10</f>
        <v>0.21360168476152022</v>
      </c>
      <c r="N85" s="9">
        <f>WC!O12/(N$34+N$8)*10</f>
        <v>0.21857082230784763</v>
      </c>
      <c r="O85" s="9">
        <f>WC!P12/(O$34+O$8)*10</f>
        <v>0.21931175214181498</v>
      </c>
      <c r="P85" s="9">
        <f>WC!Q12/(P$34+P$8)*10</f>
        <v>0.22316699806814108</v>
      </c>
      <c r="Q85" s="9">
        <f>WC!R12/(Q$34+Q$8)*10</f>
        <v>0.23007096843809308</v>
      </c>
      <c r="R85" s="9">
        <f>WC!S12/(R$34+R$8)*10</f>
        <v>0.22906405222688958</v>
      </c>
      <c r="S85" s="9">
        <f>WC!T12/(S$34+S$8)*10</f>
        <v>0.22979266417640129</v>
      </c>
      <c r="T85" s="9">
        <f>WC!U12/(T$34+T$8)*10</f>
        <v>0.23525290464412932</v>
      </c>
      <c r="U85" s="9">
        <f>WC!V12/(U$34+U$8)*10</f>
        <v>0.24109895719059307</v>
      </c>
      <c r="V85" s="9">
        <f>WC!W12/(V$34+V$8)*10</f>
        <v>0.24010380829342207</v>
      </c>
      <c r="W85" s="9">
        <f>WC!X12/(W$34+W$8)*10</f>
        <v>0.24742611116915406</v>
      </c>
      <c r="X85" s="9">
        <f>WC!Y12/(X$34+X$8)*10</f>
        <v>0.24654079456033329</v>
      </c>
      <c r="Y85" s="9">
        <f>WC!Z12/(Y$34+Y$8)*10</f>
        <v>0.24630308784751281</v>
      </c>
      <c r="Z85" s="9">
        <f>WC!AA12/(Z$34+Z$8)*10</f>
        <v>0.2589427337408306</v>
      </c>
      <c r="AA85" s="9">
        <f>WC!AB12/(AA$34+AA$8)*10</f>
        <v>0.26654701112465018</v>
      </c>
      <c r="AB85" s="9">
        <f>WC!AC12/(AB$34+AB$8)*10</f>
        <v>0.31099616727426105</v>
      </c>
      <c r="AC85" s="9"/>
    </row>
    <row r="86" spans="1:29" hidden="1">
      <c r="A86" t="s">
        <v>317</v>
      </c>
      <c r="F86" s="9">
        <f>(Financials!I20+Financials!I23)/(Gen!F$34+Gen!F$8)*10</f>
        <v>0</v>
      </c>
      <c r="G86" s="9">
        <f>(Financials!J20+Financials!J23)/(Gen!G$34+Gen!G$8)*10</f>
        <v>0</v>
      </c>
      <c r="H86" s="9">
        <f>(Financials!K20+Financials!K23)/(Gen!H$34+Gen!H$8)*10</f>
        <v>0</v>
      </c>
      <c r="I86" s="9">
        <f>(Financials!L20+Financials!L23)/(Gen!I$34+Gen!I$8)*10</f>
        <v>0</v>
      </c>
      <c r="J86" s="9">
        <f>(Financials!M20+Financials!M23)/(Gen!J$34+Gen!J$8)*10</f>
        <v>0</v>
      </c>
      <c r="K86" s="9">
        <f>(Financials!N20+Financials!N23)/(Gen!K$34+Gen!K$8)*10</f>
        <v>0</v>
      </c>
      <c r="L86" s="9">
        <f>(Financials!O20+Financials!O23)/(Gen!L$34+Gen!L$8)*10</f>
        <v>0</v>
      </c>
      <c r="M86" s="9">
        <f>(Financials!P20+Financials!P23)/(Gen!M$34+Gen!M$8)*10</f>
        <v>0</v>
      </c>
      <c r="N86" s="9">
        <f>(Financials!Q20+Financials!Q23)/(Gen!N$34+Gen!N$8)*10</f>
        <v>0</v>
      </c>
      <c r="O86" s="9">
        <f>(Financials!R20+Financials!R23)/(Gen!O$34+Gen!O$8)*10</f>
        <v>0</v>
      </c>
      <c r="P86" s="9">
        <f>(Financials!S20+Financials!S23)/(Gen!P$34+Gen!P$8)*10</f>
        <v>0</v>
      </c>
      <c r="Q86" s="9">
        <f>(Financials!T20+Financials!T23)/(Gen!Q$34+Gen!Q$8)*10</f>
        <v>0</v>
      </c>
      <c r="R86" s="9">
        <f>(Financials!U20+Financials!U23)/(Gen!R$34+Gen!R$8)*10</f>
        <v>0</v>
      </c>
      <c r="S86" s="9">
        <f>(Financials!V20+Financials!V23)/(Gen!S$34+Gen!S$8)*10</f>
        <v>0</v>
      </c>
      <c r="T86" s="9">
        <f>(Financials!W20+Financials!W23)/(Gen!T$34+Gen!T$8)*10</f>
        <v>0</v>
      </c>
      <c r="U86" s="9">
        <f>(Financials!X20+Financials!X23)/(Gen!U$34+Gen!U$8)*10</f>
        <v>0</v>
      </c>
      <c r="V86" s="9">
        <f>(Financials!Y20+Financials!Y23)/(Gen!V$34+Gen!V$8)*10</f>
        <v>0</v>
      </c>
      <c r="W86" s="9">
        <f>(Financials!Z20+Financials!Z23)/(Gen!W$34+Gen!W$8)*10</f>
        <v>0</v>
      </c>
      <c r="X86" s="9">
        <f>(Financials!AA20+Financials!AA23)/(Gen!X$34+Gen!X$8)*10</f>
        <v>0</v>
      </c>
      <c r="Y86" s="9">
        <f>(Financials!AB20+Financials!AB23)/(Gen!Y$34+Gen!Y$8)*10</f>
        <v>0</v>
      </c>
      <c r="Z86" s="9">
        <f>(Financials!AC20+Financials!AC23)/(Gen!Z$34+Gen!Z$8)*10</f>
        <v>0</v>
      </c>
      <c r="AA86" s="9">
        <f>(Financials!AD20+Financials!AD23)/(Gen!AA$34+Gen!AA$8)*10</f>
        <v>0</v>
      </c>
      <c r="AB86" s="9">
        <f>(Financials!AE20+Financials!AE23)/(Gen!AB$34+Gen!AB$8)*10</f>
        <v>0</v>
      </c>
      <c r="AC86" s="9"/>
    </row>
    <row r="87" spans="1:29" hidden="1">
      <c r="A87" t="s">
        <v>314</v>
      </c>
      <c r="F87" s="9">
        <f t="shared" ref="F87:AB87" si="34">F73</f>
        <v>0</v>
      </c>
      <c r="G87" s="9" t="e">
        <f t="shared" ca="1" si="34"/>
        <v>#DIV/0!</v>
      </c>
      <c r="H87" s="9" t="e">
        <f t="shared" ca="1" si="34"/>
        <v>#DIV/0!</v>
      </c>
      <c r="I87" s="9" t="e">
        <f t="shared" ca="1" si="34"/>
        <v>#DIV/0!</v>
      </c>
      <c r="J87" s="9" t="e">
        <f t="shared" ca="1" si="34"/>
        <v>#DIV/0!</v>
      </c>
      <c r="K87" s="9" t="e">
        <f t="shared" ca="1" si="34"/>
        <v>#DIV/0!</v>
      </c>
      <c r="L87" s="9" t="e">
        <f t="shared" ca="1" si="34"/>
        <v>#DIV/0!</v>
      </c>
      <c r="M87" s="9" t="e">
        <f t="shared" ca="1" si="34"/>
        <v>#DIV/0!</v>
      </c>
      <c r="N87" s="9" t="e">
        <f t="shared" ca="1" si="34"/>
        <v>#DIV/0!</v>
      </c>
      <c r="O87" s="9" t="e">
        <f t="shared" ca="1" si="34"/>
        <v>#DIV/0!</v>
      </c>
      <c r="P87" s="9" t="e">
        <f t="shared" ca="1" si="34"/>
        <v>#DIV/0!</v>
      </c>
      <c r="Q87" s="9" t="e">
        <f t="shared" ca="1" si="34"/>
        <v>#DIV/0!</v>
      </c>
      <c r="R87" s="9" t="e">
        <f t="shared" ca="1" si="34"/>
        <v>#DIV/0!</v>
      </c>
      <c r="S87" s="9" t="e">
        <f t="shared" ca="1" si="34"/>
        <v>#DIV/0!</v>
      </c>
      <c r="T87" s="9" t="e">
        <f t="shared" ca="1" si="34"/>
        <v>#DIV/0!</v>
      </c>
      <c r="U87" s="9" t="e">
        <f t="shared" ca="1" si="34"/>
        <v>#DIV/0!</v>
      </c>
      <c r="V87" s="9" t="e">
        <f t="shared" ca="1" si="34"/>
        <v>#DIV/0!</v>
      </c>
      <c r="W87" s="9" t="e">
        <f t="shared" ca="1" si="34"/>
        <v>#DIV/0!</v>
      </c>
      <c r="X87" s="9" t="e">
        <f t="shared" ca="1" si="34"/>
        <v>#DIV/0!</v>
      </c>
      <c r="Y87" s="9" t="e">
        <f t="shared" ca="1" si="34"/>
        <v>#DIV/0!</v>
      </c>
      <c r="Z87" s="9" t="e">
        <f t="shared" ca="1" si="34"/>
        <v>#DIV/0!</v>
      </c>
      <c r="AA87" s="9" t="e">
        <f t="shared" ca="1" si="34"/>
        <v>#DIV/0!</v>
      </c>
      <c r="AB87" s="9">
        <f t="shared" si="34"/>
        <v>0</v>
      </c>
      <c r="AC87" s="9"/>
    </row>
    <row r="88" spans="1:29" hidden="1">
      <c r="A88" s="1" t="s">
        <v>318</v>
      </c>
      <c r="B88" s="1"/>
      <c r="C88" s="1"/>
      <c r="D88" s="1"/>
      <c r="E88" s="1"/>
      <c r="F88" s="35" t="e">
        <f t="shared" ref="F88:AB88" si="35">F77-SUM(F82:F87)</f>
        <v>#REF!</v>
      </c>
      <c r="G88" s="35" t="e">
        <f t="shared" ca="1" si="35"/>
        <v>#REF!</v>
      </c>
      <c r="H88" s="35" t="e">
        <f t="shared" ca="1" si="35"/>
        <v>#REF!</v>
      </c>
      <c r="I88" s="35" t="e">
        <f t="shared" ca="1" si="35"/>
        <v>#REF!</v>
      </c>
      <c r="J88" s="35" t="e">
        <f t="shared" ca="1" si="35"/>
        <v>#REF!</v>
      </c>
      <c r="K88" s="35" t="e">
        <f t="shared" ca="1" si="35"/>
        <v>#DIV/0!</v>
      </c>
      <c r="L88" s="35" t="e">
        <f t="shared" ca="1" si="35"/>
        <v>#DIV/0!</v>
      </c>
      <c r="M88" s="35" t="e">
        <f t="shared" ca="1" si="35"/>
        <v>#DIV/0!</v>
      </c>
      <c r="N88" s="35" t="e">
        <f t="shared" ca="1" si="35"/>
        <v>#DIV/0!</v>
      </c>
      <c r="O88" s="35" t="e">
        <f t="shared" ca="1" si="35"/>
        <v>#DIV/0!</v>
      </c>
      <c r="P88" s="35" t="e">
        <f t="shared" ca="1" si="35"/>
        <v>#DIV/0!</v>
      </c>
      <c r="Q88" s="35" t="e">
        <f t="shared" ca="1" si="35"/>
        <v>#DIV/0!</v>
      </c>
      <c r="R88" s="35" t="e">
        <f t="shared" ca="1" si="35"/>
        <v>#DIV/0!</v>
      </c>
      <c r="S88" s="35" t="e">
        <f t="shared" ca="1" si="35"/>
        <v>#DIV/0!</v>
      </c>
      <c r="T88" s="35" t="e">
        <f t="shared" ca="1" si="35"/>
        <v>#DIV/0!</v>
      </c>
      <c r="U88" s="35" t="e">
        <f t="shared" ca="1" si="35"/>
        <v>#DIV/0!</v>
      </c>
      <c r="V88" s="35" t="e">
        <f t="shared" ca="1" si="35"/>
        <v>#DIV/0!</v>
      </c>
      <c r="W88" s="35" t="e">
        <f t="shared" ca="1" si="35"/>
        <v>#DIV/0!</v>
      </c>
      <c r="X88" s="35" t="e">
        <f t="shared" ca="1" si="35"/>
        <v>#DIV/0!</v>
      </c>
      <c r="Y88" s="35" t="e">
        <f t="shared" ca="1" si="35"/>
        <v>#DIV/0!</v>
      </c>
      <c r="Z88" s="35" t="e">
        <f t="shared" ca="1" si="35"/>
        <v>#DIV/0!</v>
      </c>
      <c r="AA88" s="35" t="e">
        <f t="shared" ca="1" si="35"/>
        <v>#DIV/0!</v>
      </c>
      <c r="AB88" s="35">
        <f t="shared" si="35"/>
        <v>-2.7579945666334105</v>
      </c>
      <c r="AC88" s="35"/>
    </row>
    <row r="89" spans="1:29" hidden="1"/>
    <row r="90" spans="1:29" hidden="1">
      <c r="A90" s="1" t="s">
        <v>319</v>
      </c>
      <c r="F90" s="35" t="e">
        <f t="shared" ref="F90:AB90" si="36">F74+F88</f>
        <v>#REF!</v>
      </c>
      <c r="G90" s="35" t="e">
        <f t="shared" ca="1" si="36"/>
        <v>#REF!</v>
      </c>
      <c r="H90" s="35" t="e">
        <f t="shared" ca="1" si="36"/>
        <v>#REF!</v>
      </c>
      <c r="I90" s="35" t="e">
        <f t="shared" ca="1" si="36"/>
        <v>#REF!</v>
      </c>
      <c r="J90" s="35" t="e">
        <f t="shared" ca="1" si="36"/>
        <v>#REF!</v>
      </c>
      <c r="K90" s="35" t="e">
        <f t="shared" ca="1" si="36"/>
        <v>#DIV/0!</v>
      </c>
      <c r="L90" s="35" t="e">
        <f t="shared" ca="1" si="36"/>
        <v>#DIV/0!</v>
      </c>
      <c r="M90" s="35" t="e">
        <f t="shared" ca="1" si="36"/>
        <v>#DIV/0!</v>
      </c>
      <c r="N90" s="35" t="e">
        <f t="shared" ca="1" si="36"/>
        <v>#DIV/0!</v>
      </c>
      <c r="O90" s="35" t="e">
        <f t="shared" ca="1" si="36"/>
        <v>#DIV/0!</v>
      </c>
      <c r="P90" s="35" t="e">
        <f t="shared" ca="1" si="36"/>
        <v>#DIV/0!</v>
      </c>
      <c r="Q90" s="35" t="e">
        <f t="shared" ca="1" si="36"/>
        <v>#DIV/0!</v>
      </c>
      <c r="R90" s="35" t="e">
        <f t="shared" ca="1" si="36"/>
        <v>#DIV/0!</v>
      </c>
      <c r="S90" s="35" t="e">
        <f t="shared" ca="1" si="36"/>
        <v>#DIV/0!</v>
      </c>
      <c r="T90" s="35" t="e">
        <f t="shared" ca="1" si="36"/>
        <v>#DIV/0!</v>
      </c>
      <c r="U90" s="35" t="e">
        <f t="shared" ca="1" si="36"/>
        <v>#DIV/0!</v>
      </c>
      <c r="V90" s="35" t="e">
        <f t="shared" ca="1" si="36"/>
        <v>#DIV/0!</v>
      </c>
      <c r="W90" s="35" t="e">
        <f t="shared" ca="1" si="36"/>
        <v>#DIV/0!</v>
      </c>
      <c r="X90" s="35" t="e">
        <f t="shared" ca="1" si="36"/>
        <v>#DIV/0!</v>
      </c>
      <c r="Y90" s="35" t="e">
        <f t="shared" ca="1" si="36"/>
        <v>#DIV/0!</v>
      </c>
      <c r="Z90" s="35" t="e">
        <f t="shared" ca="1" si="36"/>
        <v>#DIV/0!</v>
      </c>
      <c r="AA90" s="35" t="e">
        <f t="shared" ca="1" si="36"/>
        <v>#DIV/0!</v>
      </c>
      <c r="AB90" s="35">
        <f t="shared" si="36"/>
        <v>-2.7579945666334105</v>
      </c>
      <c r="AC90" s="35"/>
    </row>
    <row r="91" spans="1:29" hidden="1"/>
    <row r="92" spans="1:29" hidden="1"/>
    <row r="98" spans="26:26">
      <c r="Z98" s="772"/>
    </row>
  </sheetData>
  <pageMargins left="0.69930555555555596" right="0.69930555555555596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190"/>
  <sheetViews>
    <sheetView zoomScale="85" zoomScaleNormal="85" workbookViewId="0">
      <pane xSplit="1" ySplit="1" topLeftCell="B2" activePane="bottomRight" state="frozen"/>
      <selection pane="topRight"/>
      <selection pane="bottomLeft"/>
      <selection pane="bottomRight" activeCell="B15" sqref="B15"/>
    </sheetView>
  </sheetViews>
  <sheetFormatPr defaultColWidth="9" defaultRowHeight="14.4"/>
  <cols>
    <col min="1" max="1" width="39" customWidth="1"/>
    <col min="2" max="2" width="23.6640625" customWidth="1"/>
    <col min="3" max="3" width="10.6640625" customWidth="1"/>
    <col min="4" max="4" width="12.5546875" customWidth="1"/>
    <col min="5" max="5" width="10.5546875" customWidth="1"/>
    <col min="6" max="6" width="10.109375" customWidth="1"/>
    <col min="7" max="7" width="10.5546875" customWidth="1"/>
    <col min="8" max="8" width="10.6640625" customWidth="1"/>
    <col min="9" max="9" width="10.5546875" customWidth="1"/>
    <col min="10" max="16" width="10.6640625" customWidth="1"/>
    <col min="17" max="17" width="11.33203125" customWidth="1"/>
    <col min="18" max="18" width="13.33203125" customWidth="1"/>
    <col min="19" max="19" width="13.5546875" customWidth="1"/>
    <col min="20" max="20" width="12.6640625" customWidth="1"/>
    <col min="21" max="21" width="13.44140625" customWidth="1"/>
    <col min="22" max="23" width="12.44140625" customWidth="1"/>
    <col min="24" max="24" width="12.33203125" customWidth="1"/>
    <col min="25" max="25" width="11.6640625" customWidth="1"/>
    <col min="26" max="26" width="13.109375" customWidth="1"/>
    <col min="27" max="27" width="13.44140625" customWidth="1"/>
    <col min="28" max="28" width="14.109375" customWidth="1"/>
    <col min="29" max="29" width="14.33203125" customWidth="1"/>
    <col min="30" max="30" width="12.6640625" customWidth="1"/>
    <col min="31" max="31" width="13.33203125" customWidth="1"/>
  </cols>
  <sheetData>
    <row r="1" spans="1:39">
      <c r="B1" t="s">
        <v>1122</v>
      </c>
      <c r="C1" s="7">
        <f>DATE(2015,3,31)</f>
        <v>42094</v>
      </c>
      <c r="D1" s="7">
        <f>EOMONTH(C1,12)</f>
        <v>42460</v>
      </c>
      <c r="E1" s="7">
        <f>EOMONTH(D1,12)</f>
        <v>42825</v>
      </c>
      <c r="F1" s="7">
        <f>EOMONTH(E1,6)</f>
        <v>43008</v>
      </c>
      <c r="G1" s="7">
        <f>EOMONTH(E1,12)</f>
        <v>43190</v>
      </c>
      <c r="H1" s="7">
        <f>G1</f>
        <v>43190</v>
      </c>
      <c r="I1" s="7">
        <f>EOMONTH(G1,12)</f>
        <v>43555</v>
      </c>
      <c r="J1" s="7">
        <f t="shared" ref="J1:AE1" si="0">EOMONTH(I1,12)</f>
        <v>43921</v>
      </c>
      <c r="K1" s="7">
        <f t="shared" si="0"/>
        <v>44286</v>
      </c>
      <c r="L1" s="7">
        <f t="shared" si="0"/>
        <v>44651</v>
      </c>
      <c r="M1" s="7">
        <f t="shared" si="0"/>
        <v>45016</v>
      </c>
      <c r="N1" s="7">
        <f t="shared" si="0"/>
        <v>45382</v>
      </c>
      <c r="O1" s="7">
        <f t="shared" si="0"/>
        <v>45747</v>
      </c>
      <c r="P1" s="7">
        <f t="shared" si="0"/>
        <v>46112</v>
      </c>
      <c r="Q1" s="7">
        <f t="shared" si="0"/>
        <v>46477</v>
      </c>
      <c r="R1" s="7">
        <f t="shared" si="0"/>
        <v>46843</v>
      </c>
      <c r="S1" s="7">
        <f t="shared" si="0"/>
        <v>47208</v>
      </c>
      <c r="T1" s="7">
        <f t="shared" si="0"/>
        <v>47573</v>
      </c>
      <c r="U1" s="7">
        <f t="shared" si="0"/>
        <v>47938</v>
      </c>
      <c r="V1" s="7">
        <f t="shared" si="0"/>
        <v>48304</v>
      </c>
      <c r="W1" s="7">
        <f t="shared" si="0"/>
        <v>48669</v>
      </c>
      <c r="X1" s="7">
        <f t="shared" si="0"/>
        <v>49034</v>
      </c>
      <c r="Y1" s="7">
        <f t="shared" si="0"/>
        <v>49399</v>
      </c>
      <c r="Z1" s="7">
        <f t="shared" si="0"/>
        <v>49765</v>
      </c>
      <c r="AA1" s="7">
        <f t="shared" si="0"/>
        <v>50130</v>
      </c>
      <c r="AB1" s="7">
        <f t="shared" si="0"/>
        <v>50495</v>
      </c>
      <c r="AC1" s="7">
        <f t="shared" si="0"/>
        <v>50860</v>
      </c>
      <c r="AD1" s="7">
        <f t="shared" si="0"/>
        <v>51226</v>
      </c>
      <c r="AE1" s="7">
        <f t="shared" si="0"/>
        <v>51591</v>
      </c>
    </row>
    <row r="2" spans="1:39">
      <c r="A2" s="8" t="s">
        <v>1123</v>
      </c>
      <c r="B2" s="8"/>
      <c r="E2" s="9"/>
      <c r="I2" s="9"/>
      <c r="J2" s="9"/>
      <c r="N2" s="12">
        <f>(2225.44/7)*12</f>
        <v>3815.04</v>
      </c>
    </row>
    <row r="3" spans="1:39" ht="18" customHeight="1">
      <c r="A3" s="10" t="s">
        <v>1124</v>
      </c>
      <c r="B3" s="1"/>
      <c r="C3" s="11">
        <f>4533140732/Cr</f>
        <v>453.3140732</v>
      </c>
      <c r="D3" s="11">
        <v>1576.24</v>
      </c>
      <c r="E3" s="12">
        <v>1833.56</v>
      </c>
      <c r="F3" s="13" t="e">
        <f>Gen!C57</f>
        <v>#REF!</v>
      </c>
      <c r="G3" s="13" t="e">
        <f>Gen!D57</f>
        <v>#REF!</v>
      </c>
      <c r="H3" s="12">
        <v>1815.88</v>
      </c>
      <c r="I3" s="12">
        <v>1523.48</v>
      </c>
      <c r="J3" s="12">
        <v>1550.95</v>
      </c>
      <c r="K3" s="12">
        <v>1897.29</v>
      </c>
      <c r="L3" s="12">
        <v>913.89</v>
      </c>
      <c r="M3" s="12">
        <v>1886.48</v>
      </c>
      <c r="N3" s="13">
        <f>Gen!K10+Gen!K36</f>
        <v>3155.4006019199996</v>
      </c>
      <c r="O3" s="13">
        <f>Gen!L10+Gen!L36</f>
        <v>3146.7792887999999</v>
      </c>
      <c r="P3" s="13">
        <f>Gen!M10+Gen!M36</f>
        <v>3146.7792887999999</v>
      </c>
      <c r="Q3" s="13">
        <f>Gen!N10+Gen!N36</f>
        <v>3379.9469883479996</v>
      </c>
      <c r="R3" s="13">
        <f>Gen!O10+Gen!O36</f>
        <v>3389.2071170831996</v>
      </c>
      <c r="S3" s="13">
        <f>Gen!P10+Gen!P36</f>
        <v>3601.2439330560001</v>
      </c>
      <c r="T3" s="13">
        <f>Gen!Q10+Gen!Q36</f>
        <v>3700.6124436288001</v>
      </c>
      <c r="U3" s="13">
        <f>Gen!R10+Gen!R36</f>
        <v>3852.2805494922</v>
      </c>
      <c r="V3" s="13">
        <f>Gen!S10+Gen!S36</f>
        <v>3862.8347427784802</v>
      </c>
      <c r="W3" s="13">
        <f>Gen!T10+Gen!T36</f>
        <v>4114.8066499633806</v>
      </c>
      <c r="X3" s="13">
        <f>Gen!U10+Gen!U36</f>
        <v>4204.1460881233816</v>
      </c>
      <c r="Y3" s="13">
        <f>Gen!V10+Gen!V36</f>
        <v>4363.3975992799506</v>
      </c>
      <c r="Z3" s="13">
        <f>Gen!W10+Gen!W36</f>
        <v>4495.5048494691091</v>
      </c>
      <c r="AA3" s="13">
        <f>Gen!X10+Gen!X36</f>
        <v>4574.0024461739486</v>
      </c>
      <c r="AB3" s="13">
        <f>Gen!Y10+Gen!Y36</f>
        <v>4634.5227107339488</v>
      </c>
      <c r="AC3" s="13">
        <f>Gen!Z10+Gen!Z36</f>
        <v>4866.248846270646</v>
      </c>
      <c r="AD3" s="13">
        <f>Gen!AA10+Gen!AA36</f>
        <v>4270.2331656905644</v>
      </c>
      <c r="AE3" s="13">
        <f>Gen!AB10+Gen!AB36</f>
        <v>2077.5097493129183</v>
      </c>
      <c r="AF3" s="18"/>
      <c r="AG3" s="18"/>
      <c r="AH3" s="18"/>
      <c r="AI3" s="18"/>
      <c r="AJ3" s="18"/>
      <c r="AK3" s="18"/>
      <c r="AL3" s="18"/>
      <c r="AM3" s="18"/>
    </row>
    <row r="4" spans="1:39">
      <c r="A4" s="10"/>
      <c r="B4" s="1"/>
      <c r="C4" s="11"/>
      <c r="D4" s="11"/>
      <c r="E4" s="12"/>
      <c r="F4" s="13"/>
      <c r="G4" s="13"/>
      <c r="H4" s="12"/>
      <c r="I4" s="12">
        <f>I3+I5</f>
        <v>1578.53</v>
      </c>
      <c r="J4" s="12">
        <f t="shared" ref="J4:M4" si="1">J3+J5</f>
        <v>1573.96</v>
      </c>
      <c r="K4" s="12">
        <f t="shared" si="1"/>
        <v>1938.94</v>
      </c>
      <c r="L4" s="12">
        <f t="shared" si="1"/>
        <v>954.61</v>
      </c>
      <c r="M4" s="12">
        <f t="shared" si="1"/>
        <v>1904.83</v>
      </c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8"/>
      <c r="AG4" s="18"/>
      <c r="AH4" s="18"/>
      <c r="AI4" s="18"/>
      <c r="AJ4" s="18"/>
      <c r="AK4" s="18"/>
      <c r="AL4" s="18"/>
      <c r="AM4" s="18"/>
    </row>
    <row r="5" spans="1:39" ht="43.2">
      <c r="A5" s="1" t="s">
        <v>1125</v>
      </c>
      <c r="B5" s="707" t="s">
        <v>1427</v>
      </c>
      <c r="C5" s="12">
        <f>503275/Cr</f>
        <v>5.0327499999999997E-2</v>
      </c>
      <c r="D5" s="12">
        <v>40.380000000000003</v>
      </c>
      <c r="E5" s="12">
        <v>4.72</v>
      </c>
      <c r="F5" s="15"/>
      <c r="G5" s="15"/>
      <c r="H5" s="12">
        <v>99.84</v>
      </c>
      <c r="I5" s="12">
        <v>55.05</v>
      </c>
      <c r="J5" s="12">
        <v>23.01</v>
      </c>
      <c r="K5" s="12">
        <v>41.65</v>
      </c>
      <c r="L5" s="12">
        <v>40.72</v>
      </c>
      <c r="M5" s="12">
        <v>18.350000000000001</v>
      </c>
      <c r="N5" s="44">
        <v>0</v>
      </c>
      <c r="O5" s="44">
        <f>N5</f>
        <v>0</v>
      </c>
      <c r="P5" s="44">
        <f t="shared" ref="P5:AE5" si="2">O5</f>
        <v>0</v>
      </c>
      <c r="Q5" s="44">
        <f t="shared" si="2"/>
        <v>0</v>
      </c>
      <c r="R5" s="44">
        <f t="shared" si="2"/>
        <v>0</v>
      </c>
      <c r="S5" s="44">
        <f t="shared" si="2"/>
        <v>0</v>
      </c>
      <c r="T5" s="44">
        <f t="shared" si="2"/>
        <v>0</v>
      </c>
      <c r="U5" s="44">
        <f t="shared" si="2"/>
        <v>0</v>
      </c>
      <c r="V5" s="44">
        <f t="shared" si="2"/>
        <v>0</v>
      </c>
      <c r="W5" s="44">
        <f t="shared" si="2"/>
        <v>0</v>
      </c>
      <c r="X5" s="44">
        <f t="shared" si="2"/>
        <v>0</v>
      </c>
      <c r="Y5" s="44">
        <f t="shared" si="2"/>
        <v>0</v>
      </c>
      <c r="Z5" s="44">
        <f t="shared" si="2"/>
        <v>0</v>
      </c>
      <c r="AA5" s="44">
        <f t="shared" si="2"/>
        <v>0</v>
      </c>
      <c r="AB5" s="44">
        <f t="shared" si="2"/>
        <v>0</v>
      </c>
      <c r="AC5" s="44">
        <f t="shared" si="2"/>
        <v>0</v>
      </c>
      <c r="AD5" s="44">
        <f t="shared" si="2"/>
        <v>0</v>
      </c>
      <c r="AE5" s="44">
        <f t="shared" si="2"/>
        <v>0</v>
      </c>
      <c r="AF5" s="18"/>
      <c r="AG5" s="18"/>
      <c r="AH5" s="18"/>
      <c r="AI5" s="18"/>
      <c r="AJ5" s="18"/>
      <c r="AK5" s="18"/>
      <c r="AL5" s="18"/>
      <c r="AM5" s="18"/>
    </row>
    <row r="6" spans="1:39">
      <c r="A6" s="1"/>
      <c r="B6" s="14"/>
      <c r="C6" s="12"/>
      <c r="D6" s="12"/>
      <c r="E6" s="12"/>
      <c r="F6" s="15"/>
      <c r="G6" s="15"/>
      <c r="H6" s="12"/>
      <c r="I6" s="12"/>
      <c r="J6" s="439">
        <f>J4/I4-1</f>
        <v>-2.8950986043977389E-3</v>
      </c>
      <c r="K6" s="439">
        <f t="shared" ref="K6:M6" si="3">K4/J4-1</f>
        <v>0.23188645200640434</v>
      </c>
      <c r="L6" s="439">
        <f t="shared" si="3"/>
        <v>-0.50766398135063495</v>
      </c>
      <c r="M6" s="439">
        <f t="shared" si="3"/>
        <v>0.99540126334314527</v>
      </c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8"/>
      <c r="AG6" s="18"/>
      <c r="AH6" s="18"/>
      <c r="AI6" s="18"/>
      <c r="AJ6" s="18"/>
      <c r="AK6" s="18"/>
      <c r="AL6" s="18"/>
      <c r="AM6" s="18"/>
    </row>
    <row r="7" spans="1:39">
      <c r="A7" t="s">
        <v>1127</v>
      </c>
      <c r="C7" s="16">
        <f>2295987489/Cr</f>
        <v>229.5987489</v>
      </c>
      <c r="D7" s="16">
        <f>6644447354/Cr</f>
        <v>664.44473540000001</v>
      </c>
      <c r="E7" s="12">
        <v>924.92</v>
      </c>
      <c r="F7" s="13">
        <f>Gen!C58</f>
        <v>940.76545725628489</v>
      </c>
      <c r="G7" s="13">
        <f>Gen!D58</f>
        <v>1013.593384275214</v>
      </c>
      <c r="H7" s="12">
        <v>1174.0999999999999</v>
      </c>
      <c r="I7" s="12">
        <v>1020.59</v>
      </c>
      <c r="J7" s="12">
        <v>1049.8800000000001</v>
      </c>
      <c r="K7" s="12">
        <v>707.68</v>
      </c>
      <c r="L7" s="12">
        <v>587.4</v>
      </c>
      <c r="M7" s="12">
        <v>1651.77</v>
      </c>
      <c r="N7" s="13">
        <f t="shared" ref="N7:AE7" si="4">$B$8*N3</f>
        <v>2524.320481536</v>
      </c>
      <c r="O7" s="13">
        <f t="shared" si="4"/>
        <v>2517.4234310400002</v>
      </c>
      <c r="P7" s="13">
        <f t="shared" si="4"/>
        <v>2517.4234310400002</v>
      </c>
      <c r="Q7" s="13">
        <f t="shared" si="4"/>
        <v>2703.9575906783998</v>
      </c>
      <c r="R7" s="13">
        <f t="shared" si="4"/>
        <v>2711.3656936665598</v>
      </c>
      <c r="S7" s="13">
        <f t="shared" si="4"/>
        <v>2880.9951464448004</v>
      </c>
      <c r="T7" s="13">
        <f t="shared" si="4"/>
        <v>2960.4899549030401</v>
      </c>
      <c r="U7" s="13">
        <f t="shared" si="4"/>
        <v>3081.82443959376</v>
      </c>
      <c r="V7" s="13">
        <f t="shared" si="4"/>
        <v>3090.2677942227842</v>
      </c>
      <c r="W7" s="13">
        <f t="shared" si="4"/>
        <v>3291.8453199707046</v>
      </c>
      <c r="X7" s="13">
        <f t="shared" si="4"/>
        <v>3363.3168704987056</v>
      </c>
      <c r="Y7" s="13">
        <f t="shared" si="4"/>
        <v>3490.7180794239607</v>
      </c>
      <c r="Z7" s="13">
        <f t="shared" si="4"/>
        <v>3596.4038795752876</v>
      </c>
      <c r="AA7" s="13">
        <f t="shared" si="4"/>
        <v>3659.2019569391591</v>
      </c>
      <c r="AB7" s="13">
        <f t="shared" si="4"/>
        <v>3707.6181685871593</v>
      </c>
      <c r="AC7" s="13">
        <f t="shared" si="4"/>
        <v>3892.9990770165168</v>
      </c>
      <c r="AD7" s="13">
        <f t="shared" si="4"/>
        <v>3416.1865325524518</v>
      </c>
      <c r="AE7" s="13">
        <f t="shared" si="4"/>
        <v>1662.0077994503347</v>
      </c>
      <c r="AF7" s="18"/>
      <c r="AG7" s="18"/>
      <c r="AH7" s="18"/>
      <c r="AI7" s="18"/>
      <c r="AJ7" s="18"/>
      <c r="AK7" s="18"/>
      <c r="AL7" s="18"/>
      <c r="AM7" s="18"/>
    </row>
    <row r="8" spans="1:39">
      <c r="B8" s="79">
        <v>0.8</v>
      </c>
      <c r="C8" s="16"/>
      <c r="D8" s="16"/>
      <c r="E8" s="12"/>
      <c r="F8" s="13"/>
      <c r="G8" s="13"/>
      <c r="H8" s="12"/>
      <c r="I8" s="439">
        <f>I7/$I3</f>
        <v>0.6699070549006223</v>
      </c>
      <c r="J8" s="439">
        <f t="shared" ref="J8:N8" si="5">J7/J3</f>
        <v>0.6769270447145298</v>
      </c>
      <c r="K8" s="439">
        <f t="shared" si="5"/>
        <v>0.37299516679052752</v>
      </c>
      <c r="L8" s="439">
        <f t="shared" si="5"/>
        <v>0.64274693890949675</v>
      </c>
      <c r="M8" s="439">
        <f t="shared" si="5"/>
        <v>0.87558309656079047</v>
      </c>
      <c r="N8" s="439">
        <f t="shared" si="5"/>
        <v>0.8</v>
      </c>
      <c r="AF8" s="18"/>
      <c r="AG8" s="18"/>
      <c r="AH8" s="18"/>
      <c r="AI8" s="18"/>
      <c r="AJ8" s="18"/>
      <c r="AK8" s="18"/>
      <c r="AL8" s="18"/>
      <c r="AM8" s="18"/>
    </row>
    <row r="9" spans="1:39">
      <c r="A9" t="s">
        <v>1472</v>
      </c>
      <c r="C9" s="16">
        <f>64514586/Cr</f>
        <v>6.4514585999999996</v>
      </c>
      <c r="D9" s="16">
        <f>156810661/Cr</f>
        <v>15.681066100000001</v>
      </c>
      <c r="E9" s="12">
        <v>15.35</v>
      </c>
      <c r="F9" s="13">
        <f>Gen!C59</f>
        <v>24.013814973119995</v>
      </c>
      <c r="G9" s="13">
        <f>Gen!D59</f>
        <v>25.872807935519997</v>
      </c>
      <c r="H9" s="12">
        <v>6.67</v>
      </c>
      <c r="I9" s="12">
        <v>10.1</v>
      </c>
      <c r="J9" s="12">
        <v>11.78</v>
      </c>
      <c r="K9" s="12">
        <v>8.73</v>
      </c>
      <c r="L9" s="12">
        <v>10.66</v>
      </c>
      <c r="M9" s="12">
        <v>15.11</v>
      </c>
      <c r="N9" s="13">
        <f>N3*$B$10</f>
        <v>45.75330872784</v>
      </c>
      <c r="O9" s="13">
        <f>O3*$B$10</f>
        <v>45.628299687599998</v>
      </c>
      <c r="P9" s="13">
        <f t="shared" ref="P9:AE9" si="6">P3*$B$10</f>
        <v>45.628299687599998</v>
      </c>
      <c r="Q9" s="13">
        <f t="shared" si="6"/>
        <v>49.009231331045996</v>
      </c>
      <c r="R9" s="13">
        <f t="shared" si="6"/>
        <v>49.143503197706394</v>
      </c>
      <c r="S9" s="13">
        <f t="shared" si="6"/>
        <v>52.218037029312001</v>
      </c>
      <c r="T9" s="13">
        <f t="shared" si="6"/>
        <v>53.6588804326176</v>
      </c>
      <c r="U9" s="13">
        <f t="shared" si="6"/>
        <v>55.858067967636899</v>
      </c>
      <c r="V9" s="13">
        <f t="shared" si="6"/>
        <v>56.011103770287967</v>
      </c>
      <c r="W9" s="13">
        <f t="shared" si="6"/>
        <v>59.664696424469021</v>
      </c>
      <c r="X9" s="13">
        <f t="shared" si="6"/>
        <v>60.960118277789036</v>
      </c>
      <c r="Y9" s="13">
        <f t="shared" si="6"/>
        <v>63.269265189559285</v>
      </c>
      <c r="Z9" s="13">
        <f t="shared" si="6"/>
        <v>65.184820317302083</v>
      </c>
      <c r="AA9" s="13">
        <f t="shared" si="6"/>
        <v>66.323035469522253</v>
      </c>
      <c r="AB9" s="13">
        <f t="shared" si="6"/>
        <v>67.200579305642265</v>
      </c>
      <c r="AC9" s="13">
        <f t="shared" si="6"/>
        <v>70.560608270924376</v>
      </c>
      <c r="AD9" s="13">
        <f t="shared" si="6"/>
        <v>61.918380902513185</v>
      </c>
      <c r="AE9" s="13">
        <f t="shared" si="6"/>
        <v>30.123891365037316</v>
      </c>
      <c r="AF9" s="18"/>
      <c r="AG9" s="18"/>
      <c r="AH9" s="18"/>
      <c r="AI9" s="18"/>
      <c r="AJ9" s="18"/>
      <c r="AK9" s="18"/>
      <c r="AL9" s="18"/>
      <c r="AM9" s="18"/>
    </row>
    <row r="10" spans="1:39">
      <c r="B10" s="79">
        <v>1.4500000000000001E-2</v>
      </c>
      <c r="C10" s="16"/>
      <c r="D10" s="16"/>
      <c r="E10" s="12"/>
      <c r="F10" s="13"/>
      <c r="G10" s="13"/>
      <c r="H10" s="12"/>
      <c r="I10" s="439">
        <f>I9/I3</f>
        <v>6.6295586420563445E-3</v>
      </c>
      <c r="J10" s="439">
        <f t="shared" ref="J10:N10" si="7">J9/J3</f>
        <v>7.5953447886779064E-3</v>
      </c>
      <c r="K10" s="439">
        <f t="shared" si="7"/>
        <v>4.6012997485887766E-3</v>
      </c>
      <c r="L10" s="439">
        <f t="shared" si="7"/>
        <v>1.1664423508299685E-2</v>
      </c>
      <c r="M10" s="439">
        <f t="shared" si="7"/>
        <v>8.0096263941308674E-3</v>
      </c>
      <c r="N10" s="439">
        <f t="shared" si="7"/>
        <v>1.4500000000000002E-2</v>
      </c>
      <c r="AF10" s="18"/>
      <c r="AG10" s="18"/>
      <c r="AH10" s="18"/>
      <c r="AI10" s="18"/>
      <c r="AJ10" s="18"/>
      <c r="AK10" s="18"/>
      <c r="AL10" s="18"/>
      <c r="AM10" s="18"/>
    </row>
    <row r="11" spans="1:39">
      <c r="B11" s="79"/>
      <c r="C11" s="16"/>
      <c r="D11" s="16"/>
      <c r="E11" s="12"/>
      <c r="F11" s="13"/>
      <c r="G11" s="13"/>
      <c r="H11" s="12"/>
      <c r="I11" s="439">
        <f>I10+I18+I26</f>
        <v>3.6639798356394568E-2</v>
      </c>
      <c r="J11" s="439">
        <f>J10+J18+J26</f>
        <v>4.7177536348689507E-2</v>
      </c>
      <c r="K11" s="439">
        <f>K10+K18+K26</f>
        <v>1.7656763067322341E-2</v>
      </c>
      <c r="L11" s="439">
        <f>L10+L18+L26</f>
        <v>4.7806628806530325E-2</v>
      </c>
      <c r="M11" s="439">
        <f>M10+M18+M26</f>
        <v>2.3329163309444043E-2</v>
      </c>
      <c r="N11" s="439"/>
      <c r="AF11" s="18"/>
      <c r="AG11" s="18"/>
      <c r="AH11" s="18"/>
      <c r="AI11" s="18"/>
      <c r="AJ11" s="18"/>
      <c r="AK11" s="18"/>
      <c r="AL11" s="18"/>
      <c r="AM11" s="18"/>
    </row>
    <row r="12" spans="1:39">
      <c r="A12" t="s">
        <v>1304</v>
      </c>
      <c r="C12" s="16"/>
      <c r="D12" s="16"/>
      <c r="E12" s="12"/>
      <c r="F12" s="13"/>
      <c r="G12" s="13"/>
      <c r="H12" s="12">
        <v>48.22</v>
      </c>
      <c r="I12" s="12">
        <v>79.13</v>
      </c>
      <c r="J12" s="12">
        <v>81.81</v>
      </c>
      <c r="K12" s="12">
        <v>165.35</v>
      </c>
      <c r="L12" s="12">
        <v>0</v>
      </c>
      <c r="M12" s="12">
        <v>0</v>
      </c>
      <c r="N12" s="13">
        <f>M12</f>
        <v>0</v>
      </c>
      <c r="O12" s="13">
        <f t="shared" ref="O12:AE12" si="8">N12</f>
        <v>0</v>
      </c>
      <c r="P12" s="13">
        <f t="shared" si="8"/>
        <v>0</v>
      </c>
      <c r="Q12" s="13">
        <f t="shared" si="8"/>
        <v>0</v>
      </c>
      <c r="R12" s="13">
        <f t="shared" si="8"/>
        <v>0</v>
      </c>
      <c r="S12" s="13">
        <f t="shared" si="8"/>
        <v>0</v>
      </c>
      <c r="T12" s="13">
        <f t="shared" si="8"/>
        <v>0</v>
      </c>
      <c r="U12" s="13">
        <f t="shared" si="8"/>
        <v>0</v>
      </c>
      <c r="V12" s="13">
        <f t="shared" si="8"/>
        <v>0</v>
      </c>
      <c r="W12" s="13">
        <f t="shared" si="8"/>
        <v>0</v>
      </c>
      <c r="X12" s="13">
        <f t="shared" si="8"/>
        <v>0</v>
      </c>
      <c r="Y12" s="13">
        <f t="shared" si="8"/>
        <v>0</v>
      </c>
      <c r="Z12" s="13">
        <f t="shared" si="8"/>
        <v>0</v>
      </c>
      <c r="AA12" s="13">
        <f t="shared" si="8"/>
        <v>0</v>
      </c>
      <c r="AB12" s="13">
        <f t="shared" si="8"/>
        <v>0</v>
      </c>
      <c r="AC12" s="13">
        <f t="shared" si="8"/>
        <v>0</v>
      </c>
      <c r="AD12" s="13">
        <f t="shared" si="8"/>
        <v>0</v>
      </c>
      <c r="AE12" s="13">
        <f t="shared" si="8"/>
        <v>0</v>
      </c>
      <c r="AF12" s="18"/>
      <c r="AG12" s="18"/>
      <c r="AH12" s="18"/>
      <c r="AI12" s="18"/>
      <c r="AJ12" s="18"/>
      <c r="AK12" s="18"/>
      <c r="AL12" s="18"/>
      <c r="AM12" s="18"/>
    </row>
    <row r="13" spans="1:39">
      <c r="C13" s="16"/>
      <c r="D13" s="16"/>
      <c r="E13" s="12"/>
      <c r="F13" s="13"/>
      <c r="G13" s="13"/>
      <c r="H13" s="12"/>
      <c r="I13" s="439">
        <f>I12/I$3</f>
        <v>5.1940294588704805E-2</v>
      </c>
      <c r="J13" s="439">
        <f>J12/J$3</f>
        <v>5.274831554853477E-2</v>
      </c>
      <c r="K13" s="439">
        <f>K12/K$3</f>
        <v>8.7150620094977566E-2</v>
      </c>
      <c r="L13" s="439">
        <f>L12/L$3</f>
        <v>0</v>
      </c>
      <c r="M13" s="439">
        <f>M12/M$3</f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8"/>
      <c r="AG13" s="18"/>
      <c r="AH13" s="18"/>
      <c r="AI13" s="18"/>
      <c r="AJ13" s="18"/>
      <c r="AK13" s="18"/>
      <c r="AL13" s="18"/>
      <c r="AM13" s="18"/>
    </row>
    <row r="14" spans="1:39">
      <c r="A14" t="s">
        <v>1476</v>
      </c>
      <c r="B14">
        <v>0.16950000000000001</v>
      </c>
      <c r="C14" s="16">
        <f>(198965493+45978124+122509210+20308827)/Cr</f>
        <v>38.776165399999996</v>
      </c>
      <c r="D14" s="16">
        <v>50.008000000000003</v>
      </c>
      <c r="E14" s="12">
        <v>67.63</v>
      </c>
      <c r="F14" s="13">
        <f>Gen!C60</f>
        <v>59.888178904109594</v>
      </c>
      <c r="G14" s="13">
        <f>Gen!D60</f>
        <v>59.560921095890407</v>
      </c>
      <c r="H14" s="12">
        <f>62.19+H21</f>
        <v>73.28</v>
      </c>
      <c r="I14" s="12">
        <f>61.16+I21</f>
        <v>71.77</v>
      </c>
      <c r="J14" s="12">
        <f>67.81+J21</f>
        <v>76.37</v>
      </c>
      <c r="K14" s="12">
        <f>66.74+K21</f>
        <v>79.259999999999991</v>
      </c>
      <c r="L14" s="12">
        <f>149.56+L21</f>
        <v>157.9</v>
      </c>
      <c r="M14" s="12">
        <f>115.97+M21</f>
        <v>131.29</v>
      </c>
      <c r="N14" s="12">
        <f>B14*1200</f>
        <v>203.4</v>
      </c>
      <c r="O14" s="13">
        <f>(B14+B14*$B$15)*1200</f>
        <v>213.57000000000002</v>
      </c>
      <c r="P14" s="13">
        <f>O14+O14*$B$15</f>
        <v>224.24850000000004</v>
      </c>
      <c r="Q14" s="13">
        <f>P14+P14*$B$15</f>
        <v>235.46092500000003</v>
      </c>
      <c r="R14" s="13">
        <f t="shared" ref="R14:AE14" si="9">Q14+Q14*$B$15</f>
        <v>247.23397125000002</v>
      </c>
      <c r="S14" s="13">
        <f t="shared" si="9"/>
        <v>259.59566981250003</v>
      </c>
      <c r="T14" s="13">
        <f t="shared" si="9"/>
        <v>272.57545330312502</v>
      </c>
      <c r="U14" s="13">
        <f t="shared" si="9"/>
        <v>286.20422596828126</v>
      </c>
      <c r="V14" s="13">
        <f t="shared" si="9"/>
        <v>300.51443726669532</v>
      </c>
      <c r="W14" s="13">
        <f t="shared" si="9"/>
        <v>315.54015913003008</v>
      </c>
      <c r="X14" s="13">
        <f t="shared" si="9"/>
        <v>331.31716708653158</v>
      </c>
      <c r="Y14" s="13">
        <f t="shared" si="9"/>
        <v>347.88302544085815</v>
      </c>
      <c r="Z14" s="13">
        <f t="shared" si="9"/>
        <v>365.27717671290105</v>
      </c>
      <c r="AA14" s="13">
        <f t="shared" si="9"/>
        <v>383.54103554854612</v>
      </c>
      <c r="AB14" s="13">
        <f t="shared" si="9"/>
        <v>402.71808732597344</v>
      </c>
      <c r="AC14" s="13">
        <f t="shared" si="9"/>
        <v>422.85399169227213</v>
      </c>
      <c r="AD14" s="13">
        <f t="shared" si="9"/>
        <v>443.99669127688571</v>
      </c>
      <c r="AE14" s="13">
        <f t="shared" si="9"/>
        <v>466.19652584072998</v>
      </c>
      <c r="AF14" s="18"/>
      <c r="AG14" s="18"/>
      <c r="AH14" s="18"/>
      <c r="AI14" s="18"/>
      <c r="AJ14" s="18"/>
      <c r="AK14" s="18"/>
      <c r="AL14" s="18"/>
      <c r="AM14" s="18"/>
    </row>
    <row r="15" spans="1:39">
      <c r="A15" s="770" t="s">
        <v>1471</v>
      </c>
      <c r="B15" s="771">
        <v>0.05</v>
      </c>
      <c r="C15" s="16"/>
      <c r="D15" s="16"/>
      <c r="E15" s="12"/>
      <c r="F15" s="13"/>
      <c r="G15" s="13"/>
      <c r="H15" s="12"/>
      <c r="I15" s="439">
        <f t="shared" ref="I15:N15" si="10">I14/I3</f>
        <v>4.710924987528553E-2</v>
      </c>
      <c r="J15" s="439">
        <f t="shared" si="10"/>
        <v>4.9240787904187761E-2</v>
      </c>
      <c r="K15" s="439">
        <f t="shared" si="10"/>
        <v>4.1775374349730401E-2</v>
      </c>
      <c r="L15" s="439">
        <f t="shared" si="10"/>
        <v>0.17277790543719704</v>
      </c>
      <c r="M15" s="439">
        <f t="shared" si="10"/>
        <v>6.959522496925491E-2</v>
      </c>
      <c r="N15" s="439">
        <f t="shared" si="10"/>
        <v>6.4460911833583059E-2</v>
      </c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8"/>
      <c r="AG15" s="18"/>
      <c r="AH15" s="18"/>
      <c r="AI15" s="18"/>
      <c r="AJ15" s="18"/>
      <c r="AK15" s="18"/>
      <c r="AL15" s="18"/>
      <c r="AM15" s="18"/>
    </row>
    <row r="16" spans="1:39">
      <c r="A16" s="770"/>
      <c r="B16" s="771"/>
      <c r="C16" s="16"/>
      <c r="D16" s="16"/>
      <c r="E16" s="12"/>
      <c r="F16" s="13"/>
      <c r="G16" s="13"/>
      <c r="H16" s="12"/>
      <c r="I16" s="439"/>
      <c r="J16" s="439"/>
      <c r="K16" s="774">
        <f>K14/1200</f>
        <v>6.6049999999999998E-2</v>
      </c>
      <c r="L16" s="774">
        <f>L14/1200</f>
        <v>0.13158333333333333</v>
      </c>
      <c r="M16" s="774">
        <f>M14/1200</f>
        <v>0.10940833333333333</v>
      </c>
      <c r="N16" s="439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8"/>
      <c r="AG16" s="18"/>
      <c r="AH16" s="18"/>
      <c r="AI16" s="18"/>
      <c r="AJ16" s="18"/>
      <c r="AK16" s="18"/>
      <c r="AL16" s="18"/>
      <c r="AM16" s="18"/>
    </row>
    <row r="17" spans="1:39">
      <c r="A17" t="s">
        <v>1130</v>
      </c>
      <c r="B17" s="1"/>
      <c r="C17" s="16"/>
      <c r="D17" s="16">
        <v>7</v>
      </c>
      <c r="E17" s="17">
        <v>34.85</v>
      </c>
      <c r="F17" s="18"/>
      <c r="G17" s="18"/>
      <c r="H17" s="12">
        <v>35.21</v>
      </c>
      <c r="I17" s="12">
        <v>27.25</v>
      </c>
      <c r="J17" s="12">
        <v>50.76</v>
      </c>
      <c r="K17" s="12">
        <v>15.25</v>
      </c>
      <c r="L17" s="12">
        <v>16.72</v>
      </c>
      <c r="M17" s="12">
        <v>20.32</v>
      </c>
      <c r="N17" s="18">
        <v>0</v>
      </c>
      <c r="O17" s="18">
        <f t="shared" ref="O17:AE17" si="11">N17</f>
        <v>0</v>
      </c>
      <c r="P17" s="18">
        <f t="shared" si="11"/>
        <v>0</v>
      </c>
      <c r="Q17" s="18">
        <f t="shared" si="11"/>
        <v>0</v>
      </c>
      <c r="R17" s="18">
        <f t="shared" si="11"/>
        <v>0</v>
      </c>
      <c r="S17" s="18">
        <f t="shared" si="11"/>
        <v>0</v>
      </c>
      <c r="T17" s="18">
        <f t="shared" si="11"/>
        <v>0</v>
      </c>
      <c r="U17" s="18">
        <f t="shared" si="11"/>
        <v>0</v>
      </c>
      <c r="V17" s="18">
        <f t="shared" si="11"/>
        <v>0</v>
      </c>
      <c r="W17" s="18">
        <f t="shared" si="11"/>
        <v>0</v>
      </c>
      <c r="X17" s="18">
        <f t="shared" si="11"/>
        <v>0</v>
      </c>
      <c r="Y17" s="18">
        <f t="shared" si="11"/>
        <v>0</v>
      </c>
      <c r="Z17" s="18">
        <f t="shared" si="11"/>
        <v>0</v>
      </c>
      <c r="AA17" s="18">
        <f t="shared" si="11"/>
        <v>0</v>
      </c>
      <c r="AB17" s="18">
        <f t="shared" si="11"/>
        <v>0</v>
      </c>
      <c r="AC17" s="18">
        <f t="shared" si="11"/>
        <v>0</v>
      </c>
      <c r="AD17" s="18">
        <f t="shared" si="11"/>
        <v>0</v>
      </c>
      <c r="AE17" s="18">
        <f t="shared" si="11"/>
        <v>0</v>
      </c>
      <c r="AF17" s="18"/>
      <c r="AG17" s="18"/>
      <c r="AH17" s="18"/>
      <c r="AI17" s="18"/>
      <c r="AJ17" s="18"/>
      <c r="AK17" s="18"/>
      <c r="AL17" s="18"/>
      <c r="AM17" s="18"/>
    </row>
    <row r="18" spans="1:39">
      <c r="B18" s="79">
        <f>M18</f>
        <v>1.0771383741147535E-2</v>
      </c>
      <c r="C18" s="16"/>
      <c r="D18" s="16"/>
      <c r="E18" s="17"/>
      <c r="F18" s="18"/>
      <c r="G18" s="18"/>
      <c r="H18" s="12"/>
      <c r="I18" s="439">
        <f t="shared" ref="I18:N18" si="12">I17/I3</f>
        <v>1.788668049465697E-2</v>
      </c>
      <c r="J18" s="439">
        <f t="shared" si="12"/>
        <v>3.2728327799090878E-2</v>
      </c>
      <c r="K18" s="439">
        <f t="shared" si="12"/>
        <v>8.0377802022885275E-3</v>
      </c>
      <c r="L18" s="439">
        <f t="shared" si="12"/>
        <v>1.829541848581339E-2</v>
      </c>
      <c r="M18" s="439">
        <f t="shared" si="12"/>
        <v>1.0771383741147535E-2</v>
      </c>
      <c r="N18" s="439">
        <f t="shared" si="12"/>
        <v>0</v>
      </c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</row>
    <row r="19" spans="1:39">
      <c r="A19" s="1" t="s">
        <v>1131</v>
      </c>
      <c r="B19" s="1"/>
      <c r="C19" s="16"/>
      <c r="D19" s="17">
        <v>10.1637</v>
      </c>
      <c r="E19" s="17">
        <v>20.71</v>
      </c>
      <c r="F19" s="18"/>
      <c r="G19" s="18"/>
      <c r="H19" s="12">
        <v>19.989999999999998</v>
      </c>
      <c r="I19" s="12">
        <v>18.18</v>
      </c>
      <c r="J19" s="12">
        <v>17.010000000000002</v>
      </c>
      <c r="K19" s="12">
        <v>16.93</v>
      </c>
      <c r="L19" s="12">
        <v>12.56</v>
      </c>
      <c r="M19" s="12">
        <v>12.11</v>
      </c>
      <c r="N19" s="18">
        <v>0</v>
      </c>
      <c r="O19" s="18">
        <f>N19*(1+Assum!$B41)</f>
        <v>0</v>
      </c>
      <c r="P19" s="18">
        <f>O19*(1+Assum!$B41)</f>
        <v>0</v>
      </c>
      <c r="Q19" s="18">
        <f>P19*(1+Assum!$B41)</f>
        <v>0</v>
      </c>
      <c r="R19" s="18">
        <f>Q19*(1+Assum!$B41)</f>
        <v>0</v>
      </c>
      <c r="S19" s="18">
        <f>R19*(1+Assum!$B41)</f>
        <v>0</v>
      </c>
      <c r="T19" s="18">
        <f>S19*(1+Assum!$B41)</f>
        <v>0</v>
      </c>
      <c r="U19" s="18">
        <f>T19*(1+Assum!$B41)</f>
        <v>0</v>
      </c>
      <c r="V19" s="18">
        <f>U19*(1+Assum!$B41)</f>
        <v>0</v>
      </c>
      <c r="W19" s="18">
        <f>V19*(1+Assum!$B41)</f>
        <v>0</v>
      </c>
      <c r="X19" s="18">
        <f>W19*(1+Assum!$B41)</f>
        <v>0</v>
      </c>
      <c r="Y19" s="18">
        <f>X19*(1+Assum!$B41)</f>
        <v>0</v>
      </c>
      <c r="Z19" s="18">
        <f>Y19*(1+Assum!$B41)</f>
        <v>0</v>
      </c>
      <c r="AA19" s="18">
        <f>Z19*(1+Assum!$B41)</f>
        <v>0</v>
      </c>
      <c r="AB19" s="18">
        <f>AA19*(1+Assum!$B41)</f>
        <v>0</v>
      </c>
      <c r="AC19" s="18">
        <f>AB19*(1+Assum!$B41)</f>
        <v>0</v>
      </c>
      <c r="AD19" s="18">
        <f>AC19*(1+Assum!$B41)</f>
        <v>0</v>
      </c>
      <c r="AE19" s="18">
        <f>AD19*(1+Assum!$B41)</f>
        <v>0</v>
      </c>
      <c r="AF19" s="18"/>
      <c r="AG19" s="18"/>
      <c r="AH19" s="18"/>
      <c r="AI19" s="18"/>
      <c r="AJ19" s="18"/>
      <c r="AK19" s="18"/>
      <c r="AL19" s="18"/>
      <c r="AM19" s="18"/>
    </row>
    <row r="20" spans="1:39">
      <c r="A20" s="1"/>
      <c r="B20" s="79">
        <v>8.8999999999999999E-3</v>
      </c>
      <c r="C20" s="16"/>
      <c r="D20" s="17"/>
      <c r="E20" s="17"/>
      <c r="F20" s="18"/>
      <c r="G20" s="18"/>
      <c r="H20" s="12"/>
      <c r="I20" s="439">
        <f>I19/I3</f>
        <v>1.1933205555701419E-2</v>
      </c>
      <c r="J20" s="439">
        <f>J19/J3</f>
        <v>1.0967471549695349E-2</v>
      </c>
      <c r="K20" s="439">
        <f>K19/K3</f>
        <v>8.9232536934258869E-3</v>
      </c>
      <c r="L20" s="439">
        <f>L19/L3</f>
        <v>1.3743448336233026E-2</v>
      </c>
      <c r="M20" s="439">
        <f>M19/M3</f>
        <v>6.4193630465205036E-3</v>
      </c>
      <c r="N20" s="13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</row>
    <row r="21" spans="1:39">
      <c r="A21" s="1" t="s">
        <v>1132</v>
      </c>
      <c r="B21" s="1"/>
      <c r="C21" s="16"/>
      <c r="D21" s="16">
        <v>3.4950000000000001</v>
      </c>
      <c r="E21" s="17">
        <v>3.0659999999999998</v>
      </c>
      <c r="F21" s="18"/>
      <c r="G21" s="18"/>
      <c r="H21" s="12">
        <f>0.31+2.82+5.49+0.33+1.05+1.09</f>
        <v>11.090000000000002</v>
      </c>
      <c r="I21" s="12">
        <f>0.94+2.71+4.86+0.32+0.93+0.85</f>
        <v>10.61</v>
      </c>
      <c r="J21" s="12">
        <f>1.66+2.83+1.43+0.21+0.87+1.56</f>
        <v>8.56</v>
      </c>
      <c r="K21" s="12">
        <f>0.2+1.16+1.4+0.13+9.1+0.53</f>
        <v>12.519999999999998</v>
      </c>
      <c r="L21" s="12">
        <f>0.2+1.17+0.84+0.07+5.58+0.48</f>
        <v>8.34</v>
      </c>
      <c r="M21" s="12">
        <f>3.33+1.36+0.63+1.09+6.9+1.87+0.14</f>
        <v>15.32</v>
      </c>
      <c r="N21" s="18">
        <v>0</v>
      </c>
      <c r="O21" s="18">
        <f t="shared" ref="O21:AE21" si="13">N21</f>
        <v>0</v>
      </c>
      <c r="P21" s="18">
        <f t="shared" si="13"/>
        <v>0</v>
      </c>
      <c r="Q21" s="18">
        <f t="shared" si="13"/>
        <v>0</v>
      </c>
      <c r="R21" s="18">
        <f t="shared" si="13"/>
        <v>0</v>
      </c>
      <c r="S21" s="18">
        <f t="shared" si="13"/>
        <v>0</v>
      </c>
      <c r="T21" s="18">
        <f t="shared" si="13"/>
        <v>0</v>
      </c>
      <c r="U21" s="18">
        <f t="shared" si="13"/>
        <v>0</v>
      </c>
      <c r="V21" s="18">
        <f t="shared" si="13"/>
        <v>0</v>
      </c>
      <c r="W21" s="18">
        <f t="shared" si="13"/>
        <v>0</v>
      </c>
      <c r="X21" s="18">
        <f t="shared" si="13"/>
        <v>0</v>
      </c>
      <c r="Y21" s="18">
        <f t="shared" si="13"/>
        <v>0</v>
      </c>
      <c r="Z21" s="18">
        <f t="shared" si="13"/>
        <v>0</v>
      </c>
      <c r="AA21" s="18">
        <f t="shared" si="13"/>
        <v>0</v>
      </c>
      <c r="AB21" s="18">
        <f t="shared" si="13"/>
        <v>0</v>
      </c>
      <c r="AC21" s="18">
        <f t="shared" si="13"/>
        <v>0</v>
      </c>
      <c r="AD21" s="18">
        <f t="shared" si="13"/>
        <v>0</v>
      </c>
      <c r="AE21" s="18">
        <f t="shared" si="13"/>
        <v>0</v>
      </c>
      <c r="AF21" s="18"/>
      <c r="AG21" s="18"/>
      <c r="AH21" s="18"/>
      <c r="AI21" s="18"/>
      <c r="AJ21" s="18"/>
      <c r="AK21" s="18"/>
      <c r="AL21" s="18"/>
      <c r="AM21" s="18"/>
    </row>
    <row r="22" spans="1:39">
      <c r="A22" s="1"/>
      <c r="B22" s="79">
        <f>AVERAGE(I22:M22)</f>
        <v>7.2658343647056759E-3</v>
      </c>
      <c r="C22" s="16"/>
      <c r="D22" s="16"/>
      <c r="E22" s="17"/>
      <c r="F22" s="18"/>
      <c r="G22" s="18"/>
      <c r="H22" s="12"/>
      <c r="I22" s="439">
        <f>I21/I3</f>
        <v>6.9643185338829515E-3</v>
      </c>
      <c r="J22" s="439">
        <f>J21/J3</f>
        <v>5.5191979109578005E-3</v>
      </c>
      <c r="K22" s="439">
        <f>K21/K3</f>
        <v>6.5988857791903178E-3</v>
      </c>
      <c r="L22" s="439">
        <f>L21/L3</f>
        <v>9.1258247710337137E-3</v>
      </c>
      <c r="M22" s="439">
        <f>M21/M3</f>
        <v>8.1209448284635943E-3</v>
      </c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</row>
    <row r="23" spans="1:39">
      <c r="A23" s="1" t="s">
        <v>1133</v>
      </c>
      <c r="B23" s="1"/>
      <c r="C23" s="16"/>
      <c r="D23" s="16">
        <v>5.64</v>
      </c>
      <c r="E23" s="17">
        <v>9.4</v>
      </c>
      <c r="F23" s="18"/>
      <c r="G23" s="18"/>
      <c r="H23" s="12">
        <v>12.82</v>
      </c>
      <c r="I23" s="12">
        <v>7.04</v>
      </c>
      <c r="J23" s="12">
        <v>7.28</v>
      </c>
      <c r="K23" s="12">
        <v>10.7</v>
      </c>
      <c r="L23" s="12">
        <v>8.4</v>
      </c>
      <c r="M23" s="12">
        <v>6.81</v>
      </c>
      <c r="N23" s="18">
        <v>0</v>
      </c>
      <c r="O23" s="18">
        <f t="shared" ref="O23:AE23" si="14">N23</f>
        <v>0</v>
      </c>
      <c r="P23" s="18">
        <f t="shared" si="14"/>
        <v>0</v>
      </c>
      <c r="Q23" s="18">
        <f t="shared" si="14"/>
        <v>0</v>
      </c>
      <c r="R23" s="18">
        <f t="shared" si="14"/>
        <v>0</v>
      </c>
      <c r="S23" s="18">
        <f t="shared" si="14"/>
        <v>0</v>
      </c>
      <c r="T23" s="18">
        <f t="shared" si="14"/>
        <v>0</v>
      </c>
      <c r="U23" s="18">
        <f t="shared" si="14"/>
        <v>0</v>
      </c>
      <c r="V23" s="18">
        <f t="shared" si="14"/>
        <v>0</v>
      </c>
      <c r="W23" s="18">
        <f t="shared" si="14"/>
        <v>0</v>
      </c>
      <c r="X23" s="18">
        <f t="shared" si="14"/>
        <v>0</v>
      </c>
      <c r="Y23" s="18">
        <f t="shared" si="14"/>
        <v>0</v>
      </c>
      <c r="Z23" s="18">
        <f t="shared" si="14"/>
        <v>0</v>
      </c>
      <c r="AA23" s="18">
        <f t="shared" si="14"/>
        <v>0</v>
      </c>
      <c r="AB23" s="18">
        <f t="shared" si="14"/>
        <v>0</v>
      </c>
      <c r="AC23" s="18">
        <f t="shared" si="14"/>
        <v>0</v>
      </c>
      <c r="AD23" s="18">
        <f t="shared" si="14"/>
        <v>0</v>
      </c>
      <c r="AE23" s="18">
        <f t="shared" si="14"/>
        <v>0</v>
      </c>
      <c r="AF23" s="18"/>
      <c r="AG23" s="18"/>
      <c r="AH23" s="18"/>
      <c r="AI23" s="18"/>
      <c r="AJ23" s="18"/>
      <c r="AK23" s="18"/>
      <c r="AL23" s="18"/>
      <c r="AM23" s="18"/>
    </row>
    <row r="24" spans="1:39">
      <c r="A24" s="1"/>
      <c r="B24" s="79">
        <f>AVERAGE(I24:M24)</f>
        <v>5.5511790792083134E-3</v>
      </c>
      <c r="C24" s="16"/>
      <c r="D24" s="16"/>
      <c r="E24" s="17"/>
      <c r="F24" s="18"/>
      <c r="G24" s="18"/>
      <c r="H24" s="12"/>
      <c r="I24" s="439">
        <f>I23/I3</f>
        <v>4.6209992910966995E-3</v>
      </c>
      <c r="J24" s="439">
        <f>J23/J3</f>
        <v>4.693897288758503E-3</v>
      </c>
      <c r="K24" s="439">
        <f>K23/K3</f>
        <v>5.6396228304581792E-3</v>
      </c>
      <c r="L24" s="439">
        <f>L23/L3</f>
        <v>9.1914781866526615E-3</v>
      </c>
      <c r="M24" s="439">
        <f>M23/M3</f>
        <v>3.6098977990755266E-3</v>
      </c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</row>
    <row r="25" spans="1:39">
      <c r="A25" s="1" t="s">
        <v>1134</v>
      </c>
      <c r="B25" s="1"/>
      <c r="C25" s="16"/>
      <c r="D25" s="16">
        <v>13.72</v>
      </c>
      <c r="E25" s="17">
        <v>19.53</v>
      </c>
      <c r="F25" s="18"/>
      <c r="G25" s="18"/>
      <c r="H25" s="12">
        <v>16.059999999999999</v>
      </c>
      <c r="I25" s="12">
        <v>18.47</v>
      </c>
      <c r="J25" s="12">
        <v>10.63</v>
      </c>
      <c r="K25" s="12">
        <v>9.52</v>
      </c>
      <c r="L25" s="12">
        <v>16.309999999999999</v>
      </c>
      <c r="M25" s="12">
        <v>8.58</v>
      </c>
      <c r="N25" s="18">
        <v>0</v>
      </c>
      <c r="O25" s="18">
        <f t="shared" ref="O25:AE25" si="15">N25</f>
        <v>0</v>
      </c>
      <c r="P25" s="18">
        <f t="shared" si="15"/>
        <v>0</v>
      </c>
      <c r="Q25" s="18">
        <f t="shared" si="15"/>
        <v>0</v>
      </c>
      <c r="R25" s="18">
        <f t="shared" si="15"/>
        <v>0</v>
      </c>
      <c r="S25" s="18">
        <f t="shared" si="15"/>
        <v>0</v>
      </c>
      <c r="T25" s="18">
        <f t="shared" si="15"/>
        <v>0</v>
      </c>
      <c r="U25" s="18">
        <f t="shared" si="15"/>
        <v>0</v>
      </c>
      <c r="V25" s="18">
        <f t="shared" si="15"/>
        <v>0</v>
      </c>
      <c r="W25" s="18">
        <f t="shared" si="15"/>
        <v>0</v>
      </c>
      <c r="X25" s="18">
        <f t="shared" si="15"/>
        <v>0</v>
      </c>
      <c r="Y25" s="18">
        <f t="shared" si="15"/>
        <v>0</v>
      </c>
      <c r="Z25" s="18">
        <f t="shared" si="15"/>
        <v>0</v>
      </c>
      <c r="AA25" s="18">
        <f t="shared" si="15"/>
        <v>0</v>
      </c>
      <c r="AB25" s="18">
        <f t="shared" si="15"/>
        <v>0</v>
      </c>
      <c r="AC25" s="18">
        <f t="shared" si="15"/>
        <v>0</v>
      </c>
      <c r="AD25" s="18">
        <f t="shared" si="15"/>
        <v>0</v>
      </c>
      <c r="AE25" s="18">
        <f t="shared" si="15"/>
        <v>0</v>
      </c>
      <c r="AF25" s="18"/>
      <c r="AG25" s="18"/>
      <c r="AH25" s="18"/>
      <c r="AI25" s="18"/>
      <c r="AJ25" s="18"/>
      <c r="AK25" s="18"/>
      <c r="AL25" s="18"/>
      <c r="AM25" s="18"/>
    </row>
    <row r="26" spans="1:39">
      <c r="A26" s="1"/>
      <c r="B26" s="79">
        <f>AVERAGE(I26:M26)</f>
        <v>9.2780092167259812E-3</v>
      </c>
      <c r="C26" s="16"/>
      <c r="D26" s="16"/>
      <c r="E26" s="17"/>
      <c r="F26" s="18"/>
      <c r="G26" s="18"/>
      <c r="H26" s="12"/>
      <c r="I26" s="439">
        <f>I25/I3</f>
        <v>1.2123559219681255E-2</v>
      </c>
      <c r="J26" s="439">
        <f>J25/J3</f>
        <v>6.8538637609207266E-3</v>
      </c>
      <c r="K26" s="439">
        <f>K25/K3</f>
        <v>5.0176831164450344E-3</v>
      </c>
      <c r="L26" s="439">
        <f>L25/L3</f>
        <v>1.7846786812417248E-2</v>
      </c>
      <c r="M26" s="439">
        <f>M25/M3</f>
        <v>4.5481531741656421E-3</v>
      </c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</row>
    <row r="27" spans="1:39">
      <c r="A27" s="1" t="s">
        <v>1135</v>
      </c>
      <c r="B27" s="1"/>
      <c r="C27" s="19"/>
      <c r="D27" s="19">
        <v>4.09</v>
      </c>
      <c r="E27" s="12">
        <v>3.68</v>
      </c>
      <c r="F27" s="15"/>
      <c r="G27" s="15"/>
      <c r="H27" s="12">
        <v>4.49</v>
      </c>
      <c r="I27" s="12">
        <v>10.97</v>
      </c>
      <c r="J27" s="12">
        <v>12.52</v>
      </c>
      <c r="K27" s="12">
        <v>9.6300000000000008</v>
      </c>
      <c r="L27" s="12">
        <v>5.55</v>
      </c>
      <c r="M27" s="12">
        <v>5.24</v>
      </c>
      <c r="N27" s="15">
        <v>0</v>
      </c>
      <c r="O27" s="15">
        <f t="shared" ref="O27:AE27" si="16">N27</f>
        <v>0</v>
      </c>
      <c r="P27" s="15">
        <f t="shared" si="16"/>
        <v>0</v>
      </c>
      <c r="Q27" s="15">
        <f t="shared" si="16"/>
        <v>0</v>
      </c>
      <c r="R27" s="15">
        <f t="shared" si="16"/>
        <v>0</v>
      </c>
      <c r="S27" s="15">
        <f t="shared" si="16"/>
        <v>0</v>
      </c>
      <c r="T27" s="15">
        <f t="shared" si="16"/>
        <v>0</v>
      </c>
      <c r="U27" s="15">
        <f t="shared" si="16"/>
        <v>0</v>
      </c>
      <c r="V27" s="15">
        <f t="shared" si="16"/>
        <v>0</v>
      </c>
      <c r="W27" s="15">
        <f t="shared" si="16"/>
        <v>0</v>
      </c>
      <c r="X27" s="15">
        <f t="shared" si="16"/>
        <v>0</v>
      </c>
      <c r="Y27" s="15">
        <f t="shared" si="16"/>
        <v>0</v>
      </c>
      <c r="Z27" s="15">
        <f t="shared" si="16"/>
        <v>0</v>
      </c>
      <c r="AA27" s="15">
        <f t="shared" si="16"/>
        <v>0</v>
      </c>
      <c r="AB27" s="15">
        <f t="shared" si="16"/>
        <v>0</v>
      </c>
      <c r="AC27" s="15">
        <f t="shared" si="16"/>
        <v>0</v>
      </c>
      <c r="AD27" s="15">
        <f t="shared" si="16"/>
        <v>0</v>
      </c>
      <c r="AE27" s="15">
        <f t="shared" si="16"/>
        <v>0</v>
      </c>
      <c r="AF27" s="15"/>
      <c r="AG27" s="15"/>
      <c r="AH27" s="15"/>
      <c r="AI27" s="15"/>
      <c r="AJ27" s="15"/>
      <c r="AK27" s="15"/>
      <c r="AL27" s="15"/>
      <c r="AM27" s="15"/>
    </row>
    <row r="28" spans="1:39">
      <c r="A28" s="1"/>
      <c r="B28" s="79"/>
      <c r="C28" s="19"/>
      <c r="D28" s="19"/>
      <c r="E28" s="12"/>
      <c r="F28" s="15"/>
      <c r="G28" s="15"/>
      <c r="H28" s="12"/>
      <c r="I28" s="439">
        <f>I27/I3</f>
        <v>7.2006196339958516E-3</v>
      </c>
      <c r="J28" s="439">
        <f>J27/J3</f>
        <v>8.0724717108868749E-3</v>
      </c>
      <c r="K28" s="439">
        <f>K27/K3</f>
        <v>5.075660547412362E-3</v>
      </c>
      <c r="L28" s="439">
        <f>L27/L3</f>
        <v>6.0729409447526509E-3</v>
      </c>
      <c r="M28" s="439">
        <f>M27/M3</f>
        <v>2.7776599804927699E-3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</row>
    <row r="29" spans="1:39">
      <c r="A29" s="1" t="s">
        <v>1136</v>
      </c>
      <c r="B29" t="s">
        <v>1137</v>
      </c>
      <c r="C29" s="19"/>
      <c r="D29" s="19">
        <v>1.19</v>
      </c>
      <c r="E29" s="12">
        <v>2.88</v>
      </c>
      <c r="F29" s="15"/>
      <c r="G29" s="15"/>
      <c r="H29" s="12">
        <v>1.19</v>
      </c>
      <c r="I29" s="12">
        <v>0.73</v>
      </c>
      <c r="J29" s="12">
        <v>0.74</v>
      </c>
      <c r="K29" s="12">
        <v>0.68</v>
      </c>
      <c r="L29" s="12">
        <v>0.7</v>
      </c>
      <c r="M29" s="12">
        <v>0.52</v>
      </c>
      <c r="N29" s="33">
        <v>0</v>
      </c>
      <c r="O29" s="33">
        <f>N29*(1+Assum!$B50)</f>
        <v>0</v>
      </c>
      <c r="P29" s="33">
        <f>O29*(1+Assum!$B50)</f>
        <v>0</v>
      </c>
      <c r="Q29" s="33">
        <f>P29*(1+Assum!$B50)</f>
        <v>0</v>
      </c>
      <c r="R29" s="33">
        <f>Q29*(1+Assum!$B50)</f>
        <v>0</v>
      </c>
      <c r="S29" s="33">
        <f>R29*(1+Assum!$B50)</f>
        <v>0</v>
      </c>
      <c r="T29" s="33">
        <f>S29*(1+Assum!$B50)</f>
        <v>0</v>
      </c>
      <c r="U29" s="33">
        <f>T29*(1+Assum!$B50)</f>
        <v>0</v>
      </c>
      <c r="V29" s="33">
        <f>U29*(1+Assum!$B50)</f>
        <v>0</v>
      </c>
      <c r="W29" s="33">
        <f>V29*(1+Assum!$B50)</f>
        <v>0</v>
      </c>
      <c r="X29" s="33">
        <f>W29*(1+Assum!$B50)</f>
        <v>0</v>
      </c>
      <c r="Y29" s="33">
        <f>X29*(1+Assum!$B50)</f>
        <v>0</v>
      </c>
      <c r="Z29" s="33">
        <f>Y29*(1+Assum!$B50)</f>
        <v>0</v>
      </c>
      <c r="AA29" s="33">
        <f>Z29*(1+Assum!$B50)</f>
        <v>0</v>
      </c>
      <c r="AB29" s="33">
        <f>AA29*(1+Assum!$B50)</f>
        <v>0</v>
      </c>
      <c r="AC29" s="33">
        <f>AB29*(1+Assum!$B50)</f>
        <v>0</v>
      </c>
      <c r="AD29" s="33">
        <f>AC29*(1+Assum!$B50)</f>
        <v>0</v>
      </c>
      <c r="AE29" s="33">
        <f>AD29*(1+Assum!$B50)</f>
        <v>0</v>
      </c>
      <c r="AF29" s="15"/>
      <c r="AG29" s="15"/>
      <c r="AH29" s="15"/>
      <c r="AI29" s="15"/>
      <c r="AJ29" s="15"/>
      <c r="AK29" s="15"/>
      <c r="AL29" s="15"/>
      <c r="AM29" s="15"/>
    </row>
    <row r="30" spans="1:39">
      <c r="A30" s="1"/>
      <c r="B30" s="79">
        <f>AVERAGE(I30:M30)</f>
        <v>4.7126022824895948E-4</v>
      </c>
      <c r="C30" s="19"/>
      <c r="D30" s="19"/>
      <c r="E30" s="12"/>
      <c r="F30" s="15"/>
      <c r="G30" s="15"/>
      <c r="H30" s="12"/>
      <c r="I30" s="439">
        <f>I29/I3</f>
        <v>4.7916611967337933E-4</v>
      </c>
      <c r="J30" s="439">
        <f>J29/J3</f>
        <v>4.7712692220896867E-4</v>
      </c>
      <c r="K30" s="439">
        <f>K29/K3</f>
        <v>3.5840593688893108E-4</v>
      </c>
      <c r="L30" s="439">
        <f>L29/L3</f>
        <v>7.6595651555438839E-4</v>
      </c>
      <c r="M30" s="439">
        <f>M29/M3</f>
        <v>2.7564564691912979E-4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15"/>
      <c r="AG30" s="15"/>
      <c r="AH30" s="15"/>
      <c r="AI30" s="15"/>
      <c r="AJ30" s="15"/>
      <c r="AK30" s="15"/>
      <c r="AL30" s="15"/>
      <c r="AM30" s="15"/>
    </row>
    <row r="31" spans="1:39">
      <c r="A31" s="1" t="s">
        <v>1138</v>
      </c>
      <c r="B31" s="1"/>
      <c r="C31" s="19"/>
      <c r="D31" s="19">
        <v>19.14</v>
      </c>
      <c r="E31" s="12">
        <f>28.78+24.13</f>
        <v>52.91</v>
      </c>
      <c r="F31" s="15"/>
      <c r="G31" s="15"/>
      <c r="H31" s="12">
        <f>0.88+0.95+0.38+0.19+0.38+0.39+0.15+0.13+0.07+0.35</f>
        <v>3.8699999999999997</v>
      </c>
      <c r="I31" s="12">
        <f>0.71+0.14+0.47+0.2+0.28+0.52+0.07+0.13+0.05+18.25+0.41</f>
        <v>21.23</v>
      </c>
      <c r="J31" s="12">
        <f>1.13+0.18+0.39+0.37+0.2+0.32+0.07+0.13+0.11+0.08+27.59+0.41</f>
        <v>30.98</v>
      </c>
      <c r="K31" s="12">
        <f>1.94+0.12+0.31+0.5+0.47+0.16+0.08+0.13+14.59+0.51+0.23+0.09</f>
        <v>19.130000000000003</v>
      </c>
      <c r="L31" s="12">
        <f>1.75+0.14+0.36+0.36+0.35+0.12+0.06+0.13+0.31+0.12+0.18+11.5+0.27</f>
        <v>15.65</v>
      </c>
      <c r="M31" s="12">
        <f>2.16+0.12+0.25+0.07+0.57+0.04+0.13+0.07+43.39+27.32+0.22</f>
        <v>74.34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/>
      <c r="AG31" s="15"/>
      <c r="AH31" s="15"/>
      <c r="AI31" s="15"/>
      <c r="AJ31" s="15"/>
      <c r="AK31" s="15"/>
      <c r="AL31" s="15"/>
      <c r="AM31" s="15"/>
    </row>
    <row r="32" spans="1:39">
      <c r="A32" s="1"/>
      <c r="B32" s="79">
        <v>1.5299999999999999E-2</v>
      </c>
      <c r="C32" s="19"/>
      <c r="D32" s="19"/>
      <c r="E32" s="12"/>
      <c r="F32" s="15"/>
      <c r="G32" s="15"/>
      <c r="H32" s="12"/>
      <c r="I32" s="439">
        <f>I31/I3</f>
        <v>1.3935200987213485E-2</v>
      </c>
      <c r="J32" s="439">
        <f>J31/J3</f>
        <v>1.9974854121667364E-2</v>
      </c>
      <c r="K32" s="439">
        <f>K31/K3</f>
        <v>1.008280231277243E-2</v>
      </c>
      <c r="L32" s="439">
        <f>L31/L3</f>
        <v>1.7124599240608825E-2</v>
      </c>
      <c r="M32" s="439">
        <f>M31/M3</f>
        <v>3.940672575378483E-2</v>
      </c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</row>
    <row r="33" spans="1:39">
      <c r="A33" s="1" t="s">
        <v>1139</v>
      </c>
      <c r="B33" s="1"/>
      <c r="C33" s="13">
        <f>SUM(C7:C25)</f>
        <v>274.82637290000002</v>
      </c>
      <c r="D33" s="20">
        <f t="shared" ref="D33:AE33" si="17">SUM(D7:D31)</f>
        <v>794.57250150000004</v>
      </c>
      <c r="E33" s="13">
        <f t="shared" si="17"/>
        <v>1154.9260000000004</v>
      </c>
      <c r="F33" s="13">
        <f t="shared" si="17"/>
        <v>1024.6674511335145</v>
      </c>
      <c r="G33" s="13">
        <f t="shared" si="17"/>
        <v>1099.0271133066244</v>
      </c>
      <c r="H33" s="13">
        <f t="shared" si="17"/>
        <v>1406.9899999999998</v>
      </c>
      <c r="I33" s="13">
        <f t="shared" si="17"/>
        <v>1296.9434345052121</v>
      </c>
      <c r="J33" s="13">
        <f t="shared" si="17"/>
        <v>1359.223001386247</v>
      </c>
      <c r="K33" s="13">
        <f t="shared" si="17"/>
        <v>1056.0098805161574</v>
      </c>
      <c r="L33" s="13">
        <f t="shared" si="17"/>
        <v>841.27162108404684</v>
      </c>
      <c r="M33" s="13">
        <f t="shared" si="17"/>
        <v>1942.5324484927835</v>
      </c>
      <c r="N33" s="13">
        <f t="shared" si="17"/>
        <v>2774.3527511756738</v>
      </c>
      <c r="O33" s="13">
        <f t="shared" si="17"/>
        <v>2776.6217307276002</v>
      </c>
      <c r="P33" s="13">
        <f t="shared" si="17"/>
        <v>2787.3002307276001</v>
      </c>
      <c r="Q33" s="13">
        <f t="shared" si="17"/>
        <v>2988.4277470094457</v>
      </c>
      <c r="R33" s="13">
        <f t="shared" si="17"/>
        <v>3007.7431681142662</v>
      </c>
      <c r="S33" s="13">
        <f t="shared" si="17"/>
        <v>3192.8088532866127</v>
      </c>
      <c r="T33" s="13">
        <f t="shared" si="17"/>
        <v>3286.7242886387826</v>
      </c>
      <c r="U33" s="13">
        <f t="shared" si="17"/>
        <v>3423.8867335296782</v>
      </c>
      <c r="V33" s="13">
        <f t="shared" si="17"/>
        <v>3446.7933352597679</v>
      </c>
      <c r="W33" s="13">
        <f t="shared" si="17"/>
        <v>3667.0501755252039</v>
      </c>
      <c r="X33" s="13">
        <f t="shared" si="17"/>
        <v>3755.5941558630266</v>
      </c>
      <c r="Y33" s="13">
        <f t="shared" si="17"/>
        <v>3901.8703700543779</v>
      </c>
      <c r="Z33" s="13">
        <f t="shared" si="17"/>
        <v>4026.8658766054909</v>
      </c>
      <c r="AA33" s="13">
        <f t="shared" si="17"/>
        <v>4109.0660279572276</v>
      </c>
      <c r="AB33" s="13">
        <f t="shared" si="17"/>
        <v>4177.5368352187752</v>
      </c>
      <c r="AC33" s="13">
        <f t="shared" si="17"/>
        <v>4386.4136769797133</v>
      </c>
      <c r="AD33" s="13">
        <f t="shared" si="17"/>
        <v>3922.1016047318508</v>
      </c>
      <c r="AE33" s="13">
        <f t="shared" si="17"/>
        <v>2158.3282166561021</v>
      </c>
      <c r="AF33" s="13"/>
      <c r="AG33" s="13"/>
      <c r="AH33" s="13"/>
      <c r="AI33" s="13"/>
      <c r="AJ33" s="13"/>
      <c r="AK33" s="13"/>
      <c r="AL33" s="13"/>
      <c r="AM33" s="13"/>
    </row>
    <row r="34" spans="1:39">
      <c r="A34" s="1" t="s">
        <v>1140</v>
      </c>
      <c r="B34" s="1"/>
      <c r="C34" s="13">
        <f t="shared" ref="C34:AE34" si="18">C3+C5-C33</f>
        <v>178.53802779999995</v>
      </c>
      <c r="D34" s="13">
        <f t="shared" si="18"/>
        <v>822.04749850000007</v>
      </c>
      <c r="E34" s="13">
        <f t="shared" si="18"/>
        <v>683.35399999999959</v>
      </c>
      <c r="F34" s="13" t="e">
        <f t="shared" si="18"/>
        <v>#REF!</v>
      </c>
      <c r="G34" s="13" t="e">
        <f t="shared" si="18"/>
        <v>#REF!</v>
      </c>
      <c r="H34" s="13">
        <f t="shared" si="18"/>
        <v>508.73000000000025</v>
      </c>
      <c r="I34" s="13">
        <f t="shared" si="18"/>
        <v>281.58656549478792</v>
      </c>
      <c r="J34" s="13">
        <f t="shared" si="18"/>
        <v>214.73699861375303</v>
      </c>
      <c r="K34" s="13">
        <f t="shared" si="18"/>
        <v>882.93011948384265</v>
      </c>
      <c r="L34" s="13">
        <f t="shared" si="18"/>
        <v>113.33837891595317</v>
      </c>
      <c r="M34" s="13">
        <f t="shared" si="18"/>
        <v>-37.70244849278356</v>
      </c>
      <c r="N34" s="13">
        <f t="shared" si="18"/>
        <v>381.04785074432584</v>
      </c>
      <c r="O34" s="13">
        <f t="shared" si="18"/>
        <v>370.15755807239975</v>
      </c>
      <c r="P34" s="13">
        <f t="shared" si="18"/>
        <v>359.47905807239977</v>
      </c>
      <c r="Q34" s="13">
        <f t="shared" si="18"/>
        <v>391.51924133855391</v>
      </c>
      <c r="R34" s="13">
        <f t="shared" si="18"/>
        <v>381.46394896893344</v>
      </c>
      <c r="S34" s="13">
        <f t="shared" si="18"/>
        <v>408.43507976938736</v>
      </c>
      <c r="T34" s="13">
        <f t="shared" si="18"/>
        <v>413.88815499001748</v>
      </c>
      <c r="U34" s="13">
        <f t="shared" si="18"/>
        <v>428.39381596252178</v>
      </c>
      <c r="V34" s="13">
        <f t="shared" si="18"/>
        <v>416.04140751871228</v>
      </c>
      <c r="W34" s="13">
        <f t="shared" si="18"/>
        <v>447.75647443817661</v>
      </c>
      <c r="X34" s="13">
        <f t="shared" si="18"/>
        <v>448.55193226035499</v>
      </c>
      <c r="Y34" s="13">
        <f t="shared" si="18"/>
        <v>461.52722922557268</v>
      </c>
      <c r="Z34" s="13">
        <f t="shared" si="18"/>
        <v>468.63897286361816</v>
      </c>
      <c r="AA34" s="13">
        <f t="shared" si="18"/>
        <v>464.93641821672099</v>
      </c>
      <c r="AB34" s="13">
        <f t="shared" si="18"/>
        <v>456.98587551517357</v>
      </c>
      <c r="AC34" s="13">
        <f t="shared" si="18"/>
        <v>479.83516929093275</v>
      </c>
      <c r="AD34" s="13">
        <f t="shared" si="18"/>
        <v>348.13156095871364</v>
      </c>
      <c r="AE34" s="13">
        <f t="shared" si="18"/>
        <v>-80.818467343183784</v>
      </c>
      <c r="AF34" s="13"/>
      <c r="AG34" s="13"/>
      <c r="AH34" s="13"/>
      <c r="AI34" s="13"/>
      <c r="AJ34" s="13"/>
      <c r="AK34" s="13"/>
      <c r="AL34" s="13"/>
      <c r="AM34" s="13"/>
    </row>
    <row r="35" spans="1:39">
      <c r="A35" s="21" t="s">
        <v>93</v>
      </c>
      <c r="B35" s="14"/>
      <c r="C35" s="22">
        <f>326015562/Cr</f>
        <v>32.601556199999997</v>
      </c>
      <c r="D35" s="22">
        <v>120.49</v>
      </c>
      <c r="E35" s="23">
        <v>196.54</v>
      </c>
      <c r="F35" s="24">
        <f>Dep!D6*0+Dep!D12*1</f>
        <v>264.7038633935536</v>
      </c>
      <c r="G35" s="24">
        <f>Dep!E6*0+Dep!E12*1</f>
        <v>269.39651443024161</v>
      </c>
      <c r="H35" s="12">
        <v>200.35</v>
      </c>
      <c r="I35" s="12">
        <v>201.57</v>
      </c>
      <c r="J35" s="12">
        <v>200.79</v>
      </c>
      <c r="K35" s="12">
        <v>200.3</v>
      </c>
      <c r="L35" s="12">
        <v>199.75</v>
      </c>
      <c r="M35" s="12">
        <v>201.49</v>
      </c>
      <c r="N35" s="24">
        <f>Dep!L6*1+Dep!L12*0</f>
        <v>293.76993008219182</v>
      </c>
      <c r="O35" s="24">
        <f>Dep!M6*1+Dep!M12*0</f>
        <v>292.96728000000002</v>
      </c>
      <c r="P35" s="24">
        <f>Dep!N6*1+Dep!N12*0</f>
        <v>292.96728000000002</v>
      </c>
      <c r="Q35" s="24">
        <f>Dep!O6*1+Dep!O12*0</f>
        <v>292.96728000000002</v>
      </c>
      <c r="R35" s="24">
        <f>Dep!P6*1+Dep!P12*0</f>
        <v>293.76993008219182</v>
      </c>
      <c r="S35" s="24">
        <f>Dep!Q6*1+Dep!Q12*0</f>
        <v>292.96728000000002</v>
      </c>
      <c r="T35" s="24">
        <f>Dep!R6*1+Dep!R12*0</f>
        <v>292.96728000000002</v>
      </c>
      <c r="U35" s="24">
        <f>Dep!S6*1+Dep!S12*0</f>
        <v>292.96728000000002</v>
      </c>
      <c r="V35" s="24">
        <f>Dep!T6*1+Dep!T12*0</f>
        <v>293.76993008219182</v>
      </c>
      <c r="W35" s="24">
        <f>Dep!U6*1+Dep!U12*0</f>
        <v>292.96728000000002</v>
      </c>
      <c r="X35" s="24">
        <f>Dep!V6*1+Dep!V12*0</f>
        <v>292.96728000000002</v>
      </c>
      <c r="Y35" s="24">
        <f>Dep!W6*1+Dep!W12*0</f>
        <v>292.96728000000002</v>
      </c>
      <c r="Z35" s="24">
        <f>Dep!X6*1+Dep!X12*0</f>
        <v>293.76993008219182</v>
      </c>
      <c r="AA35" s="24">
        <f>Dep!Y6*1+Dep!Y12*0</f>
        <v>292.96728000000002</v>
      </c>
      <c r="AB35" s="24">
        <f>Dep!Z6*1+Dep!Z12*0</f>
        <v>292.96728000000002</v>
      </c>
      <c r="AC35" s="24">
        <f>Dep!AA6*1+Dep!AA12*0</f>
        <v>292.96728000000002</v>
      </c>
      <c r="AD35" s="24">
        <f>Dep!AB6*1+Dep!AB12*0</f>
        <v>293.76993008219182</v>
      </c>
      <c r="AE35" s="24">
        <f>Dep!AC6*1+Dep!AC12*0</f>
        <v>292.96728000000002</v>
      </c>
      <c r="AF35" s="15"/>
      <c r="AG35" s="13"/>
      <c r="AH35" s="13"/>
      <c r="AI35" s="13"/>
      <c r="AJ35" s="13"/>
      <c r="AK35" s="13"/>
      <c r="AL35" s="13"/>
      <c r="AM35" s="13"/>
    </row>
    <row r="36" spans="1:39">
      <c r="A36" t="s">
        <v>261</v>
      </c>
      <c r="B36" t="s">
        <v>1141</v>
      </c>
      <c r="C36" s="16">
        <f>1025554214/Cr</f>
        <v>102.5554214</v>
      </c>
      <c r="D36" s="16">
        <v>479.98</v>
      </c>
      <c r="E36" s="12">
        <v>920.92</v>
      </c>
      <c r="F36" s="13">
        <f>Debt!D37</f>
        <v>0</v>
      </c>
      <c r="G36" s="13">
        <f>Debt!D37</f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</row>
    <row r="37" spans="1:39" ht="13.95" customHeight="1">
      <c r="A37" t="s">
        <v>1142</v>
      </c>
      <c r="C37" s="13"/>
      <c r="D37" s="13"/>
      <c r="E37" s="13"/>
      <c r="F37" s="13">
        <f>WC!D12</f>
        <v>0</v>
      </c>
      <c r="G37" s="13">
        <f>WC!E12</f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</row>
    <row r="38" spans="1:39" ht="13.95" customHeight="1">
      <c r="A38" s="1" t="s">
        <v>1241</v>
      </c>
      <c r="C38" s="13"/>
      <c r="D38" s="13"/>
      <c r="E38" s="13"/>
      <c r="F38" s="13"/>
      <c r="G38" s="13"/>
      <c r="H38" s="13">
        <f t="shared" ref="H38:M38" si="19">H34-H35</f>
        <v>308.38000000000022</v>
      </c>
      <c r="I38" s="13">
        <f t="shared" si="19"/>
        <v>80.016565494787926</v>
      </c>
      <c r="J38" s="13">
        <f t="shared" si="19"/>
        <v>13.946998613753038</v>
      </c>
      <c r="K38" s="13">
        <f t="shared" si="19"/>
        <v>682.63011948384269</v>
      </c>
      <c r="L38" s="13">
        <f t="shared" si="19"/>
        <v>-86.411621084046828</v>
      </c>
      <c r="M38" s="13">
        <f t="shared" si="19"/>
        <v>-239.19244849278357</v>
      </c>
      <c r="N38" s="13">
        <f t="shared" ref="N38:AE38" si="20">N34-N35</f>
        <v>87.277920662134022</v>
      </c>
      <c r="O38" s="13">
        <f t="shared" si="20"/>
        <v>77.190278072399735</v>
      </c>
      <c r="P38" s="13">
        <f t="shared" si="20"/>
        <v>66.51177807239975</v>
      </c>
      <c r="Q38" s="13">
        <f t="shared" si="20"/>
        <v>98.551961338553895</v>
      </c>
      <c r="R38" s="13">
        <f t="shared" si="20"/>
        <v>87.694018886741617</v>
      </c>
      <c r="S38" s="13">
        <f t="shared" si="20"/>
        <v>115.46779976938734</v>
      </c>
      <c r="T38" s="13">
        <f t="shared" si="20"/>
        <v>120.92087499001747</v>
      </c>
      <c r="U38" s="13">
        <f t="shared" si="20"/>
        <v>135.42653596252177</v>
      </c>
      <c r="V38" s="13">
        <f t="shared" si="20"/>
        <v>122.27147743652046</v>
      </c>
      <c r="W38" s="13">
        <f t="shared" si="20"/>
        <v>154.78919443817659</v>
      </c>
      <c r="X38" s="13">
        <f t="shared" si="20"/>
        <v>155.58465226035497</v>
      </c>
      <c r="Y38" s="13">
        <f t="shared" si="20"/>
        <v>168.55994922557267</v>
      </c>
      <c r="Z38" s="13">
        <f t="shared" si="20"/>
        <v>174.86904278142634</v>
      </c>
      <c r="AA38" s="13">
        <f t="shared" si="20"/>
        <v>171.96913821672098</v>
      </c>
      <c r="AB38" s="13">
        <f t="shared" si="20"/>
        <v>164.01859551517356</v>
      </c>
      <c r="AC38" s="13">
        <f t="shared" si="20"/>
        <v>186.86788929093274</v>
      </c>
      <c r="AD38" s="13">
        <f t="shared" si="20"/>
        <v>54.361630876521815</v>
      </c>
      <c r="AE38" s="13">
        <f t="shared" si="20"/>
        <v>-373.7857473431838</v>
      </c>
      <c r="AF38" s="13"/>
      <c r="AG38" s="13"/>
      <c r="AH38" s="13"/>
      <c r="AI38" s="13"/>
      <c r="AJ38" s="13"/>
      <c r="AK38" s="13"/>
      <c r="AL38" s="13"/>
      <c r="AM38" s="13"/>
    </row>
    <row r="39" spans="1:39" ht="13.95" customHeight="1">
      <c r="A39" t="s">
        <v>1143</v>
      </c>
      <c r="C39" s="13"/>
      <c r="D39" s="13"/>
      <c r="E39" s="13"/>
      <c r="F39" s="13">
        <f>WC!D15</f>
        <v>0</v>
      </c>
      <c r="G39" s="13">
        <f>WC!E15</f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f>WC!L15</f>
        <v>0</v>
      </c>
      <c r="O39" s="13">
        <f>WC!M15</f>
        <v>0</v>
      </c>
      <c r="P39" s="13">
        <f>WC!N15</f>
        <v>0</v>
      </c>
      <c r="Q39" s="13">
        <f>WC!O15</f>
        <v>0</v>
      </c>
      <c r="R39" s="13">
        <f>WC!P15</f>
        <v>0</v>
      </c>
      <c r="S39" s="13">
        <f>WC!Q15</f>
        <v>0</v>
      </c>
      <c r="T39" s="13">
        <f>WC!R15</f>
        <v>0</v>
      </c>
      <c r="U39" s="13">
        <f>WC!S15</f>
        <v>0</v>
      </c>
      <c r="V39" s="13">
        <f>WC!T15</f>
        <v>0</v>
      </c>
      <c r="W39" s="13">
        <f>WC!U15</f>
        <v>0</v>
      </c>
      <c r="X39" s="13">
        <f>WC!V15</f>
        <v>0</v>
      </c>
      <c r="Y39" s="13">
        <f>WC!W15</f>
        <v>0</v>
      </c>
      <c r="Z39" s="13">
        <f>WC!X15</f>
        <v>0</v>
      </c>
      <c r="AA39" s="13">
        <f>WC!Y15</f>
        <v>0</v>
      </c>
      <c r="AB39" s="13">
        <f>WC!Z15</f>
        <v>0</v>
      </c>
      <c r="AC39" s="13">
        <f>WC!AA15</f>
        <v>0</v>
      </c>
      <c r="AD39" s="13">
        <f>WC!AB15</f>
        <v>0</v>
      </c>
      <c r="AE39" s="13">
        <f>WC!AC15</f>
        <v>0</v>
      </c>
      <c r="AF39" s="13"/>
      <c r="AG39" s="13"/>
      <c r="AH39" s="13"/>
      <c r="AI39" s="13"/>
      <c r="AJ39" s="13"/>
      <c r="AK39" s="13"/>
      <c r="AL39" s="13"/>
      <c r="AM39" s="13"/>
    </row>
    <row r="40" spans="1:39" ht="13.95" customHeight="1">
      <c r="A40" t="s">
        <v>1303</v>
      </c>
      <c r="C40" s="13"/>
      <c r="D40" s="13"/>
      <c r="E40" s="13"/>
      <c r="F40" s="13"/>
      <c r="G40" s="13">
        <f>Debt!D114</f>
        <v>0</v>
      </c>
      <c r="H40" s="12">
        <v>974.67</v>
      </c>
      <c r="I40" s="12">
        <v>1080.08</v>
      </c>
      <c r="J40" s="12">
        <v>310.31</v>
      </c>
      <c r="K40" s="12">
        <v>4.3</v>
      </c>
      <c r="L40" s="12">
        <v>2.2200000000000002</v>
      </c>
      <c r="M40" s="12">
        <v>1.59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/>
      <c r="AG40" s="13"/>
      <c r="AH40" s="13"/>
      <c r="AI40" s="13"/>
      <c r="AJ40" s="13"/>
      <c r="AK40" s="13"/>
      <c r="AL40" s="13"/>
      <c r="AM40" s="13"/>
    </row>
    <row r="41" spans="1:39">
      <c r="A41" t="s">
        <v>1144</v>
      </c>
      <c r="C41" s="13">
        <f>C34+C5-SUM(C35:C39)</f>
        <v>43.431377699999956</v>
      </c>
      <c r="D41" s="13">
        <f>D3+D5-D33-D35-D36</f>
        <v>221.57749850000005</v>
      </c>
      <c r="E41" s="13">
        <f>E3+E5-E33-E35-E36</f>
        <v>-434.10600000000034</v>
      </c>
      <c r="F41" s="13" t="e">
        <f>F3+F5-F33-F35-F36</f>
        <v>#REF!</v>
      </c>
      <c r="G41" s="13" t="e">
        <f>G3+G5-G33-G35-G36</f>
        <v>#REF!</v>
      </c>
      <c r="H41" s="13">
        <f t="shared" ref="H41:M41" si="21">H38-H40</f>
        <v>-666.28999999999974</v>
      </c>
      <c r="I41" s="13">
        <f t="shared" si="21"/>
        <v>-1000.0634345052119</v>
      </c>
      <c r="J41" s="13">
        <f t="shared" si="21"/>
        <v>-296.36300138624699</v>
      </c>
      <c r="K41" s="13">
        <f t="shared" si="21"/>
        <v>678.33011948384274</v>
      </c>
      <c r="L41" s="13">
        <f t="shared" si="21"/>
        <v>-88.631621084046827</v>
      </c>
      <c r="M41" s="13">
        <f t="shared" si="21"/>
        <v>-240.78244849278357</v>
      </c>
      <c r="N41" s="13">
        <f t="shared" ref="N41:AE41" si="22">N3+N5-N33-N35-N36</f>
        <v>87.277920662134022</v>
      </c>
      <c r="O41" s="13">
        <f t="shared" si="22"/>
        <v>77.190278072399735</v>
      </c>
      <c r="P41" s="13">
        <f t="shared" si="22"/>
        <v>66.51177807239975</v>
      </c>
      <c r="Q41" s="13">
        <f t="shared" si="22"/>
        <v>98.551961338553895</v>
      </c>
      <c r="R41" s="13">
        <f t="shared" si="22"/>
        <v>87.694018886741617</v>
      </c>
      <c r="S41" s="13">
        <f t="shared" si="22"/>
        <v>115.46779976938734</v>
      </c>
      <c r="T41" s="13">
        <f t="shared" si="22"/>
        <v>120.92087499001747</v>
      </c>
      <c r="U41" s="13">
        <f t="shared" si="22"/>
        <v>135.42653596252177</v>
      </c>
      <c r="V41" s="13">
        <f t="shared" si="22"/>
        <v>122.27147743652046</v>
      </c>
      <c r="W41" s="13">
        <f t="shared" si="22"/>
        <v>154.78919443817659</v>
      </c>
      <c r="X41" s="13">
        <f t="shared" si="22"/>
        <v>155.58465226035497</v>
      </c>
      <c r="Y41" s="13">
        <f t="shared" si="22"/>
        <v>168.55994922557267</v>
      </c>
      <c r="Z41" s="13">
        <f t="shared" si="22"/>
        <v>174.86904278142634</v>
      </c>
      <c r="AA41" s="13">
        <f t="shared" si="22"/>
        <v>171.96913821672098</v>
      </c>
      <c r="AB41" s="13">
        <f t="shared" si="22"/>
        <v>164.01859551517356</v>
      </c>
      <c r="AC41" s="13">
        <f t="shared" si="22"/>
        <v>186.86788929093274</v>
      </c>
      <c r="AD41" s="13">
        <f t="shared" si="22"/>
        <v>54.361630876521815</v>
      </c>
      <c r="AE41" s="13">
        <f t="shared" si="22"/>
        <v>-373.7857473431838</v>
      </c>
      <c r="AF41" s="13"/>
      <c r="AG41" s="13"/>
      <c r="AH41" s="13"/>
      <c r="AI41" s="13"/>
      <c r="AJ41" s="13"/>
      <c r="AK41" s="13"/>
      <c r="AL41" s="13"/>
      <c r="AM41" s="13"/>
    </row>
    <row r="42" spans="1:39">
      <c r="A42" t="s">
        <v>96</v>
      </c>
      <c r="C42" s="11">
        <f>8.8268375</f>
        <v>8.8268374999999999</v>
      </c>
      <c r="D42" s="11">
        <f>41.0668301</f>
        <v>41.066830099999997</v>
      </c>
      <c r="E42" s="11">
        <v>0</v>
      </c>
      <c r="F42" s="11"/>
      <c r="G42" s="11"/>
      <c r="H42" s="26">
        <f>Dep!F45</f>
        <v>0</v>
      </c>
      <c r="I42" s="26">
        <f>Dep!G45</f>
        <v>0</v>
      </c>
      <c r="J42" s="26">
        <f>Dep!H45</f>
        <v>0</v>
      </c>
      <c r="K42" s="26">
        <v>169.32</v>
      </c>
      <c r="L42" s="26">
        <v>-19.54</v>
      </c>
      <c r="M42" s="26">
        <v>-149.78</v>
      </c>
      <c r="N42" s="26">
        <f>Dep!L45</f>
        <v>0</v>
      </c>
      <c r="O42" s="26">
        <f>Dep!M45</f>
        <v>0</v>
      </c>
      <c r="P42" s="26">
        <f>Dep!N45</f>
        <v>0</v>
      </c>
      <c r="Q42" s="26">
        <f>Dep!O45</f>
        <v>0</v>
      </c>
      <c r="R42" s="26">
        <f>Dep!P45</f>
        <v>0</v>
      </c>
      <c r="S42" s="26">
        <f>Dep!Q45</f>
        <v>0</v>
      </c>
      <c r="T42" s="26">
        <f>Dep!R45</f>
        <v>0</v>
      </c>
      <c r="U42" s="26">
        <f>Dep!S45</f>
        <v>0</v>
      </c>
      <c r="V42" s="26">
        <f>Dep!T45</f>
        <v>0</v>
      </c>
      <c r="W42" s="26">
        <f>Dep!U45</f>
        <v>0</v>
      </c>
      <c r="X42" s="26">
        <f>Dep!V45</f>
        <v>0</v>
      </c>
      <c r="Y42" s="26">
        <f>Dep!W45</f>
        <v>0</v>
      </c>
      <c r="Z42" s="26">
        <f>Dep!X45</f>
        <v>0</v>
      </c>
      <c r="AA42" s="26">
        <f>Dep!Y45</f>
        <v>0</v>
      </c>
      <c r="AB42" s="26">
        <f>Dep!Z45</f>
        <v>0</v>
      </c>
      <c r="AC42" s="26">
        <f>Dep!AA45</f>
        <v>0</v>
      </c>
      <c r="AD42" s="26">
        <f>Dep!AB45</f>
        <v>0</v>
      </c>
      <c r="AE42" s="26">
        <f>Dep!AC45</f>
        <v>0</v>
      </c>
      <c r="AF42" s="13"/>
      <c r="AG42" s="13"/>
      <c r="AH42" s="13"/>
      <c r="AI42" s="13"/>
      <c r="AJ42" s="13"/>
      <c r="AK42" s="13"/>
      <c r="AL42" s="13"/>
      <c r="AM42" s="13"/>
    </row>
    <row r="43" spans="1:39">
      <c r="A43" t="s">
        <v>1145</v>
      </c>
      <c r="C43" s="13">
        <f>C41-C42</f>
        <v>34.60454019999996</v>
      </c>
      <c r="D43" s="13">
        <f>D41-D42</f>
        <v>180.51066840000004</v>
      </c>
      <c r="E43" s="13">
        <f t="shared" ref="E43:AE43" si="23">E41-E42</f>
        <v>-434.10600000000034</v>
      </c>
      <c r="F43" s="13" t="e">
        <f t="shared" si="23"/>
        <v>#REF!</v>
      </c>
      <c r="G43" s="13" t="e">
        <f t="shared" si="23"/>
        <v>#REF!</v>
      </c>
      <c r="H43" s="13">
        <f t="shared" si="23"/>
        <v>-666.28999999999974</v>
      </c>
      <c r="I43" s="13">
        <f t="shared" si="23"/>
        <v>-1000.0634345052119</v>
      </c>
      <c r="J43" s="13">
        <f t="shared" si="23"/>
        <v>-296.36300138624699</v>
      </c>
      <c r="K43" s="13">
        <f t="shared" si="23"/>
        <v>509.01011948384274</v>
      </c>
      <c r="L43" s="13">
        <f t="shared" si="23"/>
        <v>-69.091621084046835</v>
      </c>
      <c r="M43" s="13">
        <f t="shared" si="23"/>
        <v>-91.002448492783572</v>
      </c>
      <c r="N43" s="13">
        <f t="shared" si="23"/>
        <v>87.277920662134022</v>
      </c>
      <c r="O43" s="13">
        <f t="shared" si="23"/>
        <v>77.190278072399735</v>
      </c>
      <c r="P43" s="13">
        <f t="shared" si="23"/>
        <v>66.51177807239975</v>
      </c>
      <c r="Q43" s="13">
        <f t="shared" si="23"/>
        <v>98.551961338553895</v>
      </c>
      <c r="R43" s="13">
        <f t="shared" si="23"/>
        <v>87.694018886741617</v>
      </c>
      <c r="S43" s="13">
        <f t="shared" si="23"/>
        <v>115.46779976938734</v>
      </c>
      <c r="T43" s="13">
        <f t="shared" si="23"/>
        <v>120.92087499001747</v>
      </c>
      <c r="U43" s="13">
        <f t="shared" si="23"/>
        <v>135.42653596252177</v>
      </c>
      <c r="V43" s="13">
        <f t="shared" si="23"/>
        <v>122.27147743652046</v>
      </c>
      <c r="W43" s="13">
        <f t="shared" si="23"/>
        <v>154.78919443817659</v>
      </c>
      <c r="X43" s="13">
        <f t="shared" si="23"/>
        <v>155.58465226035497</v>
      </c>
      <c r="Y43" s="13">
        <f t="shared" si="23"/>
        <v>168.55994922557267</v>
      </c>
      <c r="Z43" s="13">
        <f t="shared" si="23"/>
        <v>174.86904278142634</v>
      </c>
      <c r="AA43" s="13">
        <f t="shared" si="23"/>
        <v>171.96913821672098</v>
      </c>
      <c r="AB43" s="13">
        <f t="shared" si="23"/>
        <v>164.01859551517356</v>
      </c>
      <c r="AC43" s="13">
        <f t="shared" si="23"/>
        <v>186.86788929093274</v>
      </c>
      <c r="AD43" s="13">
        <f t="shared" si="23"/>
        <v>54.361630876521815</v>
      </c>
      <c r="AE43" s="13">
        <f t="shared" si="23"/>
        <v>-373.7857473431838</v>
      </c>
      <c r="AF43" s="13"/>
      <c r="AG43" s="13"/>
      <c r="AH43" s="13"/>
      <c r="AI43" s="13"/>
      <c r="AJ43" s="13"/>
      <c r="AK43" s="13"/>
      <c r="AL43" s="13"/>
      <c r="AM43" s="13"/>
    </row>
    <row r="44" spans="1:39" hidden="1">
      <c r="A44" t="s">
        <v>1146</v>
      </c>
      <c r="C44" s="13"/>
      <c r="D44" s="13"/>
      <c r="E44" s="13"/>
      <c r="F44" s="13"/>
      <c r="G44" s="13"/>
      <c r="H44" s="13">
        <f>Debt!D61</f>
        <v>0</v>
      </c>
      <c r="I44" s="13">
        <f>Debt!E61</f>
        <v>0</v>
      </c>
      <c r="J44" s="13">
        <f>Debt!F61</f>
        <v>0</v>
      </c>
      <c r="K44" s="13" t="e">
        <f ca="1">Debt!G61</f>
        <v>#DIV/0!</v>
      </c>
      <c r="L44" s="13">
        <f>Debt!H61</f>
        <v>0</v>
      </c>
      <c r="M44" s="13">
        <f>Debt!I61</f>
        <v>0</v>
      </c>
      <c r="N44" s="13">
        <f>Debt!J61</f>
        <v>0</v>
      </c>
      <c r="O44" s="13">
        <f>Debt!K61</f>
        <v>0</v>
      </c>
      <c r="P44" s="13">
        <f>Debt!L61</f>
        <v>0</v>
      </c>
      <c r="Q44" s="13">
        <f>Debt!M61</f>
        <v>0</v>
      </c>
      <c r="R44" s="13">
        <f>Debt!N61</f>
        <v>0</v>
      </c>
      <c r="S44" s="13">
        <f>Debt!O61</f>
        <v>0</v>
      </c>
      <c r="T44" s="13">
        <f>Debt!P61</f>
        <v>0</v>
      </c>
      <c r="U44" s="13">
        <f>Debt!Q61</f>
        <v>0</v>
      </c>
      <c r="V44" s="13">
        <f>Debt!R61</f>
        <v>0</v>
      </c>
      <c r="W44" s="13">
        <f>Debt!S61</f>
        <v>0</v>
      </c>
      <c r="X44" s="13">
        <f>Debt!T61</f>
        <v>0</v>
      </c>
      <c r="Y44" s="13">
        <f>Debt!U61</f>
        <v>0</v>
      </c>
      <c r="Z44" s="13">
        <f>Debt!V61</f>
        <v>0</v>
      </c>
      <c r="AA44" s="13">
        <f>Debt!W61</f>
        <v>0</v>
      </c>
      <c r="AB44" s="13">
        <f>Debt!X61</f>
        <v>0</v>
      </c>
      <c r="AC44" s="13">
        <f>Debt!Y61</f>
        <v>0</v>
      </c>
      <c r="AD44" s="13">
        <f>Debt!Z61</f>
        <v>0</v>
      </c>
      <c r="AE44" s="13">
        <f>Debt!AA61</f>
        <v>0</v>
      </c>
      <c r="AF44" s="13"/>
      <c r="AG44" s="13"/>
      <c r="AH44" s="13"/>
      <c r="AI44" s="13"/>
      <c r="AJ44" s="13"/>
      <c r="AK44" s="13"/>
      <c r="AL44" s="13"/>
      <c r="AM44" s="13"/>
    </row>
    <row r="45" spans="1:39" hidden="1">
      <c r="A45" t="s">
        <v>1147</v>
      </c>
      <c r="C45" s="13">
        <f t="shared" ref="C45:AE45" si="24">C43-C44</f>
        <v>34.60454019999996</v>
      </c>
      <c r="D45" s="13">
        <f t="shared" si="24"/>
        <v>180.51066840000004</v>
      </c>
      <c r="E45" s="13">
        <f t="shared" si="24"/>
        <v>-434.10600000000034</v>
      </c>
      <c r="F45" s="13" t="e">
        <f t="shared" si="24"/>
        <v>#REF!</v>
      </c>
      <c r="G45" s="13" t="e">
        <f t="shared" si="24"/>
        <v>#REF!</v>
      </c>
      <c r="H45" s="13">
        <f t="shared" si="24"/>
        <v>-666.28999999999974</v>
      </c>
      <c r="I45" s="13">
        <f t="shared" si="24"/>
        <v>-1000.0634345052119</v>
      </c>
      <c r="J45" s="13">
        <f t="shared" si="24"/>
        <v>-296.36300138624699</v>
      </c>
      <c r="K45" s="13">
        <f>K43</f>
        <v>509.01011948384274</v>
      </c>
      <c r="L45" s="13">
        <f t="shared" si="24"/>
        <v>-69.091621084046835</v>
      </c>
      <c r="M45" s="13">
        <f t="shared" si="24"/>
        <v>-91.002448492783572</v>
      </c>
      <c r="N45" s="13">
        <f t="shared" si="24"/>
        <v>87.277920662134022</v>
      </c>
      <c r="O45" s="13">
        <f t="shared" si="24"/>
        <v>77.190278072399735</v>
      </c>
      <c r="P45" s="13">
        <f t="shared" si="24"/>
        <v>66.51177807239975</v>
      </c>
      <c r="Q45" s="13">
        <f t="shared" si="24"/>
        <v>98.551961338553895</v>
      </c>
      <c r="R45" s="13">
        <f t="shared" si="24"/>
        <v>87.694018886741617</v>
      </c>
      <c r="S45" s="13">
        <f t="shared" si="24"/>
        <v>115.46779976938734</v>
      </c>
      <c r="T45" s="13">
        <f t="shared" si="24"/>
        <v>120.92087499001747</v>
      </c>
      <c r="U45" s="13">
        <f t="shared" si="24"/>
        <v>135.42653596252177</v>
      </c>
      <c r="V45" s="13">
        <f t="shared" si="24"/>
        <v>122.27147743652046</v>
      </c>
      <c r="W45" s="13">
        <f t="shared" si="24"/>
        <v>154.78919443817659</v>
      </c>
      <c r="X45" s="13">
        <f t="shared" si="24"/>
        <v>155.58465226035497</v>
      </c>
      <c r="Y45" s="13">
        <f t="shared" si="24"/>
        <v>168.55994922557267</v>
      </c>
      <c r="Z45" s="13">
        <f t="shared" si="24"/>
        <v>174.86904278142634</v>
      </c>
      <c r="AA45" s="13">
        <f t="shared" si="24"/>
        <v>171.96913821672098</v>
      </c>
      <c r="AB45" s="13">
        <f t="shared" si="24"/>
        <v>164.01859551517356</v>
      </c>
      <c r="AC45" s="13">
        <f t="shared" si="24"/>
        <v>186.86788929093274</v>
      </c>
      <c r="AD45" s="13">
        <f t="shared" si="24"/>
        <v>54.361630876521815</v>
      </c>
      <c r="AE45" s="13">
        <f t="shared" si="24"/>
        <v>-373.7857473431838</v>
      </c>
      <c r="AF45" s="13"/>
      <c r="AG45" s="13"/>
      <c r="AH45" s="13"/>
      <c r="AI45" s="13"/>
      <c r="AJ45" s="13"/>
      <c r="AK45" s="13"/>
      <c r="AL45" s="13"/>
      <c r="AM45" s="13"/>
    </row>
    <row r="46" spans="1:39" hidden="1">
      <c r="A46" t="s">
        <v>1148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</row>
    <row r="47" spans="1:39">
      <c r="A47" t="s">
        <v>1149</v>
      </c>
      <c r="C47" s="13">
        <v>43.38</v>
      </c>
      <c r="D47" s="13">
        <v>175.59</v>
      </c>
      <c r="E47" s="13">
        <f t="shared" ref="E47:J47" si="25">E45-E46</f>
        <v>-434.10600000000034</v>
      </c>
      <c r="F47" s="13" t="e">
        <f t="shared" si="25"/>
        <v>#REF!</v>
      </c>
      <c r="G47" s="13" t="e">
        <f t="shared" si="25"/>
        <v>#REF!</v>
      </c>
      <c r="H47" s="13">
        <f t="shared" si="25"/>
        <v>-666.28999999999974</v>
      </c>
      <c r="I47" s="13">
        <f t="shared" si="25"/>
        <v>-1000.0634345052119</v>
      </c>
      <c r="J47" s="13">
        <f t="shared" si="25"/>
        <v>-296.36300138624699</v>
      </c>
      <c r="K47" s="13">
        <f>K45</f>
        <v>509.01011948384274</v>
      </c>
      <c r="L47" s="13">
        <f t="shared" ref="L47:AE47" si="26">L45-L46</f>
        <v>-69.091621084046835</v>
      </c>
      <c r="M47" s="13">
        <f t="shared" si="26"/>
        <v>-91.002448492783572</v>
      </c>
      <c r="N47" s="13">
        <f t="shared" si="26"/>
        <v>87.277920662134022</v>
      </c>
      <c r="O47" s="13">
        <f t="shared" si="26"/>
        <v>77.190278072399735</v>
      </c>
      <c r="P47" s="13">
        <f t="shared" si="26"/>
        <v>66.51177807239975</v>
      </c>
      <c r="Q47" s="13">
        <f t="shared" si="26"/>
        <v>98.551961338553895</v>
      </c>
      <c r="R47" s="13">
        <f t="shared" si="26"/>
        <v>87.694018886741617</v>
      </c>
      <c r="S47" s="13">
        <f t="shared" si="26"/>
        <v>115.46779976938734</v>
      </c>
      <c r="T47" s="13">
        <f t="shared" si="26"/>
        <v>120.92087499001747</v>
      </c>
      <c r="U47" s="13">
        <f t="shared" si="26"/>
        <v>135.42653596252177</v>
      </c>
      <c r="V47" s="13">
        <f t="shared" si="26"/>
        <v>122.27147743652046</v>
      </c>
      <c r="W47" s="13">
        <f t="shared" si="26"/>
        <v>154.78919443817659</v>
      </c>
      <c r="X47" s="13">
        <f t="shared" si="26"/>
        <v>155.58465226035497</v>
      </c>
      <c r="Y47" s="13">
        <f t="shared" si="26"/>
        <v>168.55994922557267</v>
      </c>
      <c r="Z47" s="13">
        <f t="shared" si="26"/>
        <v>174.86904278142634</v>
      </c>
      <c r="AA47" s="13">
        <f t="shared" si="26"/>
        <v>171.96913821672098</v>
      </c>
      <c r="AB47" s="13">
        <f t="shared" si="26"/>
        <v>164.01859551517356</v>
      </c>
      <c r="AC47" s="13">
        <f t="shared" si="26"/>
        <v>186.86788929093274</v>
      </c>
      <c r="AD47" s="13">
        <f t="shared" si="26"/>
        <v>54.361630876521815</v>
      </c>
      <c r="AE47" s="13">
        <f t="shared" si="26"/>
        <v>-373.7857473431838</v>
      </c>
      <c r="AF47" s="13"/>
      <c r="AG47" s="13"/>
      <c r="AH47" s="13"/>
      <c r="AI47" s="13"/>
      <c r="AJ47" s="13"/>
      <c r="AK47" s="13"/>
      <c r="AL47" s="13"/>
      <c r="AM47" s="13"/>
    </row>
    <row r="48" spans="1:39">
      <c r="A48" t="s">
        <v>1150</v>
      </c>
      <c r="C48" s="15"/>
      <c r="D48" s="15">
        <v>-0.15509999999999999</v>
      </c>
      <c r="E48" s="15">
        <v>0.13730000000000001</v>
      </c>
      <c r="F48" s="15"/>
      <c r="G48" s="15"/>
      <c r="H48" s="15">
        <v>0.43</v>
      </c>
      <c r="I48" s="12">
        <v>0.69</v>
      </c>
      <c r="J48" s="12">
        <v>-0.06</v>
      </c>
      <c r="K48" s="12">
        <v>0.64</v>
      </c>
      <c r="L48" s="12">
        <v>-0.28999999999999998</v>
      </c>
      <c r="M48" s="12">
        <v>0.12</v>
      </c>
      <c r="N48" s="12">
        <f>M48</f>
        <v>0.12</v>
      </c>
      <c r="O48" s="12">
        <f t="shared" ref="O48:AE48" si="27">N48</f>
        <v>0.12</v>
      </c>
      <c r="P48" s="12">
        <f t="shared" si="27"/>
        <v>0.12</v>
      </c>
      <c r="Q48" s="12">
        <f t="shared" si="27"/>
        <v>0.12</v>
      </c>
      <c r="R48" s="12">
        <f t="shared" si="27"/>
        <v>0.12</v>
      </c>
      <c r="S48" s="12">
        <f t="shared" si="27"/>
        <v>0.12</v>
      </c>
      <c r="T48" s="12">
        <f t="shared" si="27"/>
        <v>0.12</v>
      </c>
      <c r="U48" s="12">
        <f t="shared" si="27"/>
        <v>0.12</v>
      </c>
      <c r="V48" s="12">
        <f t="shared" si="27"/>
        <v>0.12</v>
      </c>
      <c r="W48" s="12">
        <f t="shared" si="27"/>
        <v>0.12</v>
      </c>
      <c r="X48" s="12">
        <f t="shared" si="27"/>
        <v>0.12</v>
      </c>
      <c r="Y48" s="12">
        <f t="shared" si="27"/>
        <v>0.12</v>
      </c>
      <c r="Z48" s="12">
        <f t="shared" si="27"/>
        <v>0.12</v>
      </c>
      <c r="AA48" s="12">
        <f t="shared" si="27"/>
        <v>0.12</v>
      </c>
      <c r="AB48" s="12">
        <f t="shared" si="27"/>
        <v>0.12</v>
      </c>
      <c r="AC48" s="12">
        <f t="shared" si="27"/>
        <v>0.12</v>
      </c>
      <c r="AD48" s="12">
        <f t="shared" si="27"/>
        <v>0.12</v>
      </c>
      <c r="AE48" s="12">
        <f t="shared" si="27"/>
        <v>0.12</v>
      </c>
      <c r="AF48" s="15"/>
      <c r="AG48" s="15"/>
      <c r="AH48" s="15"/>
      <c r="AI48" s="15"/>
      <c r="AJ48" s="15"/>
      <c r="AK48" s="15"/>
      <c r="AL48" s="15"/>
      <c r="AM48" s="15"/>
    </row>
    <row r="49" spans="1:39">
      <c r="A49" t="s">
        <v>1151</v>
      </c>
      <c r="C49" s="13"/>
      <c r="D49" s="13">
        <f>D47+D48</f>
        <v>175.4349</v>
      </c>
      <c r="E49" s="13">
        <f>E48+E43</f>
        <v>-433.96870000000035</v>
      </c>
      <c r="F49" s="13" t="e">
        <f t="shared" ref="F49:AE49" si="28">F48+F43</f>
        <v>#REF!</v>
      </c>
      <c r="G49" s="13" t="e">
        <f t="shared" si="28"/>
        <v>#REF!</v>
      </c>
      <c r="H49" s="13">
        <f t="shared" si="28"/>
        <v>-665.85999999999979</v>
      </c>
      <c r="I49" s="13">
        <f t="shared" si="28"/>
        <v>-999.37343450521189</v>
      </c>
      <c r="J49" s="13">
        <f t="shared" si="28"/>
        <v>-296.42300138624699</v>
      </c>
      <c r="K49" s="13">
        <f>K48+K47</f>
        <v>509.65011948384273</v>
      </c>
      <c r="L49" s="13">
        <f>L47+L48</f>
        <v>-69.381621084046841</v>
      </c>
      <c r="M49" s="13">
        <f t="shared" si="28"/>
        <v>-90.882448492783567</v>
      </c>
      <c r="N49" s="13">
        <f t="shared" si="28"/>
        <v>87.397920662134027</v>
      </c>
      <c r="O49" s="13">
        <f t="shared" si="28"/>
        <v>77.31027807239974</v>
      </c>
      <c r="P49" s="13">
        <f t="shared" si="28"/>
        <v>66.631778072399754</v>
      </c>
      <c r="Q49" s="13">
        <f t="shared" si="28"/>
        <v>98.671961338553899</v>
      </c>
      <c r="R49" s="13">
        <f t="shared" si="28"/>
        <v>87.814018886741621</v>
      </c>
      <c r="S49" s="13">
        <f t="shared" si="28"/>
        <v>115.58779976938735</v>
      </c>
      <c r="T49" s="13">
        <f t="shared" si="28"/>
        <v>121.04087499001747</v>
      </c>
      <c r="U49" s="13">
        <f t="shared" si="28"/>
        <v>135.54653596252177</v>
      </c>
      <c r="V49" s="13">
        <f t="shared" si="28"/>
        <v>122.39147743652046</v>
      </c>
      <c r="W49" s="13">
        <f t="shared" si="28"/>
        <v>154.9091944381766</v>
      </c>
      <c r="X49" s="13">
        <f t="shared" si="28"/>
        <v>155.70465226035498</v>
      </c>
      <c r="Y49" s="13">
        <f t="shared" si="28"/>
        <v>168.67994922557267</v>
      </c>
      <c r="Z49" s="13">
        <f t="shared" si="28"/>
        <v>174.98904278142635</v>
      </c>
      <c r="AA49" s="13">
        <f t="shared" si="28"/>
        <v>172.08913821672098</v>
      </c>
      <c r="AB49" s="13">
        <f t="shared" si="28"/>
        <v>164.13859551517356</v>
      </c>
      <c r="AC49" s="13">
        <f t="shared" si="28"/>
        <v>186.98788929093274</v>
      </c>
      <c r="AD49" s="13">
        <f t="shared" si="28"/>
        <v>54.481630876521812</v>
      </c>
      <c r="AE49" s="13">
        <f t="shared" si="28"/>
        <v>-373.6657473431838</v>
      </c>
      <c r="AF49" s="13"/>
      <c r="AG49" s="13"/>
      <c r="AH49" s="13"/>
      <c r="AI49" s="13"/>
      <c r="AJ49" s="13"/>
      <c r="AK49" s="13"/>
      <c r="AL49" s="13"/>
      <c r="AM49" s="13"/>
    </row>
    <row r="50" spans="1:39">
      <c r="A50" t="s">
        <v>1241</v>
      </c>
      <c r="B50" s="542">
        <v>90.670169611678318</v>
      </c>
      <c r="C50" s="542">
        <v>22.559695348012582</v>
      </c>
      <c r="D50" s="712">
        <v>695.24042513268932</v>
      </c>
      <c r="E50" s="712">
        <v>-77.883105297135899</v>
      </c>
      <c r="F50" s="712">
        <v>-223.73159005131242</v>
      </c>
      <c r="G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</row>
    <row r="51" spans="1:39" ht="15" thickBot="1">
      <c r="A51" s="709" t="s">
        <v>1145</v>
      </c>
      <c r="B51" s="710">
        <v>-988.41</v>
      </c>
      <c r="C51" s="710">
        <v>-287.75</v>
      </c>
      <c r="D51" s="710">
        <v>521.62</v>
      </c>
      <c r="E51" s="710">
        <v>-60.56</v>
      </c>
      <c r="F51" s="710">
        <v>-75.540000000000006</v>
      </c>
      <c r="G51" s="13"/>
      <c r="H51" s="13"/>
      <c r="I51" s="69">
        <f t="shared" ref="I51:AE51" si="29">I33/I3</f>
        <v>0.85130322321606589</v>
      </c>
      <c r="J51" s="69">
        <f t="shared" si="29"/>
        <v>0.87638092871223894</v>
      </c>
      <c r="K51" s="69">
        <f t="shared" si="29"/>
        <v>0.55658854498582577</v>
      </c>
      <c r="L51" s="69">
        <f t="shared" si="29"/>
        <v>0.92053925645761181</v>
      </c>
      <c r="M51" s="69">
        <f t="shared" si="29"/>
        <v>1.0297127181272971</v>
      </c>
      <c r="N51" s="69">
        <f t="shared" si="29"/>
        <v>0.87923946946309584</v>
      </c>
      <c r="O51" s="69">
        <f t="shared" si="29"/>
        <v>0.88236939292505756</v>
      </c>
      <c r="P51" s="69">
        <f t="shared" si="29"/>
        <v>0.88576286257131043</v>
      </c>
      <c r="Q51" s="69">
        <f t="shared" si="29"/>
        <v>0.88416408816816539</v>
      </c>
      <c r="R51" s="69">
        <f t="shared" si="29"/>
        <v>0.88744743658592729</v>
      </c>
      <c r="S51" s="69">
        <f t="shared" si="29"/>
        <v>0.88658500024940246</v>
      </c>
      <c r="T51" s="69">
        <f t="shared" si="29"/>
        <v>0.88815684936081529</v>
      </c>
      <c r="U51" s="69">
        <f t="shared" si="29"/>
        <v>0.88879475145729148</v>
      </c>
      <c r="V51" s="69">
        <f t="shared" si="29"/>
        <v>0.89229634834974592</v>
      </c>
      <c r="W51" s="69">
        <f t="shared" si="29"/>
        <v>0.8911840792222494</v>
      </c>
      <c r="X51" s="69">
        <f t="shared" si="29"/>
        <v>0.89330724412086815</v>
      </c>
      <c r="Y51" s="69">
        <f t="shared" si="29"/>
        <v>0.89422755576944579</v>
      </c>
      <c r="Z51" s="69">
        <f t="shared" si="29"/>
        <v>0.89575387224441294</v>
      </c>
      <c r="AA51" s="69">
        <f t="shared" si="29"/>
        <v>0.89835238968758535</v>
      </c>
      <c r="AB51" s="69">
        <f t="shared" si="29"/>
        <v>0.90139526677542103</v>
      </c>
      <c r="AC51" s="69">
        <f t="shared" si="29"/>
        <v>0.90139526677542092</v>
      </c>
      <c r="AD51" s="69">
        <f t="shared" si="29"/>
        <v>0.91847481215878402</v>
      </c>
      <c r="AE51" s="69">
        <f t="shared" si="29"/>
        <v>1.0389016067770138</v>
      </c>
      <c r="AF51" s="13"/>
      <c r="AG51" s="13"/>
      <c r="AH51" s="13"/>
      <c r="AI51" s="13"/>
      <c r="AJ51" s="13"/>
      <c r="AK51" s="13"/>
      <c r="AL51" s="13"/>
      <c r="AM51" s="13"/>
    </row>
    <row r="52" spans="1:39" ht="15" thickBot="1">
      <c r="A52" s="709" t="s">
        <v>1407</v>
      </c>
      <c r="B52" s="710">
        <v>1578.53</v>
      </c>
      <c r="C52" s="710">
        <v>1573.96</v>
      </c>
      <c r="D52" s="710">
        <v>1938.94</v>
      </c>
      <c r="E52" s="710">
        <v>954.61</v>
      </c>
      <c r="F52" s="710">
        <v>1904.83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</row>
    <row r="53" spans="1:39" ht="15" thickBot="1">
      <c r="A53" s="709" t="s">
        <v>1140</v>
      </c>
      <c r="B53" s="710">
        <v>292.24</v>
      </c>
      <c r="C53" s="710">
        <v>223.35</v>
      </c>
      <c r="D53" s="710">
        <v>895.54</v>
      </c>
      <c r="E53" s="710">
        <v>121.87</v>
      </c>
      <c r="F53" s="710">
        <v>-22.24</v>
      </c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</row>
    <row r="54" spans="1:39">
      <c r="A54" s="711" t="s">
        <v>1429</v>
      </c>
      <c r="B54" s="27">
        <f>B53/B52</f>
        <v>0.18513427049216677</v>
      </c>
      <c r="C54" s="27">
        <f t="shared" ref="C54:F54" si="30">C53/C52</f>
        <v>0.14190322498665786</v>
      </c>
      <c r="D54" s="27">
        <f t="shared" si="30"/>
        <v>0.46187091916201634</v>
      </c>
      <c r="E54" s="27">
        <f t="shared" si="30"/>
        <v>0.12766470076785286</v>
      </c>
      <c r="F54" s="27">
        <f t="shared" si="30"/>
        <v>-1.1675582597922124E-2</v>
      </c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</row>
    <row r="55" spans="1:39">
      <c r="A55" s="711" t="s">
        <v>1430</v>
      </c>
      <c r="B55" s="27">
        <f>B51/B52</f>
        <v>-0.62615851456735061</v>
      </c>
      <c r="C55" s="27">
        <f t="shared" ref="C55:F55" si="31">C51/C52</f>
        <v>-0.18281913136293171</v>
      </c>
      <c r="D55" s="27">
        <f t="shared" si="31"/>
        <v>0.26902328076165327</v>
      </c>
      <c r="E55" s="27">
        <f t="shared" si="31"/>
        <v>-6.3439519803898975E-2</v>
      </c>
      <c r="F55" s="27">
        <f t="shared" si="31"/>
        <v>-3.9657082259309237E-2</v>
      </c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</row>
    <row r="56" spans="1:39" hidden="1"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</row>
    <row r="57" spans="1:39" hidden="1"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</row>
    <row r="58" spans="1:39" hidden="1"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</row>
    <row r="59" spans="1:39" hidden="1">
      <c r="A59" s="8" t="s">
        <v>1152</v>
      </c>
      <c r="B59" s="8"/>
      <c r="C59" s="27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</row>
    <row r="60" spans="1:39" hidden="1">
      <c r="A60" s="4" t="s">
        <v>1153</v>
      </c>
      <c r="B60" s="4"/>
    </row>
    <row r="61" spans="1:39" hidden="1">
      <c r="A61" t="s">
        <v>1154</v>
      </c>
      <c r="C61" s="9"/>
      <c r="D61" s="9"/>
      <c r="E61" s="9"/>
      <c r="F61" s="9"/>
      <c r="G61" s="9"/>
      <c r="H61" s="9">
        <f>H47</f>
        <v>-666.28999999999974</v>
      </c>
      <c r="I61" s="9">
        <f>I47</f>
        <v>-1000.0634345052119</v>
      </c>
      <c r="J61" s="9">
        <f t="shared" ref="J61:AE61" si="32">J47</f>
        <v>-296.36300138624699</v>
      </c>
      <c r="K61" s="9">
        <f t="shared" si="32"/>
        <v>509.01011948384274</v>
      </c>
      <c r="L61" s="9">
        <f t="shared" si="32"/>
        <v>-69.091621084046835</v>
      </c>
      <c r="M61" s="9">
        <f t="shared" si="32"/>
        <v>-91.002448492783572</v>
      </c>
      <c r="N61" s="9">
        <f t="shared" si="32"/>
        <v>87.277920662134022</v>
      </c>
      <c r="O61" s="9">
        <f t="shared" si="32"/>
        <v>77.190278072399735</v>
      </c>
      <c r="P61" s="9">
        <f t="shared" si="32"/>
        <v>66.51177807239975</v>
      </c>
      <c r="Q61" s="9">
        <f t="shared" si="32"/>
        <v>98.551961338553895</v>
      </c>
      <c r="R61" s="9">
        <f t="shared" si="32"/>
        <v>87.694018886741617</v>
      </c>
      <c r="S61" s="9">
        <f t="shared" si="32"/>
        <v>115.46779976938734</v>
      </c>
      <c r="T61" s="9">
        <f t="shared" si="32"/>
        <v>120.92087499001747</v>
      </c>
      <c r="U61" s="9">
        <f t="shared" si="32"/>
        <v>135.42653596252177</v>
      </c>
      <c r="V61" s="9">
        <f t="shared" si="32"/>
        <v>122.27147743652046</v>
      </c>
      <c r="W61" s="9">
        <f t="shared" si="32"/>
        <v>154.78919443817659</v>
      </c>
      <c r="X61" s="9">
        <f t="shared" si="32"/>
        <v>155.58465226035497</v>
      </c>
      <c r="Y61" s="9">
        <f t="shared" si="32"/>
        <v>168.55994922557267</v>
      </c>
      <c r="Z61" s="9">
        <f t="shared" si="32"/>
        <v>174.86904278142634</v>
      </c>
      <c r="AA61" s="9">
        <f t="shared" si="32"/>
        <v>171.96913821672098</v>
      </c>
      <c r="AB61" s="9">
        <f t="shared" si="32"/>
        <v>164.01859551517356</v>
      </c>
      <c r="AC61" s="9">
        <f t="shared" si="32"/>
        <v>186.86788929093274</v>
      </c>
      <c r="AD61" s="9">
        <f t="shared" si="32"/>
        <v>54.361630876521815</v>
      </c>
      <c r="AE61" s="9">
        <f t="shared" si="32"/>
        <v>-373.7857473431838</v>
      </c>
    </row>
    <row r="62" spans="1:39" hidden="1">
      <c r="A62" t="s">
        <v>1155</v>
      </c>
      <c r="E62" s="9"/>
      <c r="F62" s="9"/>
      <c r="G62" s="9"/>
      <c r="H62" s="9">
        <f t="shared" ref="H62:AE62" si="33">H35</f>
        <v>200.35</v>
      </c>
      <c r="I62" s="9">
        <f t="shared" si="33"/>
        <v>201.57</v>
      </c>
      <c r="J62" s="9">
        <f t="shared" si="33"/>
        <v>200.79</v>
      </c>
      <c r="K62" s="9">
        <f t="shared" si="33"/>
        <v>200.3</v>
      </c>
      <c r="L62" s="9">
        <f t="shared" si="33"/>
        <v>199.75</v>
      </c>
      <c r="M62" s="9">
        <f t="shared" si="33"/>
        <v>201.49</v>
      </c>
      <c r="N62" s="9">
        <f t="shared" si="33"/>
        <v>293.76993008219182</v>
      </c>
      <c r="O62" s="9">
        <f t="shared" si="33"/>
        <v>292.96728000000002</v>
      </c>
      <c r="P62" s="9">
        <f t="shared" si="33"/>
        <v>292.96728000000002</v>
      </c>
      <c r="Q62" s="9">
        <f t="shared" si="33"/>
        <v>292.96728000000002</v>
      </c>
      <c r="R62" s="9">
        <f t="shared" si="33"/>
        <v>293.76993008219182</v>
      </c>
      <c r="S62" s="9">
        <f t="shared" si="33"/>
        <v>292.96728000000002</v>
      </c>
      <c r="T62" s="9">
        <f t="shared" si="33"/>
        <v>292.96728000000002</v>
      </c>
      <c r="U62" s="9">
        <f t="shared" si="33"/>
        <v>292.96728000000002</v>
      </c>
      <c r="V62" s="9">
        <f t="shared" si="33"/>
        <v>293.76993008219182</v>
      </c>
      <c r="W62" s="9">
        <f t="shared" si="33"/>
        <v>292.96728000000002</v>
      </c>
      <c r="X62" s="9">
        <f t="shared" si="33"/>
        <v>292.96728000000002</v>
      </c>
      <c r="Y62" s="9">
        <f t="shared" si="33"/>
        <v>292.96728000000002</v>
      </c>
      <c r="Z62" s="9">
        <f t="shared" si="33"/>
        <v>293.76993008219182</v>
      </c>
      <c r="AA62" s="9">
        <f t="shared" si="33"/>
        <v>292.96728000000002</v>
      </c>
      <c r="AB62" s="9">
        <f t="shared" si="33"/>
        <v>292.96728000000002</v>
      </c>
      <c r="AC62" s="9">
        <f t="shared" si="33"/>
        <v>292.96728000000002</v>
      </c>
      <c r="AD62" s="9">
        <f t="shared" si="33"/>
        <v>293.76993008219182</v>
      </c>
      <c r="AE62" s="9">
        <f t="shared" si="33"/>
        <v>292.96728000000002</v>
      </c>
    </row>
    <row r="63" spans="1:39" hidden="1">
      <c r="A63" t="s">
        <v>1156</v>
      </c>
      <c r="E63" s="9"/>
      <c r="F63" s="9"/>
      <c r="G63" s="9"/>
      <c r="H63" s="9">
        <f>WC!F3-WC!C3</f>
        <v>133.01333333333332</v>
      </c>
      <c r="I63" s="9">
        <f>WC!G3-WC!F3</f>
        <v>-25.58499999999998</v>
      </c>
      <c r="J63" s="9">
        <f>WC!H3-WC!G3</f>
        <v>4.881666666666689</v>
      </c>
      <c r="K63" s="9">
        <f>WC!I3-WC!H3</f>
        <v>-57.03333333333336</v>
      </c>
      <c r="L63" s="9">
        <f>WC!J3-WC!I3</f>
        <v>-20.046666666666667</v>
      </c>
      <c r="M63" s="9">
        <f>WC!K3-WC!J3</f>
        <v>177.39500000000004</v>
      </c>
      <c r="N63" s="9">
        <f>WC!L3-WC!K3</f>
        <v>345.91154186425177</v>
      </c>
      <c r="O63" s="9">
        <f>WC!M3-WC!L3</f>
        <v>10.912937733697618</v>
      </c>
      <c r="P63" s="9">
        <f>WC!N3-WC!M3</f>
        <v>12.884876951098704</v>
      </c>
      <c r="Q63" s="9">
        <f>WC!O3-WC!N3</f>
        <v>43.280435641302574</v>
      </c>
      <c r="R63" s="9">
        <f>WC!P3-WC!O3</f>
        <v>15.993342648439693</v>
      </c>
      <c r="S63" s="9">
        <f>WC!Q3-WC!P3</f>
        <v>43.811727310436027</v>
      </c>
      <c r="T63" s="9">
        <f>WC!R3-WC!Q3</f>
        <v>15.334689624485691</v>
      </c>
      <c r="U63" s="9">
        <f>WC!S3-WC!R3</f>
        <v>48.330038157245326</v>
      </c>
      <c r="V63" s="9">
        <f>WC!T3-WC!S3</f>
        <v>18.956684558866982</v>
      </c>
      <c r="W63" s="9">
        <f>WC!U3-WC!T3</f>
        <v>48.800951154864947</v>
      </c>
      <c r="X63" s="9">
        <f>WC!V3-WC!U3</f>
        <v>18.13160924128897</v>
      </c>
      <c r="Y63" s="9">
        <f>WC!W3-WC!V3</f>
        <v>53.966394454138367</v>
      </c>
      <c r="Z63" s="9">
        <f>WC!X3-WC!W3</f>
        <v>22.335655976479757</v>
      </c>
      <c r="AA63" s="9">
        <f>WC!Y3-WC!X3</f>
        <v>39.998829608779488</v>
      </c>
      <c r="AB63" s="9">
        <f>WC!Z3-WC!Y3</f>
        <v>36.369098317588282</v>
      </c>
      <c r="AC63" s="9">
        <f>WC!AA3-WC!Z3</f>
        <v>21.810611629397499</v>
      </c>
      <c r="AD63" s="9">
        <f>WC!AB3-WC!AA3</f>
        <v>-128.02415232939609</v>
      </c>
      <c r="AE63" s="9">
        <f>WC!AC3-WC!AB3</f>
        <v>-514.82281324250846</v>
      </c>
    </row>
    <row r="64" spans="1:39" hidden="1">
      <c r="A64" t="s">
        <v>1157</v>
      </c>
      <c r="E64" s="9"/>
      <c r="F64" s="9"/>
      <c r="G64" s="9"/>
      <c r="H64" s="9">
        <f>WC!F4-WC!C4</f>
        <v>-2.0841666666666669</v>
      </c>
      <c r="I64" s="9">
        <f>WC!G4-WC!F4</f>
        <v>0.28583333333333338</v>
      </c>
      <c r="J64" s="9">
        <f>WC!H4-WC!G4</f>
        <v>0.1399999999999999</v>
      </c>
      <c r="K64" s="9">
        <f>WC!I4-WC!H4</f>
        <v>-0.25416666666666654</v>
      </c>
      <c r="L64" s="9">
        <f>WC!J4-WC!I4</f>
        <v>0.16083333333333327</v>
      </c>
      <c r="M64" s="9">
        <f>WC!K4-WC!J4</f>
        <v>0.37083333333333324</v>
      </c>
      <c r="N64" s="9">
        <f>WC!L4-WC!K4</f>
        <v>7.0041115451321039</v>
      </c>
      <c r="O64" s="9">
        <f>WC!M4-WC!L4</f>
        <v>0.14223675610473485</v>
      </c>
      <c r="P64" s="9">
        <f>WC!N4-WC!M4</f>
        <v>0.1681102993580712</v>
      </c>
      <c r="Q64" s="9">
        <f>WC!O4-WC!N4</f>
        <v>0.56897694955462974</v>
      </c>
      <c r="R64" s="9">
        <f>WC!P4-WC!O4</f>
        <v>0.20840123409290712</v>
      </c>
      <c r="S64" s="9">
        <f>WC!Q4-WC!P4</f>
        <v>0.57452351922193046</v>
      </c>
      <c r="T64" s="9">
        <f>WC!R4-WC!Q4</f>
        <v>0.1985105394026192</v>
      </c>
      <c r="U64" s="9">
        <f>WC!S4-WC!R4</f>
        <v>0.63275234434585315</v>
      </c>
      <c r="V64" s="9">
        <f>WC!T4-WC!S4</f>
        <v>0.24519586735418386</v>
      </c>
      <c r="W64" s="9">
        <f>WC!U4-WC!T4</f>
        <v>0.63703300930159834</v>
      </c>
      <c r="X64" s="9">
        <f>WC!V4-WC!U4</f>
        <v>0.23278037461070689</v>
      </c>
      <c r="Y64" s="9">
        <f>WC!W4-WC!V4</f>
        <v>0.70317579315095813</v>
      </c>
      <c r="Z64" s="9">
        <f>WC!X4-WC!W4</f>
        <v>0.2866405237091243</v>
      </c>
      <c r="AA64" s="9">
        <f>WC!Y4-WC!X4</f>
        <v>0.51212188183069784</v>
      </c>
      <c r="AB64" s="9">
        <f>WC!Z4-WC!Y4</f>
        <v>0.46517347143779908</v>
      </c>
      <c r="AC64" s="9">
        <f>WC!AA4-WC!Z4</f>
        <v>0.27677821550549275</v>
      </c>
      <c r="AD64" s="9">
        <f>WC!AB4-WC!AA4</f>
        <v>-1.6505687839082022</v>
      </c>
      <c r="AE64" s="9">
        <f>WC!AC4-WC!AB4</f>
        <v>-6.6913238629483418</v>
      </c>
    </row>
    <row r="65" spans="1:31" hidden="1">
      <c r="A65" t="s">
        <v>1158</v>
      </c>
      <c r="E65" s="9"/>
      <c r="F65" s="9"/>
      <c r="G65" s="9"/>
      <c r="H65" s="9">
        <f>WC!F2-WC!C2</f>
        <v>100.23666666666679</v>
      </c>
      <c r="I65" s="9">
        <f>WC!G2-WC!F2</f>
        <v>-121.83333333333348</v>
      </c>
      <c r="J65" s="9">
        <f>WC!H2-WC!G2</f>
        <v>11.445833333333326</v>
      </c>
      <c r="K65" s="9">
        <f>WC!I2-WC!H2</f>
        <v>144.30833333333339</v>
      </c>
      <c r="L65" s="9">
        <f>WC!J2-WC!I2</f>
        <v>-409.75000000000006</v>
      </c>
      <c r="M65" s="9">
        <f>WC!K2-WC!J2</f>
        <v>405.24583333333334</v>
      </c>
      <c r="N65" s="9">
        <f>WC!L2-WC!K2</f>
        <v>528.71691746666647</v>
      </c>
      <c r="O65" s="9">
        <f>WC!M2-WC!L2</f>
        <v>-3.592213799999854</v>
      </c>
      <c r="P65" s="9">
        <f>WC!N2-WC!M2</f>
        <v>0</v>
      </c>
      <c r="Q65" s="9">
        <f>WC!O2-WC!N2</f>
        <v>97.15320814499978</v>
      </c>
      <c r="R65" s="9">
        <f>WC!P2-WC!O2</f>
        <v>3.8583869730000515</v>
      </c>
      <c r="S65" s="9">
        <f>WC!Q2-WC!P2</f>
        <v>88.348673322000423</v>
      </c>
      <c r="T65" s="9">
        <f>WC!R2-WC!Q2</f>
        <v>41.403546071999926</v>
      </c>
      <c r="U65" s="9">
        <f>WC!S2-WC!R2</f>
        <v>63.195044109749915</v>
      </c>
      <c r="V65" s="9">
        <f>WC!T2-WC!S2</f>
        <v>4.3975805359500555</v>
      </c>
      <c r="W65" s="9">
        <f>WC!U2-WC!T2</f>
        <v>104.988294660375</v>
      </c>
      <c r="X65" s="9">
        <f>WC!V2-WC!U2</f>
        <v>37.224765900000421</v>
      </c>
      <c r="Y65" s="9">
        <f>WC!W2-WC!V2</f>
        <v>66.354796315237081</v>
      </c>
      <c r="Z65" s="9">
        <f>WC!X2-WC!W2</f>
        <v>55.044687578816138</v>
      </c>
      <c r="AA65" s="9">
        <f>WC!Y2-WC!X2</f>
        <v>32.707331960349848</v>
      </c>
      <c r="AB65" s="9">
        <f>WC!Z2-WC!Y2</f>
        <v>25.216776900000013</v>
      </c>
      <c r="AC65" s="9">
        <f>WC!AA2-WC!Z2</f>
        <v>96.552556473624009</v>
      </c>
      <c r="AD65" s="9">
        <f>WC!AB2-WC!AA2</f>
        <v>-248.33986690836718</v>
      </c>
      <c r="AE65" s="9">
        <f>WC!AC2-WC!AB2</f>
        <v>-913.63475682401952</v>
      </c>
    </row>
    <row r="66" spans="1:31" hidden="1">
      <c r="A66" t="s">
        <v>1159</v>
      </c>
      <c r="E66" s="9"/>
      <c r="F66" s="9"/>
      <c r="G66" s="9"/>
      <c r="H66" s="9">
        <f>WC!F5-WC!C5</f>
        <v>5.1825000000000001</v>
      </c>
      <c r="I66" s="9">
        <f>WC!G5-WC!F5</f>
        <v>-8.5833333333333428E-2</v>
      </c>
      <c r="J66" s="9">
        <f>WC!H5-WC!G5</f>
        <v>0.55416666666666714</v>
      </c>
      <c r="K66" s="9">
        <f>WC!I5-WC!H5</f>
        <v>-8.9166666666667282E-2</v>
      </c>
      <c r="L66" s="9">
        <f>WC!J5-WC!I5</f>
        <v>6.9016666666666664</v>
      </c>
      <c r="M66" s="9">
        <f>WC!K5-WC!J5</f>
        <v>-2.7991666666666664</v>
      </c>
      <c r="N66" s="9">
        <f>WC!L5-WC!K5</f>
        <v>2.2215393477768473</v>
      </c>
      <c r="O66" s="9">
        <f>WC!M5-WC!L5</f>
        <v>0.35657118043330627</v>
      </c>
      <c r="P66" s="9">
        <f>WC!N5-WC!M5</f>
        <v>0.36726831584630482</v>
      </c>
      <c r="Q66" s="9">
        <f>WC!O5-WC!N5</f>
        <v>0.37828636532169568</v>
      </c>
      <c r="R66" s="9">
        <f>WC!P5-WC!O5</f>
        <v>0.38963495628134481</v>
      </c>
      <c r="S66" s="9">
        <f>WC!Q5-WC!P5</f>
        <v>0.40132400496978526</v>
      </c>
      <c r="T66" s="9">
        <f>WC!R5-WC!Q5</f>
        <v>0.41336372511887909</v>
      </c>
      <c r="U66" s="9">
        <f>WC!S5-WC!R5</f>
        <v>0.42576463687244726</v>
      </c>
      <c r="V66" s="9">
        <f>WC!T5-WC!S5</f>
        <v>0.43853757597861787</v>
      </c>
      <c r="W66" s="9">
        <f>WC!U5-WC!T5</f>
        <v>0.45169370325797864</v>
      </c>
      <c r="X66" s="9">
        <f>WC!V5-WC!U5</f>
        <v>0.46524451435571734</v>
      </c>
      <c r="Y66" s="9">
        <f>WC!W5-WC!V5</f>
        <v>0.47920184978638858</v>
      </c>
      <c r="Z66" s="9">
        <f>WC!X5-WC!W5</f>
        <v>0.49357790527997736</v>
      </c>
      <c r="AA66" s="9">
        <f>WC!Y5-WC!X5</f>
        <v>0.50838524243837924</v>
      </c>
      <c r="AB66" s="9">
        <f>WC!Z5-WC!Y5</f>
        <v>0.52363679971153232</v>
      </c>
      <c r="AC66" s="9">
        <f>WC!AA5-WC!Z5</f>
        <v>0.53934590370287339</v>
      </c>
      <c r="AD66" s="9">
        <f>WC!AB5-WC!AA5</f>
        <v>-2.05008423484351</v>
      </c>
      <c r="AE66" s="9">
        <f>WC!AC5-WC!AB5</f>
        <v>-8.7439106239069275</v>
      </c>
    </row>
    <row r="67" spans="1:31" hidden="1">
      <c r="A67" t="s">
        <v>1160</v>
      </c>
      <c r="E67" s="9"/>
      <c r="F67" s="9"/>
      <c r="G67" s="9"/>
      <c r="H67" s="9">
        <f>WC!F6-WC!C6</f>
        <v>-9.7600999999999996</v>
      </c>
      <c r="I67" s="9">
        <f>WC!G6-WC!F6</f>
        <v>-0.20600000000000129</v>
      </c>
      <c r="J67" s="9">
        <f>WC!H6-WC!G6</f>
        <v>1.3300000000000018</v>
      </c>
      <c r="K67" s="9">
        <f>WC!I6-WC!H6</f>
        <v>-0.21400000000000219</v>
      </c>
      <c r="L67" s="9">
        <f>WC!J6-WC!I6</f>
        <v>16.564000000000004</v>
      </c>
      <c r="M67" s="9">
        <f>WC!K6-WC!J6</f>
        <v>-6.718</v>
      </c>
      <c r="N67" s="9">
        <f>WC!L6-WC!K6</f>
        <v>5.3316944346644313</v>
      </c>
      <c r="O67" s="9">
        <f>WC!M6-WC!L6</f>
        <v>0.85577083303993717</v>
      </c>
      <c r="P67" s="9">
        <f>WC!N6-WC!M6</f>
        <v>0.88144395803113085</v>
      </c>
      <c r="Q67" s="9">
        <f>WC!O6-WC!N6</f>
        <v>0.90788727677206893</v>
      </c>
      <c r="R67" s="9">
        <f>WC!P6-WC!O6</f>
        <v>0.93512389507522897</v>
      </c>
      <c r="S67" s="9">
        <f>WC!Q6-WC!P6</f>
        <v>0.96317761192748463</v>
      </c>
      <c r="T67" s="9">
        <f>WC!R6-WC!Q6</f>
        <v>0.99207294028531123</v>
      </c>
      <c r="U67" s="9">
        <f>WC!S6-WC!R6</f>
        <v>1.0218351284938691</v>
      </c>
      <c r="V67" s="9">
        <f>WC!T6-WC!S6</f>
        <v>1.0524901823486843</v>
      </c>
      <c r="W67" s="9">
        <f>WC!U6-WC!T6</f>
        <v>1.0840648878191459</v>
      </c>
      <c r="X67" s="9">
        <f>WC!V6-WC!U6</f>
        <v>1.1165868344537273</v>
      </c>
      <c r="Y67" s="9">
        <f>WC!W6-WC!V6</f>
        <v>1.1500844394873297</v>
      </c>
      <c r="Z67" s="9">
        <f>WC!X6-WC!W6</f>
        <v>1.1845869726719513</v>
      </c>
      <c r="AA67" s="9">
        <f>WC!Y6-WC!X6</f>
        <v>1.2201245818521116</v>
      </c>
      <c r="AB67" s="9">
        <f>WC!Z6-WC!Y6</f>
        <v>1.256728319307669</v>
      </c>
      <c r="AC67" s="9">
        <f>WC!AA6-WC!Z6</f>
        <v>1.2944301688869047</v>
      </c>
      <c r="AD67" s="9">
        <f>WC!AB6-WC!AA6</f>
        <v>-4.9202021636244311</v>
      </c>
      <c r="AE67" s="9">
        <f>WC!AC6-WC!AB6</f>
        <v>-20.98538549737663</v>
      </c>
    </row>
    <row r="68" spans="1:31" hidden="1">
      <c r="A68" t="s">
        <v>1161</v>
      </c>
      <c r="F68" s="11"/>
      <c r="G68" s="11"/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</row>
    <row r="69" spans="1:31" hidden="1">
      <c r="A69" t="s">
        <v>1162</v>
      </c>
      <c r="E69" s="9"/>
      <c r="F69" s="9"/>
      <c r="G69" s="9"/>
      <c r="H69" s="9">
        <f>WC!F11-WC!C11</f>
        <v>-79.301436906666595</v>
      </c>
      <c r="I69" s="9">
        <f>WC!G11-WC!F11</f>
        <v>-130.67901666666671</v>
      </c>
      <c r="J69" s="9">
        <f>WC!H11-WC!G11</f>
        <v>32.276666666666642</v>
      </c>
      <c r="K69" s="9">
        <f>WC!I11-WC!H11</f>
        <v>110.86433333333321</v>
      </c>
      <c r="L69" s="9">
        <f>WC!J11-WC!I11</f>
        <v>-367.71849999999989</v>
      </c>
      <c r="M69" s="9">
        <f>WC!K11-WC!J11</f>
        <v>372.44616666666678</v>
      </c>
      <c r="N69" s="9">
        <f>WC!L11-WC!K11</f>
        <v>492.61414192330267</v>
      </c>
      <c r="O69" s="9">
        <f>WC!M11-WC!L11</f>
        <v>54.202125294480538</v>
      </c>
      <c r="P69" s="9">
        <f>WC!N11-WC!M11</f>
        <v>-0.12461846478049665</v>
      </c>
      <c r="Q69" s="9">
        <f>WC!O11-WC!N11</f>
        <v>91.832576277571889</v>
      </c>
      <c r="R69" s="9">
        <f>WC!P11-WC!O11</f>
        <v>8.6432400890139434</v>
      </c>
      <c r="S69" s="9">
        <f>WC!Q11-WC!P11</f>
        <v>83.465818833753929</v>
      </c>
      <c r="T69" s="9">
        <f>WC!R11-WC!Q11</f>
        <v>46.406232214787906</v>
      </c>
      <c r="U69" s="9">
        <f>WC!S11-WC!R11</f>
        <v>57.385742006358669</v>
      </c>
      <c r="V69" s="9">
        <f>WC!T11-WC!S11</f>
        <v>9.5096333624951512</v>
      </c>
      <c r="W69" s="9">
        <f>WC!U11-WC!T11</f>
        <v>99.710333632390757</v>
      </c>
      <c r="X69" s="9">
        <f>WC!V11-WC!U11</f>
        <v>42.569858926071902</v>
      </c>
      <c r="Y69" s="9">
        <f>WC!W11-WC!V11</f>
        <v>59.999317237787182</v>
      </c>
      <c r="Z69" s="9">
        <f>WC!X11-WC!W11</f>
        <v>60.496439330120893</v>
      </c>
      <c r="AA69" s="9">
        <f>WC!Y11-WC!X11</f>
        <v>29.608459030392623</v>
      </c>
      <c r="AB69" s="9">
        <f>WC!Z11-WC!Y11</f>
        <v>25.755359324898109</v>
      </c>
      <c r="AC69" s="9">
        <f>WC!AA11-WC!Z11</f>
        <v>99.119496392395376</v>
      </c>
      <c r="AD69" s="9">
        <f>WC!AB11-WC!AA11</f>
        <v>-220.97637376733496</v>
      </c>
      <c r="AE69" s="9">
        <f>WC!AC11-WC!AB11</f>
        <v>-850.81753473418416</v>
      </c>
    </row>
    <row r="70" spans="1:31" hidden="1">
      <c r="A70" t="s">
        <v>1163</v>
      </c>
      <c r="E70" s="9"/>
      <c r="F70" s="9"/>
      <c r="G70" s="28"/>
      <c r="H70" s="9">
        <f>WC!F7-WC!C7</f>
        <v>-168.42635000000001</v>
      </c>
      <c r="I70" s="9">
        <f>WC!G7-WC!F7</f>
        <v>-16.745316666666639</v>
      </c>
      <c r="J70" s="9">
        <f>WC!H7-WC!G7</f>
        <v>-13.925000000000011</v>
      </c>
      <c r="K70" s="9">
        <f>WC!I7-WC!H7</f>
        <v>-24.146666666666675</v>
      </c>
      <c r="L70" s="9">
        <f>WC!J7-WC!I7</f>
        <v>-38.451666666666711</v>
      </c>
      <c r="M70" s="9">
        <f>WC!K7-WC!J7</f>
        <v>201.04833333333335</v>
      </c>
      <c r="N70" s="9">
        <f>WC!L7-WC!K7</f>
        <v>396.57166273518885</v>
      </c>
      <c r="O70" s="9">
        <f>WC!M7-WC!L7</f>
        <v>-45.526822591205018</v>
      </c>
      <c r="P70" s="9">
        <f>WC!N7-WC!M7</f>
        <v>14.426317989114864</v>
      </c>
      <c r="Q70" s="9">
        <f>WC!O7-WC!N7</f>
        <v>50.456218100379033</v>
      </c>
      <c r="R70" s="9">
        <f>WC!P7-WC!O7</f>
        <v>12.741649617875169</v>
      </c>
      <c r="S70" s="9">
        <f>WC!Q7-WC!P7</f>
        <v>50.633606934801719</v>
      </c>
      <c r="T70" s="9">
        <f>WC!R7-WC!Q7</f>
        <v>11.935950686504839</v>
      </c>
      <c r="U70" s="9">
        <f>WC!S7-WC!R7</f>
        <v>56.219692370348753</v>
      </c>
      <c r="V70" s="9">
        <f>WC!T7-WC!S7</f>
        <v>15.580855358003078</v>
      </c>
      <c r="W70" s="9">
        <f>WC!U7-WC!T7</f>
        <v>56.251703783227526</v>
      </c>
      <c r="X70" s="9">
        <f>WC!V7-WC!U7</f>
        <v>14.601127938637774</v>
      </c>
      <c r="Y70" s="9">
        <f>WC!W7-WC!V7</f>
        <v>62.654335614013121</v>
      </c>
      <c r="Z70" s="9">
        <f>WC!X7-WC!W7</f>
        <v>18.848709626836126</v>
      </c>
      <c r="AA70" s="9">
        <f>WC!Y7-WC!X7</f>
        <v>45.338334244857833</v>
      </c>
      <c r="AB70" s="9">
        <f>WC!Z7-WC!Y7</f>
        <v>38.076054483147345</v>
      </c>
      <c r="AC70" s="9">
        <f>WC!AA7-WC!Z7</f>
        <v>21.354225998721176</v>
      </c>
      <c r="AD70" s="9">
        <f>WC!AB7-WC!AA7</f>
        <v>-164.00850065280463</v>
      </c>
      <c r="AE70" s="9">
        <f>WC!AC7-WC!AB7</f>
        <v>-614.06065531657532</v>
      </c>
    </row>
    <row r="71" spans="1:31" hidden="1">
      <c r="F71" s="11"/>
      <c r="G71" s="11"/>
      <c r="H71" s="12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</row>
    <row r="72" spans="1:31" ht="15" hidden="1" thickBot="1">
      <c r="A72" s="29" t="s">
        <v>1164</v>
      </c>
      <c r="B72" s="29"/>
      <c r="C72" s="30"/>
      <c r="D72" s="30"/>
      <c r="E72" s="30"/>
      <c r="F72" s="30"/>
      <c r="G72" s="30"/>
      <c r="H72" s="30">
        <f>SUM(H61:H62,H69:H71)-SUM(H63:H68)</f>
        <v>-940.25602023999977</v>
      </c>
      <c r="I72" s="30">
        <f>SUM(I61:I62,I69:I71)-SUM(I63:I68)</f>
        <v>-798.49343450521189</v>
      </c>
      <c r="J72" s="30">
        <f>SUM(J61:J62,J69:J71)-SUM(J63:J68)</f>
        <v>-95.573001386247057</v>
      </c>
      <c r="K72" s="30">
        <f t="shared" ref="K72:AE72" si="34">SUM(K61:K62,K69:K71)-SUM(K63:K68)</f>
        <v>709.31011948384264</v>
      </c>
      <c r="L72" s="30">
        <f t="shared" si="34"/>
        <v>130.65837891595328</v>
      </c>
      <c r="M72" s="30">
        <f t="shared" si="34"/>
        <v>110.48755150721638</v>
      </c>
      <c r="N72" s="30">
        <f t="shared" si="34"/>
        <v>381.04785074432596</v>
      </c>
      <c r="O72" s="30">
        <f t="shared" si="34"/>
        <v>370.15755807239952</v>
      </c>
      <c r="P72" s="30">
        <f t="shared" si="34"/>
        <v>359.47905807239994</v>
      </c>
      <c r="Q72" s="30">
        <f t="shared" si="34"/>
        <v>391.51924133855408</v>
      </c>
      <c r="R72" s="30">
        <f t="shared" si="34"/>
        <v>381.46394896893332</v>
      </c>
      <c r="S72" s="30">
        <f t="shared" si="34"/>
        <v>408.43507976938736</v>
      </c>
      <c r="T72" s="30">
        <f t="shared" si="34"/>
        <v>413.88815499001782</v>
      </c>
      <c r="U72" s="30">
        <f t="shared" si="34"/>
        <v>428.39381596252178</v>
      </c>
      <c r="V72" s="30">
        <f t="shared" si="34"/>
        <v>416.04140751871199</v>
      </c>
      <c r="W72" s="30">
        <f t="shared" si="34"/>
        <v>447.75647443817621</v>
      </c>
      <c r="X72" s="30">
        <f t="shared" si="34"/>
        <v>448.5519322603551</v>
      </c>
      <c r="Y72" s="30">
        <f t="shared" si="34"/>
        <v>461.52722922557285</v>
      </c>
      <c r="Z72" s="30">
        <f t="shared" si="34"/>
        <v>468.63897286361822</v>
      </c>
      <c r="AA72" s="30">
        <f t="shared" si="34"/>
        <v>464.93641821672094</v>
      </c>
      <c r="AB72" s="30">
        <f t="shared" si="34"/>
        <v>456.98587551517375</v>
      </c>
      <c r="AC72" s="30">
        <f t="shared" si="34"/>
        <v>479.83516929093253</v>
      </c>
      <c r="AD72" s="30">
        <f t="shared" si="34"/>
        <v>348.13156095871341</v>
      </c>
      <c r="AE72" s="30">
        <f t="shared" si="34"/>
        <v>-80.818467343183329</v>
      </c>
    </row>
    <row r="73" spans="1:31" hidden="1">
      <c r="H73" s="9"/>
    </row>
    <row r="74" spans="1:31" hidden="1">
      <c r="A74" s="4" t="s">
        <v>1165</v>
      </c>
      <c r="B74" s="4"/>
      <c r="H74" s="9"/>
    </row>
    <row r="75" spans="1:31" ht="13.5" hidden="1" customHeight="1">
      <c r="A75" t="s">
        <v>1166</v>
      </c>
      <c r="F75" s="31"/>
      <c r="G75" s="11"/>
      <c r="H75" s="9">
        <f>Assum!C136</f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</row>
    <row r="76" spans="1:31" ht="13.5" hidden="1" customHeight="1">
      <c r="A76" t="s">
        <v>1167</v>
      </c>
      <c r="F76" s="31"/>
      <c r="G76" s="11"/>
      <c r="H76" s="9">
        <f>Assum!C137</f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</row>
    <row r="77" spans="1:31" ht="13.5" hidden="1" customHeight="1">
      <c r="A77" t="s">
        <v>1168</v>
      </c>
      <c r="F77" s="31"/>
      <c r="G77" s="11"/>
      <c r="H77" s="9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</row>
    <row r="78" spans="1:31" ht="13.5" hidden="1" customHeight="1">
      <c r="A78" t="s">
        <v>1169</v>
      </c>
      <c r="F78" s="31"/>
      <c r="G78" s="11"/>
      <c r="H78" s="9">
        <f>Assum!B88-Assum!B85-Assum!C136</f>
        <v>15.635263703472773</v>
      </c>
      <c r="I78" s="11">
        <f>Debt!B24*(1-Assum!$B$100)</f>
        <v>1.3986666591803794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</row>
    <row r="79" spans="1:31" hidden="1">
      <c r="A79" t="s">
        <v>1170</v>
      </c>
      <c r="F79" s="9"/>
      <c r="G79" s="9"/>
      <c r="H79" s="9" t="e">
        <f ca="1">Debt!D52</f>
        <v>#DIV/0!</v>
      </c>
      <c r="I79" s="9" t="e">
        <f ca="1">Debt!E52</f>
        <v>#DIV/0!</v>
      </c>
      <c r="J79" s="9" t="e">
        <f ca="1">Debt!F52</f>
        <v>#DIV/0!</v>
      </c>
      <c r="K79" s="9" t="e">
        <f ca="1">Debt!G52</f>
        <v>#DIV/0!</v>
      </c>
      <c r="L79" s="9" t="e">
        <f ca="1">Debt!H52</f>
        <v>#DIV/0!</v>
      </c>
      <c r="M79" s="9" t="e">
        <f ca="1">Debt!I52</f>
        <v>#DIV/0!</v>
      </c>
      <c r="N79" s="9" t="e">
        <f ca="1">Debt!J52</f>
        <v>#DIV/0!</v>
      </c>
      <c r="O79" s="9" t="e">
        <f ca="1">Debt!K52</f>
        <v>#DIV/0!</v>
      </c>
      <c r="P79" s="9" t="e">
        <f ca="1">Debt!L52</f>
        <v>#DIV/0!</v>
      </c>
      <c r="Q79" s="9" t="e">
        <f ca="1">Debt!M52</f>
        <v>#DIV/0!</v>
      </c>
      <c r="R79" s="9" t="e">
        <f ca="1">Debt!N52</f>
        <v>#DIV/0!</v>
      </c>
      <c r="S79" s="9" t="e">
        <f ca="1">Debt!O52</f>
        <v>#DIV/0!</v>
      </c>
      <c r="T79" s="9" t="e">
        <f ca="1">Debt!P52</f>
        <v>#DIV/0!</v>
      </c>
      <c r="U79" s="9" t="e">
        <f ca="1">Debt!Q52</f>
        <v>#DIV/0!</v>
      </c>
      <c r="V79" s="9" t="e">
        <f ca="1">Debt!R52</f>
        <v>#DIV/0!</v>
      </c>
      <c r="W79" s="9" t="e">
        <f ca="1">Debt!S52</f>
        <v>#DIV/0!</v>
      </c>
      <c r="X79" s="9" t="e">
        <f ca="1">Debt!T52</f>
        <v>#DIV/0!</v>
      </c>
      <c r="Y79" s="9" t="e">
        <f ca="1">Debt!U52</f>
        <v>#DIV/0!</v>
      </c>
      <c r="Z79" s="9" t="e">
        <f ca="1">Debt!V52</f>
        <v>#DIV/0!</v>
      </c>
      <c r="AA79" s="9" t="e">
        <f ca="1">Debt!W52</f>
        <v>#DIV/0!</v>
      </c>
      <c r="AB79" s="9" t="e">
        <f ca="1">Debt!X52</f>
        <v>#DIV/0!</v>
      </c>
      <c r="AC79" s="9" t="e">
        <f ca="1">Debt!Y52</f>
        <v>#DIV/0!</v>
      </c>
      <c r="AD79" s="9" t="e">
        <f ca="1">Debt!Z52</f>
        <v>#DIV/0!</v>
      </c>
      <c r="AE79" s="9" t="e">
        <f ca="1">Debt!AA52</f>
        <v>#DIV/0!</v>
      </c>
    </row>
    <row r="80" spans="1:31" hidden="1">
      <c r="A80" t="s">
        <v>1171</v>
      </c>
      <c r="F80" s="11"/>
      <c r="G80" s="11"/>
      <c r="H80" s="9">
        <f>Debt!D112</f>
        <v>0</v>
      </c>
      <c r="I80" s="9">
        <f>Debt!E112</f>
        <v>0</v>
      </c>
      <c r="J80" s="9">
        <f>Debt!F112</f>
        <v>0</v>
      </c>
      <c r="K80" s="9">
        <f>Debt!G112</f>
        <v>0</v>
      </c>
      <c r="L80" s="9">
        <f>Debt!H112</f>
        <v>0</v>
      </c>
      <c r="M80" s="9">
        <f>Debt!I112</f>
        <v>0</v>
      </c>
      <c r="N80" s="9">
        <f>Debt!J112</f>
        <v>0</v>
      </c>
      <c r="O80" s="9">
        <f>Debt!K112</f>
        <v>0</v>
      </c>
      <c r="P80" s="9">
        <f>Debt!L112</f>
        <v>0</v>
      </c>
      <c r="Q80" s="9">
        <f>Debt!M112</f>
        <v>0</v>
      </c>
      <c r="R80" s="9">
        <f>Debt!N112</f>
        <v>0</v>
      </c>
      <c r="S80" s="9">
        <f>Debt!O112</f>
        <v>0</v>
      </c>
      <c r="T80" s="9">
        <f>Debt!P112</f>
        <v>0</v>
      </c>
      <c r="U80" s="9">
        <f>Debt!Q112</f>
        <v>0</v>
      </c>
      <c r="V80" s="9">
        <f>Debt!R112</f>
        <v>0</v>
      </c>
      <c r="W80" s="9">
        <f>Debt!S112</f>
        <v>0</v>
      </c>
      <c r="X80" s="9">
        <f>Debt!T112</f>
        <v>0</v>
      </c>
      <c r="Y80" s="9">
        <f>Debt!U112</f>
        <v>0</v>
      </c>
      <c r="Z80" s="9">
        <f>Debt!V112</f>
        <v>0</v>
      </c>
      <c r="AA80" s="9">
        <f>Debt!W112</f>
        <v>0</v>
      </c>
      <c r="AB80" s="9">
        <f>Debt!X112</f>
        <v>0</v>
      </c>
      <c r="AC80" s="9">
        <f>Debt!Y112</f>
        <v>0</v>
      </c>
      <c r="AD80" s="9">
        <f>Debt!Z112</f>
        <v>0</v>
      </c>
      <c r="AE80" s="9">
        <f>Debt!AA112</f>
        <v>0</v>
      </c>
    </row>
    <row r="81" spans="1:32" hidden="1">
      <c r="A81" t="s">
        <v>1172</v>
      </c>
      <c r="F81" s="11"/>
      <c r="G81" s="31"/>
      <c r="H81" s="9">
        <f>H119</f>
        <v>0</v>
      </c>
      <c r="I81" s="11">
        <f t="shared" ref="I81:AE81" si="35">I119-H119</f>
        <v>0</v>
      </c>
      <c r="J81" s="11">
        <f t="shared" si="35"/>
        <v>0</v>
      </c>
      <c r="K81" s="11">
        <f t="shared" si="35"/>
        <v>0</v>
      </c>
      <c r="L81" s="11">
        <f t="shared" si="35"/>
        <v>0</v>
      </c>
      <c r="M81" s="11">
        <f t="shared" si="35"/>
        <v>0</v>
      </c>
      <c r="N81" s="11">
        <f t="shared" si="35"/>
        <v>0</v>
      </c>
      <c r="O81" s="11">
        <f t="shared" si="35"/>
        <v>0</v>
      </c>
      <c r="P81" s="11">
        <f t="shared" si="35"/>
        <v>0</v>
      </c>
      <c r="Q81" s="11">
        <f t="shared" si="35"/>
        <v>0</v>
      </c>
      <c r="R81" s="11">
        <f t="shared" si="35"/>
        <v>0</v>
      </c>
      <c r="S81" s="11">
        <f t="shared" si="35"/>
        <v>0</v>
      </c>
      <c r="T81" s="11">
        <f t="shared" si="35"/>
        <v>0</v>
      </c>
      <c r="U81" s="11">
        <f t="shared" si="35"/>
        <v>0</v>
      </c>
      <c r="V81" s="11">
        <f t="shared" si="35"/>
        <v>0</v>
      </c>
      <c r="W81" s="11">
        <f t="shared" si="35"/>
        <v>0</v>
      </c>
      <c r="X81" s="11">
        <f t="shared" si="35"/>
        <v>0</v>
      </c>
      <c r="Y81" s="11">
        <f t="shared" si="35"/>
        <v>0</v>
      </c>
      <c r="Z81" s="11">
        <f t="shared" si="35"/>
        <v>0</v>
      </c>
      <c r="AA81" s="11">
        <f t="shared" si="35"/>
        <v>0</v>
      </c>
      <c r="AB81" s="11">
        <f t="shared" si="35"/>
        <v>0</v>
      </c>
      <c r="AC81" s="11">
        <f t="shared" si="35"/>
        <v>0</v>
      </c>
      <c r="AD81" s="11">
        <f t="shared" si="35"/>
        <v>0</v>
      </c>
      <c r="AE81" s="11">
        <f t="shared" si="35"/>
        <v>0</v>
      </c>
    </row>
    <row r="82" spans="1:32" ht="15" hidden="1" thickBot="1">
      <c r="A82" s="29" t="s">
        <v>1173</v>
      </c>
      <c r="B82" s="29"/>
      <c r="C82" s="32"/>
      <c r="D82" s="32"/>
      <c r="E82" s="30"/>
      <c r="F82" s="30"/>
      <c r="G82" s="30"/>
      <c r="H82" s="30" t="e">
        <f ca="1">SUM(H75:H78,H81)-SUM(H79:H80)</f>
        <v>#DIV/0!</v>
      </c>
      <c r="I82" s="30" t="e">
        <f ca="1">SUM(I75:I78)-SUM(I79:I80)</f>
        <v>#DIV/0!</v>
      </c>
      <c r="J82" s="30" t="e">
        <f ca="1">SUM(J75:J78)-SUM(J79:J80)</f>
        <v>#DIV/0!</v>
      </c>
      <c r="K82" s="30" t="e">
        <f t="shared" ref="K82:AD82" ca="1" si="36">SUM(K75:K78)-SUM(K79:K80)</f>
        <v>#DIV/0!</v>
      </c>
      <c r="L82" s="30" t="e">
        <f t="shared" ca="1" si="36"/>
        <v>#DIV/0!</v>
      </c>
      <c r="M82" s="30" t="e">
        <f t="shared" ca="1" si="36"/>
        <v>#DIV/0!</v>
      </c>
      <c r="N82" s="30" t="e">
        <f t="shared" ca="1" si="36"/>
        <v>#DIV/0!</v>
      </c>
      <c r="O82" s="30" t="e">
        <f t="shared" ca="1" si="36"/>
        <v>#DIV/0!</v>
      </c>
      <c r="P82" s="30" t="e">
        <f t="shared" ca="1" si="36"/>
        <v>#DIV/0!</v>
      </c>
      <c r="Q82" s="30" t="e">
        <f t="shared" ca="1" si="36"/>
        <v>#DIV/0!</v>
      </c>
      <c r="R82" s="30" t="e">
        <f t="shared" ca="1" si="36"/>
        <v>#DIV/0!</v>
      </c>
      <c r="S82" s="30" t="e">
        <f t="shared" ca="1" si="36"/>
        <v>#DIV/0!</v>
      </c>
      <c r="T82" s="30" t="e">
        <f t="shared" ca="1" si="36"/>
        <v>#DIV/0!</v>
      </c>
      <c r="U82" s="30" t="e">
        <f t="shared" ca="1" si="36"/>
        <v>#DIV/0!</v>
      </c>
      <c r="V82" s="30" t="e">
        <f t="shared" ca="1" si="36"/>
        <v>#DIV/0!</v>
      </c>
      <c r="W82" s="30" t="e">
        <f t="shared" ca="1" si="36"/>
        <v>#DIV/0!</v>
      </c>
      <c r="X82" s="30" t="e">
        <f t="shared" ca="1" si="36"/>
        <v>#DIV/0!</v>
      </c>
      <c r="Y82" s="30" t="e">
        <f t="shared" ca="1" si="36"/>
        <v>#DIV/0!</v>
      </c>
      <c r="Z82" s="30" t="e">
        <f t="shared" ca="1" si="36"/>
        <v>#DIV/0!</v>
      </c>
      <c r="AA82" s="30" t="e">
        <f t="shared" ca="1" si="36"/>
        <v>#DIV/0!</v>
      </c>
      <c r="AB82" s="30" t="e">
        <f t="shared" ca="1" si="36"/>
        <v>#DIV/0!</v>
      </c>
      <c r="AC82" s="30" t="e">
        <f t="shared" ca="1" si="36"/>
        <v>#DIV/0!</v>
      </c>
      <c r="AD82" s="30" t="e">
        <f t="shared" ca="1" si="36"/>
        <v>#DIV/0!</v>
      </c>
      <c r="AE82" s="30" t="e">
        <f ca="1">SUM(AE75:AE78,AE81:AE87)-SUM(AE79:AE80)</f>
        <v>#DIV/0!</v>
      </c>
    </row>
    <row r="83" spans="1:32" hidden="1">
      <c r="H83" s="9"/>
    </row>
    <row r="84" spans="1:32" hidden="1">
      <c r="A84" s="4" t="s">
        <v>1174</v>
      </c>
      <c r="B84" s="4"/>
      <c r="H84" s="9"/>
    </row>
    <row r="85" spans="1:32" hidden="1">
      <c r="A85" t="s">
        <v>1175</v>
      </c>
      <c r="F85" s="31"/>
      <c r="G85" s="31"/>
      <c r="H85" s="11">
        <f>Dep!F4</f>
        <v>435.22978999999998</v>
      </c>
      <c r="I85" s="11">
        <f>Dep!G4</f>
        <v>0</v>
      </c>
      <c r="J85" s="11">
        <f>Dep!H4</f>
        <v>0</v>
      </c>
      <c r="K85" s="11">
        <f>Dep!I4</f>
        <v>0</v>
      </c>
      <c r="L85" s="11">
        <f>Dep!J4</f>
        <v>0</v>
      </c>
      <c r="M85" s="11">
        <f>Dep!K4</f>
        <v>0</v>
      </c>
      <c r="N85" s="11">
        <f>Dep!L4</f>
        <v>0</v>
      </c>
      <c r="O85" s="11">
        <f>Dep!M4</f>
        <v>0</v>
      </c>
      <c r="P85" s="11">
        <f>Dep!N4</f>
        <v>0</v>
      </c>
      <c r="Q85" s="11">
        <f>Dep!O4</f>
        <v>0</v>
      </c>
      <c r="R85" s="11">
        <f>Dep!P4</f>
        <v>0</v>
      </c>
      <c r="S85" s="11">
        <f>Dep!Q4</f>
        <v>0</v>
      </c>
      <c r="T85" s="11">
        <f>Dep!R4</f>
        <v>0</v>
      </c>
      <c r="U85" s="11">
        <f>Dep!S4</f>
        <v>0</v>
      </c>
      <c r="V85" s="11">
        <f>Dep!T4</f>
        <v>0</v>
      </c>
      <c r="W85" s="11">
        <f>Dep!U4</f>
        <v>0</v>
      </c>
      <c r="X85" s="11">
        <f>Dep!V4</f>
        <v>0</v>
      </c>
      <c r="Y85" s="11">
        <f>Dep!W4</f>
        <v>0</v>
      </c>
      <c r="Z85" s="11">
        <f>Dep!X4</f>
        <v>0</v>
      </c>
      <c r="AA85" s="11">
        <f>Dep!Y4</f>
        <v>0</v>
      </c>
      <c r="AB85" s="11">
        <f>Dep!Z4</f>
        <v>0</v>
      </c>
      <c r="AC85" s="11">
        <f>Dep!AA4</f>
        <v>0</v>
      </c>
      <c r="AD85" s="11">
        <f>Dep!AB4</f>
        <v>0</v>
      </c>
      <c r="AE85" s="11">
        <f>Dep!AC4</f>
        <v>0</v>
      </c>
    </row>
    <row r="86" spans="1:32" hidden="1">
      <c r="A86" t="s">
        <v>1176</v>
      </c>
      <c r="F86" s="11"/>
      <c r="G86" s="31"/>
      <c r="H86" s="9">
        <f>-E133</f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</row>
    <row r="87" spans="1:32" hidden="1">
      <c r="A87" t="s">
        <v>149</v>
      </c>
      <c r="F87" s="11"/>
      <c r="G87" s="31"/>
      <c r="H87" s="9">
        <f>IF(Assum!$D$122=H1,Assum!$B$122,0)</f>
        <v>42</v>
      </c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</row>
    <row r="88" spans="1:32" hidden="1">
      <c r="A88" t="s">
        <v>1177</v>
      </c>
      <c r="F88" s="11"/>
      <c r="G88" s="11"/>
      <c r="H88" s="9">
        <f>G88+F88</f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</row>
    <row r="89" spans="1:32" hidden="1">
      <c r="A89" t="s">
        <v>1178</v>
      </c>
      <c r="F89" s="11"/>
      <c r="G89" s="31"/>
      <c r="H89" s="9">
        <f>G89+F89</f>
        <v>0</v>
      </c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</row>
    <row r="90" spans="1:32" ht="15" hidden="1" thickBot="1">
      <c r="A90" s="29" t="s">
        <v>1179</v>
      </c>
      <c r="B90" s="29"/>
      <c r="C90" s="32"/>
      <c r="D90" s="32"/>
      <c r="E90" s="34"/>
      <c r="F90" s="34"/>
      <c r="G90" s="34"/>
      <c r="H90" s="34">
        <f>-SUM(H85:H89)</f>
        <v>-477.22978999999998</v>
      </c>
      <c r="I90" s="34">
        <f t="shared" ref="I90:AE90" si="37">SUM(I85:I89)</f>
        <v>0</v>
      </c>
      <c r="J90" s="34">
        <f t="shared" si="37"/>
        <v>0</v>
      </c>
      <c r="K90" s="34">
        <f t="shared" si="37"/>
        <v>0</v>
      </c>
      <c r="L90" s="34">
        <f t="shared" si="37"/>
        <v>0</v>
      </c>
      <c r="M90" s="34">
        <f t="shared" si="37"/>
        <v>0</v>
      </c>
      <c r="N90" s="34">
        <f t="shared" si="37"/>
        <v>0</v>
      </c>
      <c r="O90" s="34">
        <f t="shared" si="37"/>
        <v>0</v>
      </c>
      <c r="P90" s="34">
        <f t="shared" si="37"/>
        <v>0</v>
      </c>
      <c r="Q90" s="34">
        <f t="shared" si="37"/>
        <v>0</v>
      </c>
      <c r="R90" s="34">
        <f t="shared" si="37"/>
        <v>0</v>
      </c>
      <c r="S90" s="34">
        <f t="shared" si="37"/>
        <v>0</v>
      </c>
      <c r="T90" s="34">
        <f t="shared" si="37"/>
        <v>0</v>
      </c>
      <c r="U90" s="34">
        <f t="shared" si="37"/>
        <v>0</v>
      </c>
      <c r="V90" s="34">
        <f t="shared" si="37"/>
        <v>0</v>
      </c>
      <c r="W90" s="34">
        <f t="shared" si="37"/>
        <v>0</v>
      </c>
      <c r="X90" s="34">
        <f t="shared" si="37"/>
        <v>0</v>
      </c>
      <c r="Y90" s="34">
        <f t="shared" si="37"/>
        <v>0</v>
      </c>
      <c r="Z90" s="34">
        <f t="shared" si="37"/>
        <v>0</v>
      </c>
      <c r="AA90" s="34">
        <f t="shared" si="37"/>
        <v>0</v>
      </c>
      <c r="AB90" s="34">
        <f t="shared" si="37"/>
        <v>0</v>
      </c>
      <c r="AC90" s="34">
        <f t="shared" si="37"/>
        <v>0</v>
      </c>
      <c r="AD90" s="34">
        <f t="shared" si="37"/>
        <v>0</v>
      </c>
      <c r="AE90" s="34">
        <f t="shared" si="37"/>
        <v>0</v>
      </c>
    </row>
    <row r="91" spans="1:32" hidden="1">
      <c r="A91" s="1"/>
      <c r="B91" s="1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</row>
    <row r="92" spans="1:32" hidden="1">
      <c r="A92" s="1" t="s">
        <v>1180</v>
      </c>
      <c r="B92" s="1"/>
      <c r="C92" s="1"/>
      <c r="D92" s="1"/>
      <c r="E92" s="35"/>
      <c r="F92" s="35"/>
      <c r="G92" s="35"/>
      <c r="H92" s="35" t="e">
        <f ca="1">H72+H82+H90</f>
        <v>#DIV/0!</v>
      </c>
      <c r="I92" s="35" t="e">
        <f t="shared" ref="I92:AE92" ca="1" si="38">I72+I82+I90</f>
        <v>#DIV/0!</v>
      </c>
      <c r="J92" s="35" t="e">
        <f t="shared" ca="1" si="38"/>
        <v>#DIV/0!</v>
      </c>
      <c r="K92" s="35" t="e">
        <f t="shared" ca="1" si="38"/>
        <v>#DIV/0!</v>
      </c>
      <c r="L92" s="35" t="e">
        <f t="shared" ca="1" si="38"/>
        <v>#DIV/0!</v>
      </c>
      <c r="M92" s="35" t="e">
        <f t="shared" ca="1" si="38"/>
        <v>#DIV/0!</v>
      </c>
      <c r="N92" s="35" t="e">
        <f t="shared" ca="1" si="38"/>
        <v>#DIV/0!</v>
      </c>
      <c r="O92" s="35" t="e">
        <f t="shared" ca="1" si="38"/>
        <v>#DIV/0!</v>
      </c>
      <c r="P92" s="35" t="e">
        <f t="shared" ca="1" si="38"/>
        <v>#DIV/0!</v>
      </c>
      <c r="Q92" s="35" t="e">
        <f t="shared" ca="1" si="38"/>
        <v>#DIV/0!</v>
      </c>
      <c r="R92" s="35" t="e">
        <f t="shared" ca="1" si="38"/>
        <v>#DIV/0!</v>
      </c>
      <c r="S92" s="35" t="e">
        <f t="shared" ca="1" si="38"/>
        <v>#DIV/0!</v>
      </c>
      <c r="T92" s="35" t="e">
        <f t="shared" ca="1" si="38"/>
        <v>#DIV/0!</v>
      </c>
      <c r="U92" s="35" t="e">
        <f t="shared" ca="1" si="38"/>
        <v>#DIV/0!</v>
      </c>
      <c r="V92" s="35" t="e">
        <f t="shared" ca="1" si="38"/>
        <v>#DIV/0!</v>
      </c>
      <c r="W92" s="35" t="e">
        <f t="shared" ca="1" si="38"/>
        <v>#DIV/0!</v>
      </c>
      <c r="X92" s="35" t="e">
        <f t="shared" ca="1" si="38"/>
        <v>#DIV/0!</v>
      </c>
      <c r="Y92" s="35" t="e">
        <f t="shared" ca="1" si="38"/>
        <v>#DIV/0!</v>
      </c>
      <c r="Z92" s="35" t="e">
        <f t="shared" ca="1" si="38"/>
        <v>#DIV/0!</v>
      </c>
      <c r="AA92" s="35" t="e">
        <f t="shared" ca="1" si="38"/>
        <v>#DIV/0!</v>
      </c>
      <c r="AB92" s="35" t="e">
        <f t="shared" ca="1" si="38"/>
        <v>#DIV/0!</v>
      </c>
      <c r="AC92" s="35" t="e">
        <f t="shared" ca="1" si="38"/>
        <v>#DIV/0!</v>
      </c>
      <c r="AD92" s="35" t="e">
        <f t="shared" ca="1" si="38"/>
        <v>#DIV/0!</v>
      </c>
      <c r="AE92" s="35" t="e">
        <f t="shared" ca="1" si="38"/>
        <v>#DIV/0!</v>
      </c>
      <c r="AF92" s="35"/>
    </row>
    <row r="93" spans="1:32" s="3" customFormat="1" hidden="1">
      <c r="A93" s="4" t="s">
        <v>1181</v>
      </c>
      <c r="B93" s="4"/>
      <c r="C93" s="4"/>
      <c r="D93" s="4"/>
      <c r="E93" s="4"/>
      <c r="F93" s="36"/>
      <c r="G93" s="36"/>
      <c r="H93" s="36" t="e">
        <f ca="1">H92+E103</f>
        <v>#DIV/0!</v>
      </c>
      <c r="I93" s="36" t="e">
        <f t="shared" ref="I93:AE93" ca="1" si="39">I92+H103</f>
        <v>#DIV/0!</v>
      </c>
      <c r="J93" s="36" t="e">
        <f t="shared" ca="1" si="39"/>
        <v>#DIV/0!</v>
      </c>
      <c r="K93" s="36" t="e">
        <f t="shared" ca="1" si="39"/>
        <v>#DIV/0!</v>
      </c>
      <c r="L93" s="36" t="e">
        <f t="shared" ca="1" si="39"/>
        <v>#DIV/0!</v>
      </c>
      <c r="M93" s="36" t="e">
        <f t="shared" ca="1" si="39"/>
        <v>#DIV/0!</v>
      </c>
      <c r="N93" s="36" t="e">
        <f t="shared" ca="1" si="39"/>
        <v>#DIV/0!</v>
      </c>
      <c r="O93" s="36" t="e">
        <f t="shared" ca="1" si="39"/>
        <v>#DIV/0!</v>
      </c>
      <c r="P93" s="36" t="e">
        <f t="shared" ca="1" si="39"/>
        <v>#DIV/0!</v>
      </c>
      <c r="Q93" s="36" t="e">
        <f t="shared" ca="1" si="39"/>
        <v>#DIV/0!</v>
      </c>
      <c r="R93" s="36" t="e">
        <f t="shared" ca="1" si="39"/>
        <v>#DIV/0!</v>
      </c>
      <c r="S93" s="36" t="e">
        <f t="shared" ca="1" si="39"/>
        <v>#DIV/0!</v>
      </c>
      <c r="T93" s="36" t="e">
        <f t="shared" ca="1" si="39"/>
        <v>#DIV/0!</v>
      </c>
      <c r="U93" s="36" t="e">
        <f t="shared" ca="1" si="39"/>
        <v>#DIV/0!</v>
      </c>
      <c r="V93" s="36" t="e">
        <f t="shared" ca="1" si="39"/>
        <v>#DIV/0!</v>
      </c>
      <c r="W93" s="36" t="e">
        <f t="shared" ca="1" si="39"/>
        <v>#DIV/0!</v>
      </c>
      <c r="X93" s="36" t="e">
        <f t="shared" ca="1" si="39"/>
        <v>#DIV/0!</v>
      </c>
      <c r="Y93" s="36" t="e">
        <f t="shared" ca="1" si="39"/>
        <v>#DIV/0!</v>
      </c>
      <c r="Z93" s="36" t="e">
        <f t="shared" ca="1" si="39"/>
        <v>#DIV/0!</v>
      </c>
      <c r="AA93" s="36" t="e">
        <f t="shared" ca="1" si="39"/>
        <v>#DIV/0!</v>
      </c>
      <c r="AB93" s="36" t="e">
        <f t="shared" ca="1" si="39"/>
        <v>#DIV/0!</v>
      </c>
      <c r="AC93" s="36" t="e">
        <f t="shared" ca="1" si="39"/>
        <v>#DIV/0!</v>
      </c>
      <c r="AD93" s="36" t="e">
        <f t="shared" ca="1" si="39"/>
        <v>#DIV/0!</v>
      </c>
      <c r="AE93" s="36" t="e">
        <f t="shared" ca="1" si="39"/>
        <v>#DIV/0!</v>
      </c>
    </row>
    <row r="94" spans="1:32" s="3" customFormat="1" hidden="1">
      <c r="A94" s="3" t="s">
        <v>146</v>
      </c>
      <c r="F94" s="37"/>
      <c r="G94" s="37"/>
      <c r="H94" s="37" t="e">
        <f ca="1">IF(H93&gt;Assum!$B$68,MIN(Assum!$B$119-Assum!$C$141-SUM($G94:G94),H93-Assum!$B$68),0)*0</f>
        <v>#DIV/0!</v>
      </c>
      <c r="I94" s="37" t="e">
        <f ca="1">IF(I93&gt;Assum!$B$68,MIN(Assum!$B$119-Assum!$C$141-SUM($H94:H94),I93-Assum!$B$68),0)*0</f>
        <v>#DIV/0!</v>
      </c>
      <c r="J94" s="37" t="e">
        <f ca="1">IF(J93&gt;Assum!$B$68,MIN(Assum!$B$119-Assum!$C$141-SUM($H94:I94),J93-Assum!$B$68),0)</f>
        <v>#DIV/0!</v>
      </c>
      <c r="K94" s="37" t="e">
        <f ca="1">IF(K93&gt;Assum!$B$68,MIN(Assum!$B$119-Assum!$C$141-SUM($H94:J94),K93-Assum!$B$68),0)</f>
        <v>#DIV/0!</v>
      </c>
      <c r="L94" s="37" t="e">
        <f ca="1">IF(L93&gt;Assum!$B$68,MIN(Assum!$B$119-Assum!$C$141-SUM($H94:K94),L93-Assum!$B$68),0)</f>
        <v>#DIV/0!</v>
      </c>
      <c r="M94" s="37" t="e">
        <f ca="1">IF(M93&gt;Assum!$B$68,MIN(Assum!$B$119-Assum!$C$141-SUM($H94:L94),M93-Assum!$B$68),0)</f>
        <v>#DIV/0!</v>
      </c>
      <c r="N94" s="37" t="e">
        <f ca="1">IF(N93&gt;Assum!$B$68,MIN(Assum!$B$119-Assum!$C$141-SUM($H94:M94),N93-Assum!$B$68),0)</f>
        <v>#DIV/0!</v>
      </c>
      <c r="O94" s="37" t="e">
        <f ca="1">IF(O93&gt;Assum!$B$68,MIN(Assum!$B$119-Assum!$C$141-SUM($H94:N94),O93-Assum!$B$68),0)</f>
        <v>#DIV/0!</v>
      </c>
      <c r="P94" s="37" t="e">
        <f ca="1">IF(P93&gt;Assum!$B$68,MIN(Assum!$B$119-Assum!$C$141-SUM($H94:O94),P93-Assum!$B$68),0)</f>
        <v>#DIV/0!</v>
      </c>
      <c r="Q94" s="37" t="e">
        <f ca="1">IF(Q93&gt;Assum!$B$68,MIN(Assum!$B$119-Assum!$C$141-SUM($H94:P94),Q93-Assum!$B$68),0)</f>
        <v>#DIV/0!</v>
      </c>
      <c r="R94" s="37" t="e">
        <f ca="1">IF(R93&gt;Assum!$B$68,MIN(Assum!$B$119-Assum!$C$141-SUM($H94:Q94),R93-Assum!$B$68),0)</f>
        <v>#DIV/0!</v>
      </c>
      <c r="S94" s="37" t="e">
        <f ca="1">IF(S93&gt;Assum!$B$68,MIN(Assum!$B$119-Assum!$C$141-SUM($H94:R94),S93-Assum!$B$68),0)</f>
        <v>#DIV/0!</v>
      </c>
      <c r="T94" s="37" t="e">
        <f ca="1">IF(T93&gt;Assum!$B$68,MIN(Assum!$B$119-Assum!$C$141-SUM($H94:S94),T93-Assum!$B$68),0)</f>
        <v>#DIV/0!</v>
      </c>
      <c r="U94" s="37" t="e">
        <f ca="1">IF(U93&gt;Assum!$B$68,MIN(Assum!$B$119-Assum!$C$141-SUM($H94:T94),U93-Assum!$B$68),0)</f>
        <v>#DIV/0!</v>
      </c>
      <c r="V94" s="37" t="e">
        <f ca="1">IF(V93&gt;Assum!$B$68,MIN(Assum!$B$119-Assum!$C$141-SUM($H94:U94),V93-Assum!$B$68),0)</f>
        <v>#DIV/0!</v>
      </c>
      <c r="W94" s="37" t="e">
        <f ca="1">IF(W93&gt;Assum!$B$68,MIN(Assum!$B$119-Assum!$C$141-SUM($H94:V94),W93-Assum!$B$68),0)</f>
        <v>#DIV/0!</v>
      </c>
      <c r="X94" s="37" t="e">
        <f ca="1">IF(X93&gt;Assum!$B$68,MIN(Assum!$B$119-Assum!$C$141-SUM($H94:W94),X93-Assum!$B$68),0)</f>
        <v>#DIV/0!</v>
      </c>
      <c r="Y94" s="37" t="e">
        <f ca="1">IF(Y93&gt;Assum!$B$68,MIN(Assum!$B$119-Assum!$C$141-SUM($H94:X94),Y93-Assum!$B$68),0)</f>
        <v>#DIV/0!</v>
      </c>
      <c r="Z94" s="37" t="e">
        <f ca="1">IF(Z93&gt;Assum!$B$68,MIN(Assum!$B$119-Assum!$C$141-SUM($H94:Y94),Z93-Assum!$B$68),0)</f>
        <v>#DIV/0!</v>
      </c>
      <c r="AA94" s="37" t="e">
        <f ca="1">IF(AA93&gt;Assum!$B$68,MIN(Assum!$B$119-Assum!$C$141-SUM($H94:Z94),AA93-Assum!$B$68),0)</f>
        <v>#DIV/0!</v>
      </c>
      <c r="AB94" s="37" t="e">
        <f ca="1">IF(AB93&gt;Assum!$B$68,MIN(Assum!$B$119-Assum!$C$141-SUM($H94:AA94),AB93-Assum!$B$68),0)</f>
        <v>#DIV/0!</v>
      </c>
      <c r="AC94" s="37" t="e">
        <f ca="1">IF(AC93&gt;Assum!$B$68,MIN(Assum!$B$119-Assum!$C$141-SUM($H94:AB94),AC93-Assum!$B$68),0)</f>
        <v>#DIV/0!</v>
      </c>
      <c r="AD94" s="37" t="e">
        <f ca="1">IF(AD93&gt;Assum!$B$68,MIN(Assum!$B$119-Assum!$C$141-SUM($H94:AC94),AD93-Assum!$B$68),0)</f>
        <v>#DIV/0!</v>
      </c>
      <c r="AE94" s="37" t="e">
        <f ca="1">IF(AE93&gt;Assum!$B$68,MIN(Assum!$B$119-Assum!$C$141-SUM($H94:AD94),AE93-Assum!$B$68),0)</f>
        <v>#DIV/0!</v>
      </c>
    </row>
    <row r="95" spans="1:32" s="3" customFormat="1" hidden="1">
      <c r="A95" s="4" t="s">
        <v>1182</v>
      </c>
      <c r="B95" s="4"/>
      <c r="F95" s="37"/>
      <c r="G95" s="37"/>
      <c r="H95" s="37" t="e">
        <f t="shared" ref="H95:AE95" ca="1" si="40">H93-H94</f>
        <v>#DIV/0!</v>
      </c>
      <c r="I95" s="37" t="e">
        <f t="shared" ca="1" si="40"/>
        <v>#DIV/0!</v>
      </c>
      <c r="J95" s="37" t="e">
        <f t="shared" ca="1" si="40"/>
        <v>#DIV/0!</v>
      </c>
      <c r="K95" s="37" t="e">
        <f t="shared" ca="1" si="40"/>
        <v>#DIV/0!</v>
      </c>
      <c r="L95" s="37" t="e">
        <f t="shared" ca="1" si="40"/>
        <v>#DIV/0!</v>
      </c>
      <c r="M95" s="37" t="e">
        <f t="shared" ca="1" si="40"/>
        <v>#DIV/0!</v>
      </c>
      <c r="N95" s="37" t="e">
        <f t="shared" ca="1" si="40"/>
        <v>#DIV/0!</v>
      </c>
      <c r="O95" s="37" t="e">
        <f t="shared" ca="1" si="40"/>
        <v>#DIV/0!</v>
      </c>
      <c r="P95" s="37" t="e">
        <f t="shared" ca="1" si="40"/>
        <v>#DIV/0!</v>
      </c>
      <c r="Q95" s="37" t="e">
        <f t="shared" ca="1" si="40"/>
        <v>#DIV/0!</v>
      </c>
      <c r="R95" s="37" t="e">
        <f t="shared" ca="1" si="40"/>
        <v>#DIV/0!</v>
      </c>
      <c r="S95" s="37" t="e">
        <f t="shared" ca="1" si="40"/>
        <v>#DIV/0!</v>
      </c>
      <c r="T95" s="37" t="e">
        <f t="shared" ca="1" si="40"/>
        <v>#DIV/0!</v>
      </c>
      <c r="U95" s="37" t="e">
        <f t="shared" ca="1" si="40"/>
        <v>#DIV/0!</v>
      </c>
      <c r="V95" s="37" t="e">
        <f t="shared" ca="1" si="40"/>
        <v>#DIV/0!</v>
      </c>
      <c r="W95" s="37" t="e">
        <f t="shared" ca="1" si="40"/>
        <v>#DIV/0!</v>
      </c>
      <c r="X95" s="37" t="e">
        <f t="shared" ca="1" si="40"/>
        <v>#DIV/0!</v>
      </c>
      <c r="Y95" s="37" t="e">
        <f t="shared" ca="1" si="40"/>
        <v>#DIV/0!</v>
      </c>
      <c r="Z95" s="37" t="e">
        <f t="shared" ca="1" si="40"/>
        <v>#DIV/0!</v>
      </c>
      <c r="AA95" s="37" t="e">
        <f t="shared" ca="1" si="40"/>
        <v>#DIV/0!</v>
      </c>
      <c r="AB95" s="37" t="e">
        <f t="shared" ca="1" si="40"/>
        <v>#DIV/0!</v>
      </c>
      <c r="AC95" s="37" t="e">
        <f t="shared" ca="1" si="40"/>
        <v>#DIV/0!</v>
      </c>
      <c r="AD95" s="37" t="e">
        <f t="shared" ca="1" si="40"/>
        <v>#DIV/0!</v>
      </c>
      <c r="AE95" s="37" t="e">
        <f t="shared" ca="1" si="40"/>
        <v>#DIV/0!</v>
      </c>
    </row>
    <row r="96" spans="1:32" s="3" customFormat="1" hidden="1">
      <c r="A96" s="3" t="s">
        <v>149</v>
      </c>
      <c r="F96" s="37"/>
      <c r="G96" s="37"/>
      <c r="H96" s="37" t="e">
        <f ca="1">IF(H95&gt;Assum!$B$68,MIN(Assum!$B$122-SUM($F96:G96),H95-Assum!$B$68),0)*0</f>
        <v>#DIV/0!</v>
      </c>
      <c r="I96" s="37" t="e">
        <f ca="1">IF(I95&gt;Assum!$B$68,MIN(Assum!$B$122-SUM($H96:H96),I95-Assum!$B$68),0)*0</f>
        <v>#DIV/0!</v>
      </c>
      <c r="J96" s="37" t="e">
        <f ca="1">IF(J95&gt;Assum!$B$68,MIN(Assum!$B$122-SUM($H96:I96),J95-Assum!$B$68),0)</f>
        <v>#DIV/0!</v>
      </c>
      <c r="K96" s="37" t="e">
        <f ca="1">IF(K95&gt;Assum!$B$68,MIN(Assum!$B$122-SUM($H96:J96),K95-Assum!$B$68),0)</f>
        <v>#DIV/0!</v>
      </c>
      <c r="L96" s="37" t="e">
        <f ca="1">IF(L95&gt;Assum!$B$68,MIN(Assum!$B$122-SUM($H96:K96),L95-Assum!$B$68),0)</f>
        <v>#DIV/0!</v>
      </c>
      <c r="M96" s="37" t="e">
        <f ca="1">IF(M95&gt;Assum!$B$68,MIN(Assum!$B$122-SUM($H96:L96),M95-Assum!$B$68),0)</f>
        <v>#DIV/0!</v>
      </c>
      <c r="N96" s="37" t="e">
        <f ca="1">IF(N95&gt;Assum!$B$68,MIN(Assum!$B$122-SUM($H96:M96),N95-Assum!$B$68),0)</f>
        <v>#DIV/0!</v>
      </c>
      <c r="O96" s="37" t="e">
        <f ca="1">IF(O95&gt;Assum!$B$68,MIN(Assum!$B$122-SUM($H96:N96),O95-Assum!$B$68),0)</f>
        <v>#DIV/0!</v>
      </c>
      <c r="P96" s="37" t="e">
        <f ca="1">IF(P95&gt;Assum!$B$68,MIN(Assum!$B$122-SUM($H96:O96),P95-Assum!$B$68),0)</f>
        <v>#DIV/0!</v>
      </c>
      <c r="Q96" s="37" t="e">
        <f ca="1">IF(Q95&gt;Assum!$B$68,MIN(Assum!$B$122-SUM($H96:P96),Q95-Assum!$B$68),0)</f>
        <v>#DIV/0!</v>
      </c>
      <c r="R96" s="37" t="e">
        <f ca="1">IF(R95&gt;Assum!$B$68,MIN(Assum!$B$122-SUM($H96:Q96),R95-Assum!$B$68),0)</f>
        <v>#DIV/0!</v>
      </c>
      <c r="S96" s="37" t="e">
        <f ca="1">IF(S95&gt;Assum!$B$68,MIN(Assum!$B$122-SUM($H96:R96),S95-Assum!$B$68),0)</f>
        <v>#DIV/0!</v>
      </c>
      <c r="T96" s="37" t="e">
        <f ca="1">IF(T95&gt;Assum!$B$68,MIN(Assum!$B$122-SUM($H96:S96),T95-Assum!$B$68),0)</f>
        <v>#DIV/0!</v>
      </c>
      <c r="U96" s="37" t="e">
        <f ca="1">IF(U95&gt;Assum!$B$68,MIN(Assum!$B$122-SUM($H96:T96),U95-Assum!$B$68),0)</f>
        <v>#DIV/0!</v>
      </c>
      <c r="V96" s="37" t="e">
        <f ca="1">IF(V95&gt;Assum!$B$68,MIN(Assum!$B$122-SUM($H96:U96),V95-Assum!$B$68),0)</f>
        <v>#DIV/0!</v>
      </c>
      <c r="W96" s="37" t="e">
        <f ca="1">IF(W95&gt;Assum!$B$68,MIN(Assum!$B$122-SUM($H96:V96),W95-Assum!$B$68),0)</f>
        <v>#DIV/0!</v>
      </c>
      <c r="X96" s="37" t="e">
        <f ca="1">IF(X95&gt;Assum!$B$68,MIN(Assum!$B$122-SUM($H96:W96),X95-Assum!$B$68),0)</f>
        <v>#DIV/0!</v>
      </c>
      <c r="Y96" s="37" t="e">
        <f ca="1">IF(Y95&gt;Assum!$B$68,MIN(Assum!$B$122-SUM($H96:X96),Y95-Assum!$B$68),0)</f>
        <v>#DIV/0!</v>
      </c>
      <c r="Z96" s="37" t="e">
        <f ca="1">IF(Z95&gt;Assum!$B$68,MIN(Assum!$B$122-SUM($H96:Y96),Z95-Assum!$B$68),0)</f>
        <v>#DIV/0!</v>
      </c>
      <c r="AA96" s="37" t="e">
        <f ca="1">IF(AA95&gt;Assum!$B$68,MIN(Assum!$B$122-SUM($H96:Z96),AA95-Assum!$B$68),0)</f>
        <v>#DIV/0!</v>
      </c>
      <c r="AB96" s="37" t="e">
        <f ca="1">IF(AB95&gt;Assum!$B$68,MIN(Assum!$B$122-SUM($H96:AA96),AB95-Assum!$B$68),0)</f>
        <v>#DIV/0!</v>
      </c>
      <c r="AC96" s="37" t="e">
        <f ca="1">IF(AC95&gt;Assum!$B$68,MIN(Assum!$B$122-SUM($H96:AB96),AC95-Assum!$B$68),0)</f>
        <v>#DIV/0!</v>
      </c>
      <c r="AD96" s="37" t="e">
        <f ca="1">IF(AD95&gt;Assum!$B$68,MIN(Assum!$B$122-SUM($H96:AC96),AD95-Assum!$B$68),0)</f>
        <v>#DIV/0!</v>
      </c>
      <c r="AE96" s="37" t="e">
        <f ca="1">IF(AE95&gt;Assum!$B$68,MIN(Assum!$B$122-SUM($H96:AD96),AE95-Assum!$B$68),0)</f>
        <v>#DIV/0!</v>
      </c>
    </row>
    <row r="97" spans="1:31" s="4" customFormat="1" hidden="1">
      <c r="A97" s="4" t="s">
        <v>1183</v>
      </c>
      <c r="F97" s="36"/>
      <c r="G97" s="36"/>
      <c r="H97" s="36" t="e">
        <f ca="1">H95-H96</f>
        <v>#DIV/0!</v>
      </c>
      <c r="I97" s="36" t="e">
        <f t="shared" ref="I97:AE97" ca="1" si="41">I95-I96</f>
        <v>#DIV/0!</v>
      </c>
      <c r="J97" s="36" t="e">
        <f t="shared" ca="1" si="41"/>
        <v>#DIV/0!</v>
      </c>
      <c r="K97" s="36" t="e">
        <f t="shared" ca="1" si="41"/>
        <v>#DIV/0!</v>
      </c>
      <c r="L97" s="36" t="e">
        <f t="shared" ca="1" si="41"/>
        <v>#DIV/0!</v>
      </c>
      <c r="M97" s="36" t="e">
        <f t="shared" ca="1" si="41"/>
        <v>#DIV/0!</v>
      </c>
      <c r="N97" s="36" t="e">
        <f t="shared" ca="1" si="41"/>
        <v>#DIV/0!</v>
      </c>
      <c r="O97" s="36" t="e">
        <f t="shared" ca="1" si="41"/>
        <v>#DIV/0!</v>
      </c>
      <c r="P97" s="36" t="e">
        <f t="shared" ca="1" si="41"/>
        <v>#DIV/0!</v>
      </c>
      <c r="Q97" s="36" t="e">
        <f t="shared" ca="1" si="41"/>
        <v>#DIV/0!</v>
      </c>
      <c r="R97" s="36" t="e">
        <f t="shared" ca="1" si="41"/>
        <v>#DIV/0!</v>
      </c>
      <c r="S97" s="36" t="e">
        <f t="shared" ca="1" si="41"/>
        <v>#DIV/0!</v>
      </c>
      <c r="T97" s="36" t="e">
        <f t="shared" ca="1" si="41"/>
        <v>#DIV/0!</v>
      </c>
      <c r="U97" s="36" t="e">
        <f t="shared" ca="1" si="41"/>
        <v>#DIV/0!</v>
      </c>
      <c r="V97" s="36" t="e">
        <f t="shared" ca="1" si="41"/>
        <v>#DIV/0!</v>
      </c>
      <c r="W97" s="36" t="e">
        <f t="shared" ca="1" si="41"/>
        <v>#DIV/0!</v>
      </c>
      <c r="X97" s="36" t="e">
        <f t="shared" ca="1" si="41"/>
        <v>#DIV/0!</v>
      </c>
      <c r="Y97" s="36" t="e">
        <f t="shared" ca="1" si="41"/>
        <v>#DIV/0!</v>
      </c>
      <c r="Z97" s="36" t="e">
        <f t="shared" ca="1" si="41"/>
        <v>#DIV/0!</v>
      </c>
      <c r="AA97" s="36" t="e">
        <f t="shared" ca="1" si="41"/>
        <v>#DIV/0!</v>
      </c>
      <c r="AB97" s="36" t="e">
        <f t="shared" ca="1" si="41"/>
        <v>#DIV/0!</v>
      </c>
      <c r="AC97" s="36" t="e">
        <f t="shared" ca="1" si="41"/>
        <v>#DIV/0!</v>
      </c>
      <c r="AD97" s="36" t="e">
        <f t="shared" ca="1" si="41"/>
        <v>#DIV/0!</v>
      </c>
      <c r="AE97" s="36" t="e">
        <f t="shared" ca="1" si="41"/>
        <v>#DIV/0!</v>
      </c>
    </row>
    <row r="98" spans="1:31" hidden="1">
      <c r="A98" t="s">
        <v>1184</v>
      </c>
      <c r="F98" s="9"/>
      <c r="G98" s="9"/>
      <c r="H98" s="9"/>
      <c r="I98" s="9">
        <f>Debt!E88</f>
        <v>0</v>
      </c>
      <c r="J98" s="9" t="e">
        <f ca="1">Debt!F88</f>
        <v>#DIV/0!</v>
      </c>
      <c r="K98" s="9" t="e">
        <f ca="1">Debt!G88</f>
        <v>#DIV/0!</v>
      </c>
      <c r="L98" s="9" t="e">
        <f ca="1">Debt!H88</f>
        <v>#DIV/0!</v>
      </c>
      <c r="M98" s="9" t="e">
        <f ca="1">Debt!I88</f>
        <v>#DIV/0!</v>
      </c>
      <c r="N98" s="9" t="e">
        <f ca="1">Debt!J88</f>
        <v>#DIV/0!</v>
      </c>
      <c r="O98" s="9" t="e">
        <f ca="1">Debt!K88</f>
        <v>#DIV/0!</v>
      </c>
      <c r="P98" s="9" t="e">
        <f ca="1">Debt!L88</f>
        <v>#DIV/0!</v>
      </c>
      <c r="Q98" s="9" t="e">
        <f ca="1">Debt!M88</f>
        <v>#DIV/0!</v>
      </c>
      <c r="R98" s="9" t="e">
        <f ca="1">Debt!N88</f>
        <v>#DIV/0!</v>
      </c>
      <c r="S98" s="9" t="e">
        <f ca="1">Debt!O88</f>
        <v>#DIV/0!</v>
      </c>
      <c r="T98" s="9" t="e">
        <f ca="1">Debt!P88</f>
        <v>#DIV/0!</v>
      </c>
      <c r="U98" s="9" t="e">
        <f ca="1">Debt!Q88</f>
        <v>#DIV/0!</v>
      </c>
      <c r="V98" s="9" t="e">
        <f ca="1">Debt!R88</f>
        <v>#DIV/0!</v>
      </c>
      <c r="W98" s="9" t="e">
        <f ca="1">Debt!S88</f>
        <v>#DIV/0!</v>
      </c>
      <c r="X98" s="9" t="e">
        <f ca="1">Debt!T88</f>
        <v>#DIV/0!</v>
      </c>
      <c r="Y98" s="9" t="e">
        <f ca="1">Debt!U88</f>
        <v>#DIV/0!</v>
      </c>
      <c r="Z98" s="9" t="e">
        <f ca="1">Debt!V88</f>
        <v>#DIV/0!</v>
      </c>
      <c r="AA98" s="9" t="e">
        <f ca="1">Debt!W88</f>
        <v>#DIV/0!</v>
      </c>
      <c r="AB98" s="9" t="e">
        <f ca="1">Debt!X88</f>
        <v>#DIV/0!</v>
      </c>
      <c r="AC98" s="9" t="e">
        <f ca="1">Debt!Y88</f>
        <v>#DIV/0!</v>
      </c>
      <c r="AD98" s="9" t="e">
        <f ca="1">Debt!Z88</f>
        <v>#DIV/0!</v>
      </c>
      <c r="AE98" s="9">
        <f>Debt!AA88</f>
        <v>0</v>
      </c>
    </row>
    <row r="99" spans="1:31" hidden="1">
      <c r="A99" t="s">
        <v>1185</v>
      </c>
      <c r="F99" s="13"/>
      <c r="G99" s="13"/>
      <c r="H99" s="13"/>
      <c r="I99" s="13" t="e">
        <f ca="1">IF(I97&gt;Assum!$B$68,IF((I97-Assum!$B$68)&gt;=I98,MIN(I97-Assum!$B$68,I98-SUM($H$99:H99)),IF((I97-Assum!$B$68)&lt;I98,MIN(I97-Assum!$B$68,I98-SUM($H$99:H99)),0)),0)</f>
        <v>#DIV/0!</v>
      </c>
      <c r="J99" s="13" t="e">
        <f ca="1">IF(J97&gt;Assum!$B$68,IF((J97-Assum!$B$68)&gt;=J98,MIN(J97-Assum!$B$68,J98-SUM($H$99:I99)),IF((J97-Assum!$B$68)&lt;J98,MIN(J97-Assum!$B$68,J98-SUM($H$99:I99)),0)),0)</f>
        <v>#DIV/0!</v>
      </c>
      <c r="K99" s="13" t="e">
        <f ca="1">IF(K97&gt;Assum!$B$68,IF((K97-Assum!$B$68)&gt;=K98,MIN(K97-Assum!$B$68,K98-SUM($H$99:J99)),IF((K97-Assum!$B$68)&lt;K98,MIN(K97-Assum!$B$68,K98-SUM($H$99:J99)),0)),0)</f>
        <v>#DIV/0!</v>
      </c>
      <c r="L99" s="13" t="e">
        <f ca="1">IF(L97&gt;Assum!$B$68,IF((L97-Assum!$B$68)&gt;=L98,MIN(L97-Assum!$B$68,L98-SUM($H$99:K99)),IF((L97-Assum!$B$68)&lt;L98,MIN(L97-Assum!$B$68,L98-SUM($H$99:K99)),0)),0)</f>
        <v>#DIV/0!</v>
      </c>
      <c r="M99" s="13" t="e">
        <f ca="1">IF(M97&gt;Assum!$B$68,IF((M97-Assum!$B$68)&gt;=M98,MIN(M97-Assum!$B$68,M98-SUM($H$99:L99)),IF((M97-Assum!$B$68)&lt;M98,MIN(M97-Assum!$B$68,M98-SUM($H$99:L99)),0)),0)</f>
        <v>#DIV/0!</v>
      </c>
      <c r="N99" s="13" t="e">
        <f ca="1">IF(N97&gt;Assum!$B$68,IF((N97-Assum!$B$68)&gt;=N98,MIN(N97-Assum!$B$68,N98-SUM($H$99:M99)),IF((N97-Assum!$B$68)&lt;N98,MIN(N97-Assum!$B$68,N98-SUM($H$99:M99)),0)),0)</f>
        <v>#DIV/0!</v>
      </c>
      <c r="O99" s="13" t="e">
        <f ca="1">IF(O97&gt;Assum!$B$68,IF((O97-Assum!$B$68)&gt;=O98,MIN(O97-Assum!$B$68,O98-SUM($H$99:N99)),IF((O97-Assum!$B$68)&lt;O98,MIN(O97-Assum!$B$68,O98-SUM($H$99:N99)),0)),0)</f>
        <v>#DIV/0!</v>
      </c>
      <c r="P99" s="13" t="e">
        <f ca="1">IF(P97&gt;Assum!$B$68,IF((P97-Assum!$B$68)&gt;=P98,MIN(P97-Assum!$B$68,P98-SUM($H$99:O99)),IF((P97-Assum!$B$68)&lt;P98,MIN(P97-Assum!$B$68,P98-SUM($H$99:O99)),0)),0)</f>
        <v>#DIV/0!</v>
      </c>
      <c r="Q99" s="13" t="e">
        <f ca="1">IF(Q97&gt;Assum!$B$68,IF((Q97-Assum!$B$68)&gt;=Q98,MIN(Q97-Assum!$B$68,Q98-SUM($H$99:P99)),IF((Q97-Assum!$B$68)&lt;Q98,MIN(Q97-Assum!$B$68,Q98-SUM($H$99:P99)),0)),0)</f>
        <v>#DIV/0!</v>
      </c>
      <c r="R99" s="13" t="e">
        <f ca="1">IF(R97&gt;Assum!$B$68,IF((R97-Assum!$B$68)&gt;=R98,MIN(R97-Assum!$B$68,R98-SUM($H$99:Q99)),IF((R97-Assum!$B$68)&lt;R98,MIN(R97-Assum!$B$68,R98-SUM($H$99:Q99)),0)),0)</f>
        <v>#DIV/0!</v>
      </c>
      <c r="S99" s="13" t="e">
        <f ca="1">IF(S97&gt;Assum!$B$68,IF((S97-Assum!$B$68)&gt;=S98,MIN(S97-Assum!$B$68,S98-SUM($H$99:R99)),IF((S97-Assum!$B$68)&lt;S98,MIN(S97-Assum!$B$68,S98-SUM($H$99:R99)),0)),0)</f>
        <v>#DIV/0!</v>
      </c>
      <c r="T99" s="13" t="e">
        <f ca="1">IF(T97&gt;Assum!$B$68,IF((T97-Assum!$B$68)&gt;=T98,MIN(T97-Assum!$B$68,T98-SUM($H$99:S99)),IF((T97-Assum!$B$68)&lt;T98,MIN(T97-Assum!$B$68,T98-SUM($H$99:S99)),0)),0)</f>
        <v>#DIV/0!</v>
      </c>
      <c r="U99" s="13" t="e">
        <f ca="1">IF(U97&gt;Assum!$B$68,IF((U97-Assum!$B$68)&gt;=U98,MIN(U97-Assum!$B$68,U98-SUM($H$99:T99)),IF((U97-Assum!$B$68)&lt;U98,MIN(U97-Assum!$B$68,U98-SUM($H$99:T99)),0)),0)</f>
        <v>#DIV/0!</v>
      </c>
      <c r="V99" s="13" t="e">
        <f ca="1">IF(V97&gt;Assum!$B$68,IF((V97-Assum!$B$68)&gt;=V98,MIN(V97-Assum!$B$68,V98-SUM($H$99:U99)),IF((V97-Assum!$B$68)&lt;V98,MIN(V97-Assum!$B$68,V98-SUM($H$99:U99)),0)),0)</f>
        <v>#DIV/0!</v>
      </c>
      <c r="W99" s="13" t="e">
        <f ca="1">IF(W97&gt;Assum!$B$68,IF((W97-Assum!$B$68)&gt;=W98,MIN(W97-Assum!$B$68,W98-SUM($H$99:V99)),IF((W97-Assum!$B$68)&lt;W98,MIN(W97-Assum!$B$68,W98-SUM($H$99:V99)),0)),0)</f>
        <v>#DIV/0!</v>
      </c>
      <c r="X99" s="13" t="e">
        <f ca="1">IF(X97&gt;Assum!$B$68,IF((X97-Assum!$B$68)&gt;=X98,MIN(X97-Assum!$B$68,X98-SUM($H$99:W99)),IF((X97-Assum!$B$68)&lt;X98,MIN(X97-Assum!$B$68,X98-SUM($H$99:W99)),0)),0)</f>
        <v>#DIV/0!</v>
      </c>
      <c r="Y99" s="13" t="e">
        <f ca="1">IF(Y97&gt;Assum!$B$68,IF((Y97-Assum!$B$68)&gt;=Y98,MIN(Y97-Assum!$B$68,Y98-SUM($H$99:X99)),IF((Y97-Assum!$B$68)&lt;Y98,MIN(Y97-Assum!$B$68,Y98-SUM($H$99:X99)),0)),0)</f>
        <v>#DIV/0!</v>
      </c>
      <c r="Z99" s="13" t="e">
        <f ca="1">IF(Z97&gt;Assum!$B$68,IF((Z97-Assum!$B$68)&gt;=Z98,MIN(Z97-Assum!$B$68,Z98-SUM($H$99:Y99)),IF((Z97-Assum!$B$68)&lt;Z98,MIN(Z97-Assum!$B$68,Z98-SUM($H$99:Y99)),0)),0)</f>
        <v>#DIV/0!</v>
      </c>
      <c r="AA99" s="13" t="e">
        <f ca="1">IF(AA97&gt;Assum!$B$68,IF((AA97-Assum!$B$68)&gt;=AA98,MIN(AA97-Assum!$B$68,AA98-SUM($H$99:Z99)),IF((AA97-Assum!$B$68)&lt;AA98,MIN(AA97-Assum!$B$68,AA98-SUM($H$99:Z99)),0)),0)</f>
        <v>#DIV/0!</v>
      </c>
      <c r="AB99" s="13" t="e">
        <f ca="1">IF(AB97&gt;Assum!$B$68,IF((AB97-Assum!$B$68)&gt;=AB98,MIN(AB97-Assum!$B$68,AB98-SUM($H$99:AA99)),IF((AB97-Assum!$B$68)&lt;AB98,MIN(AB97-Assum!$B$68,AB98-SUM($H$99:AA99)),0)),0)</f>
        <v>#DIV/0!</v>
      </c>
      <c r="AC99" s="13" t="e">
        <f ca="1">IF(AC97&gt;Assum!$B$68,IF((AC97-Assum!$B$68)&gt;=AC98,MIN(AC97-Assum!$B$68,AC98-SUM($H$99:AB99)),IF((AC97-Assum!$B$68)&lt;AC98,MIN(AC97-Assum!$B$68,AC98-SUM($H$99:AB99)),0)),0)</f>
        <v>#DIV/0!</v>
      </c>
      <c r="AD99" s="13" t="e">
        <f ca="1">IF(AD97&gt;Assum!$B$68,IF((AD97-Assum!$B$68)&gt;=AD98,MIN(AD97-Assum!$B$68,AD98-SUM($H$99:AC99)),IF((AD97-Assum!$B$68)&lt;AD98,MIN(AD97-Assum!$B$68,AD98-SUM($H$99:AC99)),0)),0)</f>
        <v>#DIV/0!</v>
      </c>
      <c r="AE99" s="13" t="e">
        <f ca="1">IF(AE97&gt;Assum!$B$68,IF((AE97-Assum!$B$68)&gt;=AE98,MIN(AE97-Assum!$B$68,AE98-SUM($H$99:AD99)),IF((AE97-Assum!$B$68)&lt;AE98,MIN(AE97-Assum!$B$68,AE98-SUM($H$99:AD99)),0)),0)</f>
        <v>#DIV/0!</v>
      </c>
    </row>
    <row r="100" spans="1:31" hidden="1">
      <c r="A100" t="s">
        <v>1186</v>
      </c>
      <c r="F100" s="13"/>
      <c r="G100" s="13"/>
      <c r="H100" s="13"/>
      <c r="I100" s="13" t="e">
        <f t="shared" ref="I100:AE100" ca="1" si="42">IF(I99&lt;I98,MIN(I99+H100,I98),I99)</f>
        <v>#DIV/0!</v>
      </c>
      <c r="J100" s="13" t="e">
        <f t="shared" ca="1" si="42"/>
        <v>#DIV/0!</v>
      </c>
      <c r="K100" s="13" t="e">
        <f t="shared" ca="1" si="42"/>
        <v>#DIV/0!</v>
      </c>
      <c r="L100" s="13" t="e">
        <f t="shared" ca="1" si="42"/>
        <v>#DIV/0!</v>
      </c>
      <c r="M100" s="13" t="e">
        <f t="shared" ca="1" si="42"/>
        <v>#DIV/0!</v>
      </c>
      <c r="N100" s="13" t="e">
        <f t="shared" ca="1" si="42"/>
        <v>#DIV/0!</v>
      </c>
      <c r="O100" s="13" t="e">
        <f t="shared" ca="1" si="42"/>
        <v>#DIV/0!</v>
      </c>
      <c r="P100" s="13" t="e">
        <f t="shared" ca="1" si="42"/>
        <v>#DIV/0!</v>
      </c>
      <c r="Q100" s="13" t="e">
        <f t="shared" ca="1" si="42"/>
        <v>#DIV/0!</v>
      </c>
      <c r="R100" s="13" t="e">
        <f t="shared" ca="1" si="42"/>
        <v>#DIV/0!</v>
      </c>
      <c r="S100" s="13" t="e">
        <f t="shared" ca="1" si="42"/>
        <v>#DIV/0!</v>
      </c>
      <c r="T100" s="13" t="e">
        <f t="shared" ca="1" si="42"/>
        <v>#DIV/0!</v>
      </c>
      <c r="U100" s="13" t="e">
        <f t="shared" ca="1" si="42"/>
        <v>#DIV/0!</v>
      </c>
      <c r="V100" s="13" t="e">
        <f t="shared" ca="1" si="42"/>
        <v>#DIV/0!</v>
      </c>
      <c r="W100" s="13" t="e">
        <f t="shared" ca="1" si="42"/>
        <v>#DIV/0!</v>
      </c>
      <c r="X100" s="13" t="e">
        <f t="shared" ca="1" si="42"/>
        <v>#DIV/0!</v>
      </c>
      <c r="Y100" s="13" t="e">
        <f t="shared" ca="1" si="42"/>
        <v>#DIV/0!</v>
      </c>
      <c r="Z100" s="13" t="e">
        <f t="shared" ca="1" si="42"/>
        <v>#DIV/0!</v>
      </c>
      <c r="AA100" s="13" t="e">
        <f t="shared" ca="1" si="42"/>
        <v>#DIV/0!</v>
      </c>
      <c r="AB100" s="13" t="e">
        <f t="shared" ca="1" si="42"/>
        <v>#DIV/0!</v>
      </c>
      <c r="AC100" s="13" t="e">
        <f t="shared" ca="1" si="42"/>
        <v>#DIV/0!</v>
      </c>
      <c r="AD100" s="13" t="e">
        <f t="shared" ca="1" si="42"/>
        <v>#DIV/0!</v>
      </c>
      <c r="AE100" s="13" t="e">
        <f t="shared" ca="1" si="42"/>
        <v>#DIV/0!</v>
      </c>
    </row>
    <row r="101" spans="1:31" s="4" customFormat="1" hidden="1">
      <c r="A101" s="4" t="s">
        <v>1187</v>
      </c>
      <c r="F101" s="36"/>
      <c r="G101" s="36"/>
      <c r="H101" s="36" t="e">
        <f ca="1">H97-H99</f>
        <v>#DIV/0!</v>
      </c>
      <c r="I101" s="36" t="e">
        <f ca="1">I97-I99</f>
        <v>#DIV/0!</v>
      </c>
      <c r="J101" s="36" t="e">
        <f ca="1">J97-J99</f>
        <v>#DIV/0!</v>
      </c>
      <c r="K101" s="36" t="e">
        <f ca="1">K97-K99</f>
        <v>#DIV/0!</v>
      </c>
      <c r="L101" s="36" t="e">
        <f t="shared" ref="L101:AE101" ca="1" si="43">L97-L99</f>
        <v>#DIV/0!</v>
      </c>
      <c r="M101" s="36" t="e">
        <f t="shared" ca="1" si="43"/>
        <v>#DIV/0!</v>
      </c>
      <c r="N101" s="36" t="e">
        <f t="shared" ca="1" si="43"/>
        <v>#DIV/0!</v>
      </c>
      <c r="O101" s="36" t="e">
        <f t="shared" ca="1" si="43"/>
        <v>#DIV/0!</v>
      </c>
      <c r="P101" s="36" t="e">
        <f t="shared" ca="1" si="43"/>
        <v>#DIV/0!</v>
      </c>
      <c r="Q101" s="36" t="e">
        <f t="shared" ca="1" si="43"/>
        <v>#DIV/0!</v>
      </c>
      <c r="R101" s="36" t="e">
        <f t="shared" ca="1" si="43"/>
        <v>#DIV/0!</v>
      </c>
      <c r="S101" s="36" t="e">
        <f t="shared" ca="1" si="43"/>
        <v>#DIV/0!</v>
      </c>
      <c r="T101" s="36" t="e">
        <f t="shared" ca="1" si="43"/>
        <v>#DIV/0!</v>
      </c>
      <c r="U101" s="36" t="e">
        <f t="shared" ca="1" si="43"/>
        <v>#DIV/0!</v>
      </c>
      <c r="V101" s="36" t="e">
        <f t="shared" ca="1" si="43"/>
        <v>#DIV/0!</v>
      </c>
      <c r="W101" s="36" t="e">
        <f t="shared" ca="1" si="43"/>
        <v>#DIV/0!</v>
      </c>
      <c r="X101" s="36" t="e">
        <f t="shared" ca="1" si="43"/>
        <v>#DIV/0!</v>
      </c>
      <c r="Y101" s="36" t="e">
        <f t="shared" ca="1" si="43"/>
        <v>#DIV/0!</v>
      </c>
      <c r="Z101" s="36" t="e">
        <f t="shared" ca="1" si="43"/>
        <v>#DIV/0!</v>
      </c>
      <c r="AA101" s="36" t="e">
        <f t="shared" ca="1" si="43"/>
        <v>#DIV/0!</v>
      </c>
      <c r="AB101" s="36" t="e">
        <f t="shared" ca="1" si="43"/>
        <v>#DIV/0!</v>
      </c>
      <c r="AC101" s="36" t="e">
        <f t="shared" ca="1" si="43"/>
        <v>#DIV/0!</v>
      </c>
      <c r="AD101" s="36" t="e">
        <f t="shared" ca="1" si="43"/>
        <v>#DIV/0!</v>
      </c>
      <c r="AE101" s="36" t="e">
        <f t="shared" ca="1" si="43"/>
        <v>#DIV/0!</v>
      </c>
    </row>
    <row r="102" spans="1:31" hidden="1">
      <c r="A102" t="s">
        <v>1188</v>
      </c>
      <c r="F102" s="13"/>
      <c r="G102" s="13"/>
      <c r="H102" s="15" t="e">
        <f ca="1">IF(H101&gt;Assum!$B$68,MIN(Assum!$B$108-SUM($G102:G102),H101-Assum!$B$68),0)*0</f>
        <v>#DIV/0!</v>
      </c>
      <c r="I102" s="13" t="e">
        <f ca="1">IF(I101&gt;Assum!$B$68,MIN(Assum!$B$108-SUM($H102:H102),I101-Assum!$B$68),0)</f>
        <v>#DIV/0!</v>
      </c>
      <c r="J102" s="13" t="e">
        <f ca="1">IF(J101&gt;Assum!$B$68,MIN(Assum!$B$108-SUM($H102:I102),J101-Assum!$B$68),0)*1</f>
        <v>#DIV/0!</v>
      </c>
      <c r="K102" s="13" t="e">
        <f ca="1">IF(K101&gt;Assum!$B$68,MIN(Assum!$B$108-SUM($H102:J102),K101-Assum!$B$68),0)*1</f>
        <v>#DIV/0!</v>
      </c>
      <c r="L102" s="13" t="e">
        <f ca="1">IF(L101&gt;Assum!$B$68,MIN(Assum!$B$108-SUM($H102:K102),L101-Assum!$B$68),0)*1</f>
        <v>#DIV/0!</v>
      </c>
      <c r="M102" s="13" t="e">
        <f ca="1">IF(M101&gt;Assum!$B$68,MIN(Assum!$B$108-SUM($H102:L102),M101-Assum!$B$68),0)*1</f>
        <v>#DIV/0!</v>
      </c>
      <c r="N102" s="13" t="e">
        <f ca="1">IF(N101&gt;Assum!$B$68,MIN(Assum!$B$108-SUM($H102:M102),N101-Assum!$B$68),0)*1</f>
        <v>#DIV/0!</v>
      </c>
      <c r="O102" s="13" t="e">
        <f ca="1">IF(O101&gt;Assum!$B$68,MIN(Assum!$B$108-SUM($H102:N102),O101-Assum!$B$68),0)*1</f>
        <v>#DIV/0!</v>
      </c>
      <c r="P102" s="13" t="e">
        <f ca="1">IF(P101&gt;Assum!$B$68,MIN(Assum!$B$108-SUM($H102:O102),P101-Assum!$B$68),0)*1</f>
        <v>#DIV/0!</v>
      </c>
      <c r="Q102" s="13" t="e">
        <f ca="1">IF(Q101&gt;Assum!$B$68,MIN(Assum!$B$108-SUM($H102:P102),Q101-Assum!$B$68),0)*1</f>
        <v>#DIV/0!</v>
      </c>
      <c r="R102" s="13" t="e">
        <f ca="1">IF(R101&gt;Assum!$B$68,MIN(Assum!$B$108-SUM($H102:Q102),R101-Assum!$B$68),0)*1</f>
        <v>#DIV/0!</v>
      </c>
      <c r="S102" s="13" t="e">
        <f ca="1">IF(S101&gt;Assum!$B$68,MIN(Assum!$B$108-SUM($H102:R102),S101-Assum!$B$68),0)*1</f>
        <v>#DIV/0!</v>
      </c>
      <c r="T102" s="13" t="e">
        <f ca="1">IF(T101&gt;Assum!$B$68,MIN(Assum!$B$108-SUM($H102:S102),T101-Assum!$B$68),0)*1</f>
        <v>#DIV/0!</v>
      </c>
      <c r="U102" s="13" t="e">
        <f ca="1">IF(U101&gt;Assum!$B$68,MIN(Assum!$B$108-SUM($H102:T102),U101-Assum!$B$68),0)*1</f>
        <v>#DIV/0!</v>
      </c>
      <c r="V102" s="13" t="e">
        <f ca="1">IF(V101&gt;Assum!$B$68,MIN(Assum!$B$108-SUM($H102:U102),V101-Assum!$B$68),0)*1</f>
        <v>#DIV/0!</v>
      </c>
      <c r="W102" s="13" t="e">
        <f ca="1">IF(W101&gt;Assum!$B$68,MIN(Assum!$B$108-SUM($H102:V102),W101-Assum!$B$68),0)*1</f>
        <v>#DIV/0!</v>
      </c>
      <c r="X102" s="13" t="e">
        <f ca="1">IF(X101&gt;Assum!$B$68,MIN(Assum!$B$108-SUM($H102:W102),X101-Assum!$B$68),0)*1</f>
        <v>#DIV/0!</v>
      </c>
      <c r="Y102" s="13" t="e">
        <f ca="1">IF(Y101&gt;Assum!$B$68,MIN(Assum!$B$108-SUM($H102:X102),Y101-Assum!$B$68),0)*1</f>
        <v>#DIV/0!</v>
      </c>
      <c r="Z102" s="13" t="e">
        <f ca="1">IF(Z101&gt;Assum!$B$68,MIN(Assum!$B$108-SUM($H102:Y102),Z101-Assum!$B$68),0)*1</f>
        <v>#DIV/0!</v>
      </c>
      <c r="AA102" s="13" t="e">
        <f ca="1">IF(AA101&gt;Assum!$B$68,MIN(Assum!$B$108-SUM($H102:Z102),AA101-Assum!$B$68),0)*1</f>
        <v>#DIV/0!</v>
      </c>
      <c r="AB102" s="13" t="e">
        <f ca="1">IF(AB101&gt;Assum!$B$68,MIN(Assum!$B$108-SUM($H102:AA102),AB101-Assum!$B$68),0)*1</f>
        <v>#DIV/0!</v>
      </c>
      <c r="AC102" s="13" t="e">
        <f ca="1">IF(AC101&gt;Assum!$B$68,MIN(Assum!$B$108-SUM($H102:AB102),AC101-Assum!$B$68),0)*1</f>
        <v>#DIV/0!</v>
      </c>
      <c r="AD102" s="13" t="e">
        <f ca="1">IF(AD101&gt;Assum!$B$68,MIN(Assum!$B$108-SUM($H102:AC102),AD101-Assum!$B$68),0)*1</f>
        <v>#DIV/0!</v>
      </c>
      <c r="AE102" s="13" t="e">
        <f ca="1">IF(AE101&gt;Assum!$B$68,MIN(Assum!$B$108-SUM($H102:AD102),AE101-Assum!$B$68),0)*1</f>
        <v>#DIV/0!</v>
      </c>
    </row>
    <row r="103" spans="1:31" ht="15" hidden="1" thickBot="1">
      <c r="A103" s="29" t="s">
        <v>229</v>
      </c>
      <c r="B103" s="29"/>
      <c r="C103" s="32"/>
      <c r="D103" s="32">
        <v>155.44999999999999</v>
      </c>
      <c r="E103" s="38">
        <f>E143</f>
        <v>59.745933600000001</v>
      </c>
      <c r="F103" s="34"/>
      <c r="G103" s="34"/>
      <c r="H103" s="34" t="e">
        <f ca="1">H101-H102</f>
        <v>#DIV/0!</v>
      </c>
      <c r="I103" s="34" t="e">
        <f ca="1">I101-I102</f>
        <v>#DIV/0!</v>
      </c>
      <c r="J103" s="34" t="e">
        <f ca="1">J101-J102</f>
        <v>#DIV/0!</v>
      </c>
      <c r="K103" s="34" t="e">
        <f ca="1">K101-K102</f>
        <v>#DIV/0!</v>
      </c>
      <c r="L103" s="34" t="e">
        <f t="shared" ref="L103:AE103" ca="1" si="44">L101-L102</f>
        <v>#DIV/0!</v>
      </c>
      <c r="M103" s="34" t="e">
        <f t="shared" ca="1" si="44"/>
        <v>#DIV/0!</v>
      </c>
      <c r="N103" s="34" t="e">
        <f t="shared" ca="1" si="44"/>
        <v>#DIV/0!</v>
      </c>
      <c r="O103" s="34" t="e">
        <f t="shared" ca="1" si="44"/>
        <v>#DIV/0!</v>
      </c>
      <c r="P103" s="34" t="e">
        <f t="shared" ca="1" si="44"/>
        <v>#DIV/0!</v>
      </c>
      <c r="Q103" s="34" t="e">
        <f t="shared" ca="1" si="44"/>
        <v>#DIV/0!</v>
      </c>
      <c r="R103" s="34" t="e">
        <f t="shared" ca="1" si="44"/>
        <v>#DIV/0!</v>
      </c>
      <c r="S103" s="34" t="e">
        <f t="shared" ca="1" si="44"/>
        <v>#DIV/0!</v>
      </c>
      <c r="T103" s="34" t="e">
        <f t="shared" ca="1" si="44"/>
        <v>#DIV/0!</v>
      </c>
      <c r="U103" s="34" t="e">
        <f t="shared" ca="1" si="44"/>
        <v>#DIV/0!</v>
      </c>
      <c r="V103" s="34" t="e">
        <f t="shared" ca="1" si="44"/>
        <v>#DIV/0!</v>
      </c>
      <c r="W103" s="34" t="e">
        <f t="shared" ca="1" si="44"/>
        <v>#DIV/0!</v>
      </c>
      <c r="X103" s="34" t="e">
        <f t="shared" ca="1" si="44"/>
        <v>#DIV/0!</v>
      </c>
      <c r="Y103" s="34" t="e">
        <f t="shared" ca="1" si="44"/>
        <v>#DIV/0!</v>
      </c>
      <c r="Z103" s="34" t="e">
        <f t="shared" ca="1" si="44"/>
        <v>#DIV/0!</v>
      </c>
      <c r="AA103" s="34" t="e">
        <f t="shared" ca="1" si="44"/>
        <v>#DIV/0!</v>
      </c>
      <c r="AB103" s="34" t="e">
        <f t="shared" ca="1" si="44"/>
        <v>#DIV/0!</v>
      </c>
      <c r="AC103" s="34" t="e">
        <f t="shared" ca="1" si="44"/>
        <v>#DIV/0!</v>
      </c>
      <c r="AD103" s="34" t="e">
        <f t="shared" ca="1" si="44"/>
        <v>#DIV/0!</v>
      </c>
      <c r="AE103" s="34" t="e">
        <f t="shared" ca="1" si="44"/>
        <v>#DIV/0!</v>
      </c>
    </row>
    <row r="104" spans="1:31">
      <c r="A104" t="s">
        <v>1431</v>
      </c>
      <c r="B104" s="27">
        <f>B50/B52</f>
        <v>5.7439623961330045E-2</v>
      </c>
      <c r="C104" s="27">
        <f t="shared" ref="C104:F104" si="45">C50/C52</f>
        <v>1.4333080477275523E-2</v>
      </c>
      <c r="D104" s="27">
        <f t="shared" si="45"/>
        <v>0.35856727136099587</v>
      </c>
      <c r="E104" s="27">
        <f t="shared" si="45"/>
        <v>-8.1586307808566738E-2</v>
      </c>
      <c r="F104" s="27">
        <f t="shared" si="45"/>
        <v>-0.11745488576477293</v>
      </c>
    </row>
    <row r="105" spans="1:31">
      <c r="A105" s="8" t="s">
        <v>1189</v>
      </c>
      <c r="B105" s="8"/>
    </row>
    <row r="106" spans="1:31">
      <c r="A106" s="1" t="s">
        <v>1190</v>
      </c>
      <c r="B106" s="1"/>
    </row>
    <row r="107" spans="1:31">
      <c r="A107" s="4" t="s">
        <v>1191</v>
      </c>
      <c r="B107" s="4"/>
      <c r="F107" s="9"/>
      <c r="G107" s="9"/>
    </row>
    <row r="108" spans="1:31">
      <c r="A108" t="s">
        <v>1192</v>
      </c>
      <c r="C108" s="11">
        <f>1030554550/Cr</f>
        <v>103.05545499999999</v>
      </c>
      <c r="D108" s="11">
        <f>1033430750/Cr</f>
        <v>103.343075</v>
      </c>
      <c r="E108" s="39">
        <v>103.343075</v>
      </c>
      <c r="F108" s="9"/>
      <c r="G108" s="9"/>
      <c r="H108" s="11">
        <f>E108+H75</f>
        <v>103.343075</v>
      </c>
      <c r="I108" s="11">
        <f t="shared" ref="I108:AE109" si="46">H108+I75</f>
        <v>103.343075</v>
      </c>
      <c r="J108" s="11">
        <f t="shared" si="46"/>
        <v>103.343075</v>
      </c>
      <c r="K108" s="11">
        <v>210.9</v>
      </c>
      <c r="L108" s="11">
        <v>210.9</v>
      </c>
      <c r="M108" s="11">
        <v>210.9</v>
      </c>
      <c r="N108" s="9">
        <f t="shared" si="46"/>
        <v>210.9</v>
      </c>
      <c r="O108" s="9">
        <f t="shared" si="46"/>
        <v>210.9</v>
      </c>
      <c r="P108" s="9">
        <f t="shared" si="46"/>
        <v>210.9</v>
      </c>
      <c r="Q108" s="9">
        <f t="shared" si="46"/>
        <v>210.9</v>
      </c>
      <c r="R108" s="9">
        <f t="shared" si="46"/>
        <v>210.9</v>
      </c>
      <c r="S108" s="9">
        <f t="shared" si="46"/>
        <v>210.9</v>
      </c>
      <c r="T108" s="9">
        <f t="shared" si="46"/>
        <v>210.9</v>
      </c>
      <c r="U108" s="9">
        <f t="shared" si="46"/>
        <v>210.9</v>
      </c>
      <c r="V108" s="9">
        <f t="shared" si="46"/>
        <v>210.9</v>
      </c>
      <c r="W108" s="9">
        <f t="shared" si="46"/>
        <v>210.9</v>
      </c>
      <c r="X108" s="9">
        <f t="shared" si="46"/>
        <v>210.9</v>
      </c>
      <c r="Y108" s="9">
        <f t="shared" si="46"/>
        <v>210.9</v>
      </c>
      <c r="Z108" s="9">
        <f t="shared" si="46"/>
        <v>210.9</v>
      </c>
      <c r="AA108" s="9">
        <f t="shared" si="46"/>
        <v>210.9</v>
      </c>
      <c r="AB108" s="9">
        <f t="shared" si="46"/>
        <v>210.9</v>
      </c>
      <c r="AC108" s="9">
        <f t="shared" si="46"/>
        <v>210.9</v>
      </c>
      <c r="AD108" s="9">
        <f t="shared" si="46"/>
        <v>210.9</v>
      </c>
      <c r="AE108" s="9">
        <f t="shared" si="46"/>
        <v>210.9</v>
      </c>
    </row>
    <row r="109" spans="1:31">
      <c r="A109" t="s">
        <v>1193</v>
      </c>
      <c r="C109" s="11">
        <v>1030.4545519999999</v>
      </c>
      <c r="D109" s="11">
        <f>10333307520/Cr</f>
        <v>1033.3307520000001</v>
      </c>
      <c r="E109" s="39">
        <v>1033.3307520000001</v>
      </c>
      <c r="F109" s="9"/>
      <c r="G109" s="9"/>
      <c r="H109" s="11">
        <f>E109+H76</f>
        <v>1033.3307520000001</v>
      </c>
      <c r="I109" s="11">
        <f t="shared" si="46"/>
        <v>1033.3307520000001</v>
      </c>
      <c r="J109" s="11">
        <f t="shared" si="46"/>
        <v>1033.3307520000001</v>
      </c>
      <c r="K109" s="11">
        <f t="shared" si="46"/>
        <v>1033.3307520000001</v>
      </c>
      <c r="L109" s="11">
        <f t="shared" si="46"/>
        <v>1033.3307520000001</v>
      </c>
      <c r="M109" s="11">
        <f t="shared" si="46"/>
        <v>1033.3307520000001</v>
      </c>
      <c r="N109" s="9">
        <f t="shared" si="46"/>
        <v>1033.3307520000001</v>
      </c>
      <c r="O109" s="9">
        <f t="shared" si="46"/>
        <v>1033.3307520000001</v>
      </c>
      <c r="P109" s="9">
        <f t="shared" si="46"/>
        <v>1033.3307520000001</v>
      </c>
      <c r="Q109" s="9">
        <f t="shared" si="46"/>
        <v>1033.3307520000001</v>
      </c>
      <c r="R109" s="9">
        <f t="shared" si="46"/>
        <v>1033.3307520000001</v>
      </c>
      <c r="S109" s="9">
        <f t="shared" si="46"/>
        <v>1033.3307520000001</v>
      </c>
      <c r="T109" s="9">
        <f t="shared" si="46"/>
        <v>1033.3307520000001</v>
      </c>
      <c r="U109" s="9">
        <f t="shared" si="46"/>
        <v>1033.3307520000001</v>
      </c>
      <c r="V109" s="9">
        <f t="shared" si="46"/>
        <v>1033.3307520000001</v>
      </c>
      <c r="W109" s="9">
        <f t="shared" si="46"/>
        <v>1033.3307520000001</v>
      </c>
      <c r="X109" s="9">
        <f t="shared" si="46"/>
        <v>1033.3307520000001</v>
      </c>
      <c r="Y109" s="9">
        <f t="shared" si="46"/>
        <v>1033.3307520000001</v>
      </c>
      <c r="Z109" s="9">
        <f t="shared" si="46"/>
        <v>1033.3307520000001</v>
      </c>
      <c r="AA109" s="9">
        <f t="shared" si="46"/>
        <v>1033.3307520000001</v>
      </c>
      <c r="AB109" s="9">
        <f t="shared" si="46"/>
        <v>1033.3307520000001</v>
      </c>
      <c r="AC109" s="9">
        <f t="shared" si="46"/>
        <v>1033.3307520000001</v>
      </c>
      <c r="AD109" s="9">
        <f t="shared" si="46"/>
        <v>1033.3307520000001</v>
      </c>
      <c r="AE109" s="9">
        <f t="shared" si="46"/>
        <v>1033.3307520000001</v>
      </c>
    </row>
    <row r="110" spans="1:31">
      <c r="A110" t="s">
        <v>1194</v>
      </c>
      <c r="C110" s="11">
        <v>-16.147200000000002</v>
      </c>
      <c r="D110" s="11">
        <v>164.91</v>
      </c>
      <c r="E110" s="39">
        <v>-268.32</v>
      </c>
      <c r="F110" s="9"/>
      <c r="G110" s="9"/>
      <c r="H110" s="39">
        <v>-926.75</v>
      </c>
      <c r="I110" s="11">
        <v>-1914.63</v>
      </c>
      <c r="J110" s="11">
        <v>-2201.59</v>
      </c>
      <c r="K110" s="11">
        <v>-1678.78</v>
      </c>
      <c r="L110" s="11">
        <v>-1738.73</v>
      </c>
      <c r="M110" s="11">
        <v>-1813.62</v>
      </c>
      <c r="N110" s="11">
        <v>-1738.73</v>
      </c>
      <c r="O110" s="11">
        <v>-1738.73</v>
      </c>
      <c r="P110" s="11">
        <v>-1738.73</v>
      </c>
      <c r="Q110" s="11">
        <v>-1738.73</v>
      </c>
      <c r="R110" s="11">
        <v>-1738.73</v>
      </c>
      <c r="S110" s="11">
        <v>-1738.73</v>
      </c>
      <c r="T110" s="11">
        <v>-1738.73</v>
      </c>
      <c r="U110" s="11">
        <v>-1738.73</v>
      </c>
      <c r="V110" s="11">
        <v>-1738.73</v>
      </c>
      <c r="W110" s="11">
        <v>-1738.73</v>
      </c>
      <c r="X110" s="11">
        <v>-1738.73</v>
      </c>
      <c r="Y110" s="11">
        <v>-1738.73</v>
      </c>
      <c r="Z110" s="11">
        <v>-1738.73</v>
      </c>
      <c r="AA110" s="11">
        <v>-1738.73</v>
      </c>
      <c r="AB110" s="11">
        <v>-1738.73</v>
      </c>
      <c r="AC110" s="11">
        <v>-1738.73</v>
      </c>
      <c r="AD110" s="11">
        <v>-1738.73</v>
      </c>
      <c r="AE110" s="11">
        <v>-1738.73</v>
      </c>
    </row>
    <row r="111" spans="1:31">
      <c r="A111" t="s">
        <v>1195</v>
      </c>
      <c r="C111" s="11">
        <v>3.1638199999999999</v>
      </c>
      <c r="D111" s="11">
        <v>0</v>
      </c>
      <c r="E111" s="9"/>
      <c r="F111" s="9"/>
      <c r="G111" s="9"/>
      <c r="H111" s="9">
        <f>E111+H77</f>
        <v>0</v>
      </c>
      <c r="I111" s="9">
        <f>H111+I77</f>
        <v>0</v>
      </c>
      <c r="J111" s="9">
        <f t="shared" ref="J111:AE111" si="47">I111+J77</f>
        <v>0</v>
      </c>
      <c r="K111" s="9">
        <f t="shared" si="47"/>
        <v>0</v>
      </c>
      <c r="L111" s="9">
        <f t="shared" si="47"/>
        <v>0</v>
      </c>
      <c r="M111" s="9">
        <f t="shared" si="47"/>
        <v>0</v>
      </c>
      <c r="N111" s="9">
        <f t="shared" si="47"/>
        <v>0</v>
      </c>
      <c r="O111" s="9">
        <f t="shared" si="47"/>
        <v>0</v>
      </c>
      <c r="P111" s="9">
        <f t="shared" si="47"/>
        <v>0</v>
      </c>
      <c r="Q111" s="9">
        <f t="shared" si="47"/>
        <v>0</v>
      </c>
      <c r="R111" s="9">
        <f t="shared" si="47"/>
        <v>0</v>
      </c>
      <c r="S111" s="9">
        <f t="shared" si="47"/>
        <v>0</v>
      </c>
      <c r="T111" s="9">
        <f t="shared" si="47"/>
        <v>0</v>
      </c>
      <c r="U111" s="9">
        <f t="shared" si="47"/>
        <v>0</v>
      </c>
      <c r="V111" s="9">
        <f t="shared" si="47"/>
        <v>0</v>
      </c>
      <c r="W111" s="9">
        <f t="shared" si="47"/>
        <v>0</v>
      </c>
      <c r="X111" s="9">
        <f t="shared" si="47"/>
        <v>0</v>
      </c>
      <c r="Y111" s="9">
        <f t="shared" si="47"/>
        <v>0</v>
      </c>
      <c r="Z111" s="9">
        <f t="shared" si="47"/>
        <v>0</v>
      </c>
      <c r="AA111" s="9">
        <f t="shared" si="47"/>
        <v>0</v>
      </c>
      <c r="AB111" s="9">
        <f t="shared" si="47"/>
        <v>0</v>
      </c>
      <c r="AC111" s="9">
        <f t="shared" si="47"/>
        <v>0</v>
      </c>
      <c r="AD111" s="9">
        <f t="shared" si="47"/>
        <v>0</v>
      </c>
      <c r="AE111" s="9">
        <f t="shared" si="47"/>
        <v>0</v>
      </c>
    </row>
    <row r="112" spans="1:31">
      <c r="A112" t="s">
        <v>1196</v>
      </c>
      <c r="C112" s="11"/>
      <c r="D112" s="11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pans="1:31">
      <c r="A113" s="1" t="s">
        <v>1197</v>
      </c>
      <c r="B113" s="1"/>
      <c r="C113" s="9">
        <f>SUM(C108:C112)</f>
        <v>1120.5266269999997</v>
      </c>
      <c r="D113" s="9">
        <f>SUM(D108:D112)</f>
        <v>1301.5838270000002</v>
      </c>
      <c r="E113" s="9">
        <f>SUM(E108:E112)</f>
        <v>868.35382700000014</v>
      </c>
      <c r="F113" s="9"/>
      <c r="G113" s="9"/>
      <c r="H113" s="9">
        <f>SUM(H108:H112)</f>
        <v>209.92382700000007</v>
      </c>
      <c r="I113" s="9">
        <f>SUM(I108:I112)</f>
        <v>-777.95617300000004</v>
      </c>
      <c r="J113" s="9">
        <f t="shared" ref="J113:AE113" si="48">SUM(J108:J112)</f>
        <v>-1064.9161730000001</v>
      </c>
      <c r="K113" s="9">
        <f t="shared" si="48"/>
        <v>-434.54924799999981</v>
      </c>
      <c r="L113" s="9">
        <f t="shared" si="48"/>
        <v>-494.49924799999985</v>
      </c>
      <c r="M113" s="9">
        <f t="shared" si="48"/>
        <v>-569.38924799999972</v>
      </c>
      <c r="N113" s="9">
        <f t="shared" si="48"/>
        <v>-494.49924799999985</v>
      </c>
      <c r="O113" s="9">
        <f t="shared" si="48"/>
        <v>-494.49924799999985</v>
      </c>
      <c r="P113" s="9">
        <f t="shared" si="48"/>
        <v>-494.49924799999985</v>
      </c>
      <c r="Q113" s="9">
        <f t="shared" si="48"/>
        <v>-494.49924799999985</v>
      </c>
      <c r="R113" s="9">
        <f t="shared" si="48"/>
        <v>-494.49924799999985</v>
      </c>
      <c r="S113" s="9">
        <f t="shared" si="48"/>
        <v>-494.49924799999985</v>
      </c>
      <c r="T113" s="9">
        <f t="shared" si="48"/>
        <v>-494.49924799999985</v>
      </c>
      <c r="U113" s="9">
        <f t="shared" si="48"/>
        <v>-494.49924799999985</v>
      </c>
      <c r="V113" s="9">
        <f t="shared" si="48"/>
        <v>-494.49924799999985</v>
      </c>
      <c r="W113" s="9">
        <f t="shared" si="48"/>
        <v>-494.49924799999985</v>
      </c>
      <c r="X113" s="9">
        <f t="shared" si="48"/>
        <v>-494.49924799999985</v>
      </c>
      <c r="Y113" s="9">
        <f t="shared" si="48"/>
        <v>-494.49924799999985</v>
      </c>
      <c r="Z113" s="9">
        <f t="shared" si="48"/>
        <v>-494.49924799999985</v>
      </c>
      <c r="AA113" s="9">
        <f t="shared" si="48"/>
        <v>-494.49924799999985</v>
      </c>
      <c r="AB113" s="9">
        <f t="shared" si="48"/>
        <v>-494.49924799999985</v>
      </c>
      <c r="AC113" s="9">
        <f t="shared" si="48"/>
        <v>-494.49924799999985</v>
      </c>
      <c r="AD113" s="9">
        <f t="shared" si="48"/>
        <v>-494.49924799999985</v>
      </c>
      <c r="AE113" s="9">
        <f t="shared" si="48"/>
        <v>-494.49924799999985</v>
      </c>
    </row>
    <row r="114" spans="1:31">
      <c r="A114" s="4" t="s">
        <v>1198</v>
      </c>
      <c r="B114" s="4"/>
      <c r="D114" s="9"/>
      <c r="E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pans="1:31">
      <c r="A115" t="s">
        <v>1199</v>
      </c>
      <c r="C115" s="11">
        <v>5150.42</v>
      </c>
      <c r="D115" s="11">
        <v>5768.52</v>
      </c>
      <c r="E115" s="39">
        <v>5306.0933000000005</v>
      </c>
      <c r="F115" s="9"/>
      <c r="G115" s="9"/>
      <c r="H115" s="11">
        <v>5103.5200000000004</v>
      </c>
      <c r="I115" s="11">
        <v>3702.57</v>
      </c>
      <c r="J115" s="11">
        <v>3279.84</v>
      </c>
      <c r="K115" s="11">
        <v>2825.19</v>
      </c>
      <c r="L115" s="11">
        <v>107.18</v>
      </c>
      <c r="M115" s="11">
        <v>107.18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</row>
    <row r="116" spans="1:31">
      <c r="A116" t="s">
        <v>1200</v>
      </c>
      <c r="C116" s="11">
        <v>0</v>
      </c>
      <c r="D116" s="11">
        <v>0</v>
      </c>
      <c r="E116" s="39">
        <v>0</v>
      </c>
      <c r="F116" s="9"/>
      <c r="G116" s="9"/>
      <c r="H116" s="9">
        <f>0</f>
        <v>0</v>
      </c>
      <c r="I116" s="9">
        <f>H116</f>
        <v>0</v>
      </c>
      <c r="J116" s="9">
        <f t="shared" ref="J116:AE116" si="49">I116</f>
        <v>0</v>
      </c>
      <c r="K116" s="9">
        <f t="shared" si="49"/>
        <v>0</v>
      </c>
      <c r="L116" s="9">
        <f t="shared" si="49"/>
        <v>0</v>
      </c>
      <c r="M116" s="9">
        <f t="shared" si="49"/>
        <v>0</v>
      </c>
      <c r="N116" s="9">
        <f t="shared" si="49"/>
        <v>0</v>
      </c>
      <c r="O116" s="9">
        <f t="shared" si="49"/>
        <v>0</v>
      </c>
      <c r="P116" s="9">
        <f t="shared" si="49"/>
        <v>0</v>
      </c>
      <c r="Q116" s="9">
        <f t="shared" si="49"/>
        <v>0</v>
      </c>
      <c r="R116" s="9">
        <f t="shared" si="49"/>
        <v>0</v>
      </c>
      <c r="S116" s="9">
        <f t="shared" si="49"/>
        <v>0</v>
      </c>
      <c r="T116" s="9">
        <f t="shared" si="49"/>
        <v>0</v>
      </c>
      <c r="U116" s="9">
        <f t="shared" si="49"/>
        <v>0</v>
      </c>
      <c r="V116" s="9">
        <f t="shared" si="49"/>
        <v>0</v>
      </c>
      <c r="W116" s="9">
        <f t="shared" si="49"/>
        <v>0</v>
      </c>
      <c r="X116" s="9">
        <f t="shared" si="49"/>
        <v>0</v>
      </c>
      <c r="Y116" s="9">
        <f t="shared" si="49"/>
        <v>0</v>
      </c>
      <c r="Z116" s="9">
        <f t="shared" si="49"/>
        <v>0</v>
      </c>
      <c r="AA116" s="9">
        <f t="shared" si="49"/>
        <v>0</v>
      </c>
      <c r="AB116" s="9">
        <f t="shared" si="49"/>
        <v>0</v>
      </c>
      <c r="AC116" s="9">
        <f t="shared" si="49"/>
        <v>0</v>
      </c>
      <c r="AD116" s="9">
        <f t="shared" si="49"/>
        <v>0</v>
      </c>
      <c r="AE116" s="9">
        <f t="shared" si="49"/>
        <v>0</v>
      </c>
    </row>
    <row r="117" spans="1:31">
      <c r="A117" s="553" t="s">
        <v>1312</v>
      </c>
      <c r="C117" s="11"/>
      <c r="D117" s="11"/>
      <c r="E117" s="39"/>
      <c r="F117" s="9"/>
      <c r="G117" s="9"/>
      <c r="H117" s="9"/>
      <c r="I117" s="9"/>
      <c r="J117" s="9">
        <v>0</v>
      </c>
      <c r="K117" s="11">
        <v>169.32</v>
      </c>
      <c r="L117" s="11">
        <v>149.78</v>
      </c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</row>
    <row r="118" spans="1:31">
      <c r="A118" t="s">
        <v>1201</v>
      </c>
      <c r="B118" s="14"/>
      <c r="C118" s="11">
        <v>1.5165</v>
      </c>
      <c r="D118" s="11">
        <v>1.9784999999999999</v>
      </c>
      <c r="E118" s="39">
        <v>2.1743000000000001</v>
      </c>
      <c r="F118" s="9"/>
      <c r="G118" s="9"/>
      <c r="H118" s="11">
        <v>1.94</v>
      </c>
      <c r="I118" s="11">
        <v>0.82</v>
      </c>
      <c r="J118" s="11">
        <v>1.1200000000000001</v>
      </c>
      <c r="K118" s="11">
        <v>1.03</v>
      </c>
      <c r="L118" s="11">
        <v>1.45</v>
      </c>
      <c r="M118" s="11">
        <v>1.65</v>
      </c>
      <c r="N118" s="9">
        <f t="shared" ref="N118:AE118" si="50">M118</f>
        <v>1.65</v>
      </c>
      <c r="O118" s="9">
        <f t="shared" si="50"/>
        <v>1.65</v>
      </c>
      <c r="P118" s="9">
        <f t="shared" si="50"/>
        <v>1.65</v>
      </c>
      <c r="Q118" s="9">
        <f t="shared" si="50"/>
        <v>1.65</v>
      </c>
      <c r="R118" s="9">
        <f t="shared" si="50"/>
        <v>1.65</v>
      </c>
      <c r="S118" s="9">
        <f t="shared" si="50"/>
        <v>1.65</v>
      </c>
      <c r="T118" s="9">
        <f t="shared" si="50"/>
        <v>1.65</v>
      </c>
      <c r="U118" s="9">
        <f t="shared" si="50"/>
        <v>1.65</v>
      </c>
      <c r="V118" s="9">
        <f t="shared" si="50"/>
        <v>1.65</v>
      </c>
      <c r="W118" s="9">
        <f t="shared" si="50"/>
        <v>1.65</v>
      </c>
      <c r="X118" s="9">
        <f t="shared" si="50"/>
        <v>1.65</v>
      </c>
      <c r="Y118" s="9">
        <f t="shared" si="50"/>
        <v>1.65</v>
      </c>
      <c r="Z118" s="9">
        <f t="shared" si="50"/>
        <v>1.65</v>
      </c>
      <c r="AA118" s="9">
        <f t="shared" si="50"/>
        <v>1.65</v>
      </c>
      <c r="AB118" s="9">
        <f t="shared" si="50"/>
        <v>1.65</v>
      </c>
      <c r="AC118" s="9">
        <f t="shared" si="50"/>
        <v>1.65</v>
      </c>
      <c r="AD118" s="9">
        <f t="shared" si="50"/>
        <v>1.65</v>
      </c>
      <c r="AE118" s="9">
        <f t="shared" si="50"/>
        <v>1.65</v>
      </c>
    </row>
    <row r="119" spans="1:31">
      <c r="C119" s="12"/>
      <c r="D119" s="1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spans="1:31">
      <c r="C120" s="12"/>
      <c r="D120" s="12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</row>
    <row r="121" spans="1:31">
      <c r="A121" s="4" t="s">
        <v>1203</v>
      </c>
      <c r="B121" s="4"/>
      <c r="H121" s="9"/>
    </row>
    <row r="122" spans="1:31">
      <c r="A122" t="s">
        <v>1204</v>
      </c>
      <c r="C122" s="11">
        <v>179.19661690000001</v>
      </c>
      <c r="D122" s="11">
        <v>331.05082420000002</v>
      </c>
      <c r="E122" s="39">
        <f>8315341202.4/Cr</f>
        <v>831.53412023999999</v>
      </c>
      <c r="F122" s="9"/>
      <c r="G122" s="9"/>
      <c r="H122" s="11">
        <v>885.24</v>
      </c>
      <c r="I122" s="11">
        <v>936.85</v>
      </c>
      <c r="J122" s="11">
        <v>921.2</v>
      </c>
      <c r="K122" s="11">
        <v>2735.39</v>
      </c>
      <c r="L122" s="11">
        <v>7118.61</v>
      </c>
      <c r="M122" s="11">
        <v>7118.28</v>
      </c>
      <c r="N122" s="9">
        <f>WC!L10</f>
        <v>1262.0364752566361</v>
      </c>
      <c r="O122" s="9">
        <f>WC!M10</f>
        <v>1316.2386005511166</v>
      </c>
      <c r="P122" s="9">
        <f>WC!N10</f>
        <v>1316.1139820863361</v>
      </c>
      <c r="Q122" s="9">
        <f>WC!O10</f>
        <v>1407.946558363908</v>
      </c>
      <c r="R122" s="9">
        <f>WC!P10</f>
        <v>1416.589798452922</v>
      </c>
      <c r="S122" s="9">
        <f>WC!Q10</f>
        <v>1500.0556172866759</v>
      </c>
      <c r="T122" s="9">
        <f>WC!R10</f>
        <v>1546.4618495014638</v>
      </c>
      <c r="U122" s="9">
        <f>WC!S10</f>
        <v>1603.8475915078225</v>
      </c>
      <c r="V122" s="9">
        <f>WC!T10</f>
        <v>1613.3572248703176</v>
      </c>
      <c r="W122" s="9">
        <f>WC!U10</f>
        <v>1713.0675585027084</v>
      </c>
      <c r="X122" s="9">
        <f>WC!V10</f>
        <v>1755.6374174287803</v>
      </c>
      <c r="Y122" s="9">
        <f>WC!W10</f>
        <v>1815.6367346665675</v>
      </c>
      <c r="Z122" s="9">
        <f>WC!X10</f>
        <v>1876.1331739966884</v>
      </c>
      <c r="AA122" s="9">
        <f>WC!Y10</f>
        <v>1905.741633027081</v>
      </c>
      <c r="AB122" s="9">
        <f>WC!Z10</f>
        <v>1931.4969923519791</v>
      </c>
      <c r="AC122" s="9">
        <f>WC!AA10</f>
        <v>2030.6164887443745</v>
      </c>
      <c r="AD122" s="9">
        <f>WC!AB10</f>
        <v>1809.6401149770395</v>
      </c>
      <c r="AE122" s="9">
        <f>WC!AC10</f>
        <v>958.82258024285534</v>
      </c>
    </row>
    <row r="123" spans="1:31">
      <c r="A123" t="s">
        <v>1205</v>
      </c>
      <c r="C123" s="11">
        <v>234.97825460000001</v>
      </c>
      <c r="D123" s="11">
        <v>214.81</v>
      </c>
      <c r="E123" s="39">
        <v>386.87900000000002</v>
      </c>
      <c r="F123" s="9"/>
      <c r="G123" s="9"/>
      <c r="H123" s="11">
        <v>264.32</v>
      </c>
      <c r="I123" s="11">
        <v>139.04</v>
      </c>
      <c r="J123" s="11">
        <v>323.26</v>
      </c>
      <c r="K123" s="11">
        <v>306.27</v>
      </c>
      <c r="L123" s="11">
        <v>331.58</v>
      </c>
      <c r="M123" s="11">
        <v>638.33000000000004</v>
      </c>
      <c r="N123" s="9">
        <f>WC!L7</f>
        <v>722.59499606852216</v>
      </c>
      <c r="O123" s="9">
        <f>WC!M7</f>
        <v>677.06817347731715</v>
      </c>
      <c r="P123" s="9">
        <f>WC!N7</f>
        <v>691.49449146643201</v>
      </c>
      <c r="Q123" s="9">
        <f>WC!O7</f>
        <v>741.95070956681104</v>
      </c>
      <c r="R123" s="9">
        <f>WC!P7</f>
        <v>754.69235918468621</v>
      </c>
      <c r="S123" s="9">
        <f>WC!Q7</f>
        <v>805.32596611948793</v>
      </c>
      <c r="T123" s="9">
        <f>WC!R7</f>
        <v>817.26191680599277</v>
      </c>
      <c r="U123" s="9">
        <f>WC!S7</f>
        <v>873.48160917634152</v>
      </c>
      <c r="V123" s="9">
        <f>WC!T7</f>
        <v>889.0624645343446</v>
      </c>
      <c r="W123" s="9">
        <f>WC!U7</f>
        <v>945.31416831757213</v>
      </c>
      <c r="X123" s="9">
        <f>WC!V7</f>
        <v>959.9152962562099</v>
      </c>
      <c r="Y123" s="9">
        <f>WC!W7</f>
        <v>1022.569631870223</v>
      </c>
      <c r="Z123" s="9">
        <f>WC!X7</f>
        <v>1041.4183414970591</v>
      </c>
      <c r="AA123" s="9">
        <f>WC!Y7</f>
        <v>1086.756675741917</v>
      </c>
      <c r="AB123" s="9">
        <f>WC!Z7</f>
        <v>1124.8327302250643</v>
      </c>
      <c r="AC123" s="9">
        <f>WC!AA7</f>
        <v>1146.1869562237855</v>
      </c>
      <c r="AD123" s="9">
        <f>WC!AB7</f>
        <v>982.17845557098087</v>
      </c>
      <c r="AE123" s="9">
        <f>WC!AC7</f>
        <v>368.11780025440561</v>
      </c>
    </row>
    <row r="124" spans="1:31">
      <c r="A124" t="s">
        <v>1206</v>
      </c>
      <c r="C124" s="11">
        <f>(771.8724)</f>
        <v>771.87239999999997</v>
      </c>
      <c r="D124" s="11">
        <v>768.41729999999995</v>
      </c>
      <c r="E124" s="39">
        <v>1082.3</v>
      </c>
      <c r="F124" s="9"/>
      <c r="G124" s="9"/>
      <c r="H124" s="11">
        <v>2150.29</v>
      </c>
      <c r="I124" s="11">
        <v>4465.08</v>
      </c>
      <c r="J124" s="11">
        <v>5306.04</v>
      </c>
      <c r="K124" s="11">
        <v>2725.42</v>
      </c>
      <c r="L124" s="11">
        <v>377.35</v>
      </c>
      <c r="M124" s="11">
        <v>398.86</v>
      </c>
      <c r="N124" s="9">
        <v>1212.55</v>
      </c>
      <c r="O124" s="9">
        <v>1212.1500000000001</v>
      </c>
      <c r="P124" s="9">
        <v>1212.1500000000001</v>
      </c>
      <c r="Q124" s="9">
        <v>1212.1500000000001</v>
      </c>
      <c r="R124" s="9">
        <v>1212.1500000000001</v>
      </c>
      <c r="S124" s="9">
        <v>1212.1500000000001</v>
      </c>
      <c r="T124" s="9">
        <v>1212.1500000000001</v>
      </c>
      <c r="U124" s="9">
        <v>1240.03</v>
      </c>
      <c r="V124" s="9">
        <v>1240.03</v>
      </c>
      <c r="W124" s="9">
        <v>1240.03</v>
      </c>
      <c r="X124" s="9">
        <v>1253.97</v>
      </c>
      <c r="Y124" s="9">
        <v>1267.9100000000001</v>
      </c>
      <c r="Z124" s="9">
        <v>1267.9100000000001</v>
      </c>
      <c r="AA124" s="9">
        <v>1240.03</v>
      </c>
      <c r="AB124" s="9">
        <v>837.75</v>
      </c>
      <c r="AC124" s="9">
        <v>660.49</v>
      </c>
      <c r="AD124" s="9">
        <v>660.49</v>
      </c>
      <c r="AE124" s="9">
        <v>660.49</v>
      </c>
    </row>
    <row r="125" spans="1:31">
      <c r="A125" s="553" t="s">
        <v>1313</v>
      </c>
      <c r="C125" s="11"/>
      <c r="D125" s="11"/>
      <c r="E125" s="39"/>
      <c r="F125" s="9"/>
      <c r="G125" s="9"/>
      <c r="H125" s="11">
        <v>0.77</v>
      </c>
      <c r="I125" s="11">
        <v>0.3</v>
      </c>
      <c r="J125" s="11">
        <v>0.43</v>
      </c>
      <c r="K125" s="11">
        <v>0.4</v>
      </c>
      <c r="L125" s="11">
        <v>0.37</v>
      </c>
      <c r="M125" s="11">
        <v>0.35</v>
      </c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</row>
    <row r="126" spans="1:31">
      <c r="A126" t="s">
        <v>656</v>
      </c>
      <c r="C126" s="11">
        <v>13.37</v>
      </c>
      <c r="D126" s="11">
        <v>17.649999999999999</v>
      </c>
      <c r="E126" s="39">
        <f>1.41+0.35821</f>
        <v>1.7682099999999998</v>
      </c>
      <c r="F126" s="9"/>
      <c r="G126" s="9"/>
      <c r="H126" s="11">
        <v>1.68</v>
      </c>
      <c r="I126" s="11">
        <v>1.56</v>
      </c>
      <c r="J126" s="11">
        <v>1.61</v>
      </c>
      <c r="K126" s="11">
        <v>1.76</v>
      </c>
      <c r="L126" s="11">
        <v>2</v>
      </c>
      <c r="M126" s="11">
        <v>2.41</v>
      </c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</row>
    <row r="127" spans="1:31">
      <c r="A127" s="1" t="s">
        <v>1207</v>
      </c>
      <c r="B127" s="1"/>
      <c r="C127" s="9">
        <f>SUM(C122:C126,C115:C118,C113)</f>
        <v>7471.8803984999995</v>
      </c>
      <c r="D127" s="9">
        <f>SUM(D122:D126,D115:D118,D113)</f>
        <v>8404.0104511999998</v>
      </c>
      <c r="E127" s="9">
        <f>SUM(E122:E126,E115:E118,E113)</f>
        <v>8479.1027572399998</v>
      </c>
      <c r="F127" s="9">
        <f>SUM(F122:F126,F115:F118,F113)</f>
        <v>0</v>
      </c>
      <c r="G127" s="9">
        <f>SUM(G122:G126,G115:G118,G113)</f>
        <v>0</v>
      </c>
      <c r="H127" s="9">
        <f t="shared" ref="H127:N127" si="51">SUM(H108:H110,H115,H117:H118,H122:H126)</f>
        <v>8617.6838270000007</v>
      </c>
      <c r="I127" s="9">
        <f t="shared" si="51"/>
        <v>8468.2638269999989</v>
      </c>
      <c r="J127" s="9">
        <f t="shared" si="51"/>
        <v>8768.5838270000022</v>
      </c>
      <c r="K127" s="9">
        <f t="shared" si="51"/>
        <v>8330.2307520000013</v>
      </c>
      <c r="L127" s="9">
        <f t="shared" si="51"/>
        <v>7593.8207519999996</v>
      </c>
      <c r="M127" s="9">
        <f t="shared" si="51"/>
        <v>7697.670752</v>
      </c>
      <c r="N127" s="9">
        <f t="shared" si="51"/>
        <v>2704.3322233251583</v>
      </c>
      <c r="O127" s="9">
        <f t="shared" ref="O127:AE127" si="52">SUM(O122:O124,O115:O118,O113,O119:O120)</f>
        <v>2712.6075260284342</v>
      </c>
      <c r="P127" s="9">
        <f t="shared" si="52"/>
        <v>2726.9092255527685</v>
      </c>
      <c r="Q127" s="9">
        <f t="shared" si="52"/>
        <v>2869.1980199307191</v>
      </c>
      <c r="R127" s="9">
        <f t="shared" si="52"/>
        <v>2890.5829096376083</v>
      </c>
      <c r="S127" s="9">
        <f t="shared" si="52"/>
        <v>3024.6823354061644</v>
      </c>
      <c r="T127" s="9">
        <f t="shared" si="52"/>
        <v>3083.0245183074567</v>
      </c>
      <c r="U127" s="9">
        <f t="shared" si="52"/>
        <v>3224.5099526841641</v>
      </c>
      <c r="V127" s="9">
        <f t="shared" si="52"/>
        <v>3249.6004414046629</v>
      </c>
      <c r="W127" s="9">
        <f t="shared" si="52"/>
        <v>3405.5624788202813</v>
      </c>
      <c r="X127" s="9">
        <f t="shared" si="52"/>
        <v>3476.6734656849903</v>
      </c>
      <c r="Y127" s="9">
        <f t="shared" si="52"/>
        <v>3613.2671185367899</v>
      </c>
      <c r="Z127" s="9">
        <f t="shared" si="52"/>
        <v>3692.6122674937469</v>
      </c>
      <c r="AA127" s="9">
        <f t="shared" si="52"/>
        <v>3739.6790607689973</v>
      </c>
      <c r="AB127" s="9">
        <f t="shared" si="52"/>
        <v>3401.2304745770434</v>
      </c>
      <c r="AC127" s="9">
        <f t="shared" si="52"/>
        <v>3344.4441969681602</v>
      </c>
      <c r="AD127" s="9">
        <f t="shared" si="52"/>
        <v>2959.4593225480212</v>
      </c>
      <c r="AE127" s="9">
        <f t="shared" si="52"/>
        <v>1494.5811324972613</v>
      </c>
    </row>
    <row r="128" spans="1:31">
      <c r="A128" s="1" t="s">
        <v>1208</v>
      </c>
      <c r="H128" s="9"/>
      <c r="I128" s="9"/>
      <c r="J128" s="9"/>
      <c r="K128" s="9"/>
      <c r="L128" s="9"/>
      <c r="M128" s="9"/>
      <c r="N128" s="9"/>
      <c r="O128" s="9"/>
      <c r="P128" s="9"/>
      <c r="Q128" s="9"/>
    </row>
    <row r="129" spans="1:31">
      <c r="A129" t="s">
        <v>980</v>
      </c>
      <c r="C129" s="11">
        <f>42281235088/Cr+23313791/Cr</f>
        <v>4230.4548879000004</v>
      </c>
      <c r="D129" s="11">
        <f>78935999716/Cr</f>
        <v>7893.5999715999997</v>
      </c>
      <c r="E129" s="11">
        <v>7810.68</v>
      </c>
      <c r="F129" s="13"/>
      <c r="G129" s="13"/>
      <c r="H129" s="11">
        <v>8136.45</v>
      </c>
      <c r="I129" s="11">
        <v>8136.64</v>
      </c>
      <c r="J129" s="11">
        <v>8137.16</v>
      </c>
      <c r="K129" s="11">
        <v>8136.93</v>
      </c>
      <c r="L129" s="11">
        <v>8137.1</v>
      </c>
      <c r="M129" s="11">
        <v>8137.98</v>
      </c>
      <c r="N129" s="13">
        <f t="shared" ref="N129:AE129" si="53">M129+N85</f>
        <v>8137.98</v>
      </c>
      <c r="O129" s="13">
        <f t="shared" si="53"/>
        <v>8137.98</v>
      </c>
      <c r="P129" s="13">
        <f t="shared" si="53"/>
        <v>8137.98</v>
      </c>
      <c r="Q129" s="13">
        <f t="shared" si="53"/>
        <v>8137.98</v>
      </c>
      <c r="R129" s="13">
        <f t="shared" si="53"/>
        <v>8137.98</v>
      </c>
      <c r="S129" s="13">
        <f t="shared" si="53"/>
        <v>8137.98</v>
      </c>
      <c r="T129" s="13">
        <f t="shared" si="53"/>
        <v>8137.98</v>
      </c>
      <c r="U129" s="13">
        <f t="shared" si="53"/>
        <v>8137.98</v>
      </c>
      <c r="V129" s="13">
        <f t="shared" si="53"/>
        <v>8137.98</v>
      </c>
      <c r="W129" s="13">
        <f t="shared" si="53"/>
        <v>8137.98</v>
      </c>
      <c r="X129" s="13">
        <f t="shared" si="53"/>
        <v>8137.98</v>
      </c>
      <c r="Y129" s="13">
        <f t="shared" si="53"/>
        <v>8137.98</v>
      </c>
      <c r="Z129" s="13">
        <f t="shared" si="53"/>
        <v>8137.98</v>
      </c>
      <c r="AA129" s="13">
        <f t="shared" si="53"/>
        <v>8137.98</v>
      </c>
      <c r="AB129" s="13">
        <f t="shared" si="53"/>
        <v>8137.98</v>
      </c>
      <c r="AC129" s="13">
        <f t="shared" si="53"/>
        <v>8137.98</v>
      </c>
      <c r="AD129" s="13">
        <f t="shared" si="53"/>
        <v>8137.98</v>
      </c>
      <c r="AE129" s="13">
        <f t="shared" si="53"/>
        <v>8137.98</v>
      </c>
    </row>
    <row r="130" spans="1:31">
      <c r="A130" t="s">
        <v>1209</v>
      </c>
      <c r="C130" s="11">
        <f>390781342/Cr</f>
        <v>39.078134200000001</v>
      </c>
      <c r="D130" s="11">
        <f>1606797837/Cr</f>
        <v>160.6797837</v>
      </c>
      <c r="E130" s="13">
        <f>D130+E35</f>
        <v>357.21978369999999</v>
      </c>
      <c r="F130" s="13"/>
      <c r="G130" s="13"/>
      <c r="H130" s="11">
        <v>559.17999999999995</v>
      </c>
      <c r="I130" s="11">
        <v>760.63</v>
      </c>
      <c r="J130" s="11">
        <v>961.26</v>
      </c>
      <c r="K130" s="11">
        <v>1160.8699999999999</v>
      </c>
      <c r="L130" s="11">
        <v>1360.34</v>
      </c>
      <c r="M130" s="11">
        <v>1559.42</v>
      </c>
      <c r="N130" s="13">
        <f t="shared" ref="N130:AE130" si="54">M130+N62</f>
        <v>1853.1899300821919</v>
      </c>
      <c r="O130" s="13">
        <f t="shared" si="54"/>
        <v>2146.1572100821918</v>
      </c>
      <c r="P130" s="13">
        <f t="shared" si="54"/>
        <v>2439.1244900821916</v>
      </c>
      <c r="Q130" s="13">
        <f t="shared" si="54"/>
        <v>2732.0917700821915</v>
      </c>
      <c r="R130" s="13">
        <f t="shared" si="54"/>
        <v>3025.8617001643834</v>
      </c>
      <c r="S130" s="13">
        <f t="shared" si="54"/>
        <v>3318.8289801643832</v>
      </c>
      <c r="T130" s="13">
        <f t="shared" si="54"/>
        <v>3611.7962601643831</v>
      </c>
      <c r="U130" s="13">
        <f t="shared" si="54"/>
        <v>3904.7635401643829</v>
      </c>
      <c r="V130" s="13">
        <f t="shared" si="54"/>
        <v>4198.5334702465743</v>
      </c>
      <c r="W130" s="13">
        <f t="shared" si="54"/>
        <v>4491.5007502465742</v>
      </c>
      <c r="X130" s="13">
        <f t="shared" si="54"/>
        <v>4784.468030246574</v>
      </c>
      <c r="Y130" s="13">
        <f t="shared" si="54"/>
        <v>5077.4353102465739</v>
      </c>
      <c r="Z130" s="13">
        <f t="shared" si="54"/>
        <v>5371.2052403287653</v>
      </c>
      <c r="AA130" s="13">
        <f t="shared" si="54"/>
        <v>5664.1725203287651</v>
      </c>
      <c r="AB130" s="13">
        <f t="shared" si="54"/>
        <v>5957.139800328765</v>
      </c>
      <c r="AC130" s="13">
        <f t="shared" si="54"/>
        <v>6250.1070803287648</v>
      </c>
      <c r="AD130" s="13">
        <f t="shared" si="54"/>
        <v>6543.8770104109562</v>
      </c>
      <c r="AE130" s="13">
        <f t="shared" si="54"/>
        <v>6836.8442904109561</v>
      </c>
    </row>
    <row r="131" spans="1:31">
      <c r="A131" t="s">
        <v>191</v>
      </c>
      <c r="C131" s="13">
        <f>C129-C130</f>
        <v>4191.3767537000003</v>
      </c>
      <c r="D131" s="13">
        <f>D129-D130</f>
        <v>7732.9201878999993</v>
      </c>
      <c r="E131" s="11">
        <f>E129-E130</f>
        <v>7453.4602163</v>
      </c>
      <c r="F131" s="13"/>
      <c r="G131" s="13"/>
      <c r="H131" s="13">
        <f>H129-H130</f>
        <v>7577.2699999999995</v>
      </c>
      <c r="I131" s="13">
        <f>I129-I130</f>
        <v>7376.01</v>
      </c>
      <c r="J131" s="13">
        <f t="shared" ref="J131:AE131" si="55">J129-J130</f>
        <v>7175.9</v>
      </c>
      <c r="K131" s="13">
        <f t="shared" si="55"/>
        <v>6976.06</v>
      </c>
      <c r="L131" s="13">
        <f t="shared" si="55"/>
        <v>6776.76</v>
      </c>
      <c r="M131" s="13">
        <f t="shared" si="55"/>
        <v>6578.5599999999995</v>
      </c>
      <c r="N131" s="13">
        <f t="shared" si="55"/>
        <v>6284.7900699178081</v>
      </c>
      <c r="O131" s="13">
        <f t="shared" si="55"/>
        <v>5991.8227899178073</v>
      </c>
      <c r="P131" s="13">
        <f t="shared" si="55"/>
        <v>5698.8555099178084</v>
      </c>
      <c r="Q131" s="13">
        <f t="shared" si="55"/>
        <v>5405.8882299178076</v>
      </c>
      <c r="R131" s="13">
        <f t="shared" si="55"/>
        <v>5112.1182998356162</v>
      </c>
      <c r="S131" s="13">
        <f t="shared" si="55"/>
        <v>4819.1510198356164</v>
      </c>
      <c r="T131" s="13">
        <f t="shared" si="55"/>
        <v>4526.1837398356165</v>
      </c>
      <c r="U131" s="13">
        <f t="shared" si="55"/>
        <v>4233.2164598356167</v>
      </c>
      <c r="V131" s="13">
        <f t="shared" si="55"/>
        <v>3939.4465297534252</v>
      </c>
      <c r="W131" s="13">
        <f t="shared" si="55"/>
        <v>3646.4792497534254</v>
      </c>
      <c r="X131" s="13">
        <f t="shared" si="55"/>
        <v>3353.5119697534255</v>
      </c>
      <c r="Y131" s="13">
        <f t="shared" si="55"/>
        <v>3060.5446897534257</v>
      </c>
      <c r="Z131" s="13">
        <f t="shared" si="55"/>
        <v>2766.7747596712343</v>
      </c>
      <c r="AA131" s="13">
        <f t="shared" si="55"/>
        <v>2473.8074796712344</v>
      </c>
      <c r="AB131" s="13">
        <f t="shared" si="55"/>
        <v>2180.8401996712346</v>
      </c>
      <c r="AC131" s="13">
        <f t="shared" si="55"/>
        <v>1887.8729196712347</v>
      </c>
      <c r="AD131" s="13">
        <f t="shared" si="55"/>
        <v>1594.1029895890433</v>
      </c>
      <c r="AE131" s="13">
        <f t="shared" si="55"/>
        <v>1301.1357095890435</v>
      </c>
    </row>
    <row r="132" spans="1:31">
      <c r="A132" s="553" t="s">
        <v>1306</v>
      </c>
      <c r="B132" s="1"/>
      <c r="C132">
        <v>161.46</v>
      </c>
      <c r="D132">
        <f>C132</f>
        <v>161.46</v>
      </c>
      <c r="E132">
        <f t="shared" ref="E132:AE132" si="56">D132</f>
        <v>161.46</v>
      </c>
      <c r="F132">
        <f t="shared" si="56"/>
        <v>161.46</v>
      </c>
      <c r="G132">
        <f t="shared" si="56"/>
        <v>161.46</v>
      </c>
      <c r="H132" s="11">
        <v>2.17</v>
      </c>
      <c r="I132" s="11">
        <v>0.4</v>
      </c>
      <c r="J132" s="11">
        <v>150.41</v>
      </c>
      <c r="K132" s="11">
        <v>150</v>
      </c>
      <c r="L132" s="11">
        <v>0</v>
      </c>
      <c r="M132">
        <f t="shared" si="56"/>
        <v>0</v>
      </c>
      <c r="N132">
        <f t="shared" si="56"/>
        <v>0</v>
      </c>
      <c r="O132">
        <f t="shared" si="56"/>
        <v>0</v>
      </c>
      <c r="P132">
        <f t="shared" si="56"/>
        <v>0</v>
      </c>
      <c r="Q132">
        <f t="shared" si="56"/>
        <v>0</v>
      </c>
      <c r="R132">
        <f t="shared" si="56"/>
        <v>0</v>
      </c>
      <c r="S132">
        <f t="shared" si="56"/>
        <v>0</v>
      </c>
      <c r="T132">
        <f t="shared" si="56"/>
        <v>0</v>
      </c>
      <c r="U132">
        <f t="shared" si="56"/>
        <v>0</v>
      </c>
      <c r="V132">
        <f t="shared" si="56"/>
        <v>0</v>
      </c>
      <c r="W132">
        <f t="shared" si="56"/>
        <v>0</v>
      </c>
      <c r="X132">
        <f t="shared" si="56"/>
        <v>0</v>
      </c>
      <c r="Y132">
        <f t="shared" si="56"/>
        <v>0</v>
      </c>
      <c r="Z132">
        <f t="shared" si="56"/>
        <v>0</v>
      </c>
      <c r="AA132">
        <f t="shared" si="56"/>
        <v>0</v>
      </c>
      <c r="AB132">
        <f t="shared" si="56"/>
        <v>0</v>
      </c>
      <c r="AC132">
        <f t="shared" si="56"/>
        <v>0</v>
      </c>
      <c r="AD132">
        <f t="shared" si="56"/>
        <v>0</v>
      </c>
      <c r="AE132">
        <f t="shared" si="56"/>
        <v>0</v>
      </c>
    </row>
    <row r="133" spans="1:31">
      <c r="A133" t="s">
        <v>547</v>
      </c>
      <c r="C133" s="11">
        <v>2990.06</v>
      </c>
      <c r="D133" s="11">
        <v>0</v>
      </c>
      <c r="E133" s="11">
        <v>0</v>
      </c>
      <c r="F133" s="13"/>
      <c r="G133" s="13"/>
      <c r="H133" s="11">
        <v>0.08</v>
      </c>
      <c r="I133" s="11">
        <v>0.09</v>
      </c>
      <c r="J133" s="11">
        <v>0.09</v>
      </c>
      <c r="K133" s="11">
        <v>0.19</v>
      </c>
      <c r="L133" s="11">
        <v>0.09</v>
      </c>
      <c r="M133" s="11">
        <v>0.09</v>
      </c>
      <c r="N133" s="13">
        <f t="shared" ref="N133:AE133" si="57">M133+N86</f>
        <v>0.09</v>
      </c>
      <c r="O133" s="13">
        <f t="shared" si="57"/>
        <v>0.09</v>
      </c>
      <c r="P133" s="13">
        <f t="shared" si="57"/>
        <v>0.09</v>
      </c>
      <c r="Q133" s="13">
        <f t="shared" si="57"/>
        <v>0.09</v>
      </c>
      <c r="R133" s="13">
        <f t="shared" si="57"/>
        <v>0.09</v>
      </c>
      <c r="S133" s="13">
        <f t="shared" si="57"/>
        <v>0.09</v>
      </c>
      <c r="T133" s="13">
        <f t="shared" si="57"/>
        <v>0.09</v>
      </c>
      <c r="U133" s="13">
        <f t="shared" si="57"/>
        <v>0.09</v>
      </c>
      <c r="V133" s="13">
        <f t="shared" si="57"/>
        <v>0.09</v>
      </c>
      <c r="W133" s="13">
        <f t="shared" si="57"/>
        <v>0.09</v>
      </c>
      <c r="X133" s="13">
        <f t="shared" si="57"/>
        <v>0.09</v>
      </c>
      <c r="Y133" s="13">
        <f t="shared" si="57"/>
        <v>0.09</v>
      </c>
      <c r="Z133" s="13">
        <f t="shared" si="57"/>
        <v>0.09</v>
      </c>
      <c r="AA133" s="13">
        <f t="shared" si="57"/>
        <v>0.09</v>
      </c>
      <c r="AB133" s="13">
        <f t="shared" si="57"/>
        <v>0.09</v>
      </c>
      <c r="AC133" s="13">
        <f t="shared" si="57"/>
        <v>0.09</v>
      </c>
      <c r="AD133" s="13">
        <f t="shared" si="57"/>
        <v>0.09</v>
      </c>
      <c r="AE133" s="13">
        <f t="shared" si="57"/>
        <v>0.09</v>
      </c>
    </row>
    <row r="134" spans="1:31">
      <c r="A134" t="s">
        <v>1210</v>
      </c>
      <c r="C134" s="12">
        <v>1.7350000000000001</v>
      </c>
      <c r="D134" s="12">
        <v>1.7</v>
      </c>
      <c r="E134" s="12">
        <v>2.04</v>
      </c>
      <c r="F134" s="15"/>
      <c r="G134" s="15"/>
      <c r="H134" s="11">
        <v>2.02</v>
      </c>
      <c r="I134" s="11">
        <v>1.99</v>
      </c>
      <c r="J134" s="11">
        <v>1.95</v>
      </c>
      <c r="K134" s="11">
        <v>1.84</v>
      </c>
      <c r="L134" s="11">
        <v>1.76</v>
      </c>
      <c r="M134" s="11">
        <v>0.1</v>
      </c>
      <c r="N134" s="15">
        <f t="shared" ref="N134:AE135" si="58">M134</f>
        <v>0.1</v>
      </c>
      <c r="O134" s="15">
        <f t="shared" si="58"/>
        <v>0.1</v>
      </c>
      <c r="P134" s="15">
        <f t="shared" si="58"/>
        <v>0.1</v>
      </c>
      <c r="Q134" s="15">
        <f t="shared" si="58"/>
        <v>0.1</v>
      </c>
      <c r="R134" s="15">
        <f t="shared" si="58"/>
        <v>0.1</v>
      </c>
      <c r="S134" s="15">
        <f t="shared" si="58"/>
        <v>0.1</v>
      </c>
      <c r="T134" s="15">
        <f t="shared" si="58"/>
        <v>0.1</v>
      </c>
      <c r="U134" s="15">
        <f t="shared" si="58"/>
        <v>0.1</v>
      </c>
      <c r="V134" s="15">
        <f t="shared" si="58"/>
        <v>0.1</v>
      </c>
      <c r="W134" s="15">
        <f t="shared" si="58"/>
        <v>0.1</v>
      </c>
      <c r="X134" s="15">
        <f t="shared" si="58"/>
        <v>0.1</v>
      </c>
      <c r="Y134" s="15">
        <f t="shared" si="58"/>
        <v>0.1</v>
      </c>
      <c r="Z134" s="15">
        <f t="shared" si="58"/>
        <v>0.1</v>
      </c>
      <c r="AA134" s="15">
        <f t="shared" si="58"/>
        <v>0.1</v>
      </c>
      <c r="AB134" s="15">
        <f t="shared" si="58"/>
        <v>0.1</v>
      </c>
      <c r="AC134" s="15">
        <f t="shared" si="58"/>
        <v>0.1</v>
      </c>
      <c r="AD134" s="15">
        <f t="shared" si="58"/>
        <v>0.1</v>
      </c>
      <c r="AE134" s="15">
        <f t="shared" si="58"/>
        <v>0.1</v>
      </c>
    </row>
    <row r="135" spans="1:31">
      <c r="A135" t="s">
        <v>1305</v>
      </c>
      <c r="B135" s="554" t="s">
        <v>1307</v>
      </c>
      <c r="C135" s="12">
        <v>2.4053016</v>
      </c>
      <c r="D135" s="12">
        <v>2.7957383</v>
      </c>
      <c r="E135" s="12">
        <v>3.8</v>
      </c>
      <c r="F135" s="15"/>
      <c r="G135" s="15"/>
      <c r="H135" s="11">
        <v>0.65</v>
      </c>
      <c r="I135" s="11">
        <v>0.73</v>
      </c>
      <c r="J135" s="11">
        <v>0.64</v>
      </c>
      <c r="K135" s="11">
        <f>0.39+0.64</f>
        <v>1.03</v>
      </c>
      <c r="L135" s="11">
        <f>0.4+0.64</f>
        <v>1.04</v>
      </c>
      <c r="M135" s="11">
        <v>0.94</v>
      </c>
      <c r="N135" s="9">
        <f t="shared" si="58"/>
        <v>0.94</v>
      </c>
      <c r="O135" s="9">
        <f t="shared" si="58"/>
        <v>0.94</v>
      </c>
      <c r="P135" s="9">
        <f t="shared" si="58"/>
        <v>0.94</v>
      </c>
      <c r="Q135" s="9">
        <f t="shared" si="58"/>
        <v>0.94</v>
      </c>
      <c r="R135" s="9">
        <f t="shared" si="58"/>
        <v>0.94</v>
      </c>
      <c r="S135" s="9">
        <f t="shared" si="58"/>
        <v>0.94</v>
      </c>
      <c r="T135" s="9">
        <f t="shared" si="58"/>
        <v>0.94</v>
      </c>
      <c r="U135" s="9">
        <f t="shared" si="58"/>
        <v>0.94</v>
      </c>
      <c r="V135" s="9">
        <f t="shared" si="58"/>
        <v>0.94</v>
      </c>
      <c r="W135" s="9">
        <f t="shared" si="58"/>
        <v>0.94</v>
      </c>
      <c r="X135" s="9">
        <f t="shared" si="58"/>
        <v>0.94</v>
      </c>
      <c r="Y135" s="9">
        <f t="shared" si="58"/>
        <v>0.94</v>
      </c>
      <c r="Z135" s="9">
        <f t="shared" si="58"/>
        <v>0.94</v>
      </c>
      <c r="AA135" s="9">
        <f t="shared" si="58"/>
        <v>0.94</v>
      </c>
      <c r="AB135" s="9">
        <f t="shared" si="58"/>
        <v>0.94</v>
      </c>
      <c r="AC135" s="9">
        <f t="shared" si="58"/>
        <v>0.94</v>
      </c>
      <c r="AD135" s="9">
        <f t="shared" si="58"/>
        <v>0.94</v>
      </c>
      <c r="AE135" s="9">
        <f t="shared" si="58"/>
        <v>0.94</v>
      </c>
    </row>
    <row r="136" spans="1:31">
      <c r="A136" s="4" t="s">
        <v>1211</v>
      </c>
      <c r="B136" s="4"/>
      <c r="C136" s="15"/>
      <c r="D136" s="15"/>
      <c r="E136" s="15"/>
      <c r="F136" s="15"/>
      <c r="G136" s="15"/>
      <c r="H136" s="9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>
      <c r="A137" t="s">
        <v>1212</v>
      </c>
      <c r="C137" s="43">
        <v>79.196096100000005</v>
      </c>
      <c r="D137" s="43">
        <v>41.567823799999999</v>
      </c>
      <c r="E137" s="12">
        <v>62.67</v>
      </c>
      <c r="F137" s="15"/>
      <c r="G137" s="15"/>
      <c r="H137" s="11">
        <v>80.34</v>
      </c>
      <c r="I137" s="11">
        <v>100.49</v>
      </c>
      <c r="J137" s="11">
        <v>1.07</v>
      </c>
      <c r="K137" s="11">
        <v>26.08</v>
      </c>
      <c r="L137" s="11">
        <v>9.26</v>
      </c>
      <c r="M137" s="11">
        <v>175.38</v>
      </c>
      <c r="N137" s="9">
        <f t="shared" ref="N137:AE137" si="59">M137+N63</f>
        <v>521.29154186425171</v>
      </c>
      <c r="O137" s="9">
        <f t="shared" si="59"/>
        <v>532.20447959794933</v>
      </c>
      <c r="P137" s="9">
        <f t="shared" si="59"/>
        <v>545.08935654904803</v>
      </c>
      <c r="Q137" s="9">
        <f t="shared" si="59"/>
        <v>588.36979219035061</v>
      </c>
      <c r="R137" s="9">
        <f t="shared" si="59"/>
        <v>604.3631348387903</v>
      </c>
      <c r="S137" s="9">
        <f t="shared" si="59"/>
        <v>648.17486214922633</v>
      </c>
      <c r="T137" s="9">
        <f t="shared" si="59"/>
        <v>663.50955177371202</v>
      </c>
      <c r="U137" s="9">
        <f t="shared" si="59"/>
        <v>711.83958993095735</v>
      </c>
      <c r="V137" s="9">
        <f t="shared" si="59"/>
        <v>730.79627448982433</v>
      </c>
      <c r="W137" s="9">
        <f t="shared" si="59"/>
        <v>779.59722564468927</v>
      </c>
      <c r="X137" s="9">
        <f t="shared" si="59"/>
        <v>797.72883488597824</v>
      </c>
      <c r="Y137" s="9">
        <f t="shared" si="59"/>
        <v>851.69522934011661</v>
      </c>
      <c r="Z137" s="9">
        <f t="shared" si="59"/>
        <v>874.03088531659637</v>
      </c>
      <c r="AA137" s="9">
        <f t="shared" si="59"/>
        <v>914.02971492537586</v>
      </c>
      <c r="AB137" s="9">
        <f t="shared" si="59"/>
        <v>950.39881324296414</v>
      </c>
      <c r="AC137" s="9">
        <f t="shared" si="59"/>
        <v>972.20942487236164</v>
      </c>
      <c r="AD137" s="9">
        <f t="shared" si="59"/>
        <v>844.18527254296555</v>
      </c>
      <c r="AE137" s="9">
        <f t="shared" si="59"/>
        <v>329.36245930045709</v>
      </c>
    </row>
    <row r="138" spans="1:31">
      <c r="A138" t="s">
        <v>1213</v>
      </c>
      <c r="C138" s="43">
        <v>4.7671916000000003</v>
      </c>
      <c r="D138" s="43">
        <v>5.0837946000000001</v>
      </c>
      <c r="E138" s="12">
        <v>2.64</v>
      </c>
      <c r="F138" s="15"/>
      <c r="G138" s="15"/>
      <c r="H138" s="11">
        <v>2.02</v>
      </c>
      <c r="I138" s="11">
        <v>2.13</v>
      </c>
      <c r="J138" s="11">
        <v>0.76</v>
      </c>
      <c r="K138" s="11">
        <v>1.19</v>
      </c>
      <c r="L138" s="11">
        <v>1.41</v>
      </c>
      <c r="M138" s="11">
        <v>2.23</v>
      </c>
      <c r="N138" s="9">
        <f>WC!L4</f>
        <v>8.2632782117987702</v>
      </c>
      <c r="O138" s="9">
        <f>WC!M4</f>
        <v>8.4055149679035051</v>
      </c>
      <c r="P138" s="9">
        <f>WC!N4</f>
        <v>8.5736252672615763</v>
      </c>
      <c r="Q138" s="9">
        <f>WC!O4</f>
        <v>9.142602216816206</v>
      </c>
      <c r="R138" s="9">
        <f>WC!P4</f>
        <v>9.3510034509091131</v>
      </c>
      <c r="S138" s="9">
        <f>WC!Q4</f>
        <v>9.9255269701310436</v>
      </c>
      <c r="T138" s="9">
        <f>WC!R4</f>
        <v>10.124037509533663</v>
      </c>
      <c r="U138" s="9">
        <f>WC!S4</f>
        <v>10.756789853879516</v>
      </c>
      <c r="V138" s="9">
        <f>WC!T4</f>
        <v>11.0019857212337</v>
      </c>
      <c r="W138" s="9">
        <f>WC!U4</f>
        <v>11.639018730535298</v>
      </c>
      <c r="X138" s="9">
        <f>WC!V4</f>
        <v>11.871799105146005</v>
      </c>
      <c r="Y138" s="9">
        <f>WC!W4</f>
        <v>12.574974898296963</v>
      </c>
      <c r="Z138" s="9">
        <f>WC!X4</f>
        <v>12.861615422006087</v>
      </c>
      <c r="AA138" s="9">
        <f>WC!Y4</f>
        <v>13.373737303836785</v>
      </c>
      <c r="AB138" s="9">
        <f>WC!Z4</f>
        <v>13.838910775274584</v>
      </c>
      <c r="AC138" s="9">
        <f>WC!AA4</f>
        <v>14.115688990780077</v>
      </c>
      <c r="AD138" s="9">
        <f>WC!AB4</f>
        <v>12.465120206871875</v>
      </c>
      <c r="AE138" s="9">
        <f>WC!AC4</f>
        <v>5.7737963439235331</v>
      </c>
    </row>
    <row r="139" spans="1:31">
      <c r="A139" s="553" t="s">
        <v>1308</v>
      </c>
      <c r="C139" s="43"/>
      <c r="D139" s="43"/>
      <c r="E139" s="12"/>
      <c r="F139" s="15"/>
      <c r="G139" s="15"/>
      <c r="H139" s="11">
        <v>42.58</v>
      </c>
      <c r="I139" s="11">
        <v>46.05</v>
      </c>
      <c r="J139" s="11">
        <v>51.52</v>
      </c>
      <c r="K139" s="11">
        <v>54.25</v>
      </c>
      <c r="L139" s="11">
        <v>47.69</v>
      </c>
      <c r="M139" s="11">
        <v>45.47</v>
      </c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</row>
    <row r="140" spans="1:31">
      <c r="A140" t="s">
        <v>1214</v>
      </c>
      <c r="C140" s="43">
        <v>284.7934262</v>
      </c>
      <c r="D140" s="43">
        <v>621.36</v>
      </c>
      <c r="E140" s="12">
        <v>656.38</v>
      </c>
      <c r="F140" s="15"/>
      <c r="G140" s="15"/>
      <c r="H140" s="11">
        <v>877.85</v>
      </c>
      <c r="I140" s="11">
        <v>987.87</v>
      </c>
      <c r="J140" s="11">
        <v>1334.17</v>
      </c>
      <c r="K140" s="11">
        <v>949.43</v>
      </c>
      <c r="L140" s="11">
        <v>682.08</v>
      </c>
      <c r="M140" s="11">
        <v>746.52</v>
      </c>
      <c r="N140" s="9">
        <f>WC!L2</f>
        <v>1314.7502507999998</v>
      </c>
      <c r="O140" s="9">
        <f>WC!M2</f>
        <v>1311.1580369999999</v>
      </c>
      <c r="P140" s="9">
        <f>WC!N2</f>
        <v>1311.1580369999999</v>
      </c>
      <c r="Q140" s="9">
        <f>WC!O2</f>
        <v>1408.3112451449997</v>
      </c>
      <c r="R140" s="9">
        <f>WC!P2</f>
        <v>1412.1696321179998</v>
      </c>
      <c r="S140" s="9">
        <f>WC!Q2</f>
        <v>1500.5183054400002</v>
      </c>
      <c r="T140" s="9">
        <f>WC!R2</f>
        <v>1541.9218515120001</v>
      </c>
      <c r="U140" s="9">
        <f>WC!S2</f>
        <v>1605.11689562175</v>
      </c>
      <c r="V140" s="9">
        <f>WC!T2</f>
        <v>1609.5144761577001</v>
      </c>
      <c r="W140" s="9">
        <f>WC!U2</f>
        <v>1714.5027708180751</v>
      </c>
      <c r="X140" s="9">
        <f>WC!V2</f>
        <v>1751.7275367180755</v>
      </c>
      <c r="Y140" s="9">
        <f>WC!W2</f>
        <v>1818.0823330333126</v>
      </c>
      <c r="Z140" s="9">
        <f>WC!X2</f>
        <v>1873.1270206121287</v>
      </c>
      <c r="AA140" s="9">
        <f>WC!Y2</f>
        <v>1905.8343525724786</v>
      </c>
      <c r="AB140" s="9">
        <f>WC!Z2</f>
        <v>1931.0511294724786</v>
      </c>
      <c r="AC140" s="9">
        <f>WC!AA2</f>
        <v>2027.6036859461026</v>
      </c>
      <c r="AD140" s="9">
        <f>WC!AB2</f>
        <v>1779.2638190377354</v>
      </c>
      <c r="AE140" s="9">
        <f>WC!AC2</f>
        <v>865.62906221371588</v>
      </c>
    </row>
    <row r="141" spans="1:31">
      <c r="A141" s="553" t="s">
        <v>1309</v>
      </c>
      <c r="C141" s="43">
        <v>0</v>
      </c>
      <c r="D141" s="43">
        <v>0</v>
      </c>
      <c r="E141" s="43">
        <v>0</v>
      </c>
      <c r="F141" s="15"/>
      <c r="G141" s="15"/>
      <c r="H141" s="11">
        <v>1.53</v>
      </c>
      <c r="I141" s="11">
        <v>1.5</v>
      </c>
      <c r="J141" s="11">
        <v>1.51</v>
      </c>
      <c r="K141" s="11">
        <v>1.51</v>
      </c>
      <c r="L141" s="11">
        <v>1.51</v>
      </c>
      <c r="M141" s="11">
        <v>1.51</v>
      </c>
      <c r="N141" s="9">
        <f t="shared" ref="N141:AE142" si="60">M141+N66</f>
        <v>3.731539347776847</v>
      </c>
      <c r="O141" s="9">
        <f t="shared" si="60"/>
        <v>4.0881105282101533</v>
      </c>
      <c r="P141" s="9">
        <f t="shared" si="60"/>
        <v>4.4553788440564581</v>
      </c>
      <c r="Q141" s="9">
        <f t="shared" si="60"/>
        <v>4.8336652093781538</v>
      </c>
      <c r="R141" s="9">
        <f t="shared" si="60"/>
        <v>5.2233001656594986</v>
      </c>
      <c r="S141" s="9">
        <f t="shared" si="60"/>
        <v>5.6246241706292839</v>
      </c>
      <c r="T141" s="9">
        <f t="shared" si="60"/>
        <v>6.037987895748163</v>
      </c>
      <c r="U141" s="9">
        <f t="shared" si="60"/>
        <v>6.4637525326206102</v>
      </c>
      <c r="V141" s="9">
        <f t="shared" si="60"/>
        <v>6.9022901085992281</v>
      </c>
      <c r="W141" s="9">
        <f t="shared" si="60"/>
        <v>7.3539838118572067</v>
      </c>
      <c r="X141" s="9">
        <f t="shared" si="60"/>
        <v>7.8192283262129241</v>
      </c>
      <c r="Y141" s="9">
        <f t="shared" si="60"/>
        <v>8.2984301759993127</v>
      </c>
      <c r="Z141" s="9">
        <f t="shared" si="60"/>
        <v>8.79200808127929</v>
      </c>
      <c r="AA141" s="9">
        <f t="shared" si="60"/>
        <v>9.3003933237176692</v>
      </c>
      <c r="AB141" s="9">
        <f t="shared" si="60"/>
        <v>9.8240301234292016</v>
      </c>
      <c r="AC141" s="9">
        <f t="shared" si="60"/>
        <v>10.363376027132075</v>
      </c>
      <c r="AD141" s="9">
        <f t="shared" si="60"/>
        <v>8.313291792288565</v>
      </c>
      <c r="AE141" s="9">
        <f t="shared" si="60"/>
        <v>-0.43061883161836256</v>
      </c>
    </row>
    <row r="142" spans="1:31">
      <c r="A142" s="553" t="s">
        <v>1310</v>
      </c>
      <c r="C142" s="43">
        <v>0</v>
      </c>
      <c r="D142" s="43">
        <v>14.8626252</v>
      </c>
      <c r="E142" s="12">
        <v>22.1981</v>
      </c>
      <c r="F142" s="15"/>
      <c r="G142" s="15"/>
      <c r="H142" s="11">
        <v>7.37</v>
      </c>
      <c r="I142" s="11">
        <v>6.65</v>
      </c>
      <c r="J142" s="11">
        <v>10.97</v>
      </c>
      <c r="K142" s="11">
        <v>8.07</v>
      </c>
      <c r="L142" s="11">
        <v>10.59</v>
      </c>
      <c r="M142" s="11">
        <v>8.36</v>
      </c>
      <c r="N142" s="9">
        <f t="shared" si="60"/>
        <v>13.691694434664431</v>
      </c>
      <c r="O142" s="9">
        <f t="shared" si="60"/>
        <v>14.547465267704368</v>
      </c>
      <c r="P142" s="9">
        <f t="shared" si="60"/>
        <v>15.428909225735499</v>
      </c>
      <c r="Q142" s="9">
        <f t="shared" si="60"/>
        <v>16.336796502507568</v>
      </c>
      <c r="R142" s="9">
        <f t="shared" si="60"/>
        <v>17.271920397582797</v>
      </c>
      <c r="S142" s="9">
        <f t="shared" si="60"/>
        <v>18.235098009510281</v>
      </c>
      <c r="T142" s="9">
        <f t="shared" si="60"/>
        <v>19.227170949795592</v>
      </c>
      <c r="U142" s="9">
        <f t="shared" si="60"/>
        <v>20.249006078289462</v>
      </c>
      <c r="V142" s="9">
        <f t="shared" si="60"/>
        <v>21.301496260638146</v>
      </c>
      <c r="W142" s="9">
        <f t="shared" si="60"/>
        <v>22.385561148457292</v>
      </c>
      <c r="X142" s="9">
        <f t="shared" si="60"/>
        <v>23.502147982911019</v>
      </c>
      <c r="Y142" s="9">
        <f t="shared" si="60"/>
        <v>24.652232422398349</v>
      </c>
      <c r="Z142" s="9">
        <f t="shared" si="60"/>
        <v>25.8368193950703</v>
      </c>
      <c r="AA142" s="9">
        <f t="shared" si="60"/>
        <v>27.056943976922412</v>
      </c>
      <c r="AB142" s="9">
        <f t="shared" si="60"/>
        <v>28.313672296230081</v>
      </c>
      <c r="AC142" s="9">
        <f t="shared" si="60"/>
        <v>29.608102465116986</v>
      </c>
      <c r="AD142" s="9">
        <f t="shared" si="60"/>
        <v>24.687900301492554</v>
      </c>
      <c r="AE142" s="9">
        <f t="shared" si="60"/>
        <v>3.7025148041159248</v>
      </c>
    </row>
    <row r="143" spans="1:31">
      <c r="A143" t="s">
        <v>1215</v>
      </c>
      <c r="C143" s="12">
        <v>3.7103527000000001</v>
      </c>
      <c r="D143" s="12">
        <v>131.8056732</v>
      </c>
      <c r="E143" s="12">
        <f>597459336/Cr</f>
        <v>59.745933600000001</v>
      </c>
      <c r="F143" s="12"/>
      <c r="G143" s="12"/>
      <c r="H143" s="11">
        <v>69.459999999999994</v>
      </c>
      <c r="I143" s="11">
        <v>44.22</v>
      </c>
      <c r="J143" s="11">
        <v>131.02000000000001</v>
      </c>
      <c r="K143" s="11">
        <v>128.61000000000001</v>
      </c>
      <c r="L143" s="11">
        <v>3.86</v>
      </c>
      <c r="M143" s="11">
        <v>99.38</v>
      </c>
      <c r="N143" s="11">
        <v>99.38</v>
      </c>
      <c r="O143" s="11">
        <v>99.38</v>
      </c>
      <c r="P143" s="44" t="e">
        <f ca="1">P103</f>
        <v>#DIV/0!</v>
      </c>
      <c r="Q143" s="44" t="e">
        <f t="shared" ref="Q143:AE143" ca="1" si="61">Q103</f>
        <v>#DIV/0!</v>
      </c>
      <c r="R143" s="44" t="e">
        <f t="shared" ca="1" si="61"/>
        <v>#DIV/0!</v>
      </c>
      <c r="S143" s="44" t="e">
        <f t="shared" ca="1" si="61"/>
        <v>#DIV/0!</v>
      </c>
      <c r="T143" s="44" t="e">
        <f t="shared" ca="1" si="61"/>
        <v>#DIV/0!</v>
      </c>
      <c r="U143" s="44" t="e">
        <f t="shared" ca="1" si="61"/>
        <v>#DIV/0!</v>
      </c>
      <c r="V143" s="44" t="e">
        <f t="shared" ca="1" si="61"/>
        <v>#DIV/0!</v>
      </c>
      <c r="W143" s="44" t="e">
        <f t="shared" ca="1" si="61"/>
        <v>#DIV/0!</v>
      </c>
      <c r="X143" s="44" t="e">
        <f t="shared" ca="1" si="61"/>
        <v>#DIV/0!</v>
      </c>
      <c r="Y143" s="44" t="e">
        <f t="shared" ca="1" si="61"/>
        <v>#DIV/0!</v>
      </c>
      <c r="Z143" s="44" t="e">
        <f t="shared" ca="1" si="61"/>
        <v>#DIV/0!</v>
      </c>
      <c r="AA143" s="44" t="e">
        <f t="shared" ca="1" si="61"/>
        <v>#DIV/0!</v>
      </c>
      <c r="AB143" s="44" t="e">
        <f t="shared" ca="1" si="61"/>
        <v>#DIV/0!</v>
      </c>
      <c r="AC143" s="44" t="e">
        <f t="shared" ca="1" si="61"/>
        <v>#DIV/0!</v>
      </c>
      <c r="AD143" s="44" t="e">
        <f t="shared" ca="1" si="61"/>
        <v>#DIV/0!</v>
      </c>
      <c r="AE143" s="44" t="e">
        <f t="shared" ca="1" si="61"/>
        <v>#DIV/0!</v>
      </c>
    </row>
    <row r="144" spans="1:31">
      <c r="A144" t="s">
        <v>1216</v>
      </c>
      <c r="C144" s="12">
        <v>0.1076</v>
      </c>
      <c r="D144" s="12">
        <v>23.6477839</v>
      </c>
      <c r="E144" s="12">
        <v>20.479299999999999</v>
      </c>
      <c r="F144" s="15"/>
      <c r="G144" s="15"/>
      <c r="H144" s="11">
        <v>55.72</v>
      </c>
      <c r="I144" s="11">
        <v>0</v>
      </c>
      <c r="J144" s="11">
        <v>4.63</v>
      </c>
      <c r="K144" s="11">
        <v>20</v>
      </c>
      <c r="L144" s="11">
        <v>20.02</v>
      </c>
      <c r="M144" s="11">
        <v>15.06</v>
      </c>
      <c r="N144" s="15">
        <f t="shared" ref="N144:AE145" si="62">M144</f>
        <v>15.06</v>
      </c>
      <c r="O144" s="15">
        <f t="shared" si="62"/>
        <v>15.06</v>
      </c>
      <c r="P144" s="15">
        <f t="shared" si="62"/>
        <v>15.06</v>
      </c>
      <c r="Q144" s="15">
        <f t="shared" si="62"/>
        <v>15.06</v>
      </c>
      <c r="R144" s="15">
        <f t="shared" si="62"/>
        <v>15.06</v>
      </c>
      <c r="S144" s="15">
        <f t="shared" si="62"/>
        <v>15.06</v>
      </c>
      <c r="T144" s="15">
        <f t="shared" si="62"/>
        <v>15.06</v>
      </c>
      <c r="U144" s="15">
        <f t="shared" si="62"/>
        <v>15.06</v>
      </c>
      <c r="V144" s="15">
        <f t="shared" si="62"/>
        <v>15.06</v>
      </c>
      <c r="W144" s="15">
        <f t="shared" si="62"/>
        <v>15.06</v>
      </c>
      <c r="X144" s="15">
        <f t="shared" si="62"/>
        <v>15.06</v>
      </c>
      <c r="Y144" s="15">
        <f t="shared" si="62"/>
        <v>15.06</v>
      </c>
      <c r="Z144" s="15">
        <f t="shared" si="62"/>
        <v>15.06</v>
      </c>
      <c r="AA144" s="15">
        <f t="shared" si="62"/>
        <v>15.06</v>
      </c>
      <c r="AB144" s="15">
        <f t="shared" si="62"/>
        <v>15.06</v>
      </c>
      <c r="AC144" s="15">
        <f t="shared" si="62"/>
        <v>15.06</v>
      </c>
      <c r="AD144" s="15">
        <f t="shared" si="62"/>
        <v>15.06</v>
      </c>
      <c r="AE144" s="15">
        <f t="shared" si="62"/>
        <v>15.06</v>
      </c>
    </row>
    <row r="145" spans="1:31">
      <c r="A145" s="553" t="s">
        <v>1311</v>
      </c>
      <c r="C145" s="12">
        <v>49.52</v>
      </c>
      <c r="D145" s="12">
        <v>33.01</v>
      </c>
      <c r="E145" s="12">
        <v>33.08</v>
      </c>
      <c r="F145" s="15"/>
      <c r="G145" s="15"/>
      <c r="H145" s="11">
        <v>1.46</v>
      </c>
      <c r="I145" s="11">
        <v>1.65</v>
      </c>
      <c r="J145" s="11">
        <v>1.78</v>
      </c>
      <c r="K145" s="11">
        <v>1.88</v>
      </c>
      <c r="L145" s="11">
        <v>3.72</v>
      </c>
      <c r="M145" s="11">
        <v>5.69</v>
      </c>
      <c r="N145" s="15">
        <f t="shared" si="62"/>
        <v>5.69</v>
      </c>
      <c r="O145" s="15">
        <f t="shared" si="62"/>
        <v>5.69</v>
      </c>
      <c r="P145" s="15">
        <f t="shared" si="62"/>
        <v>5.69</v>
      </c>
      <c r="Q145" s="15">
        <f t="shared" si="62"/>
        <v>5.69</v>
      </c>
      <c r="R145" s="15">
        <f t="shared" si="62"/>
        <v>5.69</v>
      </c>
      <c r="S145" s="15">
        <f t="shared" si="62"/>
        <v>5.69</v>
      </c>
      <c r="T145" s="15">
        <f t="shared" si="62"/>
        <v>5.69</v>
      </c>
      <c r="U145" s="15">
        <f t="shared" si="62"/>
        <v>5.69</v>
      </c>
      <c r="V145" s="15">
        <f t="shared" si="62"/>
        <v>5.69</v>
      </c>
      <c r="W145" s="15">
        <f t="shared" si="62"/>
        <v>5.69</v>
      </c>
      <c r="X145" s="15">
        <f t="shared" si="62"/>
        <v>5.69</v>
      </c>
      <c r="Y145" s="15">
        <f t="shared" si="62"/>
        <v>5.69</v>
      </c>
      <c r="Z145" s="15">
        <f t="shared" si="62"/>
        <v>5.69</v>
      </c>
      <c r="AA145" s="15">
        <f t="shared" si="62"/>
        <v>5.69</v>
      </c>
      <c r="AB145" s="15">
        <f t="shared" si="62"/>
        <v>5.69</v>
      </c>
      <c r="AC145" s="15">
        <f t="shared" si="62"/>
        <v>5.69</v>
      </c>
      <c r="AD145" s="15">
        <f t="shared" si="62"/>
        <v>5.69</v>
      </c>
      <c r="AE145" s="15">
        <f t="shared" si="62"/>
        <v>5.69</v>
      </c>
    </row>
    <row r="146" spans="1:31">
      <c r="A146" t="s">
        <v>976</v>
      </c>
      <c r="C146" s="12">
        <v>0.71412050000000005</v>
      </c>
      <c r="D146" s="12">
        <v>0.4414749</v>
      </c>
      <c r="E146" s="12">
        <v>1.1499999999999999</v>
      </c>
      <c r="F146" s="15"/>
      <c r="G146" s="15"/>
      <c r="H146" s="11">
        <f>0.79+0.11+0.25+3.57</f>
        <v>4.72</v>
      </c>
      <c r="I146" s="11">
        <f>0.02+0.2+5.82</f>
        <v>6.04</v>
      </c>
      <c r="J146" s="11">
        <f>0.02+0.16+9.54</f>
        <v>9.7199999999999989</v>
      </c>
      <c r="K146" s="11">
        <f>0.02+0.07+10</f>
        <v>10.09</v>
      </c>
      <c r="L146" s="11">
        <f>0.04+0.01+33.99</f>
        <v>34.04</v>
      </c>
      <c r="M146" s="11">
        <f>0.02+0.02+18.32</f>
        <v>18.36</v>
      </c>
      <c r="N146" s="9">
        <f t="shared" ref="N146:AE146" si="63">M146+N68</f>
        <v>18.36</v>
      </c>
      <c r="O146" s="9">
        <f t="shared" si="63"/>
        <v>18.36</v>
      </c>
      <c r="P146" s="9">
        <f t="shared" si="63"/>
        <v>18.36</v>
      </c>
      <c r="Q146" s="9">
        <f t="shared" si="63"/>
        <v>18.36</v>
      </c>
      <c r="R146" s="9">
        <f t="shared" si="63"/>
        <v>18.36</v>
      </c>
      <c r="S146" s="9">
        <f t="shared" si="63"/>
        <v>18.36</v>
      </c>
      <c r="T146" s="9">
        <f t="shared" si="63"/>
        <v>18.36</v>
      </c>
      <c r="U146" s="9">
        <f t="shared" si="63"/>
        <v>18.36</v>
      </c>
      <c r="V146" s="9">
        <f t="shared" si="63"/>
        <v>18.36</v>
      </c>
      <c r="W146" s="9">
        <f t="shared" si="63"/>
        <v>18.36</v>
      </c>
      <c r="X146" s="9">
        <f t="shared" si="63"/>
        <v>18.36</v>
      </c>
      <c r="Y146" s="9">
        <f t="shared" si="63"/>
        <v>18.36</v>
      </c>
      <c r="Z146" s="9">
        <f t="shared" si="63"/>
        <v>18.36</v>
      </c>
      <c r="AA146" s="9">
        <f t="shared" si="63"/>
        <v>18.36</v>
      </c>
      <c r="AB146" s="9">
        <f t="shared" si="63"/>
        <v>18.36</v>
      </c>
      <c r="AC146" s="9">
        <f t="shared" si="63"/>
        <v>18.36</v>
      </c>
      <c r="AD146" s="9">
        <f t="shared" si="63"/>
        <v>18.36</v>
      </c>
      <c r="AE146" s="9">
        <f t="shared" si="63"/>
        <v>18.36</v>
      </c>
    </row>
    <row r="147" spans="1:31">
      <c r="A147" s="1" t="s">
        <v>1217</v>
      </c>
      <c r="B147" s="1"/>
      <c r="C147" s="15">
        <f>SUM(C137:C146,C131:C135)</f>
        <v>7769.8458423999991</v>
      </c>
      <c r="D147" s="15">
        <f>SUM(D137:D146,D131:D135)</f>
        <v>8770.6551017999991</v>
      </c>
      <c r="E147" s="15">
        <f>SUM(E137:E146,E131:E135)</f>
        <v>8479.1035498999991</v>
      </c>
      <c r="F147" s="15"/>
      <c r="G147" s="15"/>
      <c r="H147" s="15">
        <f>SUM(H137:H146,H131:H135)</f>
        <v>8725.24</v>
      </c>
      <c r="I147" s="15">
        <f t="shared" ref="I147:AE147" si="64">SUM(I137:I146,I131:I135)</f>
        <v>8575.82</v>
      </c>
      <c r="J147" s="15">
        <f t="shared" si="64"/>
        <v>8876.14</v>
      </c>
      <c r="K147" s="15">
        <f t="shared" si="64"/>
        <v>8330.2300000000014</v>
      </c>
      <c r="L147" s="15">
        <f t="shared" si="64"/>
        <v>7593.8300000000008</v>
      </c>
      <c r="M147" s="15">
        <f t="shared" si="64"/>
        <v>7697.65</v>
      </c>
      <c r="N147" s="15">
        <f t="shared" si="64"/>
        <v>8286.1383745762996</v>
      </c>
      <c r="O147" s="15">
        <f t="shared" si="64"/>
        <v>8001.8463972795744</v>
      </c>
      <c r="P147" s="15" t="e">
        <f t="shared" ca="1" si="64"/>
        <v>#DIV/0!</v>
      </c>
      <c r="Q147" s="15" t="e">
        <f t="shared" ca="1" si="64"/>
        <v>#DIV/0!</v>
      </c>
      <c r="R147" s="15" t="e">
        <f t="shared" ca="1" si="64"/>
        <v>#DIV/0!</v>
      </c>
      <c r="S147" s="15" t="e">
        <f t="shared" ca="1" si="64"/>
        <v>#DIV/0!</v>
      </c>
      <c r="T147" s="15" t="e">
        <f t="shared" ca="1" si="64"/>
        <v>#DIV/0!</v>
      </c>
      <c r="U147" s="15" t="e">
        <f t="shared" ca="1" si="64"/>
        <v>#DIV/0!</v>
      </c>
      <c r="V147" s="15" t="e">
        <f t="shared" ca="1" si="64"/>
        <v>#DIV/0!</v>
      </c>
      <c r="W147" s="15" t="e">
        <f t="shared" ca="1" si="64"/>
        <v>#DIV/0!</v>
      </c>
      <c r="X147" s="15" t="e">
        <f t="shared" ca="1" si="64"/>
        <v>#DIV/0!</v>
      </c>
      <c r="Y147" s="15" t="e">
        <f t="shared" ca="1" si="64"/>
        <v>#DIV/0!</v>
      </c>
      <c r="Z147" s="15" t="e">
        <f t="shared" ca="1" si="64"/>
        <v>#DIV/0!</v>
      </c>
      <c r="AA147" s="15" t="e">
        <f t="shared" ca="1" si="64"/>
        <v>#DIV/0!</v>
      </c>
      <c r="AB147" s="15" t="e">
        <f t="shared" ca="1" si="64"/>
        <v>#DIV/0!</v>
      </c>
      <c r="AC147" s="15" t="e">
        <f t="shared" ca="1" si="64"/>
        <v>#DIV/0!</v>
      </c>
      <c r="AD147" s="15" t="e">
        <f t="shared" ca="1" si="64"/>
        <v>#DIV/0!</v>
      </c>
      <c r="AE147" s="15" t="e">
        <f t="shared" ca="1" si="64"/>
        <v>#DIV/0!</v>
      </c>
    </row>
    <row r="148" spans="1:31" hidden="1">
      <c r="C148" s="40">
        <f>ROUND(C127-C147,2)</f>
        <v>-297.97000000000003</v>
      </c>
      <c r="D148" s="40">
        <f>ROUND(D127-D147,2)</f>
        <v>-366.64</v>
      </c>
      <c r="E148" s="9">
        <f>ROUND(E127-E147,2)</f>
        <v>0</v>
      </c>
      <c r="F148" s="9"/>
      <c r="G148" s="9"/>
      <c r="H148" s="9">
        <f t="shared" ref="H148:AE148" si="65">ROUND(H127-H147,2)</f>
        <v>-107.56</v>
      </c>
      <c r="I148" s="9">
        <f t="shared" si="65"/>
        <v>-107.56</v>
      </c>
      <c r="J148" s="9">
        <f t="shared" si="65"/>
        <v>-107.56</v>
      </c>
      <c r="K148" s="9">
        <f t="shared" si="65"/>
        <v>0</v>
      </c>
      <c r="L148" s="9">
        <f t="shared" si="65"/>
        <v>-0.01</v>
      </c>
      <c r="M148" s="9">
        <f t="shared" si="65"/>
        <v>0.02</v>
      </c>
      <c r="N148" s="9">
        <f t="shared" si="65"/>
        <v>-5581.81</v>
      </c>
      <c r="O148" s="9">
        <f t="shared" si="65"/>
        <v>-5289.24</v>
      </c>
      <c r="P148" s="9" t="e">
        <f t="shared" ca="1" si="65"/>
        <v>#DIV/0!</v>
      </c>
      <c r="Q148" s="9" t="e">
        <f t="shared" ca="1" si="65"/>
        <v>#DIV/0!</v>
      </c>
      <c r="R148" s="9" t="e">
        <f t="shared" ca="1" si="65"/>
        <v>#DIV/0!</v>
      </c>
      <c r="S148" s="9" t="e">
        <f t="shared" ca="1" si="65"/>
        <v>#DIV/0!</v>
      </c>
      <c r="T148" s="9" t="e">
        <f t="shared" ca="1" si="65"/>
        <v>#DIV/0!</v>
      </c>
      <c r="U148" s="9" t="e">
        <f t="shared" ca="1" si="65"/>
        <v>#DIV/0!</v>
      </c>
      <c r="V148" s="9" t="e">
        <f t="shared" ca="1" si="65"/>
        <v>#DIV/0!</v>
      </c>
      <c r="W148" s="9" t="e">
        <f t="shared" ca="1" si="65"/>
        <v>#DIV/0!</v>
      </c>
      <c r="X148" s="9" t="e">
        <f t="shared" ca="1" si="65"/>
        <v>#DIV/0!</v>
      </c>
      <c r="Y148" s="9" t="e">
        <f t="shared" ca="1" si="65"/>
        <v>#DIV/0!</v>
      </c>
      <c r="Z148" s="9" t="e">
        <f t="shared" ca="1" si="65"/>
        <v>#DIV/0!</v>
      </c>
      <c r="AA148" s="9" t="e">
        <f t="shared" ca="1" si="65"/>
        <v>#DIV/0!</v>
      </c>
      <c r="AB148" s="9" t="e">
        <f t="shared" ca="1" si="65"/>
        <v>#DIV/0!</v>
      </c>
      <c r="AC148" s="9" t="e">
        <f t="shared" ca="1" si="65"/>
        <v>#DIV/0!</v>
      </c>
      <c r="AD148" s="9" t="e">
        <f t="shared" ca="1" si="65"/>
        <v>#DIV/0!</v>
      </c>
      <c r="AE148" s="9" t="e">
        <f t="shared" ca="1" si="65"/>
        <v>#DIV/0!</v>
      </c>
    </row>
    <row r="149" spans="1:31" hidden="1">
      <c r="H149" s="9"/>
      <c r="I149" s="9"/>
      <c r="J149" s="9"/>
      <c r="K149" s="9"/>
      <c r="L149" s="9"/>
      <c r="M149" s="9"/>
      <c r="N149" s="9"/>
      <c r="O149" s="9"/>
      <c r="P149" s="9"/>
      <c r="Q149" s="9"/>
    </row>
    <row r="150" spans="1:31" hidden="1">
      <c r="A150" t="s">
        <v>1218</v>
      </c>
    </row>
    <row r="151" spans="1:31" hidden="1">
      <c r="A151" s="3" t="s">
        <v>1219</v>
      </c>
      <c r="B151" s="3"/>
      <c r="C151" s="27">
        <f>C34/C3</f>
        <v>0.39385061782811631</v>
      </c>
      <c r="D151" s="27">
        <f>D34/D3</f>
        <v>0.52152432275541805</v>
      </c>
      <c r="E151" s="27">
        <f>E34/E3</f>
        <v>0.37269246711315668</v>
      </c>
      <c r="F151" s="27" t="e">
        <f>F34/F3</f>
        <v>#REF!</v>
      </c>
      <c r="G151" s="27" t="e">
        <f>G34/G3</f>
        <v>#REF!</v>
      </c>
      <c r="H151" s="27" t="e">
        <f>G151</f>
        <v>#REF!</v>
      </c>
      <c r="I151" s="27">
        <f t="shared" ref="I151:AE151" si="66">I34/I3</f>
        <v>0.18483115334286496</v>
      </c>
      <c r="J151" s="27">
        <f t="shared" si="66"/>
        <v>0.13845513950401561</v>
      </c>
      <c r="K151" s="27">
        <f t="shared" si="66"/>
        <v>0.46536381864862125</v>
      </c>
      <c r="L151" s="27">
        <f t="shared" si="66"/>
        <v>0.12401752827578065</v>
      </c>
      <c r="M151" s="27">
        <f t="shared" si="66"/>
        <v>-1.9985607317747105E-2</v>
      </c>
      <c r="N151" s="27">
        <f t="shared" si="66"/>
        <v>0.12076053053690415</v>
      </c>
      <c r="O151" s="27">
        <f t="shared" si="66"/>
        <v>0.11763060707494248</v>
      </c>
      <c r="P151" s="27">
        <f t="shared" si="66"/>
        <v>0.11423713742868961</v>
      </c>
      <c r="Q151" s="27">
        <f t="shared" si="66"/>
        <v>0.11583591183183464</v>
      </c>
      <c r="R151" s="27">
        <f t="shared" si="66"/>
        <v>0.11255256341407273</v>
      </c>
      <c r="S151" s="27">
        <f t="shared" si="66"/>
        <v>0.1134149997505976</v>
      </c>
      <c r="T151" s="27">
        <f t="shared" si="66"/>
        <v>0.11184315063918475</v>
      </c>
      <c r="U151" s="27">
        <f t="shared" si="66"/>
        <v>0.11120524854270851</v>
      </c>
      <c r="V151" s="27">
        <f t="shared" si="66"/>
        <v>0.10770365165025408</v>
      </c>
      <c r="W151" s="27">
        <f t="shared" si="66"/>
        <v>0.10881592077775061</v>
      </c>
      <c r="X151" s="27">
        <f t="shared" si="66"/>
        <v>0.10669275587913182</v>
      </c>
      <c r="Y151" s="27">
        <f t="shared" si="66"/>
        <v>0.10577244423055421</v>
      </c>
      <c r="Z151" s="27">
        <f t="shared" si="66"/>
        <v>0.10424612775558711</v>
      </c>
      <c r="AA151" s="27">
        <f t="shared" si="66"/>
        <v>0.10164761031241468</v>
      </c>
      <c r="AB151" s="27">
        <f t="shared" si="66"/>
        <v>9.8604733224578966E-2</v>
      </c>
      <c r="AC151" s="27">
        <f t="shared" si="66"/>
        <v>9.8604733224579078E-2</v>
      </c>
      <c r="AD151" s="27">
        <f t="shared" si="66"/>
        <v>8.1525187841215985E-2</v>
      </c>
      <c r="AE151" s="27">
        <f t="shared" si="66"/>
        <v>-3.8901606777013861E-2</v>
      </c>
    </row>
    <row r="152" spans="1:31" hidden="1">
      <c r="A152" s="3" t="s">
        <v>1220</v>
      </c>
      <c r="B152" s="3"/>
      <c r="C152" s="27">
        <f t="shared" ref="C152:AE152" si="67">IFERROR(C47/C3,0)</f>
        <v>9.569524213924184E-2</v>
      </c>
      <c r="D152" s="27">
        <f t="shared" si="67"/>
        <v>0.11139801045526063</v>
      </c>
      <c r="E152" s="27">
        <f t="shared" si="67"/>
        <v>-0.2367558192805255</v>
      </c>
      <c r="F152" s="27">
        <f t="shared" si="67"/>
        <v>0</v>
      </c>
      <c r="G152" s="27">
        <f t="shared" si="67"/>
        <v>0</v>
      </c>
      <c r="H152" s="27">
        <f t="shared" si="67"/>
        <v>-0.36692402581668376</v>
      </c>
      <c r="I152" s="27">
        <f t="shared" si="67"/>
        <v>-0.6564335826562947</v>
      </c>
      <c r="J152" s="27">
        <f t="shared" si="67"/>
        <v>-0.19108481987571937</v>
      </c>
      <c r="K152" s="27">
        <f t="shared" si="67"/>
        <v>0.26828271876404913</v>
      </c>
      <c r="L152" s="27">
        <f t="shared" si="67"/>
        <v>-7.5601681913629468E-2</v>
      </c>
      <c r="M152" s="27">
        <f t="shared" si="67"/>
        <v>-4.8239286126957916E-2</v>
      </c>
      <c r="N152" s="27">
        <f t="shared" si="67"/>
        <v>2.7659854222321919E-2</v>
      </c>
      <c r="O152" s="27">
        <f t="shared" si="67"/>
        <v>2.452993076036027E-2</v>
      </c>
      <c r="P152" s="27">
        <f t="shared" si="67"/>
        <v>2.1136461114107403E-2</v>
      </c>
      <c r="Q152" s="27">
        <f t="shared" si="67"/>
        <v>2.9157842320693513E-2</v>
      </c>
      <c r="R152" s="27">
        <f t="shared" si="67"/>
        <v>2.5874493902931596E-2</v>
      </c>
      <c r="S152" s="27">
        <f t="shared" si="67"/>
        <v>3.2063309766245648E-2</v>
      </c>
      <c r="T152" s="27">
        <f t="shared" si="67"/>
        <v>3.2675908875084238E-2</v>
      </c>
      <c r="U152" s="27">
        <f t="shared" si="67"/>
        <v>3.5154899603657745E-2</v>
      </c>
      <c r="V152" s="27">
        <f t="shared" si="67"/>
        <v>3.165330271120332E-2</v>
      </c>
      <c r="W152" s="27">
        <f t="shared" si="67"/>
        <v>3.7617610645096562E-2</v>
      </c>
      <c r="X152" s="27">
        <f t="shared" si="67"/>
        <v>3.7007432424833696E-2</v>
      </c>
      <c r="Y152" s="27">
        <f t="shared" si="67"/>
        <v>3.8630435432560284E-2</v>
      </c>
      <c r="Z152" s="27">
        <f t="shared" si="67"/>
        <v>3.8898644009265675E-2</v>
      </c>
      <c r="AA152" s="27">
        <f t="shared" si="67"/>
        <v>3.7597080508902953E-2</v>
      </c>
      <c r="AB152" s="27">
        <f t="shared" si="67"/>
        <v>3.5390612098046802E-2</v>
      </c>
      <c r="AC152" s="27">
        <f t="shared" si="67"/>
        <v>3.840080834216749E-2</v>
      </c>
      <c r="AD152" s="27">
        <f t="shared" si="67"/>
        <v>1.2730365946593616E-2</v>
      </c>
      <c r="AE152" s="27">
        <f t="shared" si="67"/>
        <v>-0.17992009301848216</v>
      </c>
    </row>
    <row r="153" spans="1:31" hidden="1">
      <c r="A153" s="506" t="s">
        <v>1296</v>
      </c>
      <c r="H153" s="13">
        <f>H115/(H115+H113)</f>
        <v>0.9604919457446256</v>
      </c>
      <c r="I153" s="13">
        <f t="shared" ref="I153:Z153" si="68">I115/(I115+I113)</f>
        <v>1.2660030414333401</v>
      </c>
      <c r="J153" s="13">
        <f t="shared" si="68"/>
        <v>1.4807913301661366</v>
      </c>
      <c r="K153" s="13">
        <f t="shared" si="68"/>
        <v>1.1817710367550867</v>
      </c>
      <c r="L153" s="13">
        <f t="shared" si="68"/>
        <v>-0.27672262753128152</v>
      </c>
      <c r="M153" s="13">
        <f t="shared" si="68"/>
        <v>-0.23188631656283967</v>
      </c>
      <c r="N153" s="13">
        <f t="shared" si="68"/>
        <v>0</v>
      </c>
      <c r="O153" s="13">
        <f t="shared" si="68"/>
        <v>0</v>
      </c>
      <c r="P153" s="13">
        <f t="shared" si="68"/>
        <v>0</v>
      </c>
      <c r="Q153" s="13">
        <f t="shared" si="68"/>
        <v>0</v>
      </c>
      <c r="R153" s="13">
        <f t="shared" si="68"/>
        <v>0</v>
      </c>
      <c r="S153" s="13">
        <f t="shared" si="68"/>
        <v>0</v>
      </c>
      <c r="T153" s="13">
        <f t="shared" si="68"/>
        <v>0</v>
      </c>
      <c r="U153" s="13">
        <f t="shared" si="68"/>
        <v>0</v>
      </c>
      <c r="V153" s="13">
        <f t="shared" si="68"/>
        <v>0</v>
      </c>
      <c r="W153" s="13">
        <f t="shared" si="68"/>
        <v>0</v>
      </c>
      <c r="X153" s="13">
        <f t="shared" si="68"/>
        <v>0</v>
      </c>
      <c r="Y153" s="13">
        <f t="shared" si="68"/>
        <v>0</v>
      </c>
      <c r="Z153" s="13">
        <f t="shared" si="68"/>
        <v>0</v>
      </c>
      <c r="AA153" s="13"/>
      <c r="AB153" s="13"/>
      <c r="AC153" s="13"/>
      <c r="AD153" s="13"/>
      <c r="AE153" s="13"/>
    </row>
    <row r="154" spans="1:31" hidden="1">
      <c r="A154" s="3" t="s">
        <v>1221</v>
      </c>
      <c r="B154" s="3"/>
      <c r="C154" s="13">
        <f>SUM(C122:C126,C115:C120)/C113</f>
        <v>5.6681863852754315</v>
      </c>
      <c r="D154" s="13">
        <f>SUM(D122:D126,D115:D120)/D113</f>
        <v>5.4567569732103003</v>
      </c>
      <c r="E154" s="13">
        <f>SUM(E122:E126,E115:E120)/E113</f>
        <v>8.7645711846905918</v>
      </c>
      <c r="F154" s="13"/>
      <c r="G154" s="13"/>
      <c r="H154" s="13">
        <f t="shared" ref="H154:AE154" si="69">SUM(H122:H126,H115:H120)/H113</f>
        <v>40.051480197147882</v>
      </c>
      <c r="I154" s="13">
        <f t="shared" si="69"/>
        <v>-11.885271074261404</v>
      </c>
      <c r="J154" s="13">
        <f t="shared" si="69"/>
        <v>-9.2340601535779303</v>
      </c>
      <c r="K154" s="13">
        <f t="shared" si="69"/>
        <v>-20.169819739280747</v>
      </c>
      <c r="L154" s="13">
        <f t="shared" si="69"/>
        <v>-16.356587057944328</v>
      </c>
      <c r="M154" s="13">
        <f t="shared" si="69"/>
        <v>-14.519171250666123</v>
      </c>
      <c r="N154" s="13">
        <f t="shared" si="69"/>
        <v>-6.4688297995655573</v>
      </c>
      <c r="O154" s="13">
        <f t="shared" si="69"/>
        <v>-6.4855645119776497</v>
      </c>
      <c r="P154" s="13">
        <f t="shared" si="69"/>
        <v>-6.5144860919035592</v>
      </c>
      <c r="Q154" s="13">
        <f t="shared" si="69"/>
        <v>-6.8022292885887667</v>
      </c>
      <c r="R154" s="13">
        <f t="shared" si="69"/>
        <v>-6.8454748340438512</v>
      </c>
      <c r="S154" s="13">
        <f t="shared" si="69"/>
        <v>-7.1166570983464164</v>
      </c>
      <c r="T154" s="13">
        <f t="shared" si="69"/>
        <v>-7.2346394474344233</v>
      </c>
      <c r="U154" s="13">
        <f t="shared" si="69"/>
        <v>-7.520758051151101</v>
      </c>
      <c r="V154" s="13">
        <f t="shared" si="69"/>
        <v>-7.5714972359364712</v>
      </c>
      <c r="W154" s="13">
        <f t="shared" si="69"/>
        <v>-7.8868911178208343</v>
      </c>
      <c r="X154" s="13">
        <f t="shared" si="69"/>
        <v>-8.0306951522097982</v>
      </c>
      <c r="Y154" s="13">
        <f t="shared" si="69"/>
        <v>-8.3069213616615887</v>
      </c>
      <c r="Z154" s="13">
        <f t="shared" si="69"/>
        <v>-8.4673769119538651</v>
      </c>
      <c r="AA154" s="13">
        <f t="shared" si="69"/>
        <v>-8.562557629549719</v>
      </c>
      <c r="AB154" s="13">
        <f t="shared" si="69"/>
        <v>-7.8781307319137612</v>
      </c>
      <c r="AC154" s="13">
        <f t="shared" si="69"/>
        <v>-7.7632948088288316</v>
      </c>
      <c r="AD154" s="13">
        <f t="shared" si="69"/>
        <v>-6.9847600062437749</v>
      </c>
      <c r="AE154" s="13">
        <f t="shared" si="69"/>
        <v>-4.0224133576382339</v>
      </c>
    </row>
    <row r="155" spans="1:31" hidden="1">
      <c r="A155" s="3" t="s">
        <v>1222</v>
      </c>
      <c r="B155" s="3"/>
      <c r="C155" s="13">
        <f>C115/C113</f>
        <v>4.5964280329413372</v>
      </c>
      <c r="D155" s="13">
        <f>D115/D113</f>
        <v>4.4319235383369584</v>
      </c>
      <c r="E155" s="13">
        <f>E115/E113</f>
        <v>6.1105198537922716</v>
      </c>
      <c r="F155" s="13"/>
      <c r="G155" s="13"/>
      <c r="H155" s="13">
        <f t="shared" ref="H155:AE155" si="70">H115/H113</f>
        <v>24.311294591632986</v>
      </c>
      <c r="I155" s="13">
        <f t="shared" si="70"/>
        <v>-4.7593555119203357</v>
      </c>
      <c r="J155" s="13">
        <f t="shared" si="70"/>
        <v>-3.0799043935639427</v>
      </c>
      <c r="K155" s="13">
        <f t="shared" si="70"/>
        <v>-6.5014265080490974</v>
      </c>
      <c r="L155" s="13">
        <f t="shared" si="70"/>
        <v>-0.21674451565596725</v>
      </c>
      <c r="M155" s="13">
        <f t="shared" si="70"/>
        <v>-0.18823678244096392</v>
      </c>
      <c r="N155" s="13">
        <f t="shared" si="70"/>
        <v>0</v>
      </c>
      <c r="O155" s="13">
        <f t="shared" si="70"/>
        <v>0</v>
      </c>
      <c r="P155" s="13">
        <f t="shared" si="70"/>
        <v>0</v>
      </c>
      <c r="Q155" s="13">
        <f t="shared" si="70"/>
        <v>0</v>
      </c>
      <c r="R155" s="13">
        <f t="shared" si="70"/>
        <v>0</v>
      </c>
      <c r="S155" s="13">
        <f t="shared" si="70"/>
        <v>0</v>
      </c>
      <c r="T155" s="13">
        <f t="shared" si="70"/>
        <v>0</v>
      </c>
      <c r="U155" s="13">
        <f t="shared" si="70"/>
        <v>0</v>
      </c>
      <c r="V155" s="13">
        <f t="shared" si="70"/>
        <v>0</v>
      </c>
      <c r="W155" s="13">
        <f t="shared" si="70"/>
        <v>0</v>
      </c>
      <c r="X155" s="13">
        <f t="shared" si="70"/>
        <v>0</v>
      </c>
      <c r="Y155" s="13">
        <f t="shared" si="70"/>
        <v>0</v>
      </c>
      <c r="Z155" s="13">
        <f t="shared" si="70"/>
        <v>0</v>
      </c>
      <c r="AA155" s="13">
        <f t="shared" si="70"/>
        <v>0</v>
      </c>
      <c r="AB155" s="13">
        <f t="shared" si="70"/>
        <v>0</v>
      </c>
      <c r="AC155" s="13">
        <f t="shared" si="70"/>
        <v>0</v>
      </c>
      <c r="AD155" s="13">
        <f t="shared" si="70"/>
        <v>0</v>
      </c>
      <c r="AE155" s="13">
        <f t="shared" si="70"/>
        <v>0</v>
      </c>
    </row>
    <row r="156" spans="1:31" hidden="1">
      <c r="A156" s="3" t="s">
        <v>1223</v>
      </c>
      <c r="B156" s="3"/>
      <c r="C156" s="13">
        <f>SUM(C137:C146)/SUM(C122:C126)</f>
        <v>0.35251183816223708</v>
      </c>
      <c r="D156" s="13">
        <f>SUM(D137:D146)/SUM(D122:D126)</f>
        <v>0.65452418922651645</v>
      </c>
      <c r="E156" s="13">
        <f>SUM(E137:E146)/SUM(E122:E126)</f>
        <v>0.37279057264300614</v>
      </c>
      <c r="F156" s="13"/>
      <c r="G156" s="13"/>
      <c r="H156" s="13">
        <f t="shared" ref="H156:AE156" si="71">SUM(H137:H146)/SUM(H122:H126)</f>
        <v>0.34613754050207435</v>
      </c>
      <c r="I156" s="13">
        <f t="shared" si="71"/>
        <v>0.21588250045554347</v>
      </c>
      <c r="J156" s="13">
        <f t="shared" si="71"/>
        <v>0.2361145448940411</v>
      </c>
      <c r="K156" s="13">
        <f t="shared" si="71"/>
        <v>0.20819206689269296</v>
      </c>
      <c r="L156" s="13">
        <f t="shared" si="71"/>
        <v>0.10398331526160583</v>
      </c>
      <c r="M156" s="13">
        <f t="shared" si="71"/>
        <v>0.13703462638341893</v>
      </c>
      <c r="N156" s="13">
        <f t="shared" si="71"/>
        <v>0.6256192595253115</v>
      </c>
      <c r="O156" s="13">
        <f t="shared" si="71"/>
        <v>0.626710559205921</v>
      </c>
      <c r="P156" s="13" t="e">
        <f t="shared" ca="1" si="71"/>
        <v>#DIV/0!</v>
      </c>
      <c r="Q156" s="13" t="e">
        <f t="shared" ca="1" si="71"/>
        <v>#DIV/0!</v>
      </c>
      <c r="R156" s="13" t="e">
        <f t="shared" ca="1" si="71"/>
        <v>#DIV/0!</v>
      </c>
      <c r="S156" s="13" t="e">
        <f t="shared" ca="1" si="71"/>
        <v>#DIV/0!</v>
      </c>
      <c r="T156" s="13" t="e">
        <f t="shared" ca="1" si="71"/>
        <v>#DIV/0!</v>
      </c>
      <c r="U156" s="13" t="e">
        <f t="shared" ca="1" si="71"/>
        <v>#DIV/0!</v>
      </c>
      <c r="V156" s="13" t="e">
        <f t="shared" ca="1" si="71"/>
        <v>#DIV/0!</v>
      </c>
      <c r="W156" s="13" t="e">
        <f t="shared" ca="1" si="71"/>
        <v>#DIV/0!</v>
      </c>
      <c r="X156" s="13" t="e">
        <f t="shared" ca="1" si="71"/>
        <v>#DIV/0!</v>
      </c>
      <c r="Y156" s="13" t="e">
        <f t="shared" ca="1" si="71"/>
        <v>#DIV/0!</v>
      </c>
      <c r="Z156" s="13" t="e">
        <f t="shared" ca="1" si="71"/>
        <v>#DIV/0!</v>
      </c>
      <c r="AA156" s="13" t="e">
        <f t="shared" ca="1" si="71"/>
        <v>#DIV/0!</v>
      </c>
      <c r="AB156" s="13" t="e">
        <f t="shared" ca="1" si="71"/>
        <v>#DIV/0!</v>
      </c>
      <c r="AC156" s="13" t="e">
        <f t="shared" ca="1" si="71"/>
        <v>#DIV/0!</v>
      </c>
      <c r="AD156" s="13" t="e">
        <f t="shared" ca="1" si="71"/>
        <v>#DIV/0!</v>
      </c>
      <c r="AE156" s="13" t="e">
        <f t="shared" ca="1" si="71"/>
        <v>#DIV/0!</v>
      </c>
    </row>
    <row r="157" spans="1:31" hidden="1">
      <c r="A157" s="3" t="s">
        <v>1224</v>
      </c>
      <c r="B157" s="3"/>
      <c r="C157" s="13">
        <f>(C147-(SUM(C122:C126)-C122))/(C122+C115)</f>
        <v>1.2664372830115416</v>
      </c>
      <c r="D157" s="13">
        <f>(D147-(SUM(D122:D126)-D122))/(D122+D115)</f>
        <v>1.273823687885296</v>
      </c>
      <c r="E157" s="13">
        <f>(E147-(SUM(E122:E126)-E122))/(E122+E115)</f>
        <v>1.1418347612286244</v>
      </c>
      <c r="F157" s="13"/>
      <c r="G157" s="13"/>
      <c r="H157" s="13">
        <f t="shared" ref="H157:AE157" si="72">(H147-(SUM(H122:H126)-H122))/(H122+H115)</f>
        <v>1.0533365838671112</v>
      </c>
      <c r="I157" s="13">
        <f t="shared" si="72"/>
        <v>0.85567592500786716</v>
      </c>
      <c r="J157" s="13">
        <f t="shared" si="72"/>
        <v>0.77238017252870705</v>
      </c>
      <c r="K157" s="13">
        <f t="shared" si="72"/>
        <v>0.95248697078362343</v>
      </c>
      <c r="L157" s="13">
        <f t="shared" si="72"/>
        <v>0.95249515969880116</v>
      </c>
      <c r="M157" s="13">
        <f t="shared" si="72"/>
        <v>0.92142230390867841</v>
      </c>
      <c r="N157" s="13">
        <f t="shared" si="72"/>
        <v>5.0323374189452785</v>
      </c>
      <c r="O157" s="13">
        <f t="shared" si="72"/>
        <v>4.644012279569119</v>
      </c>
      <c r="P157" s="13" t="e">
        <f t="shared" ca="1" si="72"/>
        <v>#DIV/0!</v>
      </c>
      <c r="Q157" s="13" t="e">
        <f t="shared" ca="1" si="72"/>
        <v>#DIV/0!</v>
      </c>
      <c r="R157" s="13" t="e">
        <f t="shared" ca="1" si="72"/>
        <v>#DIV/0!</v>
      </c>
      <c r="S157" s="13" t="e">
        <f t="shared" ca="1" si="72"/>
        <v>#DIV/0!</v>
      </c>
      <c r="T157" s="13" t="e">
        <f t="shared" ca="1" si="72"/>
        <v>#DIV/0!</v>
      </c>
      <c r="U157" s="13" t="e">
        <f t="shared" ca="1" si="72"/>
        <v>#DIV/0!</v>
      </c>
      <c r="V157" s="13" t="e">
        <f t="shared" ca="1" si="72"/>
        <v>#DIV/0!</v>
      </c>
      <c r="W157" s="13" t="e">
        <f t="shared" ca="1" si="72"/>
        <v>#DIV/0!</v>
      </c>
      <c r="X157" s="13" t="e">
        <f t="shared" ca="1" si="72"/>
        <v>#DIV/0!</v>
      </c>
      <c r="Y157" s="13" t="e">
        <f t="shared" ca="1" si="72"/>
        <v>#DIV/0!</v>
      </c>
      <c r="Z157" s="13" t="e">
        <f t="shared" ca="1" si="72"/>
        <v>#DIV/0!</v>
      </c>
      <c r="AA157" s="13" t="e">
        <f t="shared" ca="1" si="72"/>
        <v>#DIV/0!</v>
      </c>
      <c r="AB157" s="13" t="e">
        <f t="shared" ca="1" si="72"/>
        <v>#DIV/0!</v>
      </c>
      <c r="AC157" s="13" t="e">
        <f t="shared" ca="1" si="72"/>
        <v>#DIV/0!</v>
      </c>
      <c r="AD157" s="13" t="e">
        <f t="shared" ca="1" si="72"/>
        <v>#DIV/0!</v>
      </c>
      <c r="AE157" s="13" t="e">
        <f t="shared" ca="1" si="72"/>
        <v>#DIV/0!</v>
      </c>
    </row>
    <row r="158" spans="1:31" hidden="1">
      <c r="A158" s="3" t="s">
        <v>1225</v>
      </c>
      <c r="B158" s="3"/>
      <c r="C158" s="11">
        <v>353</v>
      </c>
      <c r="D158" s="11">
        <v>353</v>
      </c>
      <c r="E158" s="11">
        <v>353</v>
      </c>
      <c r="F158" s="11"/>
      <c r="G158" s="11"/>
      <c r="H158" s="11">
        <v>353</v>
      </c>
      <c r="I158" s="11">
        <v>353</v>
      </c>
      <c r="J158" s="11">
        <v>353</v>
      </c>
      <c r="K158" s="11">
        <v>353</v>
      </c>
      <c r="L158" s="11">
        <v>353</v>
      </c>
      <c r="M158" s="11">
        <v>353</v>
      </c>
      <c r="N158" s="11">
        <v>353</v>
      </c>
      <c r="O158" s="11">
        <v>353</v>
      </c>
      <c r="P158" s="11">
        <v>353</v>
      </c>
      <c r="Q158" s="11">
        <v>353</v>
      </c>
      <c r="R158" s="11">
        <v>353</v>
      </c>
      <c r="S158" s="11">
        <v>353</v>
      </c>
      <c r="T158" s="11">
        <v>353</v>
      </c>
      <c r="U158" s="11">
        <v>353</v>
      </c>
      <c r="V158" s="11">
        <v>353</v>
      </c>
      <c r="W158" s="11">
        <v>353</v>
      </c>
      <c r="X158" s="11">
        <v>353</v>
      </c>
      <c r="Y158" s="11">
        <v>353</v>
      </c>
      <c r="Z158" s="11">
        <v>353</v>
      </c>
      <c r="AA158" s="11">
        <v>353</v>
      </c>
      <c r="AB158" s="11">
        <v>353</v>
      </c>
      <c r="AC158" s="11">
        <v>353</v>
      </c>
      <c r="AD158" s="11">
        <v>353</v>
      </c>
      <c r="AE158" s="11">
        <v>353</v>
      </c>
    </row>
    <row r="159" spans="1:31" hidden="1">
      <c r="A159" s="3" t="s">
        <v>1226</v>
      </c>
      <c r="B159" s="3"/>
      <c r="C159" s="13">
        <f>C158/SUM(C122,C115:C115)</f>
        <v>6.6233657197902598E-2</v>
      </c>
      <c r="D159" s="13">
        <f>D158/SUM(D122,D115:D115)</f>
        <v>5.7872924206318781E-2</v>
      </c>
      <c r="E159" s="13">
        <f>E158/SUM(E122,E115:E115)</f>
        <v>5.7514080902974822E-2</v>
      </c>
      <c r="F159" s="13"/>
      <c r="G159" s="13"/>
      <c r="H159" s="13">
        <f t="shared" ref="H159:AE159" si="73">H158/SUM(H122,H115:H115)</f>
        <v>5.8943754633680429E-2</v>
      </c>
      <c r="I159" s="13">
        <f t="shared" si="73"/>
        <v>7.6087097094033301E-2</v>
      </c>
      <c r="J159" s="13">
        <f t="shared" si="73"/>
        <v>8.4026812408356022E-2</v>
      </c>
      <c r="K159" s="13">
        <f t="shared" si="73"/>
        <v>6.348258634890605E-2</v>
      </c>
      <c r="L159" s="13">
        <f t="shared" si="73"/>
        <v>4.8852789798762487E-2</v>
      </c>
      <c r="M159" s="13">
        <f t="shared" si="73"/>
        <v>4.8855020995203072E-2</v>
      </c>
      <c r="N159" s="13">
        <f t="shared" si="73"/>
        <v>0.27970665422187357</v>
      </c>
      <c r="O159" s="13">
        <f t="shared" si="73"/>
        <v>0.26818845751233622</v>
      </c>
      <c r="P159" s="13">
        <f t="shared" si="73"/>
        <v>0.26821385138726034</v>
      </c>
      <c r="Q159" s="13">
        <f t="shared" si="73"/>
        <v>0.25071974351796461</v>
      </c>
      <c r="R159" s="13">
        <f t="shared" si="73"/>
        <v>0.24918999161614488</v>
      </c>
      <c r="S159" s="13">
        <f t="shared" si="73"/>
        <v>0.2353246079225462</v>
      </c>
      <c r="T159" s="13">
        <f t="shared" si="73"/>
        <v>0.22826298632184</v>
      </c>
      <c r="U159" s="13">
        <f t="shared" si="73"/>
        <v>0.22009572597115334</v>
      </c>
      <c r="V159" s="13">
        <f t="shared" si="73"/>
        <v>0.21879841274977047</v>
      </c>
      <c r="W159" s="13">
        <f t="shared" si="73"/>
        <v>0.20606309322005756</v>
      </c>
      <c r="X159" s="13">
        <f t="shared" si="73"/>
        <v>0.20106657359637864</v>
      </c>
      <c r="Y159" s="13">
        <f t="shared" si="73"/>
        <v>0.19442215133680177</v>
      </c>
      <c r="Z159" s="13">
        <f t="shared" si="73"/>
        <v>0.18815295464767637</v>
      </c>
      <c r="AA159" s="13">
        <f t="shared" si="73"/>
        <v>0.18522972573112895</v>
      </c>
      <c r="AB159" s="13">
        <f t="shared" si="73"/>
        <v>0.18275979791723765</v>
      </c>
      <c r="AC159" s="13">
        <f t="shared" si="73"/>
        <v>0.17383883266814035</v>
      </c>
      <c r="AD159" s="13">
        <f t="shared" si="73"/>
        <v>0.19506640965708191</v>
      </c>
      <c r="AE159" s="13">
        <f t="shared" si="73"/>
        <v>0.36815987365523911</v>
      </c>
    </row>
    <row r="160" spans="1:31" hidden="1">
      <c r="A160" s="3" t="s">
        <v>1227</v>
      </c>
      <c r="B160" s="3"/>
      <c r="C160" s="45">
        <f>IF((C115)&gt;0,(C131+C133)/(C115),"NA")</f>
        <v>1.394340025415403</v>
      </c>
      <c r="D160" s="45">
        <f>IF((D115)&gt;0,(D131+D133)/(D115),"NA")</f>
        <v>1.340537986849313</v>
      </c>
      <c r="E160" s="45">
        <f>IF((E115)&gt;0,(E131+E133)/(E115),"NA")</f>
        <v>1.4046982958818306</v>
      </c>
      <c r="F160" s="45"/>
      <c r="G160" s="45"/>
      <c r="H160" s="45">
        <f t="shared" ref="H160:Z160" si="74">IF((H115)&gt;0,(H131+H133)/(H115),"NA")</f>
        <v>1.4847301470357712</v>
      </c>
      <c r="I160" s="45">
        <f t="shared" si="74"/>
        <v>1.9921567991962339</v>
      </c>
      <c r="J160" s="45">
        <f t="shared" si="74"/>
        <v>2.1879085565149516</v>
      </c>
      <c r="K160" s="45">
        <f t="shared" si="74"/>
        <v>2.4693029495361372</v>
      </c>
      <c r="L160" s="45">
        <f t="shared" si="74"/>
        <v>63.228680724015675</v>
      </c>
      <c r="M160" s="45">
        <f t="shared" si="74"/>
        <v>61.379455122224286</v>
      </c>
      <c r="N160" s="45" t="str">
        <f t="shared" si="74"/>
        <v>NA</v>
      </c>
      <c r="O160" s="45" t="str">
        <f t="shared" si="74"/>
        <v>NA</v>
      </c>
      <c r="P160" s="45" t="str">
        <f t="shared" si="74"/>
        <v>NA</v>
      </c>
      <c r="Q160" s="45" t="str">
        <f t="shared" si="74"/>
        <v>NA</v>
      </c>
      <c r="R160" s="45" t="str">
        <f t="shared" si="74"/>
        <v>NA</v>
      </c>
      <c r="S160" s="45" t="str">
        <f t="shared" si="74"/>
        <v>NA</v>
      </c>
      <c r="T160" s="45" t="str">
        <f t="shared" si="74"/>
        <v>NA</v>
      </c>
      <c r="U160" s="45" t="str">
        <f t="shared" si="74"/>
        <v>NA</v>
      </c>
      <c r="V160" s="45" t="str">
        <f t="shared" si="74"/>
        <v>NA</v>
      </c>
      <c r="W160" s="45" t="str">
        <f t="shared" si="74"/>
        <v>NA</v>
      </c>
      <c r="X160" s="45" t="str">
        <f t="shared" si="74"/>
        <v>NA</v>
      </c>
      <c r="Y160" s="45" t="str">
        <f t="shared" si="74"/>
        <v>NA</v>
      </c>
      <c r="Z160" s="45" t="str">
        <f t="shared" si="74"/>
        <v>NA</v>
      </c>
      <c r="AA160" s="45"/>
      <c r="AB160" s="45"/>
      <c r="AC160" s="45"/>
      <c r="AD160" s="45"/>
      <c r="AE160" s="45"/>
    </row>
    <row r="161" spans="1:32" hidden="1">
      <c r="A161" s="3"/>
      <c r="B161" s="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</row>
    <row r="162" spans="1:32" hidden="1">
      <c r="A162" s="46" t="s">
        <v>1228</v>
      </c>
      <c r="B162" s="8"/>
    </row>
    <row r="163" spans="1:32" hidden="1">
      <c r="A163" s="47" t="s">
        <v>1229</v>
      </c>
      <c r="B163" s="47"/>
      <c r="E163" s="9"/>
      <c r="F163" s="9"/>
      <c r="G163" s="9">
        <f>Assum!$B$8</f>
        <v>1200</v>
      </c>
      <c r="H163" s="9">
        <f>Assum!$B$8</f>
        <v>1200</v>
      </c>
      <c r="I163" s="9">
        <f>Assum!$B$8</f>
        <v>1200</v>
      </c>
      <c r="J163" s="9">
        <f>Assum!$B$8</f>
        <v>1200</v>
      </c>
      <c r="K163" s="9">
        <f>Assum!$B$8</f>
        <v>1200</v>
      </c>
      <c r="L163" s="9">
        <f>Assum!$B$8</f>
        <v>1200</v>
      </c>
      <c r="M163" s="9">
        <f>Assum!$B$8</f>
        <v>1200</v>
      </c>
      <c r="N163" s="9">
        <f>Assum!$B$8</f>
        <v>1200</v>
      </c>
      <c r="O163" s="9">
        <f>Assum!$B$8</f>
        <v>1200</v>
      </c>
      <c r="P163" s="9">
        <f>Assum!$B$8</f>
        <v>1200</v>
      </c>
      <c r="Q163" s="9">
        <f>Assum!$B$8</f>
        <v>1200</v>
      </c>
      <c r="R163" s="9">
        <f>Assum!$B$8</f>
        <v>1200</v>
      </c>
      <c r="S163" s="9">
        <f>Assum!$B$8</f>
        <v>1200</v>
      </c>
      <c r="T163" s="9">
        <f>Assum!$B$8</f>
        <v>1200</v>
      </c>
      <c r="U163" s="9">
        <f>Assum!$B$8</f>
        <v>1200</v>
      </c>
      <c r="V163" s="9">
        <f>Assum!$B$8</f>
        <v>1200</v>
      </c>
      <c r="W163" s="9">
        <f>Assum!$B$8</f>
        <v>1200</v>
      </c>
      <c r="X163" s="9">
        <f>Assum!$B$8</f>
        <v>1200</v>
      </c>
      <c r="Y163" s="9">
        <f>Assum!$B$8</f>
        <v>1200</v>
      </c>
      <c r="Z163" s="9">
        <f>Assum!$B$8</f>
        <v>1200</v>
      </c>
      <c r="AA163" s="9">
        <f>Assum!$B$8</f>
        <v>1200</v>
      </c>
      <c r="AB163" s="9">
        <f>Assum!$B$8</f>
        <v>1200</v>
      </c>
      <c r="AC163" s="9">
        <f>Assum!$B$8</f>
        <v>1200</v>
      </c>
      <c r="AD163" s="9">
        <f>Assum!$B$8</f>
        <v>1200</v>
      </c>
      <c r="AE163" s="9">
        <f>Assum!$B$8</f>
        <v>1200</v>
      </c>
    </row>
    <row r="164" spans="1:32" hidden="1">
      <c r="A164" s="47" t="s">
        <v>1230</v>
      </c>
      <c r="B164" s="48" t="s">
        <v>1231</v>
      </c>
      <c r="G164" s="27">
        <f>(Assum!$D$11+Assum!$D$12)/2</f>
        <v>0.47499999999999998</v>
      </c>
      <c r="H164" s="27">
        <f>(Assum!$D$11+Assum!$D$12)/2</f>
        <v>0.47499999999999998</v>
      </c>
      <c r="I164" s="27">
        <f>(Assum!$D$11+Assum!$D$12)/2</f>
        <v>0.47499999999999998</v>
      </c>
      <c r="J164" s="27">
        <f>(Assum!$D$11+Assum!$D$12)/2</f>
        <v>0.47499999999999998</v>
      </c>
      <c r="K164" s="27">
        <f>(Assum!$D$11+Assum!$D$12)/2</f>
        <v>0.47499999999999998</v>
      </c>
      <c r="L164" s="27">
        <f>(Assum!$D$11+Assum!$D$12)/2</f>
        <v>0.47499999999999998</v>
      </c>
      <c r="M164" s="27">
        <f>(Assum!$D$11+Assum!$D$12)/2</f>
        <v>0.47499999999999998</v>
      </c>
      <c r="N164" s="27">
        <f>(Assum!$D$11+Assum!$D$12)/2</f>
        <v>0.47499999999999998</v>
      </c>
      <c r="O164" s="27">
        <f>(Assum!$D$11+Assum!$D$12)/2</f>
        <v>0.47499999999999998</v>
      </c>
      <c r="P164" s="27">
        <f>(Assum!$D$11+Assum!$D$12)/2</f>
        <v>0.47499999999999998</v>
      </c>
      <c r="Q164" s="27">
        <f>(Assum!$D$11+Assum!$D$12)/2</f>
        <v>0.47499999999999998</v>
      </c>
      <c r="R164" s="27">
        <f>(Assum!$D$11+Assum!$D$12)/2</f>
        <v>0.47499999999999998</v>
      </c>
      <c r="S164" s="27">
        <f>(Assum!$D$11+Assum!$D$12)/2</f>
        <v>0.47499999999999998</v>
      </c>
      <c r="T164" s="27">
        <f>(Assum!$D$11+Assum!$D$12)/2</f>
        <v>0.47499999999999998</v>
      </c>
      <c r="U164" s="27">
        <f>(Assum!$D$11+Assum!$D$12)/2</f>
        <v>0.47499999999999998</v>
      </c>
      <c r="V164" s="27">
        <f>(Assum!$D$11+Assum!$D$12)/2</f>
        <v>0.47499999999999998</v>
      </c>
      <c r="W164" s="27">
        <f>(Assum!$D$11+Assum!$D$12)/2</f>
        <v>0.47499999999999998</v>
      </c>
      <c r="X164" s="27">
        <f>(Assum!$D$11+Assum!$D$12)/2</f>
        <v>0.47499999999999998</v>
      </c>
      <c r="Y164" s="27">
        <f>(Assum!$D$11+Assum!$D$12)/2</f>
        <v>0.47499999999999998</v>
      </c>
      <c r="Z164" s="27">
        <f>(Assum!$D$11+Assum!$D$12)/2</f>
        <v>0.47499999999999998</v>
      </c>
      <c r="AA164" s="27">
        <f>(Assum!$D$11+Assum!$D$12)/2</f>
        <v>0.47499999999999998</v>
      </c>
      <c r="AB164" s="27">
        <f>(Assum!$D$11+Assum!$D$12)/2</f>
        <v>0.47499999999999998</v>
      </c>
      <c r="AC164" s="27">
        <f>(Assum!$D$11+Assum!$D$12)/2</f>
        <v>0.47499999999999998</v>
      </c>
      <c r="AD164" s="27">
        <f>(Assum!$D$11+Assum!$D$12)/2</f>
        <v>0.47499999999999998</v>
      </c>
      <c r="AE164" s="27">
        <f>(Assum!$D$11+Assum!$D$12)/2</f>
        <v>0.47499999999999998</v>
      </c>
    </row>
    <row r="165" spans="1:32" hidden="1">
      <c r="A165" s="47" t="s">
        <v>1232</v>
      </c>
      <c r="B165" s="47"/>
      <c r="G165" s="9">
        <f>Gen!F6+Gen!F32</f>
        <v>4993.2</v>
      </c>
      <c r="H165" s="9">
        <f>Gen!F6+Gen!F32+Gen!D6+Gen!D32</f>
        <v>6696.7199999999993</v>
      </c>
      <c r="I165" s="9">
        <f>Gen!G6+Gen!G32</f>
        <v>8959.68</v>
      </c>
      <c r="J165" s="9">
        <f>Gen!H6+Gen!H32</f>
        <v>8935.2000000000007</v>
      </c>
      <c r="K165" s="9">
        <f>Gen!I6+Gen!I32</f>
        <v>8935.2000000000007</v>
      </c>
      <c r="L165" s="9">
        <f>Gen!J6+Gen!J32</f>
        <v>8935.2000000000007</v>
      </c>
      <c r="M165" s="9">
        <f>Gen!K6+Gen!K32</f>
        <v>5797.44</v>
      </c>
      <c r="N165" s="9">
        <f>Gen!L6+Gen!L32</f>
        <v>5781.6</v>
      </c>
      <c r="O165" s="9">
        <f>Gen!M6+Gen!M32</f>
        <v>5781.6</v>
      </c>
      <c r="P165" s="9">
        <f>Gen!N6+Gen!N32</f>
        <v>6044.4</v>
      </c>
      <c r="Q165" s="9">
        <f>Gen!O6+Gen!O32</f>
        <v>6060.96</v>
      </c>
      <c r="R165" s="9">
        <f>Gen!P6+Gen!P32</f>
        <v>6307.2000000000007</v>
      </c>
      <c r="S165" s="9">
        <f>Gen!Q6+Gen!Q32</f>
        <v>6307.2000000000007</v>
      </c>
      <c r="T165" s="9">
        <f>Gen!R6+Gen!R32</f>
        <v>6570</v>
      </c>
      <c r="U165" s="9">
        <f>Gen!S6+Gen!S32</f>
        <v>6588</v>
      </c>
      <c r="V165" s="9">
        <f>Gen!T6+Gen!T32</f>
        <v>6832.8000000000011</v>
      </c>
      <c r="W165" s="9">
        <f>Gen!U6+Gen!U32</f>
        <v>6832.8000000000011</v>
      </c>
      <c r="X165" s="9">
        <f>Gen!V6+Gen!V32</f>
        <v>7095.6</v>
      </c>
      <c r="Y165" s="9">
        <f>Gen!W6+Gen!W32</f>
        <v>7115.0400000000009</v>
      </c>
      <c r="Z165" s="9">
        <f>Gen!X6+Gen!X32</f>
        <v>7253.2800000000007</v>
      </c>
      <c r="AA165" s="9">
        <f>Gen!Y6+Gen!Y32</f>
        <v>7358.4</v>
      </c>
      <c r="AB165" s="9">
        <f>Gen!Z6+Gen!Z32</f>
        <v>7358.4</v>
      </c>
      <c r="AC165" s="9">
        <f>Gen!AA6+Gen!AA32</f>
        <v>6370.5600000000013</v>
      </c>
      <c r="AD165" s="9">
        <f>Gen!AB6+Gen!AB32</f>
        <v>2892.9600000000005</v>
      </c>
      <c r="AE165" s="9">
        <f>Gen!AC6+Gen!AC32</f>
        <v>0</v>
      </c>
    </row>
    <row r="166" spans="1:32" hidden="1">
      <c r="A166" s="47" t="s">
        <v>1233</v>
      </c>
      <c r="B166" s="47"/>
      <c r="E166" s="49"/>
      <c r="F166" s="49"/>
      <c r="G166" s="9">
        <f>Gen!F8+Gen!F34</f>
        <v>4656.1589999999997</v>
      </c>
      <c r="H166" s="9">
        <f>Gen!F8+Gen!F34+Gen!D8+Gen!D34</f>
        <v>6244.6913999999997</v>
      </c>
      <c r="I166" s="9">
        <f>Gen!G8+Gen!G34</f>
        <v>8354.9016000000011</v>
      </c>
      <c r="J166" s="9">
        <f>Gen!H8+Gen!H34</f>
        <v>8332.0740000000005</v>
      </c>
      <c r="K166" s="9">
        <f>Gen!I8+Gen!I34</f>
        <v>8332.0740000000005</v>
      </c>
      <c r="L166" s="9">
        <f>Gen!J8+Gen!J34</f>
        <v>8332.0740000000005</v>
      </c>
      <c r="M166" s="9">
        <f>Gen!K8+Gen!K34</f>
        <v>5406.112799999999</v>
      </c>
      <c r="N166" s="9">
        <f>Gen!L8+Gen!L34</f>
        <v>5391.3420000000006</v>
      </c>
      <c r="O166" s="9">
        <f>Gen!M8+Gen!M34</f>
        <v>5391.3420000000006</v>
      </c>
      <c r="P166" s="9">
        <f>Gen!N8+Gen!N34</f>
        <v>5636.4030000000002</v>
      </c>
      <c r="Q166" s="9">
        <f>Gen!O8+Gen!O34</f>
        <v>5651.8451999999997</v>
      </c>
      <c r="R166" s="9">
        <f>Gen!P8+Gen!P34</f>
        <v>5881.4639999999999</v>
      </c>
      <c r="S166" s="9">
        <f>Gen!Q8+Gen!Q34</f>
        <v>5881.4639999999999</v>
      </c>
      <c r="T166" s="9">
        <f>Gen!R8+Gen!R34</f>
        <v>6126.5249999999996</v>
      </c>
      <c r="U166" s="9">
        <f>Gen!S8+Gen!S34</f>
        <v>6143.31</v>
      </c>
      <c r="V166" s="9">
        <f>Gen!T8+Gen!T34</f>
        <v>6371.5860000000011</v>
      </c>
      <c r="W166" s="9">
        <f>Gen!U8+Gen!U34</f>
        <v>6371.5860000000011</v>
      </c>
      <c r="X166" s="9">
        <f>Gen!V8+Gen!V34</f>
        <v>6616.6470000000008</v>
      </c>
      <c r="Y166" s="9">
        <f>Gen!W8+Gen!W34</f>
        <v>6634.7748000000011</v>
      </c>
      <c r="Z166" s="9">
        <f>Gen!X8+Gen!X34</f>
        <v>6763.6836000000012</v>
      </c>
      <c r="AA166" s="9">
        <f>Gen!Y8+Gen!Y34</f>
        <v>6861.7080000000005</v>
      </c>
      <c r="AB166" s="9">
        <f>Gen!Z8+Gen!Z34</f>
        <v>6861.7080000000005</v>
      </c>
      <c r="AC166" s="9">
        <f>Gen!AA8+Gen!AA34</f>
        <v>5940.5472000000009</v>
      </c>
      <c r="AD166" s="9">
        <f>Gen!AB8+Gen!AB34</f>
        <v>2697.6852000000003</v>
      </c>
      <c r="AE166" s="9">
        <f>Gen!AC8+Gen!AC34</f>
        <v>0.78415300546448086</v>
      </c>
    </row>
    <row r="167" spans="1:32" hidden="1">
      <c r="A167" s="47" t="s">
        <v>1234</v>
      </c>
      <c r="B167" s="47"/>
      <c r="E167" s="49"/>
      <c r="G167" s="9" t="e">
        <f t="shared" ref="G167:AE167" si="75">G3</f>
        <v>#REF!</v>
      </c>
      <c r="H167" s="9">
        <f t="shared" si="75"/>
        <v>1815.88</v>
      </c>
      <c r="I167" s="9">
        <f t="shared" si="75"/>
        <v>1523.48</v>
      </c>
      <c r="J167" s="9">
        <f t="shared" si="75"/>
        <v>1550.95</v>
      </c>
      <c r="K167" s="9">
        <f t="shared" si="75"/>
        <v>1897.29</v>
      </c>
      <c r="L167" s="9">
        <f t="shared" si="75"/>
        <v>913.89</v>
      </c>
      <c r="M167" s="9">
        <f t="shared" si="75"/>
        <v>1886.48</v>
      </c>
      <c r="N167" s="9">
        <f t="shared" si="75"/>
        <v>3155.4006019199996</v>
      </c>
      <c r="O167" s="9">
        <f t="shared" si="75"/>
        <v>3146.7792887999999</v>
      </c>
      <c r="P167" s="9">
        <f t="shared" si="75"/>
        <v>3146.7792887999999</v>
      </c>
      <c r="Q167" s="9">
        <f t="shared" si="75"/>
        <v>3379.9469883479996</v>
      </c>
      <c r="R167" s="9">
        <f t="shared" si="75"/>
        <v>3389.2071170831996</v>
      </c>
      <c r="S167" s="9">
        <f t="shared" si="75"/>
        <v>3601.2439330560001</v>
      </c>
      <c r="T167" s="9">
        <f t="shared" si="75"/>
        <v>3700.6124436288001</v>
      </c>
      <c r="U167" s="9">
        <f t="shared" si="75"/>
        <v>3852.2805494922</v>
      </c>
      <c r="V167" s="9">
        <f t="shared" si="75"/>
        <v>3862.8347427784802</v>
      </c>
      <c r="W167" s="9">
        <f t="shared" si="75"/>
        <v>4114.8066499633806</v>
      </c>
      <c r="X167" s="9">
        <f t="shared" si="75"/>
        <v>4204.1460881233816</v>
      </c>
      <c r="Y167" s="9">
        <f t="shared" si="75"/>
        <v>4363.3975992799506</v>
      </c>
      <c r="Z167" s="9">
        <f t="shared" si="75"/>
        <v>4495.5048494691091</v>
      </c>
      <c r="AA167" s="9">
        <f t="shared" si="75"/>
        <v>4574.0024461739486</v>
      </c>
      <c r="AB167" s="9">
        <f t="shared" si="75"/>
        <v>4634.5227107339488</v>
      </c>
      <c r="AC167" s="9">
        <f t="shared" si="75"/>
        <v>4866.248846270646</v>
      </c>
      <c r="AD167" s="9">
        <f t="shared" si="75"/>
        <v>4270.2331656905644</v>
      </c>
      <c r="AE167" s="9">
        <f t="shared" si="75"/>
        <v>2077.5097493129183</v>
      </c>
    </row>
    <row r="168" spans="1:32" hidden="1">
      <c r="A168" s="47" t="s">
        <v>1235</v>
      </c>
      <c r="B168" s="47"/>
      <c r="E168" s="49"/>
      <c r="G168" s="13" t="e">
        <f t="shared" ref="G168:AE168" si="76">G167/G166*Cr/mn</f>
        <v>#REF!</v>
      </c>
      <c r="H168" s="13">
        <f t="shared" si="76"/>
        <v>2.9078778816836333</v>
      </c>
      <c r="I168" s="13">
        <f t="shared" si="76"/>
        <v>1.8234565443595407</v>
      </c>
      <c r="J168" s="13">
        <f t="shared" si="76"/>
        <v>1.8614212979865516</v>
      </c>
      <c r="K168" s="13">
        <f>K167/K166*Cr/mn</f>
        <v>2.277092114160292</v>
      </c>
      <c r="L168" s="13">
        <f t="shared" si="76"/>
        <v>1.0968337535168315</v>
      </c>
      <c r="M168" s="13">
        <f t="shared" si="76"/>
        <v>3.4895313320136427</v>
      </c>
      <c r="N168" s="13">
        <f t="shared" si="76"/>
        <v>5.8527183063511821</v>
      </c>
      <c r="O168" s="13">
        <f t="shared" si="76"/>
        <v>5.8367272727272725</v>
      </c>
      <c r="P168" s="13">
        <f t="shared" si="76"/>
        <v>5.5829565217391295</v>
      </c>
      <c r="Q168" s="13">
        <f t="shared" si="76"/>
        <v>5.9802540033262055</v>
      </c>
      <c r="R168" s="13">
        <f t="shared" si="76"/>
        <v>5.7625229315068482</v>
      </c>
      <c r="S168" s="13">
        <f t="shared" si="76"/>
        <v>6.1230400000000014</v>
      </c>
      <c r="T168" s="13">
        <f t="shared" si="76"/>
        <v>6.0403123200000008</v>
      </c>
      <c r="U168" s="13">
        <f t="shared" si="76"/>
        <v>6.2706921016393435</v>
      </c>
      <c r="V168" s="13">
        <f t="shared" si="76"/>
        <v>6.0625953142254998</v>
      </c>
      <c r="W168" s="13">
        <f t="shared" si="76"/>
        <v>6.4580571461538456</v>
      </c>
      <c r="X168" s="13">
        <f t="shared" si="76"/>
        <v>6.3538920666666678</v>
      </c>
      <c r="Y168" s="13">
        <f t="shared" si="76"/>
        <v>6.5765572017304192</v>
      </c>
      <c r="Z168" s="13">
        <f t="shared" si="76"/>
        <v>6.6465333320279925</v>
      </c>
      <c r="AA168" s="13">
        <f t="shared" si="76"/>
        <v>6.6659823562500007</v>
      </c>
      <c r="AB168" s="13">
        <f t="shared" si="76"/>
        <v>6.7541823562500012</v>
      </c>
      <c r="AC168" s="13">
        <f t="shared" si="76"/>
        <v>8.1915835064329521</v>
      </c>
      <c r="AD168" s="13">
        <f t="shared" si="76"/>
        <v>15.829249334542681</v>
      </c>
      <c r="AE168" s="13">
        <f t="shared" si="76"/>
        <v>26493.678336185651</v>
      </c>
    </row>
    <row r="169" spans="1:32" hidden="1">
      <c r="A169" s="47" t="s">
        <v>1236</v>
      </c>
      <c r="B169" s="47"/>
      <c r="G169" s="9">
        <f>SUM(G14,G17,G35:G39,G42)/G166*Cr/mn-(G35/G166/mn*Cr)+(G79/G166/mn*Cr)</f>
        <v>0.12791857214474511</v>
      </c>
      <c r="H169" s="9" t="e">
        <f ca="1">SUM(H14,H17,H35:H39,H42)/H166*Cr/mn-(H35/H166/mn*Cr)+(H79/H166/mn*Cr)</f>
        <v>#DIV/0!</v>
      </c>
      <c r="I169" s="9" t="e">
        <f t="shared" ref="I169:AE169" ca="1" si="77">SUM(I14,I17,I36:I39,I42)/I166*Cr/mn+(I79/I166/mn*Cr)</f>
        <v>#DIV/0!</v>
      </c>
      <c r="J169" s="9" t="e">
        <f t="shared" ca="1" si="77"/>
        <v>#DIV/0!</v>
      </c>
      <c r="K169" s="9" t="e">
        <f t="shared" ca="1" si="77"/>
        <v>#DIV/0!</v>
      </c>
      <c r="L169" s="9" t="e">
        <f t="shared" ca="1" si="77"/>
        <v>#DIV/0!</v>
      </c>
      <c r="M169" s="9" t="e">
        <f t="shared" ca="1" si="77"/>
        <v>#DIV/0!</v>
      </c>
      <c r="N169" s="9" t="e">
        <f ca="1">SUM(#REF!,N17,N36:N39,N42)/N166*Cr/mn+(N79/N166/mn*Cr)</f>
        <v>#REF!</v>
      </c>
      <c r="O169" s="9" t="e">
        <f t="shared" ca="1" si="77"/>
        <v>#DIV/0!</v>
      </c>
      <c r="P169" s="9" t="e">
        <f t="shared" ca="1" si="77"/>
        <v>#DIV/0!</v>
      </c>
      <c r="Q169" s="9" t="e">
        <f t="shared" ca="1" si="77"/>
        <v>#DIV/0!</v>
      </c>
      <c r="R169" s="9" t="e">
        <f t="shared" ca="1" si="77"/>
        <v>#DIV/0!</v>
      </c>
      <c r="S169" s="9" t="e">
        <f t="shared" ca="1" si="77"/>
        <v>#DIV/0!</v>
      </c>
      <c r="T169" s="9" t="e">
        <f t="shared" ca="1" si="77"/>
        <v>#DIV/0!</v>
      </c>
      <c r="U169" s="9" t="e">
        <f t="shared" ca="1" si="77"/>
        <v>#DIV/0!</v>
      </c>
      <c r="V169" s="9" t="e">
        <f t="shared" ca="1" si="77"/>
        <v>#DIV/0!</v>
      </c>
      <c r="W169" s="9" t="e">
        <f t="shared" ca="1" si="77"/>
        <v>#DIV/0!</v>
      </c>
      <c r="X169" s="9" t="e">
        <f t="shared" ca="1" si="77"/>
        <v>#DIV/0!</v>
      </c>
      <c r="Y169" s="9" t="e">
        <f t="shared" ca="1" si="77"/>
        <v>#DIV/0!</v>
      </c>
      <c r="Z169" s="9" t="e">
        <f t="shared" ca="1" si="77"/>
        <v>#DIV/0!</v>
      </c>
      <c r="AA169" s="9" t="e">
        <f t="shared" ca="1" si="77"/>
        <v>#DIV/0!</v>
      </c>
      <c r="AB169" s="9" t="e">
        <f t="shared" ca="1" si="77"/>
        <v>#DIV/0!</v>
      </c>
      <c r="AC169" s="9" t="e">
        <f t="shared" ca="1" si="77"/>
        <v>#DIV/0!</v>
      </c>
      <c r="AD169" s="9" t="e">
        <f t="shared" ca="1" si="77"/>
        <v>#DIV/0!</v>
      </c>
      <c r="AE169" s="9" t="e">
        <f t="shared" ca="1" si="77"/>
        <v>#DIV/0!</v>
      </c>
    </row>
    <row r="170" spans="1:32" hidden="1">
      <c r="A170" s="47" t="s">
        <v>1237</v>
      </c>
      <c r="B170" s="47"/>
      <c r="G170" s="13">
        <f t="shared" ref="G170:M170" si="78">(G7+G9)/G166*Cr/mn</f>
        <v>2.2324542443905679</v>
      </c>
      <c r="H170" s="13">
        <f t="shared" si="78"/>
        <v>1.8908380324446459</v>
      </c>
      <c r="I170" s="13">
        <f t="shared" si="78"/>
        <v>1.233635115463239</v>
      </c>
      <c r="J170" s="13">
        <f t="shared" si="78"/>
        <v>1.2741845547699169</v>
      </c>
      <c r="K170" s="13">
        <f t="shared" si="78"/>
        <v>0.85982193629101211</v>
      </c>
      <c r="L170" s="13">
        <f t="shared" si="78"/>
        <v>0.71778047098477515</v>
      </c>
      <c r="M170" s="13">
        <f t="shared" si="78"/>
        <v>3.0833244914904481</v>
      </c>
      <c r="N170" s="13" t="e">
        <f>(#REF!+#REF!)/N166*Cr/mn</f>
        <v>#REF!</v>
      </c>
      <c r="O170" s="13" t="e">
        <f>(#REF!+#REF!)/O166*Cr/mn</f>
        <v>#REF!</v>
      </c>
      <c r="P170" s="13" t="e">
        <f>(#REF!+#REF!)/P166*Cr/mn</f>
        <v>#REF!</v>
      </c>
      <c r="Q170" s="13" t="e">
        <f>(#REF!+#REF!)/Q166*Cr/mn</f>
        <v>#REF!</v>
      </c>
      <c r="R170" s="13" t="e">
        <f>(#REF!+#REF!)/R166*Cr/mn</f>
        <v>#REF!</v>
      </c>
      <c r="S170" s="13" t="e">
        <f>(#REF!+#REF!)/S166*Cr/mn</f>
        <v>#REF!</v>
      </c>
      <c r="T170" s="13" t="e">
        <f>(#REF!+#REF!)/T166*Cr/mn</f>
        <v>#REF!</v>
      </c>
      <c r="U170" s="13" t="e">
        <f>(#REF!+#REF!)/U166*Cr/mn</f>
        <v>#REF!</v>
      </c>
      <c r="V170" s="13" t="e">
        <f>(#REF!+#REF!)/V166*Cr/mn</f>
        <v>#REF!</v>
      </c>
      <c r="W170" s="13" t="e">
        <f>(#REF!+#REF!)/W166*Cr/mn</f>
        <v>#REF!</v>
      </c>
      <c r="X170" s="13" t="e">
        <f>(#REF!+#REF!)/X166*Cr/mn</f>
        <v>#REF!</v>
      </c>
      <c r="Y170" s="13" t="e">
        <f>(#REF!+#REF!)/Y166*Cr/mn</f>
        <v>#REF!</v>
      </c>
      <c r="Z170" s="13" t="e">
        <f>(#REF!+#REF!)/Z166*Cr/mn</f>
        <v>#REF!</v>
      </c>
      <c r="AA170" s="13" t="e">
        <f>(#REF!+#REF!)/AA166*Cr/mn</f>
        <v>#REF!</v>
      </c>
      <c r="AB170" s="13" t="e">
        <f>(#REF!+#REF!)/AB166*Cr/mn</f>
        <v>#REF!</v>
      </c>
      <c r="AC170" s="13" t="e">
        <f>(#REF!+#REF!)/AC166*Cr/mn</f>
        <v>#REF!</v>
      </c>
      <c r="AD170" s="13" t="e">
        <f>(#REF!+#REF!)/AD166*Cr/mn</f>
        <v>#REF!</v>
      </c>
      <c r="AE170" s="13" t="e">
        <f>(#REF!+#REF!)/AE166*Cr/mn</f>
        <v>#REF!</v>
      </c>
    </row>
    <row r="171" spans="1:32" s="6" customFormat="1" hidden="1">
      <c r="A171" s="50" t="s">
        <v>1238</v>
      </c>
      <c r="B171" s="50"/>
      <c r="G171" s="51">
        <f t="shared" ref="G171:AE171" si="79">SUM(G169:G170)</f>
        <v>2.3603728165353131</v>
      </c>
      <c r="H171" s="51" t="e">
        <f t="shared" ca="1" si="79"/>
        <v>#DIV/0!</v>
      </c>
      <c r="I171" s="51" t="e">
        <f t="shared" ca="1" si="79"/>
        <v>#DIV/0!</v>
      </c>
      <c r="J171" s="51" t="e">
        <f t="shared" ca="1" si="79"/>
        <v>#DIV/0!</v>
      </c>
      <c r="K171" s="51" t="e">
        <f t="shared" ca="1" si="79"/>
        <v>#DIV/0!</v>
      </c>
      <c r="L171" s="51" t="e">
        <f t="shared" ca="1" si="79"/>
        <v>#DIV/0!</v>
      </c>
      <c r="M171" s="51" t="e">
        <f t="shared" ca="1" si="79"/>
        <v>#DIV/0!</v>
      </c>
      <c r="N171" s="51" t="e">
        <f t="shared" ca="1" si="79"/>
        <v>#REF!</v>
      </c>
      <c r="O171" s="51" t="e">
        <f t="shared" ca="1" si="79"/>
        <v>#DIV/0!</v>
      </c>
      <c r="P171" s="51" t="e">
        <f t="shared" ca="1" si="79"/>
        <v>#DIV/0!</v>
      </c>
      <c r="Q171" s="51" t="e">
        <f t="shared" ca="1" si="79"/>
        <v>#DIV/0!</v>
      </c>
      <c r="R171" s="51" t="e">
        <f t="shared" ca="1" si="79"/>
        <v>#DIV/0!</v>
      </c>
      <c r="S171" s="51" t="e">
        <f t="shared" ca="1" si="79"/>
        <v>#DIV/0!</v>
      </c>
      <c r="T171" s="51" t="e">
        <f t="shared" ca="1" si="79"/>
        <v>#DIV/0!</v>
      </c>
      <c r="U171" s="51" t="e">
        <f t="shared" ca="1" si="79"/>
        <v>#DIV/0!</v>
      </c>
      <c r="V171" s="51" t="e">
        <f t="shared" ca="1" si="79"/>
        <v>#DIV/0!</v>
      </c>
      <c r="W171" s="51" t="e">
        <f t="shared" ca="1" si="79"/>
        <v>#DIV/0!</v>
      </c>
      <c r="X171" s="51" t="e">
        <f t="shared" ca="1" si="79"/>
        <v>#DIV/0!</v>
      </c>
      <c r="Y171" s="51" t="e">
        <f t="shared" ca="1" si="79"/>
        <v>#DIV/0!</v>
      </c>
      <c r="Z171" s="51" t="e">
        <f t="shared" ca="1" si="79"/>
        <v>#DIV/0!</v>
      </c>
      <c r="AA171" s="51" t="e">
        <f t="shared" ca="1" si="79"/>
        <v>#DIV/0!</v>
      </c>
      <c r="AB171" s="51" t="e">
        <f t="shared" ca="1" si="79"/>
        <v>#DIV/0!</v>
      </c>
      <c r="AC171" s="51" t="e">
        <f t="shared" ca="1" si="79"/>
        <v>#DIV/0!</v>
      </c>
      <c r="AD171" s="51" t="e">
        <f t="shared" ca="1" si="79"/>
        <v>#DIV/0!</v>
      </c>
      <c r="AE171" s="51" t="e">
        <f t="shared" ca="1" si="79"/>
        <v>#DIV/0!</v>
      </c>
    </row>
    <row r="172" spans="1:32" s="4" customFormat="1" hidden="1">
      <c r="A172" s="52" t="s">
        <v>1239</v>
      </c>
      <c r="B172" s="52"/>
      <c r="G172" s="36" t="e">
        <f t="shared" ref="G172:AE172" si="80">G168-G171</f>
        <v>#REF!</v>
      </c>
      <c r="H172" s="36" t="e">
        <f t="shared" ca="1" si="80"/>
        <v>#DIV/0!</v>
      </c>
      <c r="I172" s="36" t="e">
        <f t="shared" ca="1" si="80"/>
        <v>#DIV/0!</v>
      </c>
      <c r="J172" s="36" t="e">
        <f t="shared" ca="1" si="80"/>
        <v>#DIV/0!</v>
      </c>
      <c r="K172" s="36" t="e">
        <f t="shared" ca="1" si="80"/>
        <v>#DIV/0!</v>
      </c>
      <c r="L172" s="36" t="e">
        <f t="shared" ca="1" si="80"/>
        <v>#DIV/0!</v>
      </c>
      <c r="M172" s="36" t="e">
        <f t="shared" ca="1" si="80"/>
        <v>#DIV/0!</v>
      </c>
      <c r="N172" s="36" t="e">
        <f t="shared" ca="1" si="80"/>
        <v>#REF!</v>
      </c>
      <c r="O172" s="36" t="e">
        <f t="shared" ca="1" si="80"/>
        <v>#DIV/0!</v>
      </c>
      <c r="P172" s="36" t="e">
        <f t="shared" ca="1" si="80"/>
        <v>#DIV/0!</v>
      </c>
      <c r="Q172" s="36" t="e">
        <f t="shared" ca="1" si="80"/>
        <v>#DIV/0!</v>
      </c>
      <c r="R172" s="36" t="e">
        <f t="shared" ca="1" si="80"/>
        <v>#DIV/0!</v>
      </c>
      <c r="S172" s="36" t="e">
        <f t="shared" ca="1" si="80"/>
        <v>#DIV/0!</v>
      </c>
      <c r="T172" s="36" t="e">
        <f t="shared" ca="1" si="80"/>
        <v>#DIV/0!</v>
      </c>
      <c r="U172" s="36" t="e">
        <f t="shared" ca="1" si="80"/>
        <v>#DIV/0!</v>
      </c>
      <c r="V172" s="36" t="e">
        <f t="shared" ca="1" si="80"/>
        <v>#DIV/0!</v>
      </c>
      <c r="W172" s="36" t="e">
        <f t="shared" ca="1" si="80"/>
        <v>#DIV/0!</v>
      </c>
      <c r="X172" s="36" t="e">
        <f t="shared" ca="1" si="80"/>
        <v>#DIV/0!</v>
      </c>
      <c r="Y172" s="36" t="e">
        <f t="shared" ca="1" si="80"/>
        <v>#DIV/0!</v>
      </c>
      <c r="Z172" s="36" t="e">
        <f t="shared" ca="1" si="80"/>
        <v>#DIV/0!</v>
      </c>
      <c r="AA172" s="36" t="e">
        <f t="shared" ca="1" si="80"/>
        <v>#DIV/0!</v>
      </c>
      <c r="AB172" s="36" t="e">
        <f t="shared" ca="1" si="80"/>
        <v>#DIV/0!</v>
      </c>
      <c r="AC172" s="36" t="e">
        <f t="shared" ca="1" si="80"/>
        <v>#DIV/0!</v>
      </c>
      <c r="AD172" s="36" t="e">
        <f t="shared" ca="1" si="80"/>
        <v>#DIV/0!</v>
      </c>
      <c r="AE172" s="36" t="e">
        <f t="shared" ca="1" si="80"/>
        <v>#DIV/0!</v>
      </c>
      <c r="AF172" s="36"/>
    </row>
    <row r="173" spans="1:32" hidden="1">
      <c r="A173" s="53" t="s">
        <v>1240</v>
      </c>
      <c r="B173" s="53"/>
      <c r="F173" s="9"/>
    </row>
    <row r="174" spans="1:32" hidden="1">
      <c r="A174" s="47" t="s">
        <v>1140</v>
      </c>
      <c r="B174" s="47"/>
      <c r="F174" s="49"/>
      <c r="G174" s="9" t="e">
        <f>G34</f>
        <v>#REF!</v>
      </c>
      <c r="H174" s="9">
        <f>H34</f>
        <v>508.73000000000025</v>
      </c>
      <c r="I174" s="9">
        <f t="shared" ref="I174:AE174" si="81">I34</f>
        <v>281.58656549478792</v>
      </c>
      <c r="J174" s="9">
        <f t="shared" si="81"/>
        <v>214.73699861375303</v>
      </c>
      <c r="K174" s="9">
        <f t="shared" si="81"/>
        <v>882.93011948384265</v>
      </c>
      <c r="L174" s="9">
        <f t="shared" si="81"/>
        <v>113.33837891595317</v>
      </c>
      <c r="M174" s="9">
        <f t="shared" si="81"/>
        <v>-37.70244849278356</v>
      </c>
      <c r="N174" s="9">
        <f t="shared" si="81"/>
        <v>381.04785074432584</v>
      </c>
      <c r="O174" s="9">
        <f t="shared" si="81"/>
        <v>370.15755807239975</v>
      </c>
      <c r="P174" s="9">
        <f t="shared" si="81"/>
        <v>359.47905807239977</v>
      </c>
      <c r="Q174" s="9">
        <f t="shared" si="81"/>
        <v>391.51924133855391</v>
      </c>
      <c r="R174" s="9">
        <f t="shared" si="81"/>
        <v>381.46394896893344</v>
      </c>
      <c r="S174" s="9">
        <f t="shared" si="81"/>
        <v>408.43507976938736</v>
      </c>
      <c r="T174" s="9">
        <f t="shared" si="81"/>
        <v>413.88815499001748</v>
      </c>
      <c r="U174" s="9">
        <f t="shared" si="81"/>
        <v>428.39381596252178</v>
      </c>
      <c r="V174" s="9">
        <f t="shared" si="81"/>
        <v>416.04140751871228</v>
      </c>
      <c r="W174" s="9">
        <f t="shared" si="81"/>
        <v>447.75647443817661</v>
      </c>
      <c r="X174" s="9">
        <f t="shared" si="81"/>
        <v>448.55193226035499</v>
      </c>
      <c r="Y174" s="9">
        <f t="shared" si="81"/>
        <v>461.52722922557268</v>
      </c>
      <c r="Z174" s="9">
        <f t="shared" si="81"/>
        <v>468.63897286361816</v>
      </c>
      <c r="AA174" s="9">
        <f t="shared" si="81"/>
        <v>464.93641821672099</v>
      </c>
      <c r="AB174" s="9">
        <f t="shared" si="81"/>
        <v>456.98587551517357</v>
      </c>
      <c r="AC174" s="9">
        <f t="shared" si="81"/>
        <v>479.83516929093275</v>
      </c>
      <c r="AD174" s="9">
        <f t="shared" si="81"/>
        <v>348.13156095871364</v>
      </c>
      <c r="AE174" s="9">
        <f t="shared" si="81"/>
        <v>-80.818467343183784</v>
      </c>
    </row>
    <row r="175" spans="1:32" hidden="1">
      <c r="A175" s="47" t="s">
        <v>1241</v>
      </c>
      <c r="B175" s="47"/>
      <c r="G175" s="9" t="e">
        <f>G174-G35</f>
        <v>#REF!</v>
      </c>
      <c r="H175" s="9">
        <f>H174-H35</f>
        <v>308.38000000000022</v>
      </c>
      <c r="I175" s="9">
        <f t="shared" ref="I175:AE175" si="82">I174-I35</f>
        <v>80.016565494787926</v>
      </c>
      <c r="J175" s="9">
        <f t="shared" si="82"/>
        <v>13.946998613753038</v>
      </c>
      <c r="K175" s="9">
        <f t="shared" si="82"/>
        <v>682.63011948384269</v>
      </c>
      <c r="L175" s="9">
        <f t="shared" si="82"/>
        <v>-86.411621084046828</v>
      </c>
      <c r="M175" s="9">
        <f t="shared" si="82"/>
        <v>-239.19244849278357</v>
      </c>
      <c r="N175" s="9">
        <f t="shared" si="82"/>
        <v>87.277920662134022</v>
      </c>
      <c r="O175" s="9">
        <f t="shared" si="82"/>
        <v>77.190278072399735</v>
      </c>
      <c r="P175" s="9">
        <f t="shared" si="82"/>
        <v>66.51177807239975</v>
      </c>
      <c r="Q175" s="9">
        <f t="shared" si="82"/>
        <v>98.551961338553895</v>
      </c>
      <c r="R175" s="9">
        <f t="shared" si="82"/>
        <v>87.694018886741617</v>
      </c>
      <c r="S175" s="9">
        <f t="shared" si="82"/>
        <v>115.46779976938734</v>
      </c>
      <c r="T175" s="9">
        <f t="shared" si="82"/>
        <v>120.92087499001747</v>
      </c>
      <c r="U175" s="9">
        <f t="shared" si="82"/>
        <v>135.42653596252177</v>
      </c>
      <c r="V175" s="9">
        <f t="shared" si="82"/>
        <v>122.27147743652046</v>
      </c>
      <c r="W175" s="9">
        <f t="shared" si="82"/>
        <v>154.78919443817659</v>
      </c>
      <c r="X175" s="9">
        <f t="shared" si="82"/>
        <v>155.58465226035497</v>
      </c>
      <c r="Y175" s="9">
        <f t="shared" si="82"/>
        <v>168.55994922557267</v>
      </c>
      <c r="Z175" s="9">
        <f t="shared" si="82"/>
        <v>174.86904278142634</v>
      </c>
      <c r="AA175" s="9">
        <f t="shared" si="82"/>
        <v>171.96913821672098</v>
      </c>
      <c r="AB175" s="9">
        <f t="shared" si="82"/>
        <v>164.01859551517356</v>
      </c>
      <c r="AC175" s="9">
        <f t="shared" si="82"/>
        <v>186.86788929093274</v>
      </c>
      <c r="AD175" s="9">
        <f t="shared" si="82"/>
        <v>54.361630876521815</v>
      </c>
      <c r="AE175" s="9">
        <f t="shared" si="82"/>
        <v>-373.7857473431838</v>
      </c>
    </row>
    <row r="176" spans="1:32" hidden="1">
      <c r="A176" s="47" t="s">
        <v>1242</v>
      </c>
      <c r="B176" s="47"/>
      <c r="G176" s="9">
        <f>G42</f>
        <v>0</v>
      </c>
      <c r="H176" s="2">
        <f>H42</f>
        <v>0</v>
      </c>
      <c r="I176" s="2">
        <f t="shared" ref="I176:AE176" si="83">I42</f>
        <v>0</v>
      </c>
      <c r="J176" s="2">
        <f t="shared" si="83"/>
        <v>0</v>
      </c>
      <c r="K176" s="2">
        <f t="shared" si="83"/>
        <v>169.32</v>
      </c>
      <c r="L176" s="2">
        <f t="shared" si="83"/>
        <v>-19.54</v>
      </c>
      <c r="M176" s="2">
        <f t="shared" si="83"/>
        <v>-149.78</v>
      </c>
      <c r="N176" s="2">
        <f t="shared" si="83"/>
        <v>0</v>
      </c>
      <c r="O176" s="2">
        <f t="shared" si="83"/>
        <v>0</v>
      </c>
      <c r="P176" s="2">
        <f t="shared" si="83"/>
        <v>0</v>
      </c>
      <c r="Q176" s="2">
        <f t="shared" si="83"/>
        <v>0</v>
      </c>
      <c r="R176" s="2">
        <f t="shared" si="83"/>
        <v>0</v>
      </c>
      <c r="S176" s="2">
        <f t="shared" si="83"/>
        <v>0</v>
      </c>
      <c r="T176" s="2">
        <f t="shared" si="83"/>
        <v>0</v>
      </c>
      <c r="U176" s="2">
        <f t="shared" si="83"/>
        <v>0</v>
      </c>
      <c r="V176" s="2">
        <f t="shared" si="83"/>
        <v>0</v>
      </c>
      <c r="W176" s="2">
        <f t="shared" si="83"/>
        <v>0</v>
      </c>
      <c r="X176" s="2">
        <f t="shared" si="83"/>
        <v>0</v>
      </c>
      <c r="Y176" s="2">
        <f t="shared" si="83"/>
        <v>0</v>
      </c>
      <c r="Z176" s="2">
        <f t="shared" si="83"/>
        <v>0</v>
      </c>
      <c r="AA176" s="2">
        <f t="shared" si="83"/>
        <v>0</v>
      </c>
      <c r="AB176" s="2">
        <f t="shared" si="83"/>
        <v>0</v>
      </c>
      <c r="AC176" s="2">
        <f t="shared" si="83"/>
        <v>0</v>
      </c>
      <c r="AD176" s="2">
        <f t="shared" si="83"/>
        <v>0</v>
      </c>
      <c r="AE176" s="2">
        <f t="shared" si="83"/>
        <v>0</v>
      </c>
    </row>
    <row r="177" spans="1:31" hidden="1">
      <c r="A177" s="53" t="s">
        <v>1243</v>
      </c>
      <c r="B177" s="53"/>
      <c r="E177" s="9"/>
      <c r="F177" s="9"/>
      <c r="G177" s="9" t="e">
        <f>G175-G176</f>
        <v>#REF!</v>
      </c>
      <c r="H177" s="9">
        <f>H175-H176</f>
        <v>308.38000000000022</v>
      </c>
      <c r="I177" s="9">
        <f t="shared" ref="I177:AE177" si="84">I175-I176</f>
        <v>80.016565494787926</v>
      </c>
      <c r="J177" s="9">
        <f t="shared" si="84"/>
        <v>13.946998613753038</v>
      </c>
      <c r="K177" s="9">
        <f t="shared" si="84"/>
        <v>513.31011948384275</v>
      </c>
      <c r="L177" s="9">
        <f t="shared" si="84"/>
        <v>-66.871621084046836</v>
      </c>
      <c r="M177" s="9">
        <f t="shared" si="84"/>
        <v>-89.412448492783568</v>
      </c>
      <c r="N177" s="9">
        <f t="shared" si="84"/>
        <v>87.277920662134022</v>
      </c>
      <c r="O177" s="9">
        <f t="shared" si="84"/>
        <v>77.190278072399735</v>
      </c>
      <c r="P177" s="9">
        <f t="shared" si="84"/>
        <v>66.51177807239975</v>
      </c>
      <c r="Q177" s="9">
        <f t="shared" si="84"/>
        <v>98.551961338553895</v>
      </c>
      <c r="R177" s="9">
        <f t="shared" si="84"/>
        <v>87.694018886741617</v>
      </c>
      <c r="S177" s="9">
        <f t="shared" si="84"/>
        <v>115.46779976938734</v>
      </c>
      <c r="T177" s="9">
        <f t="shared" si="84"/>
        <v>120.92087499001747</v>
      </c>
      <c r="U177" s="9">
        <f t="shared" si="84"/>
        <v>135.42653596252177</v>
      </c>
      <c r="V177" s="9">
        <f t="shared" si="84"/>
        <v>122.27147743652046</v>
      </c>
      <c r="W177" s="9">
        <f t="shared" si="84"/>
        <v>154.78919443817659</v>
      </c>
      <c r="X177" s="9">
        <f t="shared" si="84"/>
        <v>155.58465226035497</v>
      </c>
      <c r="Y177" s="9">
        <f t="shared" si="84"/>
        <v>168.55994922557267</v>
      </c>
      <c r="Z177" s="9">
        <f t="shared" si="84"/>
        <v>174.86904278142634</v>
      </c>
      <c r="AA177" s="9">
        <f t="shared" si="84"/>
        <v>171.96913821672098</v>
      </c>
      <c r="AB177" s="9">
        <f t="shared" si="84"/>
        <v>164.01859551517356</v>
      </c>
      <c r="AC177" s="9">
        <f t="shared" si="84"/>
        <v>186.86788929093274</v>
      </c>
      <c r="AD177" s="9">
        <f t="shared" si="84"/>
        <v>54.361630876521815</v>
      </c>
      <c r="AE177" s="9">
        <f t="shared" si="84"/>
        <v>-373.7857473431838</v>
      </c>
    </row>
    <row r="178" spans="1:31" hidden="1">
      <c r="A178" s="47" t="s">
        <v>1244</v>
      </c>
      <c r="B178" s="47"/>
      <c r="G178" s="9">
        <f>G35</f>
        <v>269.39651443024161</v>
      </c>
      <c r="H178" s="9">
        <f>H35</f>
        <v>200.35</v>
      </c>
      <c r="I178" s="9">
        <f t="shared" ref="I178:AE178" si="85">I35</f>
        <v>201.57</v>
      </c>
      <c r="J178" s="9">
        <f t="shared" si="85"/>
        <v>200.79</v>
      </c>
      <c r="K178" s="9">
        <f t="shared" si="85"/>
        <v>200.3</v>
      </c>
      <c r="L178" s="9">
        <f t="shared" si="85"/>
        <v>199.75</v>
      </c>
      <c r="M178" s="9">
        <f t="shared" si="85"/>
        <v>201.49</v>
      </c>
      <c r="N178" s="9">
        <f t="shared" si="85"/>
        <v>293.76993008219182</v>
      </c>
      <c r="O178" s="9">
        <f t="shared" si="85"/>
        <v>292.96728000000002</v>
      </c>
      <c r="P178" s="9">
        <f t="shared" si="85"/>
        <v>292.96728000000002</v>
      </c>
      <c r="Q178" s="9">
        <f t="shared" si="85"/>
        <v>292.96728000000002</v>
      </c>
      <c r="R178" s="9">
        <f t="shared" si="85"/>
        <v>293.76993008219182</v>
      </c>
      <c r="S178" s="9">
        <f t="shared" si="85"/>
        <v>292.96728000000002</v>
      </c>
      <c r="T178" s="9">
        <f t="shared" si="85"/>
        <v>292.96728000000002</v>
      </c>
      <c r="U178" s="9">
        <f t="shared" si="85"/>
        <v>292.96728000000002</v>
      </c>
      <c r="V178" s="9">
        <f t="shared" si="85"/>
        <v>293.76993008219182</v>
      </c>
      <c r="W178" s="9">
        <f t="shared" si="85"/>
        <v>292.96728000000002</v>
      </c>
      <c r="X178" s="9">
        <f t="shared" si="85"/>
        <v>292.96728000000002</v>
      </c>
      <c r="Y178" s="9">
        <f t="shared" si="85"/>
        <v>292.96728000000002</v>
      </c>
      <c r="Z178" s="9">
        <f t="shared" si="85"/>
        <v>293.76993008219182</v>
      </c>
      <c r="AA178" s="9">
        <f t="shared" si="85"/>
        <v>292.96728000000002</v>
      </c>
      <c r="AB178" s="9">
        <f t="shared" si="85"/>
        <v>292.96728000000002</v>
      </c>
      <c r="AC178" s="9">
        <f t="shared" si="85"/>
        <v>292.96728000000002</v>
      </c>
      <c r="AD178" s="9">
        <f t="shared" si="85"/>
        <v>293.76993008219182</v>
      </c>
      <c r="AE178" s="9">
        <f t="shared" si="85"/>
        <v>292.96728000000002</v>
      </c>
    </row>
    <row r="179" spans="1:31" hidden="1">
      <c r="A179" s="47" t="s">
        <v>1245</v>
      </c>
      <c r="B179" s="47"/>
      <c r="G179" s="9">
        <f>SUM(G69:G71)-SUM(G63:G68)</f>
        <v>0</v>
      </c>
      <c r="H179" s="9">
        <f>SUM(H69:H71)-SUM(H63:H68)</f>
        <v>-474.31602024000006</v>
      </c>
      <c r="I179" s="9">
        <f>SUM(I69:I70)-SUM(I63:I68)</f>
        <v>0</v>
      </c>
      <c r="J179" s="9">
        <f>SUM(J69:J70)-SUM(J63:J68)</f>
        <v>-5.3290705182007514E-14</v>
      </c>
      <c r="K179" s="9">
        <f>SUM(K69:K70)-SUM(K63:K68)</f>
        <v>-1.7053025658242404E-13</v>
      </c>
      <c r="L179" s="9">
        <f>SUM(L69:L70)-SUM(L63:L68)</f>
        <v>0</v>
      </c>
      <c r="M179" s="9">
        <f>SUM(M69:M70)-SUM(M63:M68)</f>
        <v>0</v>
      </c>
      <c r="N179" s="9">
        <f t="shared" ref="N179:AE179" si="86">SUM(N69:N71)-SUM(N63:N68)</f>
        <v>0</v>
      </c>
      <c r="O179" s="9">
        <f t="shared" si="86"/>
        <v>-2.2204460492503131E-13</v>
      </c>
      <c r="P179" s="9">
        <f t="shared" si="86"/>
        <v>1.5631940186722204E-13</v>
      </c>
      <c r="Q179" s="9">
        <f t="shared" si="86"/>
        <v>0</v>
      </c>
      <c r="R179" s="9">
        <f t="shared" si="86"/>
        <v>-1.1368683772161603E-13</v>
      </c>
      <c r="S179" s="9">
        <f t="shared" si="86"/>
        <v>0</v>
      </c>
      <c r="T179" s="9">
        <f t="shared" si="86"/>
        <v>3.1974423109204508E-13</v>
      </c>
      <c r="U179" s="9">
        <f t="shared" si="86"/>
        <v>0</v>
      </c>
      <c r="V179" s="9">
        <f t="shared" si="86"/>
        <v>-2.9487523534044158E-13</v>
      </c>
      <c r="W179" s="9">
        <f t="shared" si="86"/>
        <v>-3.979039320256561E-13</v>
      </c>
      <c r="X179" s="9">
        <f t="shared" si="86"/>
        <v>1.3500311979441904E-13</v>
      </c>
      <c r="Y179" s="9">
        <f t="shared" si="86"/>
        <v>1.7053025658242404E-13</v>
      </c>
      <c r="Z179" s="9">
        <f t="shared" si="86"/>
        <v>0</v>
      </c>
      <c r="AA179" s="9">
        <f t="shared" si="86"/>
        <v>0</v>
      </c>
      <c r="AB179" s="9">
        <f t="shared" si="86"/>
        <v>1.5631940186722204E-13</v>
      </c>
      <c r="AC179" s="9">
        <f t="shared" si="86"/>
        <v>-2.1316282072803006E-13</v>
      </c>
      <c r="AD179" s="9">
        <f t="shared" si="86"/>
        <v>0</v>
      </c>
      <c r="AE179" s="9">
        <f t="shared" si="86"/>
        <v>0</v>
      </c>
    </row>
    <row r="180" spans="1:31" hidden="1">
      <c r="A180" s="47" t="s">
        <v>1246</v>
      </c>
      <c r="B180" s="47"/>
      <c r="G180" s="9">
        <f>SUM(G85:G86)</f>
        <v>0</v>
      </c>
      <c r="H180" s="9">
        <f>SUM(H85:H86)</f>
        <v>435.22978999999998</v>
      </c>
      <c r="I180" s="9">
        <f t="shared" ref="I180:AE180" si="87">SUM(I85:I86)</f>
        <v>0</v>
      </c>
      <c r="J180" s="9">
        <f t="shared" si="87"/>
        <v>0</v>
      </c>
      <c r="K180" s="9">
        <f t="shared" si="87"/>
        <v>0</v>
      </c>
      <c r="L180" s="9">
        <f t="shared" si="87"/>
        <v>0</v>
      </c>
      <c r="M180" s="9">
        <f t="shared" si="87"/>
        <v>0</v>
      </c>
      <c r="N180" s="9">
        <f t="shared" si="87"/>
        <v>0</v>
      </c>
      <c r="O180" s="9">
        <f t="shared" si="87"/>
        <v>0</v>
      </c>
      <c r="P180" s="9">
        <f t="shared" si="87"/>
        <v>0</v>
      </c>
      <c r="Q180" s="9">
        <f t="shared" si="87"/>
        <v>0</v>
      </c>
      <c r="R180" s="9">
        <f t="shared" si="87"/>
        <v>0</v>
      </c>
      <c r="S180" s="9">
        <f t="shared" si="87"/>
        <v>0</v>
      </c>
      <c r="T180" s="9">
        <f t="shared" si="87"/>
        <v>0</v>
      </c>
      <c r="U180" s="9">
        <f t="shared" si="87"/>
        <v>0</v>
      </c>
      <c r="V180" s="9">
        <f t="shared" si="87"/>
        <v>0</v>
      </c>
      <c r="W180" s="9">
        <f t="shared" si="87"/>
        <v>0</v>
      </c>
      <c r="X180" s="9">
        <f t="shared" si="87"/>
        <v>0</v>
      </c>
      <c r="Y180" s="9">
        <f t="shared" si="87"/>
        <v>0</v>
      </c>
      <c r="Z180" s="9">
        <f t="shared" si="87"/>
        <v>0</v>
      </c>
      <c r="AA180" s="9">
        <f t="shared" si="87"/>
        <v>0</v>
      </c>
      <c r="AB180" s="9">
        <f t="shared" si="87"/>
        <v>0</v>
      </c>
      <c r="AC180" s="9">
        <f t="shared" si="87"/>
        <v>0</v>
      </c>
      <c r="AD180" s="9">
        <f t="shared" si="87"/>
        <v>0</v>
      </c>
      <c r="AE180" s="9">
        <f t="shared" si="87"/>
        <v>0</v>
      </c>
    </row>
    <row r="181" spans="1:31" hidden="1">
      <c r="A181" s="54" t="s">
        <v>1247</v>
      </c>
      <c r="B181" s="54"/>
      <c r="C181" s="25"/>
      <c r="D181" s="25"/>
      <c r="E181" s="25"/>
      <c r="F181" s="25"/>
      <c r="G181" s="40" t="e">
        <f>G177+G178-G179-G180</f>
        <v>#REF!</v>
      </c>
      <c r="H181" s="40">
        <f>H177+H178-H179-H180</f>
        <v>547.81623024000032</v>
      </c>
      <c r="I181" s="40">
        <f t="shared" ref="I181:AE181" si="88">I177+I178-I179-I180</f>
        <v>281.58656549478792</v>
      </c>
      <c r="J181" s="40">
        <f t="shared" si="88"/>
        <v>214.73699861375309</v>
      </c>
      <c r="K181" s="40">
        <f t="shared" si="88"/>
        <v>713.61011948384294</v>
      </c>
      <c r="L181" s="40">
        <f t="shared" si="88"/>
        <v>132.87837891595316</v>
      </c>
      <c r="M181" s="40">
        <f t="shared" si="88"/>
        <v>112.07755150721644</v>
      </c>
      <c r="N181" s="40">
        <f t="shared" si="88"/>
        <v>381.04785074432584</v>
      </c>
      <c r="O181" s="40">
        <f t="shared" si="88"/>
        <v>370.15755807239998</v>
      </c>
      <c r="P181" s="40">
        <f t="shared" si="88"/>
        <v>359.4790580723996</v>
      </c>
      <c r="Q181" s="40">
        <f t="shared" si="88"/>
        <v>391.51924133855391</v>
      </c>
      <c r="R181" s="40">
        <f t="shared" si="88"/>
        <v>381.46394896893355</v>
      </c>
      <c r="S181" s="40">
        <f t="shared" si="88"/>
        <v>408.43507976938736</v>
      </c>
      <c r="T181" s="40">
        <f t="shared" si="88"/>
        <v>413.88815499001714</v>
      </c>
      <c r="U181" s="40">
        <f t="shared" si="88"/>
        <v>428.39381596252178</v>
      </c>
      <c r="V181" s="40">
        <f t="shared" si="88"/>
        <v>416.04140751871256</v>
      </c>
      <c r="W181" s="40">
        <f t="shared" si="88"/>
        <v>447.75647443817701</v>
      </c>
      <c r="X181" s="40">
        <f t="shared" si="88"/>
        <v>448.55193226035487</v>
      </c>
      <c r="Y181" s="40">
        <f t="shared" si="88"/>
        <v>461.52722922557251</v>
      </c>
      <c r="Z181" s="40">
        <f t="shared" si="88"/>
        <v>468.63897286361816</v>
      </c>
      <c r="AA181" s="40">
        <f t="shared" si="88"/>
        <v>464.93641821672099</v>
      </c>
      <c r="AB181" s="40">
        <f t="shared" si="88"/>
        <v>456.9858755151734</v>
      </c>
      <c r="AC181" s="40">
        <f t="shared" si="88"/>
        <v>479.83516929093298</v>
      </c>
      <c r="AD181" s="40">
        <f t="shared" si="88"/>
        <v>348.13156095871364</v>
      </c>
      <c r="AE181" s="40">
        <f t="shared" si="88"/>
        <v>-80.818467343183784</v>
      </c>
    </row>
    <row r="182" spans="1:31" hidden="1">
      <c r="A182" s="47"/>
      <c r="B182" s="47"/>
    </row>
    <row r="183" spans="1:31" hidden="1">
      <c r="A183" s="53"/>
      <c r="B183" s="53"/>
      <c r="I183" s="55"/>
    </row>
    <row r="184" spans="1:31" hidden="1">
      <c r="H184" s="55"/>
      <c r="J184" s="55"/>
    </row>
    <row r="185" spans="1:31">
      <c r="I185" s="55"/>
    </row>
    <row r="190" spans="1:31">
      <c r="I190" s="9"/>
    </row>
  </sheetData>
  <pageMargins left="0.69930555555555596" right="0.69930555555555596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E53"/>
  <sheetViews>
    <sheetView showGridLines="0" topLeftCell="A13" workbookViewId="0">
      <selection activeCell="H30" sqref="H30"/>
    </sheetView>
  </sheetViews>
  <sheetFormatPr defaultColWidth="9.109375" defaultRowHeight="12.6"/>
  <cols>
    <col min="1" max="1" width="9.109375" style="567"/>
    <col min="2" max="2" width="48.44140625" style="567" bestFit="1" customWidth="1"/>
    <col min="3" max="3" width="8.88671875" style="567" bestFit="1" customWidth="1"/>
    <col min="4" max="6" width="10" style="567" bestFit="1" customWidth="1"/>
    <col min="7" max="9" width="10" style="567" customWidth="1"/>
    <col min="10" max="11" width="10" style="567" bestFit="1" customWidth="1"/>
    <col min="12" max="19" width="9.109375" style="567"/>
    <col min="20" max="20" width="11.33203125" style="567" customWidth="1"/>
    <col min="21" max="21" width="11.5546875" style="567" customWidth="1"/>
    <col min="22" max="16384" width="9.109375" style="567"/>
  </cols>
  <sheetData>
    <row r="2" spans="1:31" ht="14.4">
      <c r="B2" s="681" t="s">
        <v>1422</v>
      </c>
      <c r="C2" s="681"/>
      <c r="D2" s="681"/>
      <c r="E2" s="681"/>
      <c r="F2" s="681"/>
      <c r="G2" s="681"/>
      <c r="H2" s="681"/>
      <c r="I2" s="681"/>
      <c r="J2" s="681"/>
      <c r="K2" s="681"/>
    </row>
    <row r="3" spans="1:31" ht="14.4">
      <c r="B3" s="628"/>
      <c r="C3" s="628"/>
      <c r="D3" s="628"/>
      <c r="E3" s="628"/>
      <c r="F3" s="628"/>
      <c r="G3" s="628"/>
      <c r="H3" s="628"/>
      <c r="I3" s="628"/>
      <c r="J3" s="628"/>
      <c r="K3" s="628"/>
    </row>
    <row r="4" spans="1:31" ht="14.4">
      <c r="B4" s="633" t="s">
        <v>1405</v>
      </c>
      <c r="C4" s="633"/>
      <c r="D4" s="633"/>
      <c r="E4" s="633"/>
      <c r="F4" s="633"/>
      <c r="G4" s="633"/>
      <c r="H4" s="633"/>
      <c r="I4" s="633"/>
      <c r="J4" s="633"/>
      <c r="K4" s="633"/>
    </row>
    <row r="6" spans="1:31" ht="14.4">
      <c r="D6" s="683">
        <f>D7-C7</f>
        <v>365</v>
      </c>
      <c r="E6" s="683">
        <f t="shared" ref="E6:J6" si="0">E7-D7</f>
        <v>365</v>
      </c>
      <c r="F6" s="683">
        <f t="shared" si="0"/>
        <v>365</v>
      </c>
      <c r="G6" s="683">
        <f t="shared" si="0"/>
        <v>366</v>
      </c>
      <c r="H6" s="683">
        <f t="shared" si="0"/>
        <v>365</v>
      </c>
      <c r="I6" s="683">
        <f t="shared" si="0"/>
        <v>365</v>
      </c>
      <c r="J6" s="683">
        <f t="shared" si="0"/>
        <v>365</v>
      </c>
    </row>
    <row r="7" spans="1:31" ht="14.4">
      <c r="C7" s="598">
        <v>42460</v>
      </c>
      <c r="D7" s="598">
        <v>42825</v>
      </c>
      <c r="E7" s="598">
        <f>EDATE(D7,12)</f>
        <v>43190</v>
      </c>
      <c r="F7" s="598">
        <f>EDATE(E7,12)</f>
        <v>43555</v>
      </c>
      <c r="G7" s="598">
        <f t="shared" ref="G7:J7" si="1">EDATE(F7,12)</f>
        <v>43921</v>
      </c>
      <c r="H7" s="598">
        <f t="shared" si="1"/>
        <v>44286</v>
      </c>
      <c r="I7" s="598">
        <f t="shared" si="1"/>
        <v>44651</v>
      </c>
      <c r="J7" s="598">
        <f t="shared" si="1"/>
        <v>45016</v>
      </c>
    </row>
    <row r="8" spans="1:31" s="683" customFormat="1" ht="14.4">
      <c r="A8" s="683" t="s">
        <v>1423</v>
      </c>
      <c r="B8" s="682" t="s">
        <v>1406</v>
      </c>
      <c r="R8" s="567"/>
      <c r="S8" s="567"/>
      <c r="T8" s="567"/>
      <c r="U8" s="567"/>
      <c r="V8" s="567"/>
      <c r="W8" s="567"/>
      <c r="X8" s="567"/>
      <c r="Y8" s="567"/>
      <c r="Z8" s="567"/>
      <c r="AA8" s="567"/>
      <c r="AB8" s="567"/>
      <c r="AC8" s="567"/>
      <c r="AD8" s="567"/>
      <c r="AE8" s="567"/>
    </row>
    <row r="9" spans="1:31" s="683" customFormat="1" ht="14.4">
      <c r="B9" s="684" t="s">
        <v>1214</v>
      </c>
      <c r="C9" s="684"/>
      <c r="D9" s="685">
        <f>'Financials (2)'!E140</f>
        <v>656.38</v>
      </c>
      <c r="E9" s="685">
        <f>'Financials (2)'!H140</f>
        <v>877.85</v>
      </c>
      <c r="F9" s="685">
        <f>'Financials (2)'!I140</f>
        <v>987.87</v>
      </c>
      <c r="G9" s="685">
        <f>'Financials (2)'!J140</f>
        <v>1334.17</v>
      </c>
      <c r="H9" s="685">
        <f>'Financials (2)'!K140</f>
        <v>949.43</v>
      </c>
      <c r="I9" s="685">
        <f>'Financials (2)'!L140</f>
        <v>682.08</v>
      </c>
      <c r="J9" s="685">
        <f>'Financials (2)'!M140</f>
        <v>746.52</v>
      </c>
      <c r="R9" s="567"/>
      <c r="S9" s="567"/>
      <c r="T9" s="567"/>
      <c r="U9" s="567"/>
      <c r="V9" s="567"/>
      <c r="W9" s="567"/>
      <c r="X9" s="567"/>
      <c r="Y9" s="567"/>
      <c r="Z9" s="567"/>
      <c r="AA9" s="567"/>
      <c r="AB9" s="567"/>
      <c r="AC9" s="567"/>
      <c r="AD9" s="567"/>
      <c r="AE9" s="567"/>
    </row>
    <row r="10" spans="1:31" s="683" customFormat="1" ht="14.4">
      <c r="B10" s="684" t="s">
        <v>1407</v>
      </c>
      <c r="C10" s="684"/>
      <c r="D10" s="685">
        <f>'Financials (2)'!E3+'Financials (2)'!E5</f>
        <v>1838.28</v>
      </c>
      <c r="E10" s="685">
        <f>'Financials (2)'!H3+'Financials (2)'!H5</f>
        <v>1915.72</v>
      </c>
      <c r="F10" s="685">
        <f>'Financials (2)'!I3+'Financials (2)'!I5</f>
        <v>1578.53</v>
      </c>
      <c r="G10" s="685">
        <f>'Financials (2)'!J3+'Financials (2)'!J5</f>
        <v>1573.96</v>
      </c>
      <c r="H10" s="685">
        <f>'Financials (2)'!K3+'Financials (2)'!K5</f>
        <v>1938.94</v>
      </c>
      <c r="I10" s="685">
        <f>'Financials (2)'!L3+'Financials (2)'!L5</f>
        <v>954.61</v>
      </c>
      <c r="J10" s="685">
        <f>'Financials (2)'!M3+'Financials (2)'!M5</f>
        <v>1904.83</v>
      </c>
      <c r="R10" s="567"/>
      <c r="S10" s="567"/>
      <c r="T10" s="567"/>
      <c r="U10" s="567"/>
      <c r="V10" s="567"/>
      <c r="W10" s="567"/>
      <c r="X10" s="567"/>
      <c r="Y10" s="567"/>
      <c r="Z10" s="567"/>
      <c r="AA10" s="567"/>
      <c r="AB10" s="567"/>
      <c r="AC10" s="567"/>
      <c r="AD10" s="567"/>
      <c r="AE10" s="567"/>
    </row>
    <row r="11" spans="1:31" s="683" customFormat="1" ht="14.4">
      <c r="B11" s="684" t="s">
        <v>1406</v>
      </c>
      <c r="C11" s="686" t="s">
        <v>720</v>
      </c>
      <c r="D11" s="685"/>
      <c r="E11" s="685">
        <f>(AVERAGE(D9:E9)/E10)*E$6</f>
        <v>146.15756738980645</v>
      </c>
      <c r="F11" s="685">
        <f t="shared" ref="F11:J11" si="2">(AVERAGE(E9:F9)/F10)*F$6</f>
        <v>215.70315420042701</v>
      </c>
      <c r="G11" s="685">
        <f t="shared" si="2"/>
        <v>269.9772039950189</v>
      </c>
      <c r="H11" s="685">
        <f t="shared" si="2"/>
        <v>214.94063766800417</v>
      </c>
      <c r="I11" s="685">
        <f t="shared" si="2"/>
        <v>311.90808288201464</v>
      </c>
      <c r="J11" s="685">
        <f t="shared" si="2"/>
        <v>136.87284429581641</v>
      </c>
      <c r="K11" s="687">
        <f>AVERAGE(E11:J11)</f>
        <v>215.92658173851461</v>
      </c>
      <c r="L11" s="688">
        <f>J11</f>
        <v>136.87284429581641</v>
      </c>
      <c r="R11" s="567"/>
      <c r="S11" s="567"/>
      <c r="T11" s="567"/>
      <c r="U11" s="567"/>
      <c r="V11" s="567"/>
      <c r="W11" s="567"/>
      <c r="X11" s="567"/>
      <c r="Y11" s="567"/>
      <c r="Z11" s="567"/>
      <c r="AA11" s="567"/>
      <c r="AB11" s="567"/>
      <c r="AC11" s="567"/>
      <c r="AD11" s="567"/>
      <c r="AE11" s="567"/>
    </row>
    <row r="12" spans="1:31" s="683" customFormat="1" ht="14.4">
      <c r="C12" s="689"/>
      <c r="D12" s="690"/>
      <c r="E12" s="690"/>
      <c r="F12" s="690"/>
      <c r="G12" s="690"/>
      <c r="H12" s="690"/>
      <c r="I12" s="690"/>
      <c r="J12" s="690"/>
      <c r="K12" s="691"/>
      <c r="L12" s="692"/>
      <c r="R12" s="567"/>
      <c r="S12" s="567"/>
      <c r="T12" s="567"/>
      <c r="U12" s="567"/>
      <c r="V12" s="567"/>
      <c r="W12" s="567"/>
      <c r="X12" s="567"/>
      <c r="Y12" s="567"/>
      <c r="Z12" s="567"/>
      <c r="AA12" s="567"/>
      <c r="AB12" s="567"/>
      <c r="AC12" s="567"/>
      <c r="AD12" s="567"/>
      <c r="AE12" s="567"/>
    </row>
    <row r="13" spans="1:31" s="683" customFormat="1" ht="14.4">
      <c r="A13" s="683" t="s">
        <v>1425</v>
      </c>
      <c r="B13" s="682" t="s">
        <v>1408</v>
      </c>
      <c r="D13" s="690"/>
      <c r="E13" s="690"/>
      <c r="F13" s="690"/>
      <c r="G13" s="690"/>
      <c r="H13" s="690"/>
      <c r="I13" s="690"/>
      <c r="J13" s="690"/>
      <c r="R13" s="567"/>
      <c r="S13" s="567"/>
      <c r="T13" s="567"/>
      <c r="U13" s="567"/>
      <c r="V13" s="567"/>
      <c r="W13" s="567"/>
      <c r="X13" s="567"/>
      <c r="Y13" s="567"/>
      <c r="Z13" s="567"/>
      <c r="AA13" s="567"/>
      <c r="AB13" s="567"/>
      <c r="AC13" s="567"/>
      <c r="AD13" s="567"/>
      <c r="AE13" s="567"/>
    </row>
    <row r="14" spans="1:31" s="683" customFormat="1" ht="14.4">
      <c r="B14" s="684" t="s">
        <v>1409</v>
      </c>
      <c r="C14" s="684"/>
      <c r="D14" s="685">
        <f>'Financials (2)'!E137+'Financials (2)'!E138</f>
        <v>65.31</v>
      </c>
      <c r="E14" s="685">
        <f>'Financials (2)'!H137+'Financials (2)'!H138</f>
        <v>82.36</v>
      </c>
      <c r="F14" s="685">
        <f>'Financials (2)'!I137+'Financials (2)'!I138</f>
        <v>102.61999999999999</v>
      </c>
      <c r="G14" s="685">
        <f>'Financials (2)'!J137+'Financials (2)'!J138</f>
        <v>1.83</v>
      </c>
      <c r="H14" s="685">
        <f>'Financials (2)'!K137+'Financials (2)'!K138</f>
        <v>27.27</v>
      </c>
      <c r="I14" s="685">
        <f>'Financials (2)'!L137+'Financials (2)'!L138</f>
        <v>10.67</v>
      </c>
      <c r="J14" s="685">
        <f>'Financials (2)'!M137+'Financials (2)'!M138</f>
        <v>177.60999999999999</v>
      </c>
      <c r="R14" s="567"/>
      <c r="S14" s="567"/>
      <c r="T14" s="567"/>
      <c r="U14" s="567"/>
      <c r="V14" s="567"/>
      <c r="W14" s="567"/>
      <c r="X14" s="567"/>
      <c r="Y14" s="567"/>
      <c r="Z14" s="567"/>
      <c r="AA14" s="567"/>
      <c r="AB14" s="567"/>
      <c r="AC14" s="567"/>
      <c r="AD14" s="567"/>
      <c r="AE14" s="567"/>
    </row>
    <row r="15" spans="1:31" s="683" customFormat="1" ht="14.4">
      <c r="B15" s="684" t="s">
        <v>1410</v>
      </c>
      <c r="C15" s="684"/>
      <c r="D15" s="685"/>
      <c r="E15" s="685">
        <f>'Financials (2)'!H7+'Financials (2)'!H9</f>
        <v>1180.77</v>
      </c>
      <c r="F15" s="685">
        <f>'Financials (2)'!I7+'Financials (2)'!I9</f>
        <v>1030.69</v>
      </c>
      <c r="G15" s="685">
        <f>'Financials (2)'!J7+'Financials (2)'!J9</f>
        <v>1061.6600000000001</v>
      </c>
      <c r="H15" s="685">
        <f>'Financials (2)'!K7+'Financials (2)'!K9</f>
        <v>716.41</v>
      </c>
      <c r="I15" s="685">
        <f>'Financials (2)'!L7+'Financials (2)'!L9</f>
        <v>598.05999999999995</v>
      </c>
      <c r="J15" s="685">
        <f>'Financials (2)'!M7+'Financials (2)'!M9</f>
        <v>1666.8799999999999</v>
      </c>
      <c r="R15" s="567"/>
      <c r="S15" s="567"/>
      <c r="T15" s="567"/>
      <c r="U15" s="567"/>
      <c r="V15" s="567"/>
      <c r="W15" s="567"/>
      <c r="X15" s="567"/>
      <c r="Y15" s="567"/>
      <c r="Z15" s="567"/>
      <c r="AA15" s="567"/>
      <c r="AB15" s="567"/>
      <c r="AC15" s="567"/>
      <c r="AD15" s="567"/>
      <c r="AE15" s="567"/>
    </row>
    <row r="16" spans="1:31" s="683" customFormat="1" ht="14.4">
      <c r="B16" s="684" t="s">
        <v>1408</v>
      </c>
      <c r="C16" s="686" t="s">
        <v>720</v>
      </c>
      <c r="D16" s="685"/>
      <c r="E16" s="685">
        <f>(AVERAGE(D14:E14)/E15)*E$6</f>
        <v>22.823898811792308</v>
      </c>
      <c r="F16" s="685">
        <f t="shared" ref="F16:J16" si="3">(AVERAGE(E14:F14)/F15)*F$6</f>
        <v>32.753640764924469</v>
      </c>
      <c r="G16" s="685">
        <f t="shared" si="3"/>
        <v>18.004210387506355</v>
      </c>
      <c r="H16" s="685">
        <f t="shared" si="3"/>
        <v>7.4130037269161528</v>
      </c>
      <c r="I16" s="685">
        <f t="shared" si="3"/>
        <v>11.577517305955926</v>
      </c>
      <c r="J16" s="685">
        <f t="shared" si="3"/>
        <v>20.614021405260125</v>
      </c>
      <c r="K16" s="687">
        <f>AVERAGE(E16:J16)</f>
        <v>18.864382067059221</v>
      </c>
      <c r="L16" s="688">
        <f>J16</f>
        <v>20.614021405260125</v>
      </c>
      <c r="R16" s="567"/>
      <c r="S16" s="567"/>
      <c r="T16" s="567"/>
      <c r="U16" s="567"/>
      <c r="V16" s="567"/>
      <c r="W16" s="567"/>
      <c r="X16" s="567"/>
      <c r="Y16" s="567"/>
      <c r="Z16" s="567"/>
      <c r="AA16" s="567"/>
      <c r="AB16" s="567"/>
      <c r="AC16" s="567"/>
      <c r="AD16" s="567"/>
      <c r="AE16" s="567"/>
    </row>
    <row r="17" spans="1:31" s="683" customFormat="1" ht="14.4">
      <c r="C17" s="689"/>
      <c r="D17" s="690"/>
      <c r="E17" s="690"/>
      <c r="F17" s="690"/>
      <c r="G17" s="690"/>
      <c r="H17" s="690"/>
      <c r="I17" s="690"/>
      <c r="J17" s="690"/>
      <c r="R17" s="567"/>
      <c r="S17" s="567"/>
      <c r="T17" s="567"/>
      <c r="U17" s="567"/>
      <c r="V17" s="567"/>
      <c r="W17" s="567"/>
      <c r="X17" s="567"/>
      <c r="Y17" s="567"/>
      <c r="Z17" s="567"/>
      <c r="AA17" s="567"/>
      <c r="AB17" s="567"/>
      <c r="AC17" s="567"/>
      <c r="AD17" s="567"/>
      <c r="AE17" s="567"/>
    </row>
    <row r="18" spans="1:31" s="683" customFormat="1" ht="14.4">
      <c r="A18" s="683" t="s">
        <v>1424</v>
      </c>
      <c r="B18" s="682" t="s">
        <v>1411</v>
      </c>
      <c r="D18" s="690"/>
      <c r="E18" s="690"/>
      <c r="F18" s="690"/>
      <c r="G18" s="690"/>
      <c r="H18" s="690"/>
      <c r="I18" s="690"/>
      <c r="J18" s="690"/>
      <c r="R18" s="567"/>
      <c r="S18" s="567"/>
      <c r="T18" s="567"/>
      <c r="U18" s="567"/>
      <c r="V18" s="567"/>
      <c r="W18" s="567"/>
      <c r="X18" s="567"/>
      <c r="Y18" s="567"/>
      <c r="Z18" s="567"/>
      <c r="AA18" s="567"/>
      <c r="AB18" s="567"/>
      <c r="AC18" s="567"/>
      <c r="AD18" s="567"/>
      <c r="AE18" s="567"/>
    </row>
    <row r="19" spans="1:31" s="683" customFormat="1" ht="14.4">
      <c r="B19" s="684" t="s">
        <v>1205</v>
      </c>
      <c r="C19" s="684"/>
      <c r="D19" s="685">
        <f>'Financials (2)'!E123</f>
        <v>386.87900000000002</v>
      </c>
      <c r="E19" s="685">
        <f>'Financials (2)'!H123</f>
        <v>264.32</v>
      </c>
      <c r="F19" s="685">
        <f>'Financials (2)'!I123</f>
        <v>139.04</v>
      </c>
      <c r="G19" s="685">
        <f>'Financials (2)'!J123</f>
        <v>323.26</v>
      </c>
      <c r="H19" s="685">
        <f>'Financials (2)'!K123</f>
        <v>306.27</v>
      </c>
      <c r="I19" s="685">
        <f>'Financials (2)'!L123</f>
        <v>331.58</v>
      </c>
      <c r="J19" s="685">
        <f>'Financials (2)'!M123</f>
        <v>638.33000000000004</v>
      </c>
      <c r="R19" s="567"/>
      <c r="S19" s="567"/>
      <c r="T19" s="567"/>
      <c r="U19" s="567"/>
      <c r="V19" s="567"/>
      <c r="W19" s="567"/>
      <c r="X19" s="567"/>
      <c r="Y19" s="567"/>
      <c r="Z19" s="567"/>
      <c r="AA19" s="567"/>
      <c r="AB19" s="567"/>
      <c r="AC19" s="567"/>
      <c r="AD19" s="567"/>
      <c r="AE19" s="567"/>
    </row>
    <row r="20" spans="1:31" s="683" customFormat="1" ht="14.4">
      <c r="B20" s="684" t="s">
        <v>1410</v>
      </c>
      <c r="C20" s="684"/>
      <c r="D20" s="685"/>
      <c r="E20" s="685">
        <f>E15</f>
        <v>1180.77</v>
      </c>
      <c r="F20" s="685">
        <f>F15</f>
        <v>1030.69</v>
      </c>
      <c r="G20" s="685">
        <f t="shared" ref="G20:J20" si="4">G15</f>
        <v>1061.6600000000001</v>
      </c>
      <c r="H20" s="685">
        <f t="shared" si="4"/>
        <v>716.41</v>
      </c>
      <c r="I20" s="685">
        <f t="shared" si="4"/>
        <v>598.05999999999995</v>
      </c>
      <c r="J20" s="685">
        <f t="shared" si="4"/>
        <v>1666.8799999999999</v>
      </c>
      <c r="R20" s="567"/>
      <c r="S20" s="567"/>
      <c r="T20" s="567"/>
      <c r="U20" s="567"/>
      <c r="V20" s="567"/>
      <c r="W20" s="567"/>
      <c r="X20" s="567"/>
      <c r="Y20" s="567"/>
      <c r="Z20" s="567"/>
      <c r="AA20" s="567"/>
      <c r="AB20" s="567"/>
      <c r="AC20" s="567"/>
      <c r="AD20" s="567"/>
      <c r="AE20" s="567"/>
    </row>
    <row r="21" spans="1:31" s="683" customFormat="1" ht="14.4">
      <c r="B21" s="684" t="s">
        <v>1411</v>
      </c>
      <c r="C21" s="686" t="s">
        <v>720</v>
      </c>
      <c r="D21" s="685"/>
      <c r="E21" s="685">
        <f>(AVERAGE(D19:E19)/E20)*E$6</f>
        <v>100.64942156389476</v>
      </c>
      <c r="F21" s="685">
        <f t="shared" ref="F21:J21" si="5">(AVERAGE(E19:F19)/F20)*F$6</f>
        <v>71.421280889501205</v>
      </c>
      <c r="G21" s="685">
        <f t="shared" si="5"/>
        <v>79.687376372850039</v>
      </c>
      <c r="H21" s="685">
        <f t="shared" si="5"/>
        <v>160.36798062561942</v>
      </c>
      <c r="I21" s="685">
        <f t="shared" si="5"/>
        <v>194.64205096478614</v>
      </c>
      <c r="J21" s="685">
        <f t="shared" si="5"/>
        <v>106.1915524812824</v>
      </c>
      <c r="K21" s="687">
        <f>AVERAGE(E21:J21)</f>
        <v>118.826610482989</v>
      </c>
      <c r="L21" s="688">
        <f>J21</f>
        <v>106.1915524812824</v>
      </c>
      <c r="R21" s="567"/>
      <c r="S21" s="567"/>
      <c r="T21" s="567"/>
      <c r="U21" s="567"/>
      <c r="V21" s="567"/>
      <c r="W21" s="567"/>
      <c r="X21" s="567"/>
      <c r="Y21" s="567"/>
      <c r="Z21" s="567"/>
      <c r="AA21" s="567"/>
      <c r="AB21" s="567"/>
      <c r="AC21" s="567"/>
      <c r="AD21" s="567"/>
      <c r="AE21" s="567"/>
    </row>
    <row r="22" spans="1:31" s="683" customFormat="1" ht="14.4">
      <c r="C22" s="693"/>
      <c r="E22" s="691"/>
      <c r="F22" s="691"/>
      <c r="G22" s="691"/>
      <c r="H22" s="691"/>
      <c r="I22" s="691"/>
      <c r="J22" s="691"/>
      <c r="K22" s="691"/>
      <c r="L22" s="691"/>
      <c r="M22" s="691"/>
      <c r="R22" s="567"/>
      <c r="S22" s="567"/>
      <c r="T22" s="567"/>
      <c r="U22" s="567"/>
      <c r="V22" s="567"/>
      <c r="W22" s="567"/>
      <c r="X22" s="567"/>
      <c r="Y22" s="567"/>
      <c r="Z22" s="567"/>
      <c r="AA22" s="567"/>
      <c r="AB22" s="567"/>
      <c r="AC22" s="567"/>
      <c r="AD22" s="567"/>
      <c r="AE22" s="567"/>
    </row>
    <row r="23" spans="1:31" ht="14.4">
      <c r="B23" s="694" t="s">
        <v>1412</v>
      </c>
      <c r="D23" s="695">
        <f>D9+D14-D19</f>
        <v>334.81100000000004</v>
      </c>
      <c r="E23" s="695">
        <f t="shared" ref="E23:J23" si="6">E9+E14-E19</f>
        <v>695.8900000000001</v>
      </c>
      <c r="F23" s="695">
        <f t="shared" si="6"/>
        <v>951.45</v>
      </c>
      <c r="G23" s="695">
        <f t="shared" si="6"/>
        <v>1012.74</v>
      </c>
      <c r="H23" s="695">
        <f t="shared" si="6"/>
        <v>670.43</v>
      </c>
      <c r="I23" s="695">
        <f t="shared" si="6"/>
        <v>361.17</v>
      </c>
      <c r="J23" s="695">
        <f t="shared" si="6"/>
        <v>285.79999999999995</v>
      </c>
    </row>
    <row r="25" spans="1:31" s="683" customFormat="1" ht="14.4">
      <c r="A25" s="567"/>
    </row>
    <row r="26" spans="1:31" s="683" customFormat="1" ht="14.4">
      <c r="A26" s="567"/>
      <c r="D26" s="683">
        <v>366</v>
      </c>
      <c r="E26" s="683">
        <f>E27-D27</f>
        <v>365</v>
      </c>
      <c r="F26" s="683">
        <f>F27-E27</f>
        <v>365</v>
      </c>
      <c r="G26" s="683">
        <f>G27-F27</f>
        <v>365</v>
      </c>
      <c r="H26" s="683">
        <f>H27-G27</f>
        <v>366</v>
      </c>
      <c r="I26" s="683">
        <f>I27-H27</f>
        <v>365</v>
      </c>
      <c r="J26" s="683">
        <f t="shared" ref="J26:N26" si="7">J27-I27</f>
        <v>365</v>
      </c>
      <c r="K26" s="683">
        <f t="shared" si="7"/>
        <v>365</v>
      </c>
      <c r="L26" s="683">
        <f t="shared" si="7"/>
        <v>366</v>
      </c>
      <c r="M26" s="683">
        <f t="shared" si="7"/>
        <v>365</v>
      </c>
      <c r="N26" s="683">
        <f t="shared" si="7"/>
        <v>365</v>
      </c>
      <c r="O26" s="683">
        <f t="shared" ref="O26:R26" si="8">O27-N27</f>
        <v>365</v>
      </c>
      <c r="P26" s="683">
        <f t="shared" si="8"/>
        <v>366</v>
      </c>
      <c r="Q26" s="683">
        <f t="shared" si="8"/>
        <v>365</v>
      </c>
      <c r="R26" s="683">
        <f t="shared" si="8"/>
        <v>365</v>
      </c>
      <c r="S26" s="683">
        <f t="shared" ref="S26" si="9">S27-R27</f>
        <v>365</v>
      </c>
      <c r="T26" s="683">
        <f t="shared" ref="T26" si="10">T27-S27</f>
        <v>366</v>
      </c>
      <c r="U26" s="683">
        <f t="shared" ref="U26" si="11">U27-T27</f>
        <v>365</v>
      </c>
      <c r="V26" s="567"/>
      <c r="W26" s="567"/>
      <c r="X26" s="567"/>
      <c r="Y26" s="567"/>
      <c r="Z26" s="567"/>
    </row>
    <row r="27" spans="1:31" s="683" customFormat="1" ht="14.4">
      <c r="A27" s="567"/>
      <c r="B27" s="597" t="s">
        <v>717</v>
      </c>
      <c r="D27" s="598">
        <v>45382</v>
      </c>
      <c r="E27" s="598">
        <f>EDATE(D27,12)</f>
        <v>45747</v>
      </c>
      <c r="F27" s="598">
        <f>EDATE(E27,12)</f>
        <v>46112</v>
      </c>
      <c r="G27" s="598">
        <f>EDATE(F27,12)</f>
        <v>46477</v>
      </c>
      <c r="H27" s="598">
        <f>EDATE(G27,12)</f>
        <v>46843</v>
      </c>
      <c r="I27" s="598">
        <f>EDATE(H27,12)</f>
        <v>47208</v>
      </c>
      <c r="J27" s="598">
        <f t="shared" ref="J27:M27" si="12">EDATE(I27,12)</f>
        <v>47573</v>
      </c>
      <c r="K27" s="598">
        <f t="shared" si="12"/>
        <v>47938</v>
      </c>
      <c r="L27" s="598">
        <f t="shared" si="12"/>
        <v>48304</v>
      </c>
      <c r="M27" s="598">
        <f t="shared" si="12"/>
        <v>48669</v>
      </c>
      <c r="N27" s="598">
        <f t="shared" ref="N27" si="13">EDATE(M27,12)</f>
        <v>49034</v>
      </c>
      <c r="O27" s="598">
        <f t="shared" ref="O27:R27" si="14">EDATE(N27,12)</f>
        <v>49399</v>
      </c>
      <c r="P27" s="598">
        <f t="shared" si="14"/>
        <v>49765</v>
      </c>
      <c r="Q27" s="598">
        <f t="shared" si="14"/>
        <v>50130</v>
      </c>
      <c r="R27" s="598">
        <f t="shared" si="14"/>
        <v>50495</v>
      </c>
      <c r="S27" s="598">
        <f t="shared" ref="S27:T27" si="15">EDATE(R27,12)</f>
        <v>50860</v>
      </c>
      <c r="T27" s="598">
        <f t="shared" si="15"/>
        <v>51226</v>
      </c>
      <c r="U27" s="598">
        <f t="shared" ref="U27" si="16">EDATE(T27,12)</f>
        <v>51591</v>
      </c>
      <c r="V27" s="567"/>
      <c r="W27" s="567"/>
      <c r="X27" s="567"/>
      <c r="Y27" s="567"/>
      <c r="Z27" s="567"/>
    </row>
    <row r="28" spans="1:31" ht="14.4">
      <c r="L28" s="683"/>
      <c r="M28" s="683"/>
      <c r="N28" s="683"/>
      <c r="O28" s="683"/>
    </row>
    <row r="29" spans="1:31" ht="14.4">
      <c r="A29" s="683"/>
      <c r="B29" s="696" t="s">
        <v>1214</v>
      </c>
      <c r="C29" s="697"/>
      <c r="D29" s="691"/>
      <c r="E29" s="691"/>
      <c r="F29" s="691"/>
      <c r="G29" s="691"/>
      <c r="H29" s="691"/>
      <c r="I29" s="691"/>
      <c r="J29" s="691"/>
      <c r="K29" s="691"/>
      <c r="L29" s="683"/>
      <c r="M29" s="683"/>
      <c r="N29" s="683"/>
      <c r="O29" s="683"/>
    </row>
    <row r="30" spans="1:31" ht="14.4">
      <c r="A30" s="683"/>
      <c r="B30" s="698" t="s">
        <v>249</v>
      </c>
      <c r="C30" s="699" t="s">
        <v>1413</v>
      </c>
      <c r="D30" s="690">
        <f>J9</f>
        <v>746.52</v>
      </c>
      <c r="E30" s="690">
        <f>D32</f>
        <v>1180.0236482992391</v>
      </c>
      <c r="F30" s="690">
        <f t="shared" ref="F30:U30" si="17">E32</f>
        <v>1180.0236482992391</v>
      </c>
      <c r="G30" s="690">
        <f t="shared" si="17"/>
        <v>1180.0236482992391</v>
      </c>
      <c r="H30" s="690">
        <f t="shared" si="17"/>
        <v>1267.4601585322448</v>
      </c>
      <c r="I30" s="690">
        <f t="shared" si="17"/>
        <v>1267.4601585322448</v>
      </c>
      <c r="J30" s="690">
        <f t="shared" si="17"/>
        <v>1350.4452058093902</v>
      </c>
      <c r="K30" s="690">
        <f t="shared" si="17"/>
        <v>1387.7078103999054</v>
      </c>
      <c r="L30" s="690">
        <f t="shared" si="17"/>
        <v>1444.5824543409533</v>
      </c>
      <c r="M30" s="690">
        <f t="shared" si="17"/>
        <v>1444.5824543409535</v>
      </c>
      <c r="N30" s="690">
        <f t="shared" si="17"/>
        <v>1543.0281915282951</v>
      </c>
      <c r="O30" s="690">
        <f t="shared" si="17"/>
        <v>1576.529953196102</v>
      </c>
      <c r="P30" s="690">
        <f t="shared" si="17"/>
        <v>1636.2483293342023</v>
      </c>
      <c r="Q30" s="690">
        <f t="shared" si="17"/>
        <v>1681.1817904165928</v>
      </c>
      <c r="R30" s="690">
        <f t="shared" si="17"/>
        <v>1715.2239030790417</v>
      </c>
      <c r="S30" s="690">
        <f t="shared" si="17"/>
        <v>1737.9186448540077</v>
      </c>
      <c r="T30" s="690">
        <f t="shared" si="17"/>
        <v>1824.814577096708</v>
      </c>
      <c r="U30" s="690">
        <f t="shared" si="17"/>
        <v>1596.9370469792236</v>
      </c>
    </row>
    <row r="31" spans="1:31" ht="14.4">
      <c r="B31" s="698" t="s">
        <v>1371</v>
      </c>
      <c r="C31" s="699" t="s">
        <v>1413</v>
      </c>
      <c r="D31" s="690">
        <f>'Financials (2)'!N3+'Financials (2)'!N5</f>
        <v>3155.4006019199996</v>
      </c>
      <c r="E31" s="690">
        <f>'Financials (2)'!O3+'Financials (2)'!O5</f>
        <v>3146.7792887999999</v>
      </c>
      <c r="F31" s="690">
        <f>'Financials (2)'!P3+'Financials (2)'!P5</f>
        <v>3146.7792887999999</v>
      </c>
      <c r="G31" s="690">
        <f>'Financials (2)'!Q3+'Financials (2)'!Q5</f>
        <v>3379.9469883479996</v>
      </c>
      <c r="H31" s="690">
        <f>'Financials (2)'!R3+'Financials (2)'!R5</f>
        <v>3389.2071170831996</v>
      </c>
      <c r="I31" s="690">
        <f>'Financials (2)'!S3+'Financials (2)'!S5</f>
        <v>3601.2439330560001</v>
      </c>
      <c r="J31" s="690">
        <f>'Financials (2)'!T3+'Financials (2)'!T5</f>
        <v>3700.6124436288001</v>
      </c>
      <c r="K31" s="690">
        <f>'Financials (2)'!U3+'Financials (2)'!U5</f>
        <v>3852.2805494922</v>
      </c>
      <c r="L31" s="690">
        <f>'Financials (2)'!V3+'Financials (2)'!V5</f>
        <v>3862.8347427784802</v>
      </c>
      <c r="M31" s="690">
        <f>'Financials (2)'!W3+'Financials (2)'!W5</f>
        <v>4114.8066499633806</v>
      </c>
      <c r="N31" s="690">
        <f>'Financials (2)'!X3+'Financials (2)'!X5</f>
        <v>4204.1460881233816</v>
      </c>
      <c r="O31" s="690">
        <f>'Financials (2)'!Y3+'Financials (2)'!Y5</f>
        <v>4363.3975992799506</v>
      </c>
      <c r="P31" s="690">
        <f>'Financials (2)'!Z3+'Financials (2)'!Z5</f>
        <v>4495.5048494691091</v>
      </c>
      <c r="Q31" s="690">
        <f>'Financials (2)'!AA3+'Financials (2)'!AA5</f>
        <v>4574.0024461739486</v>
      </c>
      <c r="R31" s="690">
        <f>'Financials (2)'!AB3+'Financials (2)'!AB5</f>
        <v>4634.5227107339488</v>
      </c>
      <c r="S31" s="690">
        <f>'Financials (2)'!AC3+'Financials (2)'!AC5</f>
        <v>4866.248846270646</v>
      </c>
      <c r="T31" s="690">
        <f>'Financials (2)'!AD3+'Financials (2)'!AD5</f>
        <v>4270.2331656905644</v>
      </c>
      <c r="U31" s="690">
        <f>'Financials (2)'!AE3+'Financials (2)'!AE5</f>
        <v>2077.5097493129183</v>
      </c>
    </row>
    <row r="32" spans="1:31" ht="14.4">
      <c r="A32" s="683"/>
      <c r="B32" s="700" t="s">
        <v>251</v>
      </c>
      <c r="C32" s="701" t="s">
        <v>1413</v>
      </c>
      <c r="D32" s="702">
        <f>D31*($L$11/D26)</f>
        <v>1180.0236482992391</v>
      </c>
      <c r="E32" s="702">
        <f t="shared" ref="E32:U32" si="18">E31*($L$11/E26)</f>
        <v>1180.0236482992391</v>
      </c>
      <c r="F32" s="702">
        <f t="shared" si="18"/>
        <v>1180.0236482992391</v>
      </c>
      <c r="G32" s="702">
        <f t="shared" si="18"/>
        <v>1267.4601585322448</v>
      </c>
      <c r="H32" s="702">
        <f t="shared" si="18"/>
        <v>1267.4601585322448</v>
      </c>
      <c r="I32" s="702">
        <f t="shared" si="18"/>
        <v>1350.4452058093902</v>
      </c>
      <c r="J32" s="702">
        <f t="shared" si="18"/>
        <v>1387.7078103999054</v>
      </c>
      <c r="K32" s="702">
        <f t="shared" si="18"/>
        <v>1444.5824543409533</v>
      </c>
      <c r="L32" s="702">
        <f t="shared" si="18"/>
        <v>1444.5824543409535</v>
      </c>
      <c r="M32" s="702">
        <f t="shared" si="18"/>
        <v>1543.0281915282951</v>
      </c>
      <c r="N32" s="702">
        <f t="shared" si="18"/>
        <v>1576.529953196102</v>
      </c>
      <c r="O32" s="702">
        <f t="shared" si="18"/>
        <v>1636.2483293342023</v>
      </c>
      <c r="P32" s="702">
        <f t="shared" si="18"/>
        <v>1681.1817904165928</v>
      </c>
      <c r="Q32" s="702">
        <f t="shared" si="18"/>
        <v>1715.2239030790417</v>
      </c>
      <c r="R32" s="702">
        <f t="shared" si="18"/>
        <v>1737.9186448540077</v>
      </c>
      <c r="S32" s="702">
        <f t="shared" si="18"/>
        <v>1824.814577096708</v>
      </c>
      <c r="T32" s="702">
        <f t="shared" si="18"/>
        <v>1596.9370469792236</v>
      </c>
      <c r="U32" s="702">
        <f t="shared" si="18"/>
        <v>779.05388613903472</v>
      </c>
    </row>
    <row r="33" spans="1:21" ht="14.4">
      <c r="A33" s="683"/>
      <c r="B33" s="698" t="s">
        <v>1414</v>
      </c>
      <c r="C33" s="699" t="s">
        <v>1413</v>
      </c>
      <c r="D33" s="690">
        <f>D30+D31-D32</f>
        <v>2721.8969536207605</v>
      </c>
      <c r="E33" s="690">
        <f t="shared" ref="E33:U33" si="19">E30+E31-E32</f>
        <v>3146.7792887999999</v>
      </c>
      <c r="F33" s="690">
        <f t="shared" si="19"/>
        <v>3146.7792887999999</v>
      </c>
      <c r="G33" s="690">
        <f t="shared" si="19"/>
        <v>3292.5104781149935</v>
      </c>
      <c r="H33" s="690">
        <f t="shared" si="19"/>
        <v>3389.2071170831991</v>
      </c>
      <c r="I33" s="690">
        <f t="shared" si="19"/>
        <v>3518.2588857788542</v>
      </c>
      <c r="J33" s="690">
        <f t="shared" si="19"/>
        <v>3663.3498390382847</v>
      </c>
      <c r="K33" s="690">
        <f t="shared" si="19"/>
        <v>3795.4059055511516</v>
      </c>
      <c r="L33" s="690">
        <f t="shared" si="19"/>
        <v>3862.8347427784802</v>
      </c>
      <c r="M33" s="690">
        <f t="shared" si="19"/>
        <v>4016.3609127760392</v>
      </c>
      <c r="N33" s="690">
        <f t="shared" si="19"/>
        <v>4170.6443264555746</v>
      </c>
      <c r="O33" s="690">
        <f t="shared" si="19"/>
        <v>4303.6792231418503</v>
      </c>
      <c r="P33" s="690">
        <f t="shared" si="19"/>
        <v>4450.5713883867184</v>
      </c>
      <c r="Q33" s="690">
        <f t="shared" si="19"/>
        <v>4539.9603335114998</v>
      </c>
      <c r="R33" s="690">
        <f t="shared" si="19"/>
        <v>4611.8279689589826</v>
      </c>
      <c r="S33" s="690">
        <f t="shared" si="19"/>
        <v>4779.3529140279461</v>
      </c>
      <c r="T33" s="690">
        <f t="shared" si="19"/>
        <v>4498.1106958080481</v>
      </c>
      <c r="U33" s="690">
        <f t="shared" si="19"/>
        <v>2895.3929101531071</v>
      </c>
    </row>
    <row r="34" spans="1:21" ht="14.4">
      <c r="L34" s="683"/>
      <c r="M34" s="683"/>
      <c r="N34" s="683"/>
      <c r="O34" s="683"/>
    </row>
    <row r="35" spans="1:21" ht="14.4">
      <c r="A35" s="683"/>
      <c r="B35" s="696" t="s">
        <v>1205</v>
      </c>
      <c r="C35" s="697"/>
      <c r="D35" s="703"/>
      <c r="E35" s="691"/>
      <c r="F35" s="691"/>
      <c r="G35" s="691"/>
      <c r="H35" s="691"/>
      <c r="I35" s="691"/>
      <c r="J35" s="691"/>
      <c r="K35" s="691"/>
      <c r="L35" s="683"/>
      <c r="M35" s="683"/>
      <c r="N35" s="683"/>
      <c r="O35" s="683"/>
    </row>
    <row r="36" spans="1:21" ht="14.4">
      <c r="A36" s="683"/>
      <c r="B36" s="698" t="s">
        <v>249</v>
      </c>
      <c r="C36" s="699" t="s">
        <v>1413</v>
      </c>
      <c r="D36" s="690">
        <f>J19</f>
        <v>638.33000000000004</v>
      </c>
      <c r="E36" s="690">
        <f>D38</f>
        <v>745.6834037693194</v>
      </c>
      <c r="F36" s="690">
        <f>E38</f>
        <v>745.68340376931951</v>
      </c>
      <c r="G36" s="690">
        <f t="shared" ref="G36:U36" si="20">F38</f>
        <v>745.68340376931951</v>
      </c>
      <c r="H36" s="690">
        <f t="shared" si="20"/>
        <v>800.93649522916519</v>
      </c>
      <c r="I36" s="690">
        <f t="shared" si="20"/>
        <v>800.93649522916508</v>
      </c>
      <c r="J36" s="690">
        <f t="shared" si="20"/>
        <v>853.37660742926209</v>
      </c>
      <c r="K36" s="690">
        <f t="shared" si="20"/>
        <v>876.92368283271981</v>
      </c>
      <c r="L36" s="690">
        <f t="shared" si="20"/>
        <v>912.86404567481611</v>
      </c>
      <c r="M36" s="690">
        <f t="shared" si="20"/>
        <v>912.86404567481611</v>
      </c>
      <c r="N36" s="690">
        <f t="shared" si="20"/>
        <v>975.07411451389521</v>
      </c>
      <c r="O36" s="690">
        <f t="shared" si="20"/>
        <v>996.24462894275848</v>
      </c>
      <c r="P36" s="690">
        <f t="shared" si="20"/>
        <v>1033.9820099269591</v>
      </c>
      <c r="Q36" s="690">
        <f t="shared" si="20"/>
        <v>1062.3764715560505</v>
      </c>
      <c r="R36" s="690">
        <f t="shared" si="20"/>
        <v>1083.8884458950567</v>
      </c>
      <c r="S36" s="690">
        <f t="shared" si="20"/>
        <v>1098.2297621210607</v>
      </c>
      <c r="T36" s="690">
        <f t="shared" si="20"/>
        <v>1153.1412502271137</v>
      </c>
      <c r="U36" s="690">
        <f t="shared" si="20"/>
        <v>1009.1403291053526</v>
      </c>
    </row>
    <row r="37" spans="1:21" ht="14.4">
      <c r="B37" s="698" t="s">
        <v>1371</v>
      </c>
      <c r="C37" s="699" t="s">
        <v>1413</v>
      </c>
      <c r="D37" s="690">
        <f>'Financials (2)'!N7+'Financials (2)'!N9</f>
        <v>2570.0737902638398</v>
      </c>
      <c r="E37" s="690">
        <f>'Financials (2)'!O7+'Financials (2)'!O9</f>
        <v>2563.0517307276</v>
      </c>
      <c r="F37" s="690">
        <f>'Financials (2)'!P7+'Financials (2)'!P9</f>
        <v>2563.0517307276</v>
      </c>
      <c r="G37" s="690">
        <f>'Financials (2)'!Q7+'Financials (2)'!Q9</f>
        <v>2752.9668220094459</v>
      </c>
      <c r="H37" s="690">
        <f>'Financials (2)'!R7+'Financials (2)'!R9</f>
        <v>2760.509196864266</v>
      </c>
      <c r="I37" s="690">
        <f>'Financials (2)'!S7+'Financials (2)'!S9</f>
        <v>2933.2131834741126</v>
      </c>
      <c r="J37" s="690">
        <f>'Financials (2)'!T7+'Financials (2)'!T9</f>
        <v>3014.1488353356576</v>
      </c>
      <c r="K37" s="690">
        <f>'Financials (2)'!U7+'Financials (2)'!U9</f>
        <v>3137.682507561397</v>
      </c>
      <c r="L37" s="690">
        <f>'Financials (2)'!V7+'Financials (2)'!V9</f>
        <v>3146.2788979930724</v>
      </c>
      <c r="M37" s="690">
        <f>'Financials (2)'!W7+'Financials (2)'!W9</f>
        <v>3351.5100163951738</v>
      </c>
      <c r="N37" s="690">
        <f>'Financials (2)'!X7+'Financials (2)'!X9</f>
        <v>3424.2769887764948</v>
      </c>
      <c r="O37" s="690">
        <f>'Financials (2)'!Y7+'Financials (2)'!Y9</f>
        <v>3553.9873446135198</v>
      </c>
      <c r="P37" s="690">
        <f>'Financials (2)'!Z7+'Financials (2)'!Z9</f>
        <v>3661.5886998925898</v>
      </c>
      <c r="Q37" s="690">
        <f>'Financials (2)'!AA7+'Financials (2)'!AA9</f>
        <v>3725.5249924086816</v>
      </c>
      <c r="R37" s="690">
        <f>'Financials (2)'!AB7+'Financials (2)'!AB9</f>
        <v>3774.8187478928016</v>
      </c>
      <c r="S37" s="690">
        <f>'Financials (2)'!AC7+'Financials (2)'!AC9</f>
        <v>3963.5596852874414</v>
      </c>
      <c r="T37" s="690">
        <f>'Financials (2)'!AD7+'Financials (2)'!AD9</f>
        <v>3478.1049134549648</v>
      </c>
      <c r="U37" s="690">
        <f>'Financials (2)'!AE7+'Financials (2)'!AE9</f>
        <v>1692.1316908153719</v>
      </c>
    </row>
    <row r="38" spans="1:21" ht="14.4">
      <c r="B38" s="700" t="s">
        <v>251</v>
      </c>
      <c r="C38" s="701" t="s">
        <v>1413</v>
      </c>
      <c r="D38" s="702">
        <f>D37*($L$21/D26)</f>
        <v>745.6834037693194</v>
      </c>
      <c r="E38" s="702">
        <f>E37*($L$21/E26)</f>
        <v>745.68340376931951</v>
      </c>
      <c r="F38" s="702">
        <f>F37*($L$21/F26)</f>
        <v>745.68340376931951</v>
      </c>
      <c r="G38" s="702">
        <f t="shared" ref="G38:U38" si="21">G37*($L$21/G26)</f>
        <v>800.93649522916519</v>
      </c>
      <c r="H38" s="702">
        <f t="shared" si="21"/>
        <v>800.93649522916508</v>
      </c>
      <c r="I38" s="702">
        <f t="shared" si="21"/>
        <v>853.37660742926209</v>
      </c>
      <c r="J38" s="702">
        <f t="shared" si="21"/>
        <v>876.92368283271981</v>
      </c>
      <c r="K38" s="702">
        <f t="shared" si="21"/>
        <v>912.86404567481611</v>
      </c>
      <c r="L38" s="702">
        <f t="shared" si="21"/>
        <v>912.86404567481611</v>
      </c>
      <c r="M38" s="702">
        <f t="shared" si="21"/>
        <v>975.07411451389521</v>
      </c>
      <c r="N38" s="702">
        <f t="shared" si="21"/>
        <v>996.24462894275848</v>
      </c>
      <c r="O38" s="702">
        <f t="shared" si="21"/>
        <v>1033.9820099269591</v>
      </c>
      <c r="P38" s="702">
        <f t="shared" si="21"/>
        <v>1062.3764715560505</v>
      </c>
      <c r="Q38" s="702">
        <f t="shared" si="21"/>
        <v>1083.8884458950567</v>
      </c>
      <c r="R38" s="702">
        <f t="shared" si="21"/>
        <v>1098.2297621210607</v>
      </c>
      <c r="S38" s="702">
        <f t="shared" si="21"/>
        <v>1153.1412502271137</v>
      </c>
      <c r="T38" s="702">
        <f t="shared" si="21"/>
        <v>1009.1403291053526</v>
      </c>
      <c r="U38" s="702">
        <f t="shared" si="21"/>
        <v>492.30161986427862</v>
      </c>
    </row>
    <row r="39" spans="1:21" ht="14.4">
      <c r="B39" s="704" t="s">
        <v>1415</v>
      </c>
      <c r="C39" s="699" t="s">
        <v>1413</v>
      </c>
      <c r="D39" s="690">
        <f>D36+D37-D38</f>
        <v>2462.7203864945204</v>
      </c>
      <c r="E39" s="690">
        <f>E36+E37-E38</f>
        <v>2563.0517307275995</v>
      </c>
      <c r="F39" s="690">
        <f>F36+F37-F38</f>
        <v>2563.0517307275995</v>
      </c>
      <c r="G39" s="690">
        <f t="shared" ref="G39:U39" si="22">G36+G37-G38</f>
        <v>2697.7137305495999</v>
      </c>
      <c r="H39" s="690">
        <f t="shared" si="22"/>
        <v>2760.5091968642664</v>
      </c>
      <c r="I39" s="690">
        <f t="shared" si="22"/>
        <v>2880.7730712740154</v>
      </c>
      <c r="J39" s="690">
        <f t="shared" si="22"/>
        <v>2990.6017599321999</v>
      </c>
      <c r="K39" s="690">
        <f t="shared" si="22"/>
        <v>3101.7421447193005</v>
      </c>
      <c r="L39" s="690">
        <f t="shared" si="22"/>
        <v>3146.2788979930724</v>
      </c>
      <c r="M39" s="690">
        <f t="shared" si="22"/>
        <v>3289.2999475560946</v>
      </c>
      <c r="N39" s="690">
        <f t="shared" si="22"/>
        <v>3403.1064743476313</v>
      </c>
      <c r="O39" s="690">
        <f t="shared" si="22"/>
        <v>3516.2499636293187</v>
      </c>
      <c r="P39" s="690">
        <f t="shared" si="22"/>
        <v>3633.1942382634984</v>
      </c>
      <c r="Q39" s="690">
        <f t="shared" si="22"/>
        <v>3704.0130180696751</v>
      </c>
      <c r="R39" s="690">
        <f t="shared" si="22"/>
        <v>3760.4774316667972</v>
      </c>
      <c r="S39" s="690">
        <f t="shared" si="22"/>
        <v>3908.6481971813887</v>
      </c>
      <c r="T39" s="690">
        <f t="shared" si="22"/>
        <v>3622.1058345767265</v>
      </c>
      <c r="U39" s="690">
        <f t="shared" si="22"/>
        <v>2208.9704000564461</v>
      </c>
    </row>
    <row r="40" spans="1:21" ht="14.4">
      <c r="L40" s="683"/>
      <c r="M40" s="683"/>
      <c r="N40" s="683"/>
      <c r="O40" s="683"/>
    </row>
    <row r="41" spans="1:21" ht="14.4">
      <c r="B41" s="696" t="s">
        <v>1409</v>
      </c>
      <c r="C41" s="697"/>
      <c r="L41" s="683"/>
      <c r="M41" s="683"/>
      <c r="N41" s="683"/>
      <c r="O41" s="683"/>
    </row>
    <row r="42" spans="1:21" ht="14.4">
      <c r="B42" s="698" t="s">
        <v>249</v>
      </c>
      <c r="C42" s="699" t="s">
        <v>1416</v>
      </c>
      <c r="D42" s="690">
        <f>J14</f>
        <v>177.60999999999999</v>
      </c>
      <c r="E42" s="690">
        <f>D44</f>
        <v>144.75288558906232</v>
      </c>
      <c r="F42" s="690">
        <f>E44</f>
        <v>144.75288558906234</v>
      </c>
      <c r="G42" s="690">
        <f t="shared" ref="G42:U42" si="23">F44</f>
        <v>144.75288558906234</v>
      </c>
      <c r="H42" s="690">
        <f t="shared" si="23"/>
        <v>155.47867670376345</v>
      </c>
      <c r="I42" s="690">
        <f t="shared" si="23"/>
        <v>155.47867670376343</v>
      </c>
      <c r="J42" s="690">
        <f t="shared" si="23"/>
        <v>165.65840917897685</v>
      </c>
      <c r="K42" s="690">
        <f t="shared" si="23"/>
        <v>170.22939345273733</v>
      </c>
      <c r="L42" s="690">
        <f t="shared" si="23"/>
        <v>177.20617636652301</v>
      </c>
      <c r="M42" s="690">
        <f t="shared" si="23"/>
        <v>177.20617636652304</v>
      </c>
      <c r="N42" s="690">
        <f t="shared" si="23"/>
        <v>189.2824636107228</v>
      </c>
      <c r="O42" s="690">
        <f t="shared" si="23"/>
        <v>193.39210724432425</v>
      </c>
      <c r="P42" s="690">
        <f t="shared" si="23"/>
        <v>200.71772930379913</v>
      </c>
      <c r="Q42" s="690">
        <f t="shared" si="23"/>
        <v>206.22969354329081</v>
      </c>
      <c r="R42" s="690">
        <f t="shared" si="23"/>
        <v>210.40562175162773</v>
      </c>
      <c r="S42" s="690">
        <f t="shared" si="23"/>
        <v>213.189573890519</v>
      </c>
      <c r="T42" s="690">
        <f t="shared" si="23"/>
        <v>223.84905258504494</v>
      </c>
      <c r="U42" s="690">
        <f t="shared" si="23"/>
        <v>195.89543479699742</v>
      </c>
    </row>
    <row r="43" spans="1:21" ht="14.4">
      <c r="B43" s="698" t="s">
        <v>1371</v>
      </c>
      <c r="C43" s="699" t="s">
        <v>1416</v>
      </c>
      <c r="D43" s="690">
        <f>D37</f>
        <v>2570.0737902638398</v>
      </c>
      <c r="E43" s="690">
        <f>E37</f>
        <v>2563.0517307276</v>
      </c>
      <c r="F43" s="690">
        <f>F37</f>
        <v>2563.0517307276</v>
      </c>
      <c r="G43" s="690">
        <f t="shared" ref="G43:U43" si="24">G37</f>
        <v>2752.9668220094459</v>
      </c>
      <c r="H43" s="690">
        <f t="shared" si="24"/>
        <v>2760.509196864266</v>
      </c>
      <c r="I43" s="690">
        <f t="shared" si="24"/>
        <v>2933.2131834741126</v>
      </c>
      <c r="J43" s="690">
        <f t="shared" si="24"/>
        <v>3014.1488353356576</v>
      </c>
      <c r="K43" s="690">
        <f t="shared" si="24"/>
        <v>3137.682507561397</v>
      </c>
      <c r="L43" s="690">
        <f t="shared" si="24"/>
        <v>3146.2788979930724</v>
      </c>
      <c r="M43" s="690">
        <f t="shared" si="24"/>
        <v>3351.5100163951738</v>
      </c>
      <c r="N43" s="690">
        <f t="shared" si="24"/>
        <v>3424.2769887764948</v>
      </c>
      <c r="O43" s="690">
        <f t="shared" si="24"/>
        <v>3553.9873446135198</v>
      </c>
      <c r="P43" s="690">
        <f t="shared" si="24"/>
        <v>3661.5886998925898</v>
      </c>
      <c r="Q43" s="690">
        <f t="shared" si="24"/>
        <v>3725.5249924086816</v>
      </c>
      <c r="R43" s="690">
        <f t="shared" si="24"/>
        <v>3774.8187478928016</v>
      </c>
      <c r="S43" s="690">
        <f t="shared" si="24"/>
        <v>3963.5596852874414</v>
      </c>
      <c r="T43" s="690">
        <f t="shared" si="24"/>
        <v>3478.1049134549648</v>
      </c>
      <c r="U43" s="690">
        <f t="shared" si="24"/>
        <v>1692.1316908153719</v>
      </c>
    </row>
    <row r="44" spans="1:21" ht="14.4">
      <c r="B44" s="700" t="s">
        <v>251</v>
      </c>
      <c r="C44" s="701" t="s">
        <v>1416</v>
      </c>
      <c r="D44" s="702">
        <f>D43*($L$16/D26)</f>
        <v>144.75288558906232</v>
      </c>
      <c r="E44" s="702">
        <f>E43*($L$16/E26)</f>
        <v>144.75288558906234</v>
      </c>
      <c r="F44" s="702">
        <f>F43*($L$16/F26)</f>
        <v>144.75288558906234</v>
      </c>
      <c r="G44" s="702">
        <f t="shared" ref="G44:U44" si="25">G43*($L$16/G26)</f>
        <v>155.47867670376345</v>
      </c>
      <c r="H44" s="702">
        <f t="shared" si="25"/>
        <v>155.47867670376343</v>
      </c>
      <c r="I44" s="702">
        <f t="shared" si="25"/>
        <v>165.65840917897685</v>
      </c>
      <c r="J44" s="702">
        <f t="shared" si="25"/>
        <v>170.22939345273733</v>
      </c>
      <c r="K44" s="702">
        <f t="shared" si="25"/>
        <v>177.20617636652301</v>
      </c>
      <c r="L44" s="702">
        <f t="shared" si="25"/>
        <v>177.20617636652304</v>
      </c>
      <c r="M44" s="702">
        <f t="shared" si="25"/>
        <v>189.2824636107228</v>
      </c>
      <c r="N44" s="702">
        <f t="shared" si="25"/>
        <v>193.39210724432425</v>
      </c>
      <c r="O44" s="702">
        <f t="shared" si="25"/>
        <v>200.71772930379913</v>
      </c>
      <c r="P44" s="702">
        <f t="shared" si="25"/>
        <v>206.22969354329081</v>
      </c>
      <c r="Q44" s="702">
        <f t="shared" si="25"/>
        <v>210.40562175162773</v>
      </c>
      <c r="R44" s="702">
        <f t="shared" si="25"/>
        <v>213.189573890519</v>
      </c>
      <c r="S44" s="702">
        <f t="shared" si="25"/>
        <v>223.84905258504494</v>
      </c>
      <c r="T44" s="702">
        <f t="shared" si="25"/>
        <v>195.89543479699742</v>
      </c>
      <c r="U44" s="702">
        <f t="shared" si="25"/>
        <v>95.566133958868718</v>
      </c>
    </row>
    <row r="45" spans="1:21" ht="14.4">
      <c r="B45" s="698" t="s">
        <v>1417</v>
      </c>
      <c r="C45" s="699" t="s">
        <v>1416</v>
      </c>
      <c r="D45" s="690">
        <f>D42+D43-D44</f>
        <v>2602.9309046747776</v>
      </c>
      <c r="E45" s="690">
        <f>E42+E43-E44</f>
        <v>2563.0517307276</v>
      </c>
      <c r="F45" s="690">
        <f>F42+F43-F44</f>
        <v>2563.0517307276</v>
      </c>
      <c r="G45" s="690">
        <f t="shared" ref="G45:U45" si="26">G42+G43-G44</f>
        <v>2742.2410308947447</v>
      </c>
      <c r="H45" s="690">
        <f t="shared" si="26"/>
        <v>2760.509196864266</v>
      </c>
      <c r="I45" s="690">
        <f t="shared" si="26"/>
        <v>2923.0334509988993</v>
      </c>
      <c r="J45" s="690">
        <f t="shared" si="26"/>
        <v>3009.577851061897</v>
      </c>
      <c r="K45" s="690">
        <f t="shared" si="26"/>
        <v>3130.7057246476115</v>
      </c>
      <c r="L45" s="690">
        <f t="shared" si="26"/>
        <v>3146.2788979930724</v>
      </c>
      <c r="M45" s="690">
        <f t="shared" si="26"/>
        <v>3339.4337291509737</v>
      </c>
      <c r="N45" s="690">
        <f t="shared" si="26"/>
        <v>3420.1673451428937</v>
      </c>
      <c r="O45" s="690">
        <f t="shared" si="26"/>
        <v>3546.6617225540449</v>
      </c>
      <c r="P45" s="690">
        <f t="shared" si="26"/>
        <v>3656.0767356530978</v>
      </c>
      <c r="Q45" s="690">
        <f t="shared" si="26"/>
        <v>3721.3490642003449</v>
      </c>
      <c r="R45" s="690">
        <f t="shared" si="26"/>
        <v>3772.0347957539102</v>
      </c>
      <c r="S45" s="690">
        <f t="shared" si="26"/>
        <v>3952.9002065929153</v>
      </c>
      <c r="T45" s="690">
        <f t="shared" si="26"/>
        <v>3506.0585312430121</v>
      </c>
      <c r="U45" s="690">
        <f t="shared" si="26"/>
        <v>1792.4609916535007</v>
      </c>
    </row>
    <row r="46" spans="1:21" ht="14.4">
      <c r="L46" s="683"/>
      <c r="M46" s="683"/>
      <c r="N46" s="683"/>
      <c r="O46" s="683"/>
    </row>
    <row r="47" spans="1:21" ht="14.4">
      <c r="B47" s="696" t="s">
        <v>1426</v>
      </c>
      <c r="C47" s="701" t="s">
        <v>1416</v>
      </c>
      <c r="D47" s="705">
        <f>D32+D44-D38</f>
        <v>579.093130118982</v>
      </c>
      <c r="E47" s="705">
        <f>E32+E44-E38</f>
        <v>579.09313011898189</v>
      </c>
      <c r="F47" s="705">
        <f>F32+F44-F38</f>
        <v>579.09313011898189</v>
      </c>
      <c r="G47" s="705">
        <f t="shared" ref="G47:U47" si="27">G32+G44-G38</f>
        <v>622.00234000684316</v>
      </c>
      <c r="H47" s="705">
        <f t="shared" si="27"/>
        <v>622.00234000684327</v>
      </c>
      <c r="I47" s="705">
        <f t="shared" si="27"/>
        <v>662.727007559105</v>
      </c>
      <c r="J47" s="705">
        <f t="shared" si="27"/>
        <v>681.01352101992279</v>
      </c>
      <c r="K47" s="705">
        <f t="shared" si="27"/>
        <v>708.92458503266027</v>
      </c>
      <c r="L47" s="705">
        <f t="shared" si="27"/>
        <v>708.9245850326605</v>
      </c>
      <c r="M47" s="705">
        <f t="shared" si="27"/>
        <v>757.23654062512264</v>
      </c>
      <c r="N47" s="705">
        <f t="shared" si="27"/>
        <v>773.67743149766784</v>
      </c>
      <c r="O47" s="705">
        <f t="shared" si="27"/>
        <v>802.98404871104231</v>
      </c>
      <c r="P47" s="705">
        <f t="shared" si="27"/>
        <v>825.03501240383298</v>
      </c>
      <c r="Q47" s="705">
        <f t="shared" si="27"/>
        <v>841.74107893561268</v>
      </c>
      <c r="R47" s="705">
        <f t="shared" si="27"/>
        <v>852.87845662346604</v>
      </c>
      <c r="S47" s="705">
        <f t="shared" si="27"/>
        <v>895.52237945463912</v>
      </c>
      <c r="T47" s="705">
        <f t="shared" si="27"/>
        <v>783.6921526708685</v>
      </c>
      <c r="U47" s="705">
        <f t="shared" si="27"/>
        <v>382.3184002336248</v>
      </c>
    </row>
    <row r="48" spans="1:21" ht="14.4">
      <c r="B48" s="706"/>
      <c r="C48" s="697"/>
      <c r="D48" s="683"/>
      <c r="E48" s="683"/>
      <c r="F48" s="683"/>
      <c r="G48" s="683"/>
      <c r="H48" s="683"/>
      <c r="I48" s="683"/>
      <c r="J48" s="683"/>
      <c r="K48" s="683"/>
      <c r="L48" s="683"/>
      <c r="M48" s="683"/>
      <c r="N48" s="683"/>
      <c r="O48" s="683"/>
    </row>
    <row r="49" spans="2:21" ht="14.4">
      <c r="B49" s="696" t="s">
        <v>1418</v>
      </c>
      <c r="C49" s="701" t="s">
        <v>1416</v>
      </c>
      <c r="D49" s="705">
        <f>D47-J23</f>
        <v>293.29313011898205</v>
      </c>
      <c r="E49" s="705">
        <f>E47-D47</f>
        <v>0</v>
      </c>
      <c r="F49" s="705">
        <f t="shared" ref="F49:U49" si="28">F47-E47</f>
        <v>0</v>
      </c>
      <c r="G49" s="705">
        <f t="shared" si="28"/>
        <v>42.909209887861266</v>
      </c>
      <c r="H49" s="705">
        <f t="shared" si="28"/>
        <v>0</v>
      </c>
      <c r="I49" s="705">
        <f t="shared" si="28"/>
        <v>40.724667552261735</v>
      </c>
      <c r="J49" s="705">
        <f t="shared" si="28"/>
        <v>18.286513460817787</v>
      </c>
      <c r="K49" s="705">
        <f t="shared" si="28"/>
        <v>27.911064012737484</v>
      </c>
      <c r="L49" s="705">
        <f t="shared" si="28"/>
        <v>0</v>
      </c>
      <c r="M49" s="705">
        <f t="shared" si="28"/>
        <v>48.311955592462141</v>
      </c>
      <c r="N49" s="705">
        <f t="shared" si="28"/>
        <v>16.440890872545197</v>
      </c>
      <c r="O49" s="705">
        <f t="shared" si="28"/>
        <v>29.306617213374466</v>
      </c>
      <c r="P49" s="705">
        <f t="shared" si="28"/>
        <v>22.050963692790674</v>
      </c>
      <c r="Q49" s="705">
        <f t="shared" si="28"/>
        <v>16.706066531779697</v>
      </c>
      <c r="R49" s="705">
        <f t="shared" si="28"/>
        <v>11.137377687853359</v>
      </c>
      <c r="S49" s="705">
        <f t="shared" si="28"/>
        <v>42.643922831173086</v>
      </c>
      <c r="T49" s="705">
        <f t="shared" si="28"/>
        <v>-111.83022678377063</v>
      </c>
      <c r="U49" s="705">
        <f t="shared" si="28"/>
        <v>-401.3737524372437</v>
      </c>
    </row>
    <row r="50" spans="2:21" ht="14.4">
      <c r="L50" s="683"/>
      <c r="M50" s="683"/>
      <c r="N50" s="683"/>
      <c r="O50" s="683"/>
    </row>
    <row r="51" spans="2:21" ht="14.4">
      <c r="L51" s="683"/>
      <c r="M51" s="683"/>
      <c r="N51" s="683"/>
      <c r="O51" s="683"/>
    </row>
    <row r="52" spans="2:21" ht="14.4">
      <c r="L52" s="683"/>
      <c r="M52" s="683"/>
      <c r="N52" s="683"/>
      <c r="O52" s="683"/>
    </row>
    <row r="53" spans="2:21" ht="14.4">
      <c r="L53" s="683"/>
      <c r="M53" s="683"/>
      <c r="N53" s="683"/>
      <c r="O53" s="683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16"/>
  <sheetViews>
    <sheetView showGridLines="0" topLeftCell="B79" zoomScaleNormal="100" workbookViewId="0">
      <selection activeCell="D101" sqref="D101"/>
    </sheetView>
  </sheetViews>
  <sheetFormatPr defaultColWidth="9.109375" defaultRowHeight="14.4" outlineLevelRow="1"/>
  <cols>
    <col min="1" max="1" width="26" style="628" bestFit="1" customWidth="1"/>
    <col min="2" max="2" width="41.77734375" style="628" customWidth="1"/>
    <col min="3" max="3" width="33.109375" style="628" bestFit="1" customWidth="1"/>
    <col min="4" max="5" width="17.6640625" style="628" bestFit="1" customWidth="1"/>
    <col min="6" max="7" width="14.44140625" style="628" bestFit="1" customWidth="1"/>
    <col min="8" max="8" width="14" style="628" bestFit="1" customWidth="1"/>
    <col min="9" max="9" width="14.6640625" style="628" bestFit="1" customWidth="1"/>
    <col min="10" max="10" width="19.44140625" style="628" bestFit="1" customWidth="1"/>
    <col min="11" max="11" width="12.44140625" style="628" bestFit="1" customWidth="1"/>
    <col min="12" max="19" width="19.44140625" style="628" bestFit="1" customWidth="1"/>
    <col min="20" max="20" width="13.109375" style="628" customWidth="1"/>
    <col min="21" max="21" width="11.5546875" style="628" customWidth="1"/>
    <col min="22" max="22" width="12.88671875" style="628" customWidth="1"/>
    <col min="23" max="24" width="8.109375" style="628" bestFit="1" customWidth="1"/>
    <col min="25" max="32" width="8.109375" style="628" customWidth="1"/>
    <col min="33" max="16384" width="9.109375" style="628"/>
  </cols>
  <sheetData>
    <row r="1" spans="1:22" outlineLevel="1">
      <c r="A1" s="628" t="s">
        <v>1365</v>
      </c>
      <c r="D1" s="629">
        <f>[412]Assumptions!M3</f>
        <v>365</v>
      </c>
      <c r="E1" s="628">
        <f>E3-D3</f>
        <v>366</v>
      </c>
      <c r="F1" s="628">
        <f>F3-E3</f>
        <v>365</v>
      </c>
      <c r="G1" s="628">
        <f>G3-F3</f>
        <v>365</v>
      </c>
      <c r="H1" s="628">
        <f>H3-G3</f>
        <v>365</v>
      </c>
      <c r="I1" s="628">
        <f>I3-H3</f>
        <v>366</v>
      </c>
      <c r="J1" s="628">
        <f t="shared" ref="J1:V1" si="0">J3-I3</f>
        <v>365</v>
      </c>
      <c r="K1" s="628">
        <f t="shared" si="0"/>
        <v>365</v>
      </c>
      <c r="L1" s="628">
        <f t="shared" si="0"/>
        <v>365</v>
      </c>
      <c r="M1" s="628">
        <f t="shared" si="0"/>
        <v>366</v>
      </c>
      <c r="N1" s="628">
        <f t="shared" si="0"/>
        <v>365</v>
      </c>
      <c r="O1" s="628">
        <f t="shared" si="0"/>
        <v>365</v>
      </c>
      <c r="P1" s="628">
        <f t="shared" si="0"/>
        <v>365</v>
      </c>
      <c r="Q1" s="628">
        <f t="shared" si="0"/>
        <v>366</v>
      </c>
      <c r="R1" s="628">
        <f t="shared" si="0"/>
        <v>365</v>
      </c>
      <c r="S1" s="628">
        <f t="shared" si="0"/>
        <v>365</v>
      </c>
      <c r="T1" s="628">
        <f t="shared" si="0"/>
        <v>365</v>
      </c>
      <c r="U1" s="628">
        <f t="shared" si="0"/>
        <v>366</v>
      </c>
      <c r="V1" s="628">
        <f t="shared" si="0"/>
        <v>365</v>
      </c>
    </row>
    <row r="2" spans="1:22" outlineLevel="1">
      <c r="A2" s="628" t="s">
        <v>1366</v>
      </c>
      <c r="B2" s="628">
        <f>SUM(D1:S1)</f>
        <v>5844</v>
      </c>
      <c r="D2" s="629"/>
    </row>
    <row r="3" spans="1:22">
      <c r="A3" s="630" t="s">
        <v>1367</v>
      </c>
      <c r="B3" s="630" t="s">
        <v>1368</v>
      </c>
      <c r="D3" s="631">
        <v>45016</v>
      </c>
      <c r="E3" s="632">
        <f>EDATE(D3,12)</f>
        <v>45382</v>
      </c>
      <c r="F3" s="632">
        <f>EDATE(E3,12)</f>
        <v>45747</v>
      </c>
      <c r="G3" s="632">
        <f>EDATE(F3,12)</f>
        <v>46112</v>
      </c>
      <c r="H3" s="632">
        <f>EDATE(G3,12)</f>
        <v>46477</v>
      </c>
      <c r="I3" s="632">
        <f>EDATE(H3,12)</f>
        <v>46843</v>
      </c>
      <c r="J3" s="632">
        <f t="shared" ref="J3:Q3" si="1">EDATE(I3,12)</f>
        <v>47208</v>
      </c>
      <c r="K3" s="632">
        <f t="shared" si="1"/>
        <v>47573</v>
      </c>
      <c r="L3" s="632">
        <f t="shared" si="1"/>
        <v>47938</v>
      </c>
      <c r="M3" s="632">
        <f t="shared" si="1"/>
        <v>48304</v>
      </c>
      <c r="N3" s="632">
        <f t="shared" si="1"/>
        <v>48669</v>
      </c>
      <c r="O3" s="632">
        <f t="shared" si="1"/>
        <v>49034</v>
      </c>
      <c r="P3" s="632">
        <f t="shared" si="1"/>
        <v>49399</v>
      </c>
      <c r="Q3" s="632">
        <f t="shared" si="1"/>
        <v>49765</v>
      </c>
      <c r="R3" s="632">
        <f>EDATE(Q3,12)</f>
        <v>50130</v>
      </c>
      <c r="S3" s="632">
        <f>EDATE(R3,12)</f>
        <v>50495</v>
      </c>
      <c r="T3" s="632">
        <f>EDATE(S3,12)</f>
        <v>50860</v>
      </c>
      <c r="U3" s="632">
        <f>EDATE(T3,12)</f>
        <v>51226</v>
      </c>
      <c r="V3" s="632">
        <f>EDATE(U3,12)</f>
        <v>51591</v>
      </c>
    </row>
    <row r="4" spans="1:22">
      <c r="A4" s="630" t="s">
        <v>1369</v>
      </c>
      <c r="C4" s="633" t="s">
        <v>1370</v>
      </c>
      <c r="D4" s="629"/>
    </row>
    <row r="5" spans="1:22">
      <c r="C5" s="628" t="s">
        <v>980</v>
      </c>
      <c r="D5" s="634">
        <v>162.02000000000001</v>
      </c>
      <c r="E5" s="635">
        <f>D5+D6-D7</f>
        <v>162.02000000000001</v>
      </c>
      <c r="F5" s="635">
        <f>E5+E6-E7</f>
        <v>162.02000000000001</v>
      </c>
      <c r="G5" s="635">
        <f>F5+F6-F7</f>
        <v>162.02000000000001</v>
      </c>
      <c r="H5" s="635">
        <f>G5+G6-G7</f>
        <v>162.02000000000001</v>
      </c>
      <c r="I5" s="635">
        <f>H5+H6-H7</f>
        <v>162.02000000000001</v>
      </c>
      <c r="J5" s="635">
        <f t="shared" ref="J5:V5" si="2">I5+I6-I7</f>
        <v>162.02000000000001</v>
      </c>
      <c r="K5" s="635">
        <f t="shared" si="2"/>
        <v>162.02000000000001</v>
      </c>
      <c r="L5" s="635">
        <f t="shared" si="2"/>
        <v>162.02000000000001</v>
      </c>
      <c r="M5" s="635">
        <f t="shared" si="2"/>
        <v>162.02000000000001</v>
      </c>
      <c r="N5" s="635">
        <f t="shared" si="2"/>
        <v>162.02000000000001</v>
      </c>
      <c r="O5" s="635">
        <f t="shared" si="2"/>
        <v>162.02000000000001</v>
      </c>
      <c r="P5" s="635">
        <f t="shared" si="2"/>
        <v>162.02000000000001</v>
      </c>
      <c r="Q5" s="635">
        <f t="shared" si="2"/>
        <v>162.02000000000001</v>
      </c>
      <c r="R5" s="635">
        <f t="shared" si="2"/>
        <v>162.02000000000001</v>
      </c>
      <c r="S5" s="635">
        <f t="shared" si="2"/>
        <v>162.02000000000001</v>
      </c>
      <c r="T5" s="635">
        <f t="shared" si="2"/>
        <v>162.02000000000001</v>
      </c>
      <c r="U5" s="635">
        <f t="shared" si="2"/>
        <v>162.02000000000001</v>
      </c>
      <c r="V5" s="635">
        <f t="shared" si="2"/>
        <v>162.02000000000001</v>
      </c>
    </row>
    <row r="6" spans="1:22">
      <c r="C6" s="628" t="s">
        <v>1371</v>
      </c>
      <c r="D6" s="636"/>
      <c r="E6" s="637"/>
      <c r="F6" s="637"/>
      <c r="G6" s="637"/>
      <c r="H6" s="637"/>
      <c r="I6" s="637"/>
    </row>
    <row r="7" spans="1:22">
      <c r="C7" s="628" t="s">
        <v>1372</v>
      </c>
      <c r="D7" s="636"/>
      <c r="E7" s="637"/>
      <c r="F7" s="637"/>
      <c r="G7" s="637"/>
      <c r="H7" s="637"/>
      <c r="I7" s="637"/>
    </row>
    <row r="8" spans="1:22">
      <c r="C8" s="628" t="s">
        <v>93</v>
      </c>
      <c r="D8" s="636"/>
      <c r="E8" s="637"/>
      <c r="F8" s="637"/>
      <c r="G8" s="637"/>
      <c r="H8" s="637"/>
      <c r="I8" s="637"/>
    </row>
    <row r="9" spans="1:22">
      <c r="C9" s="628" t="s">
        <v>1373</v>
      </c>
      <c r="D9" s="636"/>
      <c r="E9" s="637"/>
      <c r="F9" s="637"/>
      <c r="G9" s="637"/>
      <c r="H9" s="637"/>
      <c r="I9" s="637"/>
    </row>
    <row r="10" spans="1:22">
      <c r="C10" s="628" t="s">
        <v>190</v>
      </c>
      <c r="D10" s="638"/>
      <c r="E10" s="639"/>
      <c r="F10" s="639"/>
      <c r="G10" s="639"/>
      <c r="H10" s="639"/>
      <c r="I10" s="639"/>
    </row>
    <row r="11" spans="1:22">
      <c r="C11" s="628" t="s">
        <v>191</v>
      </c>
      <c r="D11" s="640">
        <f t="shared" ref="D11:V11" si="3">D5</f>
        <v>162.02000000000001</v>
      </c>
      <c r="E11" s="641">
        <f t="shared" si="3"/>
        <v>162.02000000000001</v>
      </c>
      <c r="F11" s="641">
        <f t="shared" si="3"/>
        <v>162.02000000000001</v>
      </c>
      <c r="G11" s="641">
        <f t="shared" si="3"/>
        <v>162.02000000000001</v>
      </c>
      <c r="H11" s="641">
        <f t="shared" si="3"/>
        <v>162.02000000000001</v>
      </c>
      <c r="I11" s="641">
        <f t="shared" si="3"/>
        <v>162.02000000000001</v>
      </c>
      <c r="J11" s="641">
        <f t="shared" si="3"/>
        <v>162.02000000000001</v>
      </c>
      <c r="K11" s="641">
        <f t="shared" si="3"/>
        <v>162.02000000000001</v>
      </c>
      <c r="L11" s="641">
        <f t="shared" si="3"/>
        <v>162.02000000000001</v>
      </c>
      <c r="M11" s="641">
        <f t="shared" si="3"/>
        <v>162.02000000000001</v>
      </c>
      <c r="N11" s="641">
        <f t="shared" si="3"/>
        <v>162.02000000000001</v>
      </c>
      <c r="O11" s="641">
        <f t="shared" si="3"/>
        <v>162.02000000000001</v>
      </c>
      <c r="P11" s="641">
        <f t="shared" si="3"/>
        <v>162.02000000000001</v>
      </c>
      <c r="Q11" s="641">
        <f t="shared" si="3"/>
        <v>162.02000000000001</v>
      </c>
      <c r="R11" s="641">
        <f t="shared" si="3"/>
        <v>162.02000000000001</v>
      </c>
      <c r="S11" s="641">
        <f t="shared" si="3"/>
        <v>162.02000000000001</v>
      </c>
      <c r="T11" s="641">
        <f t="shared" si="3"/>
        <v>162.02000000000001</v>
      </c>
      <c r="U11" s="641">
        <f t="shared" si="3"/>
        <v>162.02000000000001</v>
      </c>
      <c r="V11" s="641">
        <f t="shared" si="3"/>
        <v>162.02000000000001</v>
      </c>
    </row>
    <row r="12" spans="1:22">
      <c r="D12" s="642"/>
      <c r="E12" s="643"/>
      <c r="F12" s="643"/>
      <c r="G12" s="643"/>
      <c r="H12" s="643"/>
      <c r="I12" s="643"/>
    </row>
    <row r="13" spans="1:22">
      <c r="C13" s="633" t="s">
        <v>1374</v>
      </c>
      <c r="D13" s="629"/>
    </row>
    <row r="14" spans="1:22">
      <c r="A14" s="644">
        <v>0.05</v>
      </c>
      <c r="C14" s="628" t="s">
        <v>980</v>
      </c>
      <c r="D14" s="634">
        <v>151.55000000000001</v>
      </c>
      <c r="E14" s="635">
        <f>SUM(D14,D15,D16)</f>
        <v>151.55000000000001</v>
      </c>
      <c r="F14" s="635">
        <f>SUM(E14,E15,E16)</f>
        <v>151.55000000000001</v>
      </c>
      <c r="G14" s="635">
        <f>SUM(F14,F15,F16)</f>
        <v>151.55000000000001</v>
      </c>
      <c r="H14" s="635">
        <f>SUM(G14,G15,G16)</f>
        <v>151.55000000000001</v>
      </c>
      <c r="I14" s="635">
        <f>SUM(H14,H15,H16)</f>
        <v>151.55000000000001</v>
      </c>
      <c r="J14" s="635">
        <f t="shared" ref="J14:V14" si="4">SUM(I14,I15,I16)</f>
        <v>151.55000000000001</v>
      </c>
      <c r="K14" s="635">
        <f t="shared" si="4"/>
        <v>151.55000000000001</v>
      </c>
      <c r="L14" s="635">
        <f t="shared" si="4"/>
        <v>151.55000000000001</v>
      </c>
      <c r="M14" s="635">
        <f t="shared" si="4"/>
        <v>151.55000000000001</v>
      </c>
      <c r="N14" s="635">
        <f t="shared" si="4"/>
        <v>151.55000000000001</v>
      </c>
      <c r="O14" s="635">
        <f t="shared" si="4"/>
        <v>151.55000000000001</v>
      </c>
      <c r="P14" s="635">
        <f t="shared" si="4"/>
        <v>151.55000000000001</v>
      </c>
      <c r="Q14" s="635">
        <f t="shared" si="4"/>
        <v>151.55000000000001</v>
      </c>
      <c r="R14" s="635">
        <f t="shared" si="4"/>
        <v>151.55000000000001</v>
      </c>
      <c r="S14" s="635">
        <f t="shared" si="4"/>
        <v>151.55000000000001</v>
      </c>
      <c r="T14" s="635">
        <f t="shared" si="4"/>
        <v>151.55000000000001</v>
      </c>
      <c r="U14" s="635">
        <f t="shared" si="4"/>
        <v>151.55000000000001</v>
      </c>
      <c r="V14" s="635">
        <f t="shared" si="4"/>
        <v>151.55000000000001</v>
      </c>
    </row>
    <row r="15" spans="1:22">
      <c r="A15" s="644"/>
      <c r="B15" s="637">
        <v>30</v>
      </c>
      <c r="C15" s="628" t="s">
        <v>1371</v>
      </c>
      <c r="D15" s="636"/>
      <c r="E15" s="637"/>
      <c r="F15" s="637"/>
      <c r="G15" s="637"/>
      <c r="H15" s="637"/>
      <c r="I15" s="637"/>
      <c r="J15" s="637"/>
      <c r="K15" s="637"/>
      <c r="L15" s="637"/>
      <c r="M15" s="637"/>
      <c r="N15" s="637"/>
      <c r="O15" s="637"/>
      <c r="P15" s="637"/>
      <c r="Q15" s="654"/>
      <c r="R15" s="637"/>
      <c r="S15" s="637"/>
      <c r="T15" s="637"/>
      <c r="U15" s="637"/>
      <c r="V15" s="637"/>
    </row>
    <row r="16" spans="1:22">
      <c r="B16" s="645">
        <f>1/B15</f>
        <v>3.3333333333333333E-2</v>
      </c>
      <c r="C16" s="628" t="s">
        <v>1372</v>
      </c>
      <c r="D16" s="636"/>
      <c r="E16" s="637"/>
      <c r="F16" s="637"/>
      <c r="G16" s="637"/>
      <c r="H16" s="637"/>
      <c r="I16" s="637"/>
      <c r="J16" s="637"/>
      <c r="K16" s="637"/>
      <c r="L16" s="637"/>
      <c r="M16" s="637"/>
      <c r="N16" s="637"/>
      <c r="O16" s="637"/>
      <c r="P16" s="637"/>
      <c r="Q16" s="637"/>
      <c r="R16" s="637"/>
      <c r="S16" s="637"/>
      <c r="T16" s="637"/>
      <c r="U16" s="637"/>
      <c r="V16" s="637"/>
    </row>
    <row r="17" spans="1:22">
      <c r="C17" s="628" t="s">
        <v>93</v>
      </c>
      <c r="D17" s="636">
        <v>7.25</v>
      </c>
      <c r="E17" s="637">
        <f>(E14*(1-$A$14))*$B$16</f>
        <v>4.7990833333333329</v>
      </c>
      <c r="F17" s="637">
        <f t="shared" ref="F17:P17" si="5">(F14*(1-$A$14))*$B$16</f>
        <v>4.7990833333333329</v>
      </c>
      <c r="G17" s="637">
        <f t="shared" si="5"/>
        <v>4.7990833333333329</v>
      </c>
      <c r="H17" s="637">
        <f t="shared" si="5"/>
        <v>4.7990833333333329</v>
      </c>
      <c r="I17" s="637">
        <f t="shared" si="5"/>
        <v>4.7990833333333329</v>
      </c>
      <c r="J17" s="637">
        <f t="shared" si="5"/>
        <v>4.7990833333333329</v>
      </c>
      <c r="K17" s="637">
        <f t="shared" si="5"/>
        <v>4.7990833333333329</v>
      </c>
      <c r="L17" s="637">
        <f t="shared" si="5"/>
        <v>4.7990833333333329</v>
      </c>
      <c r="M17" s="637">
        <f t="shared" si="5"/>
        <v>4.7990833333333329</v>
      </c>
      <c r="N17" s="637">
        <f t="shared" si="5"/>
        <v>4.7990833333333329</v>
      </c>
      <c r="O17" s="637">
        <f t="shared" si="5"/>
        <v>4.7990833333333329</v>
      </c>
      <c r="P17" s="637">
        <f t="shared" si="5"/>
        <v>4.7990833333333329</v>
      </c>
      <c r="Q17" s="654">
        <f>(Q14*(1-$A$14))*$B$16</f>
        <v>4.7990833333333329</v>
      </c>
      <c r="R17" s="654">
        <f t="shared" ref="R17:V17" si="6">(R14*(1-$A$14))*$B$16</f>
        <v>4.7990833333333329</v>
      </c>
      <c r="S17" s="654">
        <f t="shared" si="6"/>
        <v>4.7990833333333329</v>
      </c>
      <c r="T17" s="654">
        <f t="shared" si="6"/>
        <v>4.7990833333333329</v>
      </c>
      <c r="U17" s="654">
        <f t="shared" si="6"/>
        <v>4.7990833333333329</v>
      </c>
      <c r="V17" s="654">
        <f t="shared" si="6"/>
        <v>4.7990833333333329</v>
      </c>
    </row>
    <row r="18" spans="1:22">
      <c r="C18" s="628" t="s">
        <v>1373</v>
      </c>
      <c r="D18" s="636"/>
      <c r="E18" s="637"/>
      <c r="F18" s="637"/>
      <c r="G18" s="637"/>
      <c r="H18" s="637"/>
      <c r="I18" s="637"/>
      <c r="J18" s="637"/>
      <c r="K18" s="637"/>
      <c r="L18" s="637"/>
      <c r="M18" s="637"/>
      <c r="N18" s="637"/>
      <c r="O18" s="637"/>
      <c r="P18" s="637"/>
      <c r="Q18" s="637"/>
      <c r="R18" s="637"/>
      <c r="S18" s="637"/>
      <c r="T18" s="637"/>
      <c r="U18" s="637"/>
      <c r="V18" s="637"/>
    </row>
    <row r="19" spans="1:22">
      <c r="C19" s="628" t="s">
        <v>190</v>
      </c>
      <c r="D19" s="638">
        <v>63.32</v>
      </c>
      <c r="E19" s="639">
        <f>E17+D19+E18-E16</f>
        <v>68.119083333333336</v>
      </c>
      <c r="F19" s="639">
        <f>F17+E19+F18-F16</f>
        <v>72.918166666666664</v>
      </c>
      <c r="G19" s="639">
        <f>G17+F19+G18-G16</f>
        <v>77.717249999999993</v>
      </c>
      <c r="H19" s="639">
        <f>H17+G19+H18-H16</f>
        <v>82.516333333333321</v>
      </c>
      <c r="I19" s="639">
        <f>I17+H19+I18-I16</f>
        <v>87.31541666666665</v>
      </c>
      <c r="J19" s="639">
        <f t="shared" ref="J19:V19" si="7">J17+I19+J18-J16</f>
        <v>92.114499999999978</v>
      </c>
      <c r="K19" s="639">
        <f t="shared" si="7"/>
        <v>96.913583333333307</v>
      </c>
      <c r="L19" s="639">
        <f t="shared" si="7"/>
        <v>101.71266666666664</v>
      </c>
      <c r="M19" s="639">
        <f t="shared" si="7"/>
        <v>106.51174999999996</v>
      </c>
      <c r="N19" s="639">
        <f t="shared" si="7"/>
        <v>111.31083333333329</v>
      </c>
      <c r="O19" s="639">
        <f t="shared" si="7"/>
        <v>116.10991666666662</v>
      </c>
      <c r="P19" s="639">
        <f t="shared" si="7"/>
        <v>120.90899999999995</v>
      </c>
      <c r="Q19" s="654">
        <f>P19+Q17+Q18-Q16</f>
        <v>125.70808333333328</v>
      </c>
      <c r="R19" s="639">
        <f t="shared" si="7"/>
        <v>130.50716666666662</v>
      </c>
      <c r="S19" s="639">
        <f t="shared" si="7"/>
        <v>135.30624999999995</v>
      </c>
      <c r="T19" s="639">
        <f t="shared" si="7"/>
        <v>140.10533333333328</v>
      </c>
      <c r="U19" s="639">
        <f t="shared" si="7"/>
        <v>144.90441666666661</v>
      </c>
      <c r="V19" s="639">
        <f t="shared" si="7"/>
        <v>149.70349999999993</v>
      </c>
    </row>
    <row r="20" spans="1:22">
      <c r="C20" s="628" t="s">
        <v>191</v>
      </c>
      <c r="D20" s="640">
        <f>D14-D19</f>
        <v>88.230000000000018</v>
      </c>
      <c r="E20" s="641">
        <f>E14+E15-E19+E16</f>
        <v>83.430916666666675</v>
      </c>
      <c r="F20" s="641">
        <f>F14+F15-F19+F16</f>
        <v>78.631833333333347</v>
      </c>
      <c r="G20" s="641">
        <f>G14+G15-G19+G16</f>
        <v>73.832750000000019</v>
      </c>
      <c r="H20" s="641">
        <f>H14+H15-H19+H16</f>
        <v>69.03366666666669</v>
      </c>
      <c r="I20" s="641">
        <f>I14+I15-I19+I16</f>
        <v>64.234583333333362</v>
      </c>
      <c r="J20" s="641">
        <f t="shared" ref="J20:V20" si="8">J14+J15-J19+J16</f>
        <v>59.435500000000033</v>
      </c>
      <c r="K20" s="641">
        <f t="shared" si="8"/>
        <v>54.636416666666705</v>
      </c>
      <c r="L20" s="641">
        <f t="shared" si="8"/>
        <v>49.837333333333376</v>
      </c>
      <c r="M20" s="641">
        <f t="shared" si="8"/>
        <v>45.038250000000048</v>
      </c>
      <c r="N20" s="641">
        <f t="shared" si="8"/>
        <v>40.239166666666719</v>
      </c>
      <c r="O20" s="641">
        <f t="shared" si="8"/>
        <v>35.440083333333391</v>
      </c>
      <c r="P20" s="641">
        <f t="shared" si="8"/>
        <v>30.641000000000062</v>
      </c>
      <c r="Q20" s="641">
        <f t="shared" si="8"/>
        <v>25.841916666666734</v>
      </c>
      <c r="R20" s="641">
        <f t="shared" si="8"/>
        <v>21.042833333333391</v>
      </c>
      <c r="S20" s="641">
        <f t="shared" si="8"/>
        <v>16.243750000000063</v>
      </c>
      <c r="T20" s="641">
        <f t="shared" si="8"/>
        <v>11.444666666666734</v>
      </c>
      <c r="U20" s="641">
        <f t="shared" si="8"/>
        <v>6.6455833333334056</v>
      </c>
      <c r="V20" s="641">
        <f t="shared" si="8"/>
        <v>1.8465000000000771</v>
      </c>
    </row>
    <row r="21" spans="1:22">
      <c r="C21" s="633" t="s">
        <v>1384</v>
      </c>
      <c r="D21" s="629"/>
    </row>
    <row r="22" spans="1:22">
      <c r="A22" s="644">
        <v>0.05</v>
      </c>
      <c r="C22" s="628" t="s">
        <v>980</v>
      </c>
      <c r="D22" s="634">
        <v>7811.02</v>
      </c>
      <c r="E22" s="635">
        <f>D22+D23-D24</f>
        <v>7811.02</v>
      </c>
      <c r="F22" s="635">
        <f>E22+E23-E24</f>
        <v>7811.02</v>
      </c>
      <c r="G22" s="635">
        <f>F22+F23-F24</f>
        <v>7811.02</v>
      </c>
      <c r="H22" s="635">
        <f>G22+G23-G24</f>
        <v>7811.02</v>
      </c>
      <c r="I22" s="635">
        <f>H22+H23-H24</f>
        <v>7811.02</v>
      </c>
      <c r="J22" s="635">
        <f t="shared" ref="J22:V22" si="9">I22+I23-I24</f>
        <v>7811.02</v>
      </c>
      <c r="K22" s="635">
        <f t="shared" si="9"/>
        <v>7811.02</v>
      </c>
      <c r="L22" s="635">
        <f t="shared" si="9"/>
        <v>7811.02</v>
      </c>
      <c r="M22" s="635">
        <f t="shared" si="9"/>
        <v>7811.02</v>
      </c>
      <c r="N22" s="635">
        <f t="shared" si="9"/>
        <v>7811.02</v>
      </c>
      <c r="O22" s="635">
        <f t="shared" si="9"/>
        <v>7811.02</v>
      </c>
      <c r="P22" s="635">
        <f t="shared" si="9"/>
        <v>7811.02</v>
      </c>
      <c r="Q22" s="635">
        <f t="shared" si="9"/>
        <v>7811.02</v>
      </c>
      <c r="R22" s="635">
        <f t="shared" si="9"/>
        <v>7811.02</v>
      </c>
      <c r="S22" s="635">
        <f t="shared" si="9"/>
        <v>7811.02</v>
      </c>
      <c r="T22" s="635">
        <f t="shared" si="9"/>
        <v>7811.02</v>
      </c>
      <c r="U22" s="635">
        <f t="shared" si="9"/>
        <v>7811.02</v>
      </c>
      <c r="V22" s="635">
        <f t="shared" si="9"/>
        <v>7811.02</v>
      </c>
    </row>
    <row r="23" spans="1:22">
      <c r="B23" s="628">
        <v>25</v>
      </c>
      <c r="C23" s="628" t="s">
        <v>1371</v>
      </c>
      <c r="D23" s="636"/>
      <c r="E23" s="637"/>
      <c r="F23" s="637"/>
      <c r="G23" s="637"/>
      <c r="H23" s="637"/>
      <c r="I23" s="637"/>
      <c r="J23" s="637"/>
      <c r="K23" s="637"/>
      <c r="L23" s="637"/>
      <c r="M23" s="637"/>
      <c r="N23" s="637"/>
      <c r="O23" s="637"/>
      <c r="P23" s="637"/>
      <c r="Q23" s="654"/>
      <c r="R23" s="637"/>
      <c r="S23" s="637"/>
      <c r="T23" s="637"/>
      <c r="U23" s="637"/>
      <c r="V23" s="637"/>
    </row>
    <row r="24" spans="1:22">
      <c r="A24" s="644"/>
      <c r="B24" s="645">
        <f>1/B23</f>
        <v>0.04</v>
      </c>
      <c r="C24" s="628" t="s">
        <v>1372</v>
      </c>
      <c r="D24" s="636"/>
      <c r="E24" s="637"/>
      <c r="F24" s="637"/>
      <c r="G24" s="637"/>
      <c r="H24" s="637"/>
      <c r="I24" s="637"/>
      <c r="J24" s="637"/>
      <c r="K24" s="637"/>
      <c r="L24" s="637"/>
      <c r="M24" s="637"/>
      <c r="N24" s="637"/>
      <c r="O24" s="637"/>
      <c r="P24" s="637"/>
      <c r="Q24" s="637"/>
      <c r="R24" s="637"/>
      <c r="S24" s="637"/>
      <c r="T24" s="637"/>
      <c r="U24" s="637"/>
      <c r="V24" s="637"/>
    </row>
    <row r="25" spans="1:22">
      <c r="C25" s="628" t="s">
        <v>93</v>
      </c>
      <c r="D25" s="636">
        <v>192.07</v>
      </c>
      <c r="E25" s="637">
        <f>(E22*(1-$A$22))*$B$24</f>
        <v>296.81876</v>
      </c>
      <c r="F25" s="637">
        <f>(F22*(1-$A$22))*$B$24</f>
        <v>296.81876</v>
      </c>
      <c r="G25" s="637">
        <f>(G22*(1-$A$22))*$B$24</f>
        <v>296.81876</v>
      </c>
      <c r="H25" s="637">
        <f>(H22*(1-$A$22))*$B$24</f>
        <v>296.81876</v>
      </c>
      <c r="I25" s="637">
        <f>(I22*(1-$A$22))*$B$24</f>
        <v>296.81876</v>
      </c>
      <c r="J25" s="637">
        <f t="shared" ref="J25:V25" si="10">(J22*(1-$A$22))*$B$24</f>
        <v>296.81876</v>
      </c>
      <c r="K25" s="637">
        <f t="shared" si="10"/>
        <v>296.81876</v>
      </c>
      <c r="L25" s="637">
        <f t="shared" si="10"/>
        <v>296.81876</v>
      </c>
      <c r="M25" s="637">
        <f t="shared" si="10"/>
        <v>296.81876</v>
      </c>
      <c r="N25" s="637">
        <f t="shared" si="10"/>
        <v>296.81876</v>
      </c>
      <c r="O25" s="637">
        <f t="shared" si="10"/>
        <v>296.81876</v>
      </c>
      <c r="P25" s="637">
        <f t="shared" si="10"/>
        <v>296.81876</v>
      </c>
      <c r="Q25" s="654">
        <f>(Q22*(1-$A$22))*$B$24</f>
        <v>296.81876</v>
      </c>
      <c r="R25" s="637">
        <f t="shared" si="10"/>
        <v>296.81876</v>
      </c>
      <c r="S25" s="637">
        <f t="shared" si="10"/>
        <v>296.81876</v>
      </c>
      <c r="T25" s="637">
        <f t="shared" si="10"/>
        <v>296.81876</v>
      </c>
      <c r="U25" s="637">
        <f t="shared" si="10"/>
        <v>296.81876</v>
      </c>
      <c r="V25" s="637">
        <f t="shared" si="10"/>
        <v>296.81876</v>
      </c>
    </row>
    <row r="26" spans="1:22">
      <c r="C26" s="628" t="s">
        <v>1373</v>
      </c>
      <c r="D26" s="636">
        <v>0.75</v>
      </c>
      <c r="E26" s="637"/>
      <c r="F26" s="637"/>
      <c r="G26" s="637"/>
      <c r="H26" s="637"/>
      <c r="I26" s="637"/>
      <c r="J26" s="637"/>
      <c r="K26" s="637"/>
      <c r="L26" s="637"/>
      <c r="M26" s="637"/>
      <c r="N26" s="637"/>
      <c r="O26" s="637"/>
      <c r="P26" s="637"/>
      <c r="Q26" s="637"/>
      <c r="R26" s="637"/>
      <c r="S26" s="637"/>
      <c r="T26" s="637"/>
      <c r="U26" s="637"/>
      <c r="V26" s="637"/>
    </row>
    <row r="27" spans="1:22">
      <c r="C27" s="628" t="s">
        <v>190</v>
      </c>
      <c r="D27" s="638">
        <v>1484.97</v>
      </c>
      <c r="E27" s="639">
        <f>E25+D27+E26-E24</f>
        <v>1781.7887599999999</v>
      </c>
      <c r="F27" s="639">
        <f>F25+E27+F26-F24</f>
        <v>2078.60752</v>
      </c>
      <c r="G27" s="639">
        <f>G25+F27+G26-G24</f>
        <v>2375.4262800000001</v>
      </c>
      <c r="H27" s="639">
        <f>H25+G27+H26-H24</f>
        <v>2672.2450400000002</v>
      </c>
      <c r="I27" s="639">
        <f>I25+H27+I26-I24</f>
        <v>2969.0638000000004</v>
      </c>
      <c r="J27" s="639">
        <f t="shared" ref="J27:V27" si="11">J25+I27+J26-J24</f>
        <v>3265.8825600000005</v>
      </c>
      <c r="K27" s="639">
        <f t="shared" si="11"/>
        <v>3562.7013200000006</v>
      </c>
      <c r="L27" s="639">
        <f t="shared" si="11"/>
        <v>3859.5200800000007</v>
      </c>
      <c r="M27" s="639">
        <f t="shared" si="11"/>
        <v>4156.3388400000003</v>
      </c>
      <c r="N27" s="639">
        <f t="shared" si="11"/>
        <v>4453.1576000000005</v>
      </c>
      <c r="O27" s="639">
        <f t="shared" si="11"/>
        <v>4749.9763600000006</v>
      </c>
      <c r="P27" s="639">
        <f t="shared" si="11"/>
        <v>5046.7951200000007</v>
      </c>
      <c r="Q27" s="654">
        <f>P27+Q25+Q26-Q24</f>
        <v>5343.6138800000008</v>
      </c>
      <c r="R27" s="639">
        <f t="shared" si="11"/>
        <v>5640.4326400000009</v>
      </c>
      <c r="S27" s="639">
        <f t="shared" si="11"/>
        <v>5937.251400000001</v>
      </c>
      <c r="T27" s="639">
        <f t="shared" si="11"/>
        <v>6234.0701600000011</v>
      </c>
      <c r="U27" s="639">
        <f t="shared" si="11"/>
        <v>6530.8889200000012</v>
      </c>
      <c r="V27" s="639">
        <f t="shared" si="11"/>
        <v>6827.7076800000013</v>
      </c>
    </row>
    <row r="28" spans="1:22">
      <c r="C28" s="628" t="s">
        <v>191</v>
      </c>
      <c r="D28" s="640">
        <f>D22+D23-D27-D24</f>
        <v>6326.05</v>
      </c>
      <c r="E28" s="641">
        <f>E22+D23-E27-E24</f>
        <v>6029.231240000001</v>
      </c>
      <c r="F28" s="641">
        <f>F22+F23-F27-F24</f>
        <v>5732.4124800000009</v>
      </c>
      <c r="G28" s="641">
        <f>G22+G23-G27-G24</f>
        <v>5435.5937200000008</v>
      </c>
      <c r="H28" s="641">
        <f>H22+H23-H27-H24</f>
        <v>5138.7749600000006</v>
      </c>
      <c r="I28" s="641">
        <f>I22+I23-I27-I24</f>
        <v>4841.9562000000005</v>
      </c>
      <c r="J28" s="641">
        <f t="shared" ref="J28" si="12">J22+I23-J27-J24</f>
        <v>4545.1374400000004</v>
      </c>
      <c r="K28" s="641">
        <f t="shared" ref="K28:N28" si="13">K22+K23-K27-K24</f>
        <v>4248.3186800000003</v>
      </c>
      <c r="L28" s="641">
        <f t="shared" si="13"/>
        <v>3951.4999199999997</v>
      </c>
      <c r="M28" s="641">
        <f t="shared" si="13"/>
        <v>3654.6811600000001</v>
      </c>
      <c r="N28" s="641">
        <f t="shared" si="13"/>
        <v>3357.8624</v>
      </c>
      <c r="O28" s="641">
        <f t="shared" ref="O28" si="14">O22+N23-O27-O24</f>
        <v>3061.0436399999999</v>
      </c>
      <c r="P28" s="641">
        <f t="shared" ref="P28:S28" si="15">P22+P23-P27-P24</f>
        <v>2764.2248799999998</v>
      </c>
      <c r="Q28" s="641">
        <f t="shared" si="15"/>
        <v>2467.4061199999996</v>
      </c>
      <c r="R28" s="641">
        <f t="shared" si="15"/>
        <v>2170.5873599999995</v>
      </c>
      <c r="S28" s="641">
        <f t="shared" si="15"/>
        <v>1873.7685999999994</v>
      </c>
      <c r="T28" s="641">
        <f t="shared" ref="T28" si="16">T22+S23-T27-T24</f>
        <v>1576.9498399999993</v>
      </c>
      <c r="U28" s="641">
        <f t="shared" ref="U28:V28" si="17">U22+U23-U27-U24</f>
        <v>1280.1310799999992</v>
      </c>
      <c r="V28" s="641">
        <f t="shared" si="17"/>
        <v>983.31231999999909</v>
      </c>
    </row>
    <row r="29" spans="1:22">
      <c r="D29" s="646">
        <f t="shared" ref="D29:I29" si="18">IF(D27=0,(D26-D24)/D22,D28/D22)</f>
        <v>0.80988782514959634</v>
      </c>
      <c r="E29" s="647">
        <f t="shared" si="18"/>
        <v>0.77188782514959642</v>
      </c>
      <c r="F29" s="647">
        <f t="shared" si="18"/>
        <v>0.73388782514959638</v>
      </c>
      <c r="G29" s="647">
        <f t="shared" si="18"/>
        <v>0.69588782514959635</v>
      </c>
      <c r="H29" s="647">
        <f t="shared" si="18"/>
        <v>0.65788782514959643</v>
      </c>
      <c r="I29" s="647">
        <f t="shared" si="18"/>
        <v>0.61988782514959639</v>
      </c>
      <c r="J29" s="647">
        <f t="shared" ref="J29:V29" si="19">IF(J27=0,(J26-J24)/J22,J28/J22)</f>
        <v>0.58188782514959636</v>
      </c>
      <c r="K29" s="647">
        <f t="shared" si="19"/>
        <v>0.54388782514959633</v>
      </c>
      <c r="L29" s="647">
        <f t="shared" si="19"/>
        <v>0.50588782514959629</v>
      </c>
      <c r="M29" s="647">
        <f t="shared" si="19"/>
        <v>0.46788782514959631</v>
      </c>
      <c r="N29" s="647">
        <f t="shared" si="19"/>
        <v>0.42988782514959634</v>
      </c>
      <c r="O29" s="647">
        <f t="shared" si="19"/>
        <v>0.3918878251495963</v>
      </c>
      <c r="P29" s="647">
        <f t="shared" si="19"/>
        <v>0.35388782514959627</v>
      </c>
      <c r="Q29" s="647">
        <f t="shared" si="19"/>
        <v>0.31588782514959629</v>
      </c>
      <c r="R29" s="647">
        <f t="shared" si="19"/>
        <v>0.27788782514959626</v>
      </c>
      <c r="S29" s="647">
        <f t="shared" si="19"/>
        <v>0.23988782514959625</v>
      </c>
      <c r="T29" s="647">
        <f t="shared" si="19"/>
        <v>0.20188782514959625</v>
      </c>
      <c r="U29" s="647">
        <f t="shared" si="19"/>
        <v>0.16388782514959624</v>
      </c>
      <c r="V29" s="647">
        <f t="shared" si="19"/>
        <v>0.12588782514959621</v>
      </c>
    </row>
    <row r="30" spans="1:22" ht="15" customHeight="1">
      <c r="D30" s="648"/>
      <c r="E30" s="649"/>
      <c r="F30" s="649"/>
      <c r="G30" s="649"/>
      <c r="H30" s="649"/>
      <c r="I30" s="649"/>
    </row>
    <row r="31" spans="1:22">
      <c r="C31" s="633" t="s">
        <v>1375</v>
      </c>
      <c r="D31" s="629"/>
    </row>
    <row r="32" spans="1:22">
      <c r="A32" s="644">
        <v>0.05</v>
      </c>
      <c r="C32" s="628" t="s">
        <v>980</v>
      </c>
      <c r="D32" s="650">
        <v>2.58</v>
      </c>
      <c r="E32" s="635">
        <f>D32+D33-D34</f>
        <v>2.58</v>
      </c>
      <c r="F32" s="635">
        <f t="shared" ref="F32:H32" si="20">E32+E33-E34</f>
        <v>3.5067666283943009</v>
      </c>
      <c r="G32" s="635">
        <f>F32+F33-F34</f>
        <v>3.5067666283943009</v>
      </c>
      <c r="H32" s="635">
        <f t="shared" si="20"/>
        <v>3.5067666283943009</v>
      </c>
      <c r="I32" s="635">
        <f t="shared" ref="I32:V32" si="21">H32+H33-H34</f>
        <v>3.5067666283943009</v>
      </c>
      <c r="J32" s="635">
        <f t="shared" si="21"/>
        <v>3.5067666283943009</v>
      </c>
      <c r="K32" s="635">
        <f t="shared" si="21"/>
        <v>4.766438831790671</v>
      </c>
      <c r="L32" s="635">
        <f t="shared" si="21"/>
        <v>4.766438831790671</v>
      </c>
      <c r="M32" s="635">
        <f t="shared" si="21"/>
        <v>4.766438831790671</v>
      </c>
      <c r="N32" s="635">
        <f t="shared" si="21"/>
        <v>4.766438831790671</v>
      </c>
      <c r="O32" s="635">
        <f t="shared" si="21"/>
        <v>4.766438831790671</v>
      </c>
      <c r="P32" s="635">
        <f t="shared" si="21"/>
        <v>6.4786002448086197</v>
      </c>
      <c r="Q32" s="635">
        <f t="shared" si="21"/>
        <v>6.4786002448086197</v>
      </c>
      <c r="R32" s="635">
        <f t="shared" si="21"/>
        <v>6.4786002448086197</v>
      </c>
      <c r="S32" s="635">
        <f t="shared" si="21"/>
        <v>6.4786002448086197</v>
      </c>
      <c r="T32" s="635">
        <f t="shared" si="21"/>
        <v>6.4786002448086197</v>
      </c>
      <c r="U32" s="635">
        <f t="shared" si="21"/>
        <v>8.8057903632565946</v>
      </c>
      <c r="V32" s="635">
        <f t="shared" si="21"/>
        <v>8.8057903632565946</v>
      </c>
    </row>
    <row r="33" spans="1:22">
      <c r="B33" s="628">
        <v>8</v>
      </c>
      <c r="C33" s="628" t="s">
        <v>1371</v>
      </c>
      <c r="D33" s="651"/>
      <c r="E33" s="654">
        <f>E32*(1+$C$116)^'Depreciation Schedule'!$B$33</f>
        <v>3.5067666283943009</v>
      </c>
      <c r="F33" s="637"/>
      <c r="G33" s="637"/>
      <c r="H33" s="637"/>
      <c r="I33" s="637"/>
      <c r="J33" s="654">
        <f>J32*(1+$C$116)^'Depreciation Schedule'!$B$33</f>
        <v>4.766438831790671</v>
      </c>
      <c r="K33" s="637"/>
      <c r="L33" s="637"/>
      <c r="M33" s="637"/>
      <c r="N33" s="637"/>
      <c r="O33" s="654">
        <f>O32*(1+$C$116)^'Depreciation Schedule'!$B$33</f>
        <v>6.4786002448086197</v>
      </c>
      <c r="P33" s="637"/>
      <c r="Q33" s="637"/>
      <c r="R33" s="637"/>
      <c r="S33" s="637"/>
      <c r="T33" s="654">
        <f>T32*(1+$C$116)^'Depreciation Schedule'!$B$33</f>
        <v>8.8057903632565946</v>
      </c>
      <c r="U33" s="637"/>
      <c r="V33" s="637"/>
    </row>
    <row r="34" spans="1:22">
      <c r="A34" s="644"/>
      <c r="B34" s="652">
        <f>1/B33</f>
        <v>0.125</v>
      </c>
      <c r="C34" s="628" t="s">
        <v>1372</v>
      </c>
      <c r="D34" s="651"/>
      <c r="E34" s="637">
        <f>E32</f>
        <v>2.58</v>
      </c>
      <c r="F34" s="637"/>
      <c r="G34" s="637"/>
      <c r="H34" s="637"/>
      <c r="I34" s="637"/>
      <c r="J34" s="637">
        <f>J32</f>
        <v>3.5067666283943009</v>
      </c>
      <c r="K34" s="637"/>
      <c r="L34" s="637"/>
      <c r="M34" s="637"/>
      <c r="N34" s="637"/>
      <c r="O34" s="637">
        <f>O32</f>
        <v>4.766438831790671</v>
      </c>
      <c r="P34" s="637"/>
      <c r="Q34" s="637"/>
      <c r="R34" s="637"/>
      <c r="S34" s="637"/>
      <c r="T34" s="637">
        <f>T32</f>
        <v>6.4786002448086197</v>
      </c>
      <c r="U34" s="637"/>
      <c r="V34" s="637"/>
    </row>
    <row r="35" spans="1:22">
      <c r="A35" s="653"/>
      <c r="C35" s="628" t="s">
        <v>93</v>
      </c>
      <c r="D35" s="651">
        <v>0.13</v>
      </c>
      <c r="E35" s="654">
        <f>(E32*(1-$A$32))*$B$34</f>
        <v>0.30637500000000001</v>
      </c>
      <c r="F35" s="654">
        <f>(F32*(1-$A$32))*$B$34</f>
        <v>0.41642853712182321</v>
      </c>
      <c r="G35" s="654">
        <f>(G32*(1-$A$32))*$B$34</f>
        <v>0.41642853712182321</v>
      </c>
      <c r="H35" s="654">
        <f>(H32*(1-$A$32))*$B$34</f>
        <v>0.41642853712182321</v>
      </c>
      <c r="I35" s="654">
        <f t="shared" ref="I35:V35" si="22">(I32*(1-$A$32))*$B$34</f>
        <v>0.41642853712182321</v>
      </c>
      <c r="J35" s="654">
        <f>(J32*(1-$A$32))*$B$34</f>
        <v>0.41642853712182321</v>
      </c>
      <c r="K35" s="654">
        <f t="shared" si="22"/>
        <v>0.56601461127514219</v>
      </c>
      <c r="L35" s="654">
        <f t="shared" si="22"/>
        <v>0.56601461127514219</v>
      </c>
      <c r="M35" s="654">
        <f t="shared" si="22"/>
        <v>0.56601461127514219</v>
      </c>
      <c r="N35" s="654">
        <f t="shared" si="22"/>
        <v>0.56601461127514219</v>
      </c>
      <c r="O35" s="654">
        <f>(O32*(1-$A$32))*$B$34</f>
        <v>0.56601461127514219</v>
      </c>
      <c r="P35" s="654">
        <f t="shared" si="22"/>
        <v>0.76933377907102352</v>
      </c>
      <c r="Q35" s="654">
        <f t="shared" si="22"/>
        <v>0.76933377907102352</v>
      </c>
      <c r="R35" s="654">
        <f t="shared" si="22"/>
        <v>0.76933377907102352</v>
      </c>
      <c r="S35" s="654">
        <f t="shared" si="22"/>
        <v>0.76933377907102352</v>
      </c>
      <c r="T35" s="654">
        <f>(T32*(1-$A$32))*$B$34</f>
        <v>0.76933377907102352</v>
      </c>
      <c r="U35" s="654">
        <f t="shared" si="22"/>
        <v>1.0456876056367206</v>
      </c>
      <c r="V35" s="654">
        <f t="shared" si="22"/>
        <v>1.0456876056367206</v>
      </c>
    </row>
    <row r="36" spans="1:22">
      <c r="C36" s="628" t="s">
        <v>1373</v>
      </c>
      <c r="D36" s="651"/>
      <c r="E36" s="637">
        <f>D38-E35</f>
        <v>9.3624999999999903E-2</v>
      </c>
      <c r="F36" s="637"/>
      <c r="G36" s="637"/>
      <c r="H36" s="637"/>
      <c r="I36" s="637"/>
      <c r="J36" s="637">
        <f>I38-J35</f>
        <v>1.4246239427851848</v>
      </c>
      <c r="K36" s="637"/>
      <c r="L36" s="637"/>
      <c r="M36" s="637"/>
      <c r="N36" s="637"/>
      <c r="O36" s="637">
        <f>N38-O35</f>
        <v>1.9363657754149601</v>
      </c>
      <c r="P36" s="637"/>
      <c r="Q36" s="637"/>
      <c r="R36" s="637"/>
      <c r="S36" s="637"/>
      <c r="T36" s="637">
        <f>S38-T35</f>
        <v>2.6319313494535024</v>
      </c>
      <c r="U36" s="637"/>
      <c r="V36" s="637"/>
    </row>
    <row r="37" spans="1:22">
      <c r="C37" s="628" t="s">
        <v>190</v>
      </c>
      <c r="D37" s="651">
        <v>2.1800000000000002</v>
      </c>
      <c r="E37" s="654">
        <f>D37+E35+E36-E34</f>
        <v>0</v>
      </c>
      <c r="F37" s="654">
        <f>E37+F35+F36-F34</f>
        <v>0.41642853712182321</v>
      </c>
      <c r="G37" s="637">
        <f>F37+G35+G36-G34</f>
        <v>0.83285707424364641</v>
      </c>
      <c r="H37" s="637">
        <f>G37+H35+H36-H34</f>
        <v>1.2492856113654696</v>
      </c>
      <c r="I37" s="654">
        <f t="shared" ref="I37:V37" si="23">H37+I35+I36-I34</f>
        <v>1.6657141484872928</v>
      </c>
      <c r="J37" s="654">
        <f>I37+J35+J36-J34</f>
        <v>0</v>
      </c>
      <c r="K37" s="637">
        <f t="shared" si="23"/>
        <v>0.56601461127514219</v>
      </c>
      <c r="L37" s="637">
        <f t="shared" si="23"/>
        <v>1.1320292225502844</v>
      </c>
      <c r="M37" s="654">
        <f t="shared" si="23"/>
        <v>1.6980438338254267</v>
      </c>
      <c r="N37" s="654">
        <f t="shared" si="23"/>
        <v>2.2640584451005688</v>
      </c>
      <c r="O37" s="654">
        <f>N37+O35+O36-O34</f>
        <v>0</v>
      </c>
      <c r="P37" s="637">
        <f t="shared" si="23"/>
        <v>0.76933377907102352</v>
      </c>
      <c r="Q37" s="654">
        <f t="shared" si="23"/>
        <v>1.538667558142047</v>
      </c>
      <c r="R37" s="654">
        <f t="shared" si="23"/>
        <v>2.3080013372130708</v>
      </c>
      <c r="S37" s="637">
        <f t="shared" si="23"/>
        <v>3.0773351162840941</v>
      </c>
      <c r="T37" s="654">
        <f>S37+T35+T36-T34</f>
        <v>0</v>
      </c>
      <c r="U37" s="654">
        <f t="shared" si="23"/>
        <v>1.0456876056367206</v>
      </c>
      <c r="V37" s="654">
        <f t="shared" si="23"/>
        <v>2.0913752112734412</v>
      </c>
    </row>
    <row r="38" spans="1:22">
      <c r="B38" s="645"/>
      <c r="C38" s="628" t="s">
        <v>191</v>
      </c>
      <c r="D38" s="655">
        <f t="shared" ref="D38:U38" si="24">D32+D33-D37-D34</f>
        <v>0.39999999999999991</v>
      </c>
      <c r="E38" s="641">
        <f t="shared" ref="E38" si="25">E32+E33-E37-E34</f>
        <v>3.5067666283943009</v>
      </c>
      <c r="F38" s="641">
        <f t="shared" si="24"/>
        <v>3.0903380912724776</v>
      </c>
      <c r="G38" s="641">
        <f t="shared" si="24"/>
        <v>2.6739095541506543</v>
      </c>
      <c r="H38" s="641">
        <f t="shared" si="24"/>
        <v>2.2574810170288311</v>
      </c>
      <c r="I38" s="641">
        <f t="shared" si="24"/>
        <v>1.841052479907008</v>
      </c>
      <c r="J38" s="641">
        <f t="shared" ref="J38:L38" si="26">J32+J33-J37-J34</f>
        <v>4.766438831790671</v>
      </c>
      <c r="K38" s="641">
        <f t="shared" si="26"/>
        <v>4.2004242205155284</v>
      </c>
      <c r="L38" s="641">
        <f t="shared" si="26"/>
        <v>3.6344096092403868</v>
      </c>
      <c r="M38" s="641">
        <f t="shared" si="24"/>
        <v>3.0683949979652443</v>
      </c>
      <c r="N38" s="641">
        <f t="shared" ref="N38:P38" si="27">N32+N33-N37-N34</f>
        <v>2.5023803866901022</v>
      </c>
      <c r="O38" s="641">
        <f t="shared" si="27"/>
        <v>6.4786002448086197</v>
      </c>
      <c r="P38" s="641">
        <f t="shared" si="27"/>
        <v>5.7092664657375964</v>
      </c>
      <c r="Q38" s="641">
        <f t="shared" si="24"/>
        <v>4.9399326866665731</v>
      </c>
      <c r="R38" s="641">
        <f t="shared" ref="R38:T38" si="28">R32+R33-R37-R34</f>
        <v>4.170598907595549</v>
      </c>
      <c r="S38" s="641">
        <f t="shared" si="28"/>
        <v>3.4012651285245257</v>
      </c>
      <c r="T38" s="641">
        <f t="shared" si="28"/>
        <v>8.8057903632565946</v>
      </c>
      <c r="U38" s="641">
        <f t="shared" si="24"/>
        <v>7.7601027576198742</v>
      </c>
      <c r="V38" s="641">
        <f t="shared" ref="V38" si="29">V32+V33-V37-V34</f>
        <v>6.7144151519831539</v>
      </c>
    </row>
    <row r="39" spans="1:22">
      <c r="D39" s="646">
        <f t="shared" ref="D39:I39" si="30">IF(D37=0,(D36-D34)/D32,D38/D32)</f>
        <v>0.15503875968992245</v>
      </c>
      <c r="E39" s="646">
        <f t="shared" si="30"/>
        <v>-0.9637112403100776</v>
      </c>
      <c r="F39" s="646">
        <f t="shared" si="30"/>
        <v>0.88124999999999998</v>
      </c>
      <c r="G39" s="646">
        <f t="shared" si="30"/>
        <v>0.76249999999999996</v>
      </c>
      <c r="H39" s="646">
        <f t="shared" si="30"/>
        <v>0.64374999999999993</v>
      </c>
      <c r="I39" s="646">
        <f t="shared" si="30"/>
        <v>0.52500000000000002</v>
      </c>
      <c r="J39" s="646">
        <f t="shared" ref="J39:V39" si="31">IF(J37=0,(J36-J34)/J32,J38/J32)</f>
        <v>-0.59375</v>
      </c>
      <c r="K39" s="646">
        <f t="shared" si="31"/>
        <v>0.88124999999999998</v>
      </c>
      <c r="L39" s="646">
        <f t="shared" si="31"/>
        <v>0.76250000000000007</v>
      </c>
      <c r="M39" s="646">
        <f t="shared" si="31"/>
        <v>0.64374999999999993</v>
      </c>
      <c r="N39" s="646">
        <f t="shared" si="31"/>
        <v>0.52500000000000002</v>
      </c>
      <c r="O39" s="646">
        <f t="shared" si="31"/>
        <v>-0.59375</v>
      </c>
      <c r="P39" s="646">
        <f t="shared" si="31"/>
        <v>0.88125000000000009</v>
      </c>
      <c r="Q39" s="646">
        <f t="shared" si="31"/>
        <v>0.76250000000000007</v>
      </c>
      <c r="R39" s="646">
        <f t="shared" si="31"/>
        <v>0.64375000000000004</v>
      </c>
      <c r="S39" s="646">
        <f t="shared" si="31"/>
        <v>0.52500000000000002</v>
      </c>
      <c r="T39" s="646">
        <f t="shared" si="31"/>
        <v>-0.59374999999999989</v>
      </c>
      <c r="U39" s="646">
        <f t="shared" si="31"/>
        <v>0.88124999999999998</v>
      </c>
      <c r="V39" s="646">
        <f t="shared" si="31"/>
        <v>0.76250000000000007</v>
      </c>
    </row>
    <row r="40" spans="1:22" ht="9.75" customHeight="1">
      <c r="D40" s="642"/>
      <c r="E40" s="643"/>
      <c r="F40" s="643"/>
      <c r="G40" s="643"/>
      <c r="H40" s="643"/>
      <c r="I40" s="643"/>
    </row>
    <row r="41" spans="1:22">
      <c r="C41" s="633" t="s">
        <v>1376</v>
      </c>
      <c r="D41" s="629"/>
    </row>
    <row r="42" spans="1:22">
      <c r="A42" s="644">
        <v>0.05</v>
      </c>
      <c r="C42" s="628" t="s">
        <v>980</v>
      </c>
      <c r="D42" s="650">
        <v>2.97</v>
      </c>
      <c r="E42" s="635">
        <f>D42+D43-D44</f>
        <v>2.97</v>
      </c>
      <c r="F42" s="635">
        <f>E42+E43-E44</f>
        <v>4.0368592582678566</v>
      </c>
      <c r="G42" s="635">
        <f>F42+F43-F44</f>
        <v>4.0368592582678566</v>
      </c>
      <c r="H42" s="635">
        <f>G42+G43-G44</f>
        <v>4.0368592582678566</v>
      </c>
      <c r="I42" s="635">
        <f>H42+H43-H44</f>
        <v>4.0368592582678566</v>
      </c>
      <c r="J42" s="635">
        <f t="shared" ref="J42:V42" si="32">I42+I43-I44</f>
        <v>4.0368592582678566</v>
      </c>
      <c r="K42" s="635">
        <f t="shared" si="32"/>
        <v>5.48694702729391</v>
      </c>
      <c r="L42" s="635">
        <f t="shared" si="32"/>
        <v>5.48694702729391</v>
      </c>
      <c r="M42" s="635">
        <f t="shared" si="32"/>
        <v>5.48694702729391</v>
      </c>
      <c r="N42" s="635">
        <f t="shared" si="32"/>
        <v>5.48694702729391</v>
      </c>
      <c r="O42" s="635">
        <f t="shared" si="32"/>
        <v>5.48694702729391</v>
      </c>
      <c r="P42" s="635">
        <f t="shared" si="32"/>
        <v>7.4579235376285258</v>
      </c>
      <c r="Q42" s="635">
        <f t="shared" si="32"/>
        <v>7.4579235376285258</v>
      </c>
      <c r="R42" s="635">
        <f t="shared" si="32"/>
        <v>7.4579235376285258</v>
      </c>
      <c r="S42" s="635">
        <f t="shared" si="32"/>
        <v>7.4579235376285258</v>
      </c>
      <c r="T42" s="635">
        <f t="shared" si="32"/>
        <v>7.4579235376285258</v>
      </c>
      <c r="U42" s="635">
        <f t="shared" si="32"/>
        <v>10.136898208865146</v>
      </c>
      <c r="V42" s="635">
        <f t="shared" si="32"/>
        <v>10.136898208865146</v>
      </c>
    </row>
    <row r="43" spans="1:22">
      <c r="B43" s="628">
        <v>8</v>
      </c>
      <c r="C43" s="628" t="s">
        <v>1371</v>
      </c>
      <c r="D43" s="651"/>
      <c r="E43" s="654">
        <f>E42*(1+$C$116)^'Depreciation Schedule'!$B$43</f>
        <v>4.0368592582678575</v>
      </c>
      <c r="F43" s="637"/>
      <c r="G43" s="637"/>
      <c r="H43" s="637"/>
      <c r="I43" s="637"/>
      <c r="J43" s="654">
        <f>J42*(1+$C$116)^'Depreciation Schedule'!$B$43</f>
        <v>5.48694702729391</v>
      </c>
      <c r="K43" s="637"/>
      <c r="L43" s="637"/>
      <c r="M43" s="637"/>
      <c r="N43" s="637"/>
      <c r="O43" s="654">
        <f>O42*(1+$C$116)^'Depreciation Schedule'!$B$43</f>
        <v>7.4579235376285249</v>
      </c>
      <c r="P43" s="637"/>
      <c r="Q43" s="637"/>
      <c r="R43" s="637"/>
      <c r="S43" s="637"/>
      <c r="T43" s="654">
        <f>T42*(1+$C$116)^'Depreciation Schedule'!$B$43</f>
        <v>10.136898208865148</v>
      </c>
      <c r="U43" s="637"/>
      <c r="V43" s="637"/>
    </row>
    <row r="44" spans="1:22">
      <c r="A44" s="644"/>
      <c r="B44" s="652">
        <f>1/B43</f>
        <v>0.125</v>
      </c>
      <c r="C44" s="628" t="s">
        <v>1372</v>
      </c>
      <c r="D44" s="651"/>
      <c r="E44" s="637">
        <f>E42</f>
        <v>2.97</v>
      </c>
      <c r="F44" s="637"/>
      <c r="G44" s="637"/>
      <c r="H44" s="637"/>
      <c r="I44" s="637"/>
      <c r="J44" s="637">
        <f>J42</f>
        <v>4.0368592582678566</v>
      </c>
      <c r="K44" s="637"/>
      <c r="L44" s="637"/>
      <c r="M44" s="637"/>
      <c r="N44" s="637"/>
      <c r="O44" s="637">
        <f>O42</f>
        <v>5.48694702729391</v>
      </c>
      <c r="P44" s="637"/>
      <c r="Q44" s="637"/>
      <c r="R44" s="637"/>
      <c r="S44" s="637"/>
      <c r="T44" s="637">
        <f>T42</f>
        <v>7.4579235376285258</v>
      </c>
      <c r="U44" s="637"/>
      <c r="V44" s="637"/>
    </row>
    <row r="45" spans="1:22">
      <c r="A45" s="653"/>
      <c r="C45" s="628" t="s">
        <v>93</v>
      </c>
      <c r="D45" s="651">
        <v>0.08</v>
      </c>
      <c r="E45" s="654">
        <f>(E42*(1-$A$42))*$B$44</f>
        <v>0.35268749999999999</v>
      </c>
      <c r="F45" s="654">
        <f t="shared" ref="F45:U45" si="33">(F42*(1-$A$42))*$B$44</f>
        <v>0.47937703691930794</v>
      </c>
      <c r="G45" s="654">
        <f t="shared" si="33"/>
        <v>0.47937703691930794</v>
      </c>
      <c r="H45" s="654">
        <f t="shared" si="33"/>
        <v>0.47937703691930794</v>
      </c>
      <c r="I45" s="654">
        <f t="shared" si="33"/>
        <v>0.47937703691930794</v>
      </c>
      <c r="J45" s="654">
        <f>(J42*(1-$A$42))*$B$44</f>
        <v>0.47937703691930794</v>
      </c>
      <c r="K45" s="654">
        <f t="shared" si="33"/>
        <v>0.65157495949115174</v>
      </c>
      <c r="L45" s="654">
        <f t="shared" si="33"/>
        <v>0.65157495949115174</v>
      </c>
      <c r="M45" s="654">
        <f t="shared" si="33"/>
        <v>0.65157495949115174</v>
      </c>
      <c r="N45" s="654">
        <f t="shared" si="33"/>
        <v>0.65157495949115174</v>
      </c>
      <c r="O45" s="654">
        <f>(O42*(1-$A$42))*$B$44</f>
        <v>0.65157495949115174</v>
      </c>
      <c r="P45" s="654">
        <f t="shared" si="33"/>
        <v>0.88562842009338738</v>
      </c>
      <c r="Q45" s="654">
        <f t="shared" si="33"/>
        <v>0.88562842009338738</v>
      </c>
      <c r="R45" s="654">
        <f t="shared" si="33"/>
        <v>0.88562842009338738</v>
      </c>
      <c r="S45" s="654">
        <f t="shared" si="33"/>
        <v>0.88562842009338738</v>
      </c>
      <c r="T45" s="654">
        <f>(T42*(1-$A$42))*$B$44</f>
        <v>0.88562842009338738</v>
      </c>
      <c r="U45" s="654">
        <f t="shared" si="33"/>
        <v>1.203756662302736</v>
      </c>
      <c r="V45" s="654">
        <f t="shared" ref="V45" si="34">(V42*(1-$A$42))*$B$44</f>
        <v>1.203756662302736</v>
      </c>
    </row>
    <row r="46" spans="1:22">
      <c r="C46" s="628" t="s">
        <v>1373</v>
      </c>
      <c r="D46" s="651"/>
      <c r="E46" s="637">
        <f>D48-E45</f>
        <v>0.2473125000000001</v>
      </c>
      <c r="F46" s="637"/>
      <c r="G46" s="637"/>
      <c r="H46" s="637"/>
      <c r="I46" s="637"/>
      <c r="J46" s="637">
        <f>I48-J45</f>
        <v>1.6399740736713166</v>
      </c>
      <c r="K46" s="637"/>
      <c r="L46" s="637"/>
      <c r="M46" s="637"/>
      <c r="N46" s="637"/>
      <c r="O46" s="637">
        <f>N48-O45</f>
        <v>2.2290722298381516</v>
      </c>
      <c r="P46" s="637"/>
      <c r="Q46" s="637"/>
      <c r="R46" s="637"/>
      <c r="S46" s="637"/>
      <c r="T46" s="637">
        <f>S48-T45</f>
        <v>3.029781437161589</v>
      </c>
      <c r="U46" s="637"/>
      <c r="V46" s="637"/>
    </row>
    <row r="47" spans="1:22">
      <c r="C47" s="628" t="s">
        <v>190</v>
      </c>
      <c r="D47" s="651">
        <v>2.37</v>
      </c>
      <c r="E47" s="654">
        <f t="shared" ref="E47:J47" si="35">D47+E45+E46-E44</f>
        <v>0</v>
      </c>
      <c r="F47" s="654">
        <f t="shared" si="35"/>
        <v>0.47937703691930794</v>
      </c>
      <c r="G47" s="637">
        <f t="shared" si="35"/>
        <v>0.95875407383861588</v>
      </c>
      <c r="H47" s="637">
        <f t="shared" si="35"/>
        <v>1.4381311107579238</v>
      </c>
      <c r="I47" s="637">
        <f t="shared" si="35"/>
        <v>1.9175081476772318</v>
      </c>
      <c r="J47" s="654">
        <f t="shared" si="35"/>
        <v>0</v>
      </c>
      <c r="K47" s="654">
        <f t="shared" ref="K47:V47" si="36">J47+K45+K46-K44</f>
        <v>0.65157495949115174</v>
      </c>
      <c r="L47" s="637">
        <f t="shared" si="36"/>
        <v>1.3031499189823035</v>
      </c>
      <c r="M47" s="637">
        <f t="shared" si="36"/>
        <v>1.9547248784734552</v>
      </c>
      <c r="N47" s="637">
        <f t="shared" si="36"/>
        <v>2.606299837964607</v>
      </c>
      <c r="O47" s="654">
        <f>N47+O45+O46-O44</f>
        <v>0</v>
      </c>
      <c r="P47" s="654">
        <f t="shared" si="36"/>
        <v>0.88562842009338738</v>
      </c>
      <c r="Q47" s="637">
        <f t="shared" si="36"/>
        <v>1.7712568401867748</v>
      </c>
      <c r="R47" s="637">
        <f t="shared" si="36"/>
        <v>2.6568852602801623</v>
      </c>
      <c r="S47" s="637">
        <f t="shared" si="36"/>
        <v>3.5425136803735495</v>
      </c>
      <c r="T47" s="654">
        <f>S47+T45+T46-T44</f>
        <v>0</v>
      </c>
      <c r="U47" s="654">
        <f t="shared" si="36"/>
        <v>1.203756662302736</v>
      </c>
      <c r="V47" s="637">
        <f t="shared" si="36"/>
        <v>2.4075133246054721</v>
      </c>
    </row>
    <row r="48" spans="1:22">
      <c r="B48" s="645"/>
      <c r="C48" s="628" t="s">
        <v>191</v>
      </c>
      <c r="D48" s="655">
        <f t="shared" ref="D48:I48" si="37">D42+D43-D47-D44</f>
        <v>0.60000000000000009</v>
      </c>
      <c r="E48" s="641">
        <f t="shared" si="37"/>
        <v>4.0368592582678566</v>
      </c>
      <c r="F48" s="641">
        <f t="shared" si="37"/>
        <v>3.5574822213485486</v>
      </c>
      <c r="G48" s="641">
        <f t="shared" si="37"/>
        <v>3.0781051844292406</v>
      </c>
      <c r="H48" s="641">
        <f t="shared" si="37"/>
        <v>2.5987281475099326</v>
      </c>
      <c r="I48" s="641">
        <f t="shared" si="37"/>
        <v>2.1193511105906246</v>
      </c>
      <c r="J48" s="641">
        <f t="shared" ref="J48:V48" si="38">J42+J43-J47-J44</f>
        <v>5.48694702729391</v>
      </c>
      <c r="K48" s="641">
        <f t="shared" si="38"/>
        <v>4.8353720678027585</v>
      </c>
      <c r="L48" s="641">
        <f t="shared" si="38"/>
        <v>4.183797108311607</v>
      </c>
      <c r="M48" s="641">
        <f t="shared" si="38"/>
        <v>3.5322221488204546</v>
      </c>
      <c r="N48" s="641">
        <f t="shared" si="38"/>
        <v>2.8806471893293031</v>
      </c>
      <c r="O48" s="641">
        <f t="shared" si="38"/>
        <v>7.4579235376285258</v>
      </c>
      <c r="P48" s="641">
        <f t="shared" si="38"/>
        <v>6.5722951175351385</v>
      </c>
      <c r="Q48" s="641">
        <f t="shared" si="38"/>
        <v>5.6866666974417512</v>
      </c>
      <c r="R48" s="641">
        <f t="shared" si="38"/>
        <v>4.8010382773483631</v>
      </c>
      <c r="S48" s="641">
        <f t="shared" si="38"/>
        <v>3.9154098572549763</v>
      </c>
      <c r="T48" s="641">
        <f t="shared" si="38"/>
        <v>10.136898208865146</v>
      </c>
      <c r="U48" s="641">
        <f t="shared" si="38"/>
        <v>8.9331415465624104</v>
      </c>
      <c r="V48" s="641">
        <f t="shared" si="38"/>
        <v>7.729384884259674</v>
      </c>
    </row>
    <row r="49" spans="1:22">
      <c r="B49" s="645"/>
      <c r="D49" s="646">
        <f t="shared" ref="D49:I49" si="39">IF(D47=0,(D46-D44)/D42,D48/D42)</f>
        <v>0.20202020202020204</v>
      </c>
      <c r="E49" s="646">
        <f t="shared" si="39"/>
        <v>-0.91672979797979792</v>
      </c>
      <c r="F49" s="646">
        <f t="shared" si="39"/>
        <v>0.88124999999999998</v>
      </c>
      <c r="G49" s="646">
        <f t="shared" si="39"/>
        <v>0.76249999999999996</v>
      </c>
      <c r="H49" s="646">
        <f t="shared" si="39"/>
        <v>0.64374999999999993</v>
      </c>
      <c r="I49" s="646">
        <f t="shared" si="39"/>
        <v>0.52500000000000002</v>
      </c>
      <c r="J49" s="646">
        <f t="shared" ref="J49:V49" si="40">IF(J47=0,(J46-J44)/J42,J48/J42)</f>
        <v>-0.59375</v>
      </c>
      <c r="K49" s="646">
        <f t="shared" si="40"/>
        <v>0.88125000000000009</v>
      </c>
      <c r="L49" s="646">
        <f t="shared" si="40"/>
        <v>0.76250000000000007</v>
      </c>
      <c r="M49" s="646">
        <f t="shared" si="40"/>
        <v>0.64375000000000004</v>
      </c>
      <c r="N49" s="646">
        <f t="shared" si="40"/>
        <v>0.52500000000000002</v>
      </c>
      <c r="O49" s="646">
        <f t="shared" si="40"/>
        <v>-0.59374999999999989</v>
      </c>
      <c r="P49" s="646">
        <f t="shared" si="40"/>
        <v>0.88124999999999998</v>
      </c>
      <c r="Q49" s="646">
        <f t="shared" si="40"/>
        <v>0.76250000000000007</v>
      </c>
      <c r="R49" s="646">
        <f t="shared" si="40"/>
        <v>0.64374999999999993</v>
      </c>
      <c r="S49" s="646">
        <f t="shared" si="40"/>
        <v>0.52500000000000002</v>
      </c>
      <c r="T49" s="646">
        <f t="shared" si="40"/>
        <v>-0.59375</v>
      </c>
      <c r="U49" s="646">
        <f t="shared" si="40"/>
        <v>0.88125000000000009</v>
      </c>
      <c r="V49" s="646">
        <f t="shared" si="40"/>
        <v>0.76249999999999996</v>
      </c>
    </row>
    <row r="50" spans="1:22">
      <c r="B50" s="645"/>
      <c r="D50" s="656"/>
      <c r="E50" s="649"/>
      <c r="F50" s="649"/>
      <c r="G50" s="649"/>
      <c r="H50" s="649"/>
      <c r="I50" s="649"/>
    </row>
    <row r="51" spans="1:22">
      <c r="C51" s="633" t="s">
        <v>1377</v>
      </c>
      <c r="D51" s="629"/>
    </row>
    <row r="52" spans="1:22">
      <c r="A52" s="644">
        <v>0.05</v>
      </c>
      <c r="C52" s="628" t="s">
        <v>980</v>
      </c>
      <c r="D52" s="650">
        <v>2.48</v>
      </c>
      <c r="E52" s="635">
        <f>D52+D53-D54</f>
        <v>2.48</v>
      </c>
      <c r="F52" s="635">
        <f>E52+E53-E54</f>
        <v>2.48</v>
      </c>
      <c r="G52" s="635">
        <f>F52+F53-F54</f>
        <v>3.0043889446793384</v>
      </c>
      <c r="H52" s="635">
        <f>G52+G53-G54</f>
        <v>3.0043889446793384</v>
      </c>
      <c r="I52" s="635">
        <f>H52+H53-H54</f>
        <v>3.0043889446793384</v>
      </c>
      <c r="J52" s="635">
        <f t="shared" ref="J52:V52" si="41">I52+I53-I54</f>
        <v>3.6396584398836409</v>
      </c>
      <c r="K52" s="635">
        <f t="shared" si="41"/>
        <v>3.6396584398836409</v>
      </c>
      <c r="L52" s="635">
        <f t="shared" si="41"/>
        <v>3.6396584398836409</v>
      </c>
      <c r="M52" s="635">
        <f t="shared" si="41"/>
        <v>4.4092538625787334</v>
      </c>
      <c r="N52" s="635">
        <f t="shared" si="41"/>
        <v>4.4092538625787334</v>
      </c>
      <c r="O52" s="635">
        <f t="shared" si="41"/>
        <v>4.4092538625787334</v>
      </c>
      <c r="P52" s="635">
        <f t="shared" si="41"/>
        <v>5.34157804799041</v>
      </c>
      <c r="Q52" s="635">
        <f t="shared" si="41"/>
        <v>5.34157804799041</v>
      </c>
      <c r="R52" s="635">
        <f t="shared" si="41"/>
        <v>5.34157804799041</v>
      </c>
      <c r="S52" s="635">
        <f t="shared" si="41"/>
        <v>6.471039530050092</v>
      </c>
      <c r="T52" s="635">
        <f t="shared" si="41"/>
        <v>6.471039530050092</v>
      </c>
      <c r="U52" s="635">
        <f t="shared" si="41"/>
        <v>6.471039530050092</v>
      </c>
      <c r="V52" s="635">
        <f t="shared" si="41"/>
        <v>7.8393224293005979</v>
      </c>
    </row>
    <row r="53" spans="1:22">
      <c r="B53" s="628">
        <v>5</v>
      </c>
      <c r="C53" s="628" t="s">
        <v>1371</v>
      </c>
      <c r="D53" s="651"/>
      <c r="E53" s="637"/>
      <c r="F53" s="654">
        <f>F52*(1+$C$116)^'Depreciation Schedule'!$B$53</f>
        <v>3.0043889446793388</v>
      </c>
      <c r="G53" s="637"/>
      <c r="H53" s="637"/>
      <c r="I53" s="654">
        <f>I52*(1+$C$116)^'Depreciation Schedule'!$B$53</f>
        <v>3.6396584398836413</v>
      </c>
      <c r="J53" s="637"/>
      <c r="K53" s="637"/>
      <c r="L53" s="654">
        <f>L52*(1+$C$116)^'Depreciation Schedule'!$B$53</f>
        <v>4.4092538625787343</v>
      </c>
      <c r="M53" s="637"/>
      <c r="N53" s="637"/>
      <c r="O53" s="654">
        <f>O52*(1+$C$116)^'Depreciation Schedule'!$B$53</f>
        <v>5.3415780479904109</v>
      </c>
      <c r="P53" s="637"/>
      <c r="Q53" s="637"/>
      <c r="R53" s="654">
        <f>R52*(1+$C$116)^'Depreciation Schedule'!$B$53</f>
        <v>6.4710395300500929</v>
      </c>
      <c r="S53" s="637"/>
      <c r="T53" s="637"/>
      <c r="U53" s="654">
        <f>U52*(1+$C$116)^'Depreciation Schedule'!$B$53</f>
        <v>7.839322429300597</v>
      </c>
      <c r="V53" s="637"/>
    </row>
    <row r="54" spans="1:22">
      <c r="A54" s="644"/>
      <c r="B54" s="652">
        <f>1/B53</f>
        <v>0.2</v>
      </c>
      <c r="C54" s="628" t="s">
        <v>1372</v>
      </c>
      <c r="D54" s="651"/>
      <c r="E54" s="637"/>
      <c r="F54" s="637">
        <f>F52</f>
        <v>2.48</v>
      </c>
      <c r="G54" s="637"/>
      <c r="H54" s="637"/>
      <c r="I54" s="637">
        <f>I52</f>
        <v>3.0043889446793384</v>
      </c>
      <c r="J54" s="637"/>
      <c r="K54" s="637"/>
      <c r="L54" s="637">
        <f>L52</f>
        <v>3.6396584398836409</v>
      </c>
      <c r="M54" s="637"/>
      <c r="N54" s="637"/>
      <c r="O54" s="637">
        <f>O52</f>
        <v>4.4092538625787334</v>
      </c>
      <c r="P54" s="637"/>
      <c r="Q54" s="637"/>
      <c r="R54" s="637">
        <f>R52</f>
        <v>5.34157804799041</v>
      </c>
      <c r="S54" s="637"/>
      <c r="T54" s="637"/>
      <c r="U54" s="637">
        <f>U52</f>
        <v>6.471039530050092</v>
      </c>
      <c r="V54" s="637"/>
    </row>
    <row r="55" spans="1:22">
      <c r="A55" s="653"/>
      <c r="C55" s="628" t="s">
        <v>93</v>
      </c>
      <c r="D55" s="651">
        <v>0.18</v>
      </c>
      <c r="E55" s="654">
        <f>(E52*(1-$A$52))*$B$54</f>
        <v>0.47120000000000001</v>
      </c>
      <c r="F55" s="654">
        <f t="shared" ref="F55:U55" si="42">(F52*(1-$A$52))*$B$54</f>
        <v>0.47120000000000001</v>
      </c>
      <c r="G55" s="654">
        <f t="shared" si="42"/>
        <v>0.57083389948907426</v>
      </c>
      <c r="H55" s="654">
        <f t="shared" si="42"/>
        <v>0.57083389948907426</v>
      </c>
      <c r="I55" s="654">
        <f t="shared" si="42"/>
        <v>0.57083389948907426</v>
      </c>
      <c r="J55" s="654">
        <f t="shared" si="42"/>
        <v>0.69153510357789172</v>
      </c>
      <c r="K55" s="654">
        <f t="shared" si="42"/>
        <v>0.69153510357789172</v>
      </c>
      <c r="L55" s="654">
        <f t="shared" ref="L55" si="43">(L52*(1-$A$52))*$B$54</f>
        <v>0.69153510357789172</v>
      </c>
      <c r="M55" s="654">
        <f t="shared" si="42"/>
        <v>0.8377582338899594</v>
      </c>
      <c r="N55" s="654">
        <f t="shared" si="42"/>
        <v>0.8377582338899594</v>
      </c>
      <c r="O55" s="654">
        <f t="shared" si="42"/>
        <v>0.8377582338899594</v>
      </c>
      <c r="P55" s="654">
        <f t="shared" si="42"/>
        <v>1.0148998291181779</v>
      </c>
      <c r="Q55" s="654">
        <f t="shared" si="42"/>
        <v>1.0148998291181779</v>
      </c>
      <c r="R55" s="654">
        <f t="shared" ref="R55" si="44">(R52*(1-$A$52))*$B$54</f>
        <v>1.0148998291181779</v>
      </c>
      <c r="S55" s="654">
        <f t="shared" si="42"/>
        <v>1.2294975107095176</v>
      </c>
      <c r="T55" s="654">
        <f t="shared" si="42"/>
        <v>1.2294975107095176</v>
      </c>
      <c r="U55" s="654">
        <f t="shared" si="42"/>
        <v>1.2294975107095176</v>
      </c>
      <c r="V55" s="654">
        <f>(V52*(1-$A$52))*$B$54</f>
        <v>1.4894712615671137</v>
      </c>
    </row>
    <row r="56" spans="1:22">
      <c r="C56" s="628" t="s">
        <v>1373</v>
      </c>
      <c r="D56" s="651"/>
      <c r="E56" s="637"/>
      <c r="F56" s="637">
        <f>E58-F55</f>
        <v>-0.68240000000000034</v>
      </c>
      <c r="G56" s="637"/>
      <c r="H56" s="637"/>
      <c r="I56" s="637">
        <f>H58-I55</f>
        <v>1.2918872462121156</v>
      </c>
      <c r="J56" s="637"/>
      <c r="K56" s="637"/>
      <c r="L56" s="637">
        <f>K58-L55</f>
        <v>1.5650531291499656</v>
      </c>
      <c r="M56" s="637"/>
      <c r="N56" s="637"/>
      <c r="O56" s="637">
        <f>N58-O55</f>
        <v>1.8959791609088552</v>
      </c>
      <c r="P56" s="637"/>
      <c r="Q56" s="637"/>
      <c r="R56" s="637">
        <f>Q58-R55</f>
        <v>2.2968785606358764</v>
      </c>
      <c r="S56" s="637"/>
      <c r="T56" s="637"/>
      <c r="U56" s="637">
        <f>T58-U55</f>
        <v>2.7825469979215391</v>
      </c>
      <c r="V56" s="637"/>
    </row>
    <row r="57" spans="1:22">
      <c r="C57" s="628" t="s">
        <v>190</v>
      </c>
      <c r="D57" s="651">
        <v>2.2200000000000002</v>
      </c>
      <c r="E57" s="637">
        <f>D57+E55+E56-E54</f>
        <v>2.6912000000000003</v>
      </c>
      <c r="F57" s="654">
        <f>E57+F55+F56-F54</f>
        <v>0</v>
      </c>
      <c r="G57" s="637">
        <f>F57+G55+G56-G54</f>
        <v>0.57083389948907426</v>
      </c>
      <c r="H57" s="637">
        <f>G57+H55+H56-H54</f>
        <v>1.1416677989781485</v>
      </c>
      <c r="I57" s="654">
        <f>H57+I55+I56-I54</f>
        <v>0</v>
      </c>
      <c r="J57" s="637">
        <f t="shared" ref="J57:V57" si="45">I57+J55+J56-J54</f>
        <v>0.69153510357789172</v>
      </c>
      <c r="K57" s="654">
        <f t="shared" si="45"/>
        <v>1.3830702071557834</v>
      </c>
      <c r="L57" s="654">
        <f>K57+L55+L56-L54</f>
        <v>0</v>
      </c>
      <c r="M57" s="637">
        <f t="shared" si="45"/>
        <v>0.8377582338899594</v>
      </c>
      <c r="N57" s="637">
        <f t="shared" si="45"/>
        <v>1.6755164677799188</v>
      </c>
      <c r="O57" s="654">
        <f>N57+O55+O56-O54</f>
        <v>0</v>
      </c>
      <c r="P57" s="654">
        <f t="shared" si="45"/>
        <v>1.0148998291181779</v>
      </c>
      <c r="Q57" s="637">
        <f t="shared" si="45"/>
        <v>2.0297996582363558</v>
      </c>
      <c r="R57" s="654">
        <f>Q57+R55+R56-R54</f>
        <v>0</v>
      </c>
      <c r="S57" s="637">
        <f t="shared" si="45"/>
        <v>1.2294975107095176</v>
      </c>
      <c r="T57" s="637">
        <f t="shared" si="45"/>
        <v>2.4589950214190353</v>
      </c>
      <c r="U57" s="654">
        <f>T57+U55+U56-U54</f>
        <v>0</v>
      </c>
      <c r="V57" s="637">
        <f t="shared" si="45"/>
        <v>1.4894712615671137</v>
      </c>
    </row>
    <row r="58" spans="1:22">
      <c r="B58" s="645"/>
      <c r="C58" s="628" t="s">
        <v>191</v>
      </c>
      <c r="D58" s="655">
        <f t="shared" ref="D58:I58" si="46">D52+D53-D57-D54</f>
        <v>0.25999999999999979</v>
      </c>
      <c r="E58" s="641">
        <f t="shared" si="46"/>
        <v>-0.21120000000000028</v>
      </c>
      <c r="F58" s="641">
        <f t="shared" si="46"/>
        <v>3.0043889446793384</v>
      </c>
      <c r="G58" s="641">
        <f t="shared" si="46"/>
        <v>2.4335550451902641</v>
      </c>
      <c r="H58" s="641">
        <f t="shared" si="46"/>
        <v>1.8627211457011899</v>
      </c>
      <c r="I58" s="641">
        <f t="shared" si="46"/>
        <v>3.6396584398836409</v>
      </c>
      <c r="J58" s="641">
        <f t="shared" ref="J58:V58" si="47">J52+J53-J57-J54</f>
        <v>2.9481233363057493</v>
      </c>
      <c r="K58" s="641">
        <f t="shared" si="47"/>
        <v>2.2565882327278572</v>
      </c>
      <c r="L58" s="641">
        <f t="shared" si="47"/>
        <v>4.4092538625787334</v>
      </c>
      <c r="M58" s="641">
        <f t="shared" si="47"/>
        <v>3.571495628688774</v>
      </c>
      <c r="N58" s="641">
        <f t="shared" si="47"/>
        <v>2.7337373947988146</v>
      </c>
      <c r="O58" s="641">
        <f t="shared" si="47"/>
        <v>5.34157804799041</v>
      </c>
      <c r="P58" s="641">
        <f t="shared" si="47"/>
        <v>4.3266782188722317</v>
      </c>
      <c r="Q58" s="641">
        <f t="shared" si="47"/>
        <v>3.3117783897540543</v>
      </c>
      <c r="R58" s="641">
        <f t="shared" si="47"/>
        <v>6.471039530050092</v>
      </c>
      <c r="S58" s="641">
        <f t="shared" si="47"/>
        <v>5.2415420193405744</v>
      </c>
      <c r="T58" s="641">
        <f t="shared" si="47"/>
        <v>4.0120445086310568</v>
      </c>
      <c r="U58" s="641">
        <f t="shared" si="47"/>
        <v>7.8393224293005979</v>
      </c>
      <c r="V58" s="641">
        <f t="shared" si="47"/>
        <v>6.3498511677334841</v>
      </c>
    </row>
    <row r="59" spans="1:22">
      <c r="B59" s="645"/>
      <c r="D59" s="646">
        <f t="shared" ref="D59:I59" si="48">IF(D57=0,(D56-D54)/D52,D58/D52)</f>
        <v>0.10483870967741928</v>
      </c>
      <c r="E59" s="646">
        <f t="shared" si="48"/>
        <v>-8.5161290322580754E-2</v>
      </c>
      <c r="F59" s="646">
        <f t="shared" si="48"/>
        <v>-1.2751612903225809</v>
      </c>
      <c r="G59" s="646">
        <f t="shared" si="48"/>
        <v>0.81</v>
      </c>
      <c r="H59" s="646">
        <f t="shared" si="48"/>
        <v>0.62</v>
      </c>
      <c r="I59" s="646">
        <f t="shared" si="48"/>
        <v>-0.56999999999999995</v>
      </c>
      <c r="J59" s="646">
        <f t="shared" ref="J59:V59" si="49">IF(J57=0,(J56-J54)/J52,J58/J52)</f>
        <v>0.81</v>
      </c>
      <c r="K59" s="646">
        <f t="shared" si="49"/>
        <v>0.62</v>
      </c>
      <c r="L59" s="646">
        <f t="shared" si="49"/>
        <v>-0.56999999999999995</v>
      </c>
      <c r="M59" s="646">
        <f t="shared" si="49"/>
        <v>0.80999999999999994</v>
      </c>
      <c r="N59" s="646">
        <f t="shared" si="49"/>
        <v>0.62</v>
      </c>
      <c r="O59" s="646">
        <f t="shared" si="49"/>
        <v>-0.57000000000000006</v>
      </c>
      <c r="P59" s="646">
        <f t="shared" si="49"/>
        <v>0.80999999999999994</v>
      </c>
      <c r="Q59" s="646">
        <f t="shared" si="49"/>
        <v>0.62</v>
      </c>
      <c r="R59" s="646">
        <f t="shared" si="49"/>
        <v>-0.56999999999999995</v>
      </c>
      <c r="S59" s="646">
        <f t="shared" si="49"/>
        <v>0.80999999999999994</v>
      </c>
      <c r="T59" s="646">
        <f t="shared" si="49"/>
        <v>0.62</v>
      </c>
      <c r="U59" s="646">
        <f t="shared" si="49"/>
        <v>-0.57000000000000006</v>
      </c>
      <c r="V59" s="646">
        <f t="shared" si="49"/>
        <v>0.80999999999999994</v>
      </c>
    </row>
    <row r="60" spans="1:22">
      <c r="B60" s="645"/>
      <c r="D60" s="656"/>
      <c r="E60" s="649"/>
      <c r="F60" s="649"/>
      <c r="G60" s="649"/>
      <c r="H60" s="649"/>
      <c r="I60" s="649"/>
    </row>
    <row r="61" spans="1:22">
      <c r="B61" s="778" t="s">
        <v>1483</v>
      </c>
      <c r="C61" s="633" t="s">
        <v>547</v>
      </c>
      <c r="D61" s="629"/>
    </row>
    <row r="62" spans="1:22">
      <c r="A62" s="644">
        <v>0.05</v>
      </c>
      <c r="C62" s="628" t="s">
        <v>980</v>
      </c>
      <c r="D62" s="650">
        <v>0.09</v>
      </c>
      <c r="E62" s="635">
        <f>D62+D63-D64</f>
        <v>0.09</v>
      </c>
      <c r="F62" s="635">
        <f>E62+E63-E64</f>
        <v>0.09</v>
      </c>
      <c r="G62" s="635">
        <f>F62+F63-F64</f>
        <v>0.09</v>
      </c>
      <c r="H62" s="635">
        <f>G62+G63-G64</f>
        <v>0.09</v>
      </c>
      <c r="I62" s="635">
        <f>H62+H63-H64</f>
        <v>0.09</v>
      </c>
      <c r="J62" s="635">
        <f t="shared" ref="J62:V62" si="50">I62+I63-I64</f>
        <v>0.09</v>
      </c>
      <c r="K62" s="635">
        <f t="shared" si="50"/>
        <v>0.09</v>
      </c>
      <c r="L62" s="635">
        <f t="shared" si="50"/>
        <v>0.09</v>
      </c>
      <c r="M62" s="635">
        <f t="shared" si="50"/>
        <v>0.09</v>
      </c>
      <c r="N62" s="635">
        <f t="shared" si="50"/>
        <v>0.09</v>
      </c>
      <c r="O62" s="635">
        <f t="shared" si="50"/>
        <v>0.09</v>
      </c>
      <c r="P62" s="635">
        <f t="shared" si="50"/>
        <v>0.09</v>
      </c>
      <c r="Q62" s="635">
        <f t="shared" si="50"/>
        <v>0.09</v>
      </c>
      <c r="R62" s="635">
        <f t="shared" si="50"/>
        <v>0.09</v>
      </c>
      <c r="S62" s="635">
        <f t="shared" si="50"/>
        <v>0.09</v>
      </c>
      <c r="T62" s="635">
        <f t="shared" si="50"/>
        <v>0.09</v>
      </c>
      <c r="U62" s="635">
        <f t="shared" si="50"/>
        <v>0.09</v>
      </c>
      <c r="V62" s="635">
        <f t="shared" si="50"/>
        <v>0.09</v>
      </c>
    </row>
    <row r="63" spans="1:22">
      <c r="B63" s="628">
        <v>3</v>
      </c>
      <c r="C63" s="628" t="s">
        <v>1371</v>
      </c>
      <c r="D63" s="651"/>
      <c r="E63" s="637"/>
      <c r="F63" s="637"/>
      <c r="G63" s="637"/>
      <c r="H63" s="637"/>
      <c r="I63" s="637"/>
      <c r="J63" s="637"/>
      <c r="K63" s="637"/>
      <c r="L63" s="637"/>
      <c r="M63" s="637"/>
      <c r="N63" s="637"/>
      <c r="O63" s="637"/>
      <c r="P63" s="637"/>
      <c r="Q63" s="637"/>
      <c r="R63" s="637"/>
      <c r="S63" s="637"/>
      <c r="T63" s="637"/>
      <c r="U63" s="637"/>
      <c r="V63" s="637"/>
    </row>
    <row r="64" spans="1:22">
      <c r="A64" s="644"/>
      <c r="B64" s="652">
        <f>1/B63</f>
        <v>0.33333333333333331</v>
      </c>
      <c r="C64" s="628" t="s">
        <v>1372</v>
      </c>
      <c r="D64" s="651"/>
      <c r="E64" s="637"/>
      <c r="F64" s="637"/>
      <c r="G64" s="637"/>
      <c r="H64" s="637"/>
      <c r="I64" s="637"/>
      <c r="J64" s="637"/>
      <c r="K64" s="637"/>
      <c r="L64" s="637"/>
      <c r="M64" s="637"/>
      <c r="N64" s="637"/>
      <c r="O64" s="637"/>
      <c r="P64" s="637"/>
      <c r="Q64" s="637"/>
      <c r="R64" s="637"/>
      <c r="S64" s="637"/>
      <c r="T64" s="637"/>
      <c r="U64" s="637"/>
      <c r="V64" s="637"/>
    </row>
    <row r="65" spans="1:22">
      <c r="A65" s="653"/>
      <c r="C65" s="628" t="s">
        <v>93</v>
      </c>
      <c r="D65" s="651"/>
      <c r="E65" s="654"/>
      <c r="F65" s="654"/>
      <c r="G65" s="654"/>
      <c r="H65" s="654"/>
      <c r="I65" s="654"/>
      <c r="J65" s="654"/>
      <c r="K65" s="654"/>
      <c r="L65" s="654"/>
      <c r="M65" s="654"/>
      <c r="N65" s="654"/>
      <c r="O65" s="654"/>
      <c r="P65" s="654"/>
      <c r="Q65" s="654"/>
      <c r="R65" s="654"/>
      <c r="S65" s="654"/>
      <c r="T65" s="654"/>
      <c r="U65" s="654"/>
      <c r="V65" s="654"/>
    </row>
    <row r="66" spans="1:22">
      <c r="C66" s="628" t="s">
        <v>1373</v>
      </c>
      <c r="D66" s="651"/>
      <c r="E66" s="637"/>
      <c r="F66" s="637"/>
      <c r="G66" s="637"/>
      <c r="H66" s="637"/>
      <c r="I66" s="637"/>
      <c r="J66" s="637"/>
      <c r="K66" s="637"/>
      <c r="L66" s="637"/>
      <c r="M66" s="637"/>
      <c r="N66" s="637"/>
      <c r="O66" s="637"/>
      <c r="P66" s="637"/>
      <c r="Q66" s="637"/>
      <c r="R66" s="637"/>
      <c r="S66" s="637"/>
      <c r="T66" s="637"/>
      <c r="U66" s="637"/>
      <c r="V66" s="637"/>
    </row>
    <row r="67" spans="1:22">
      <c r="C67" s="628" t="s">
        <v>190</v>
      </c>
      <c r="D67" s="651">
        <v>0</v>
      </c>
      <c r="E67" s="637">
        <f>D67+E65+E66-E64</f>
        <v>0</v>
      </c>
      <c r="F67" s="654">
        <f>E67+F65+F66-F64</f>
        <v>0</v>
      </c>
      <c r="G67" s="637">
        <f>F67+G65+G66-G64</f>
        <v>0</v>
      </c>
      <c r="H67" s="637">
        <f>G67+H65+H66-H64</f>
        <v>0</v>
      </c>
      <c r="I67" s="637">
        <f>H67+I65+I66-I64</f>
        <v>0</v>
      </c>
      <c r="J67" s="637">
        <f t="shared" ref="J67:V67" si="51">I67+J65+J66-J64</f>
        <v>0</v>
      </c>
      <c r="K67" s="637">
        <f t="shared" si="51"/>
        <v>0</v>
      </c>
      <c r="L67" s="637">
        <f t="shared" si="51"/>
        <v>0</v>
      </c>
      <c r="M67" s="637">
        <f t="shared" si="51"/>
        <v>0</v>
      </c>
      <c r="N67" s="637">
        <f t="shared" si="51"/>
        <v>0</v>
      </c>
      <c r="O67" s="637">
        <f t="shared" si="51"/>
        <v>0</v>
      </c>
      <c r="P67" s="637">
        <f t="shared" si="51"/>
        <v>0</v>
      </c>
      <c r="Q67" s="637">
        <f t="shared" si="51"/>
        <v>0</v>
      </c>
      <c r="R67" s="637">
        <f t="shared" si="51"/>
        <v>0</v>
      </c>
      <c r="S67" s="637">
        <f t="shared" si="51"/>
        <v>0</v>
      </c>
      <c r="T67" s="637">
        <f t="shared" si="51"/>
        <v>0</v>
      </c>
      <c r="U67" s="637">
        <f t="shared" si="51"/>
        <v>0</v>
      </c>
      <c r="V67" s="637">
        <f t="shared" si="51"/>
        <v>0</v>
      </c>
    </row>
    <row r="68" spans="1:22">
      <c r="B68" s="645"/>
      <c r="C68" s="628" t="s">
        <v>191</v>
      </c>
      <c r="D68" s="655">
        <f t="shared" ref="D68:I68" si="52">D62+D63-D67-D64</f>
        <v>0.09</v>
      </c>
      <c r="E68" s="641">
        <f t="shared" si="52"/>
        <v>0.09</v>
      </c>
      <c r="F68" s="641">
        <f t="shared" si="52"/>
        <v>0.09</v>
      </c>
      <c r="G68" s="641">
        <f t="shared" si="52"/>
        <v>0.09</v>
      </c>
      <c r="H68" s="641">
        <f t="shared" si="52"/>
        <v>0.09</v>
      </c>
      <c r="I68" s="641">
        <f t="shared" si="52"/>
        <v>0.09</v>
      </c>
      <c r="J68" s="641">
        <f t="shared" ref="J68:V68" si="53">J62+J63-J67-J64</f>
        <v>0.09</v>
      </c>
      <c r="K68" s="641">
        <f t="shared" si="53"/>
        <v>0.09</v>
      </c>
      <c r="L68" s="641">
        <f t="shared" si="53"/>
        <v>0.09</v>
      </c>
      <c r="M68" s="641">
        <f t="shared" si="53"/>
        <v>0.09</v>
      </c>
      <c r="N68" s="641">
        <f t="shared" si="53"/>
        <v>0.09</v>
      </c>
      <c r="O68" s="641">
        <f t="shared" si="53"/>
        <v>0.09</v>
      </c>
      <c r="P68" s="641">
        <f t="shared" si="53"/>
        <v>0.09</v>
      </c>
      <c r="Q68" s="641">
        <f t="shared" si="53"/>
        <v>0.09</v>
      </c>
      <c r="R68" s="641">
        <f t="shared" si="53"/>
        <v>0.09</v>
      </c>
      <c r="S68" s="641">
        <f t="shared" si="53"/>
        <v>0.09</v>
      </c>
      <c r="T68" s="641">
        <f t="shared" si="53"/>
        <v>0.09</v>
      </c>
      <c r="U68" s="641">
        <f t="shared" si="53"/>
        <v>0.09</v>
      </c>
      <c r="V68" s="641">
        <f t="shared" si="53"/>
        <v>0.09</v>
      </c>
    </row>
    <row r="69" spans="1:22">
      <c r="D69" s="657">
        <f t="shared" ref="D69:I69" si="54">IF(D67=0,(D66-D64)/D62,D68/D62)</f>
        <v>0</v>
      </c>
      <c r="E69" s="658">
        <f t="shared" si="54"/>
        <v>0</v>
      </c>
      <c r="F69" s="658">
        <f t="shared" si="54"/>
        <v>0</v>
      </c>
      <c r="G69" s="658">
        <f t="shared" si="54"/>
        <v>0</v>
      </c>
      <c r="H69" s="658">
        <f t="shared" si="54"/>
        <v>0</v>
      </c>
      <c r="I69" s="658">
        <f t="shared" si="54"/>
        <v>0</v>
      </c>
      <c r="J69" s="658">
        <f t="shared" ref="J69:V69" si="55">IF(J67=0,(J66-J64)/J62,J68/J62)</f>
        <v>0</v>
      </c>
      <c r="K69" s="658">
        <f t="shared" si="55"/>
        <v>0</v>
      </c>
      <c r="L69" s="658">
        <f t="shared" si="55"/>
        <v>0</v>
      </c>
      <c r="M69" s="658">
        <f t="shared" si="55"/>
        <v>0</v>
      </c>
      <c r="N69" s="658">
        <f t="shared" si="55"/>
        <v>0</v>
      </c>
      <c r="O69" s="658">
        <f t="shared" si="55"/>
        <v>0</v>
      </c>
      <c r="P69" s="658">
        <f t="shared" si="55"/>
        <v>0</v>
      </c>
      <c r="Q69" s="658">
        <f t="shared" si="55"/>
        <v>0</v>
      </c>
      <c r="R69" s="658">
        <f t="shared" si="55"/>
        <v>0</v>
      </c>
      <c r="S69" s="658">
        <f t="shared" si="55"/>
        <v>0</v>
      </c>
      <c r="T69" s="658">
        <f t="shared" si="55"/>
        <v>0</v>
      </c>
      <c r="U69" s="658">
        <f t="shared" si="55"/>
        <v>0</v>
      </c>
      <c r="V69" s="658">
        <f t="shared" si="55"/>
        <v>0</v>
      </c>
    </row>
    <row r="70" spans="1:22">
      <c r="B70" s="645"/>
      <c r="D70" s="656"/>
      <c r="E70" s="649"/>
      <c r="F70" s="649"/>
      <c r="G70" s="649"/>
      <c r="H70" s="649"/>
      <c r="I70" s="649"/>
    </row>
    <row r="71" spans="1:22">
      <c r="C71" s="633" t="s">
        <v>1378</v>
      </c>
      <c r="D71" s="629"/>
    </row>
    <row r="72" spans="1:22">
      <c r="A72" s="644">
        <v>0.05</v>
      </c>
      <c r="C72" s="628" t="s">
        <v>980</v>
      </c>
      <c r="D72" s="650">
        <v>2.06</v>
      </c>
      <c r="E72" s="635">
        <f>D72+D73-D74</f>
        <v>2.06</v>
      </c>
      <c r="F72" s="635">
        <f>E72+E73-E74</f>
        <v>2.06</v>
      </c>
      <c r="G72" s="635">
        <f>F72+F73-F74</f>
        <v>2.7999764552295585</v>
      </c>
      <c r="H72" s="635">
        <f>G72+G73-G74</f>
        <v>2.7999764552295585</v>
      </c>
      <c r="I72" s="635">
        <f>H72+H73-H74</f>
        <v>2.7999764552295585</v>
      </c>
      <c r="J72" s="635">
        <f t="shared" ref="J72:V72" si="56">I72+I73-I74</f>
        <v>2.7999764552295585</v>
      </c>
      <c r="K72" s="635">
        <f t="shared" si="56"/>
        <v>2.7999764552295585</v>
      </c>
      <c r="L72" s="635">
        <f t="shared" si="56"/>
        <v>2.7999764552295585</v>
      </c>
      <c r="M72" s="635">
        <f t="shared" si="56"/>
        <v>2.7999764552295585</v>
      </c>
      <c r="N72" s="635">
        <f t="shared" si="56"/>
        <v>2.7999764552295585</v>
      </c>
      <c r="O72" s="635">
        <f t="shared" si="56"/>
        <v>3.8057612377863506</v>
      </c>
      <c r="P72" s="635">
        <f t="shared" si="56"/>
        <v>3.8057612377863506</v>
      </c>
      <c r="Q72" s="635">
        <f t="shared" si="56"/>
        <v>3.8057612377863506</v>
      </c>
      <c r="R72" s="635">
        <f t="shared" si="56"/>
        <v>3.8057612377863506</v>
      </c>
      <c r="S72" s="635">
        <f t="shared" si="56"/>
        <v>3.8057612377863506</v>
      </c>
      <c r="T72" s="635">
        <f t="shared" si="56"/>
        <v>3.8057612377863506</v>
      </c>
      <c r="U72" s="635">
        <f t="shared" si="56"/>
        <v>3.8057612377863506</v>
      </c>
      <c r="V72" s="635">
        <f t="shared" si="56"/>
        <v>3.8057612377863506</v>
      </c>
    </row>
    <row r="73" spans="1:22">
      <c r="B73" s="628">
        <v>8</v>
      </c>
      <c r="C73" s="628" t="s">
        <v>1371</v>
      </c>
      <c r="D73" s="651"/>
      <c r="E73" s="637"/>
      <c r="F73" s="654">
        <f>F72*(1+$C$116)^'Depreciation Schedule'!$B$73</f>
        <v>2.7999764552295581</v>
      </c>
      <c r="G73" s="637"/>
      <c r="H73" s="654"/>
      <c r="I73" s="637"/>
      <c r="J73" s="637"/>
      <c r="K73" s="637"/>
      <c r="L73" s="637"/>
      <c r="M73" s="637"/>
      <c r="N73" s="654">
        <f>N72*(1+$C$116)^'Depreciation Schedule'!$B$73</f>
        <v>3.8057612377863506</v>
      </c>
      <c r="O73" s="637"/>
      <c r="P73" s="637"/>
      <c r="Q73" s="637"/>
      <c r="R73" s="637"/>
      <c r="S73" s="637"/>
      <c r="T73" s="637"/>
      <c r="U73" s="637"/>
      <c r="V73" s="637"/>
    </row>
    <row r="74" spans="1:22">
      <c r="A74" s="644"/>
      <c r="B74" s="652">
        <f>1/B73</f>
        <v>0.125</v>
      </c>
      <c r="C74" s="628" t="s">
        <v>1372</v>
      </c>
      <c r="D74" s="651"/>
      <c r="E74" s="637"/>
      <c r="F74" s="637">
        <f>F72</f>
        <v>2.06</v>
      </c>
      <c r="G74" s="637"/>
      <c r="H74" s="637"/>
      <c r="I74" s="637"/>
      <c r="J74" s="637"/>
      <c r="K74" s="637"/>
      <c r="L74" s="637"/>
      <c r="M74" s="637"/>
      <c r="N74" s="637">
        <f>N72</f>
        <v>2.7999764552295585</v>
      </c>
      <c r="O74" s="637"/>
      <c r="P74" s="637"/>
      <c r="Q74" s="637"/>
      <c r="R74" s="637"/>
      <c r="S74" s="637"/>
      <c r="T74" s="637"/>
      <c r="U74" s="637"/>
      <c r="V74" s="637"/>
    </row>
    <row r="75" spans="1:22">
      <c r="A75" s="653"/>
      <c r="C75" s="628" t="s">
        <v>93</v>
      </c>
      <c r="D75" s="651">
        <v>0.08</v>
      </c>
      <c r="E75" s="654">
        <f>(E72*(1-$A$72))/$B$73</f>
        <v>0.24462499999999998</v>
      </c>
      <c r="F75" s="654">
        <f t="shared" ref="F75:V75" si="57">(F72*(1-$A$72))/$B$73</f>
        <v>0.24462499999999998</v>
      </c>
      <c r="G75" s="654">
        <f t="shared" si="57"/>
        <v>0.33249720405851008</v>
      </c>
      <c r="H75" s="654">
        <f t="shared" si="57"/>
        <v>0.33249720405851008</v>
      </c>
      <c r="I75" s="654">
        <f t="shared" si="57"/>
        <v>0.33249720405851008</v>
      </c>
      <c r="J75" s="654">
        <f t="shared" si="57"/>
        <v>0.33249720405851008</v>
      </c>
      <c r="K75" s="654">
        <f t="shared" si="57"/>
        <v>0.33249720405851008</v>
      </c>
      <c r="L75" s="654">
        <f t="shared" si="57"/>
        <v>0.33249720405851008</v>
      </c>
      <c r="M75" s="654">
        <f t="shared" si="57"/>
        <v>0.33249720405851008</v>
      </c>
      <c r="N75" s="654">
        <f t="shared" ref="N75" si="58">(N72*(1-$A$72))/$B$73</f>
        <v>0.33249720405851008</v>
      </c>
      <c r="O75" s="654">
        <f t="shared" si="57"/>
        <v>0.45193414698712908</v>
      </c>
      <c r="P75" s="654">
        <f t="shared" si="57"/>
        <v>0.45193414698712908</v>
      </c>
      <c r="Q75" s="654">
        <f t="shared" si="57"/>
        <v>0.45193414698712908</v>
      </c>
      <c r="R75" s="654">
        <f t="shared" si="57"/>
        <v>0.45193414698712908</v>
      </c>
      <c r="S75" s="654">
        <f t="shared" si="57"/>
        <v>0.45193414698712908</v>
      </c>
      <c r="T75" s="654">
        <f t="shared" si="57"/>
        <v>0.45193414698712908</v>
      </c>
      <c r="U75" s="654">
        <f t="shared" si="57"/>
        <v>0.45193414698712908</v>
      </c>
      <c r="V75" s="654">
        <f t="shared" si="57"/>
        <v>0.45193414698712908</v>
      </c>
    </row>
    <row r="76" spans="1:22">
      <c r="C76" s="628" t="s">
        <v>1373</v>
      </c>
      <c r="D76" s="651"/>
      <c r="E76" s="637"/>
      <c r="F76" s="654">
        <f>E78-F75</f>
        <v>-0.19925000000000004</v>
      </c>
      <c r="G76" s="637"/>
      <c r="H76" s="654"/>
      <c r="I76" s="637"/>
      <c r="J76" s="637"/>
      <c r="K76" s="637"/>
      <c r="L76" s="637"/>
      <c r="M76" s="637"/>
      <c r="N76" s="654">
        <f>M78-N75</f>
        <v>0.13999882276147796</v>
      </c>
      <c r="O76" s="637"/>
      <c r="P76" s="637"/>
      <c r="Q76" s="637"/>
      <c r="R76" s="637"/>
      <c r="S76" s="637"/>
      <c r="T76" s="637"/>
      <c r="U76" s="637"/>
      <c r="V76" s="637"/>
    </row>
    <row r="77" spans="1:22">
      <c r="C77" s="628" t="s">
        <v>190</v>
      </c>
      <c r="D77" s="651">
        <v>1.77</v>
      </c>
      <c r="E77" s="637">
        <f>D77+E75+E76-E74</f>
        <v>2.0146250000000001</v>
      </c>
      <c r="F77" s="654">
        <f>E77+F75+F76-F74</f>
        <v>0</v>
      </c>
      <c r="G77" s="637">
        <f>F77+G75+G76-G74</f>
        <v>0.33249720405851008</v>
      </c>
      <c r="H77" s="637">
        <f>G77+H75+H76-H74</f>
        <v>0.66499440811702015</v>
      </c>
      <c r="I77" s="637">
        <f>H77+I75+I76-I74</f>
        <v>0.99749161217553017</v>
      </c>
      <c r="J77" s="637">
        <f t="shared" ref="J77:V77" si="59">I77+J75+J76-J74</f>
        <v>1.3299888162340403</v>
      </c>
      <c r="K77" s="654">
        <f t="shared" si="59"/>
        <v>1.6624860202925504</v>
      </c>
      <c r="L77" s="637">
        <f t="shared" si="59"/>
        <v>1.9949832243510606</v>
      </c>
      <c r="M77" s="637">
        <f t="shared" si="59"/>
        <v>2.3274804284095705</v>
      </c>
      <c r="N77" s="654">
        <f>M77+N75+N76-N74</f>
        <v>0</v>
      </c>
      <c r="O77" s="637">
        <f t="shared" si="59"/>
        <v>0.45193414698712908</v>
      </c>
      <c r="P77" s="654">
        <f t="shared" si="59"/>
        <v>0.90386829397425816</v>
      </c>
      <c r="Q77" s="637">
        <f t="shared" si="59"/>
        <v>1.3558024409613871</v>
      </c>
      <c r="R77" s="637">
        <f t="shared" si="59"/>
        <v>1.8077365879485163</v>
      </c>
      <c r="S77" s="637">
        <f t="shared" si="59"/>
        <v>2.2596707349356455</v>
      </c>
      <c r="T77" s="637">
        <f t="shared" si="59"/>
        <v>2.7116048819227747</v>
      </c>
      <c r="U77" s="654">
        <f t="shared" si="59"/>
        <v>3.1635390289099039</v>
      </c>
      <c r="V77" s="637">
        <f t="shared" si="59"/>
        <v>3.6154731758970331</v>
      </c>
    </row>
    <row r="78" spans="1:22">
      <c r="B78" s="645"/>
      <c r="C78" s="628" t="s">
        <v>191</v>
      </c>
      <c r="D78" s="655">
        <f t="shared" ref="D78:I78" si="60">D72+D73-D77-D74</f>
        <v>0.29000000000000004</v>
      </c>
      <c r="E78" s="641">
        <f t="shared" si="60"/>
        <v>4.5374999999999943E-2</v>
      </c>
      <c r="F78" s="641">
        <f t="shared" si="60"/>
        <v>2.7999764552295585</v>
      </c>
      <c r="G78" s="641">
        <f t="shared" si="60"/>
        <v>2.4674792511710484</v>
      </c>
      <c r="H78" s="641">
        <f t="shared" si="60"/>
        <v>2.1349820471125383</v>
      </c>
      <c r="I78" s="641">
        <f t="shared" si="60"/>
        <v>1.8024848430540283</v>
      </c>
      <c r="J78" s="641">
        <f t="shared" ref="J78:V78" si="61">J72+J73-J77-J74</f>
        <v>1.4699876389955182</v>
      </c>
      <c r="K78" s="641">
        <f t="shared" si="61"/>
        <v>1.1374904349370081</v>
      </c>
      <c r="L78" s="641">
        <f t="shared" si="61"/>
        <v>0.80499323087849795</v>
      </c>
      <c r="M78" s="641">
        <f t="shared" si="61"/>
        <v>0.47249602681998804</v>
      </c>
      <c r="N78" s="641">
        <f t="shared" si="61"/>
        <v>3.8057612377863506</v>
      </c>
      <c r="O78" s="641">
        <f t="shared" si="61"/>
        <v>3.3538270907992214</v>
      </c>
      <c r="P78" s="641">
        <f t="shared" si="61"/>
        <v>2.9018929438120926</v>
      </c>
      <c r="Q78" s="641">
        <f t="shared" si="61"/>
        <v>2.4499587968249634</v>
      </c>
      <c r="R78" s="641">
        <f t="shared" si="61"/>
        <v>1.9980246498378342</v>
      </c>
      <c r="S78" s="641">
        <f t="shared" si="61"/>
        <v>1.546090502850705</v>
      </c>
      <c r="T78" s="641">
        <f t="shared" si="61"/>
        <v>1.0941563558635758</v>
      </c>
      <c r="U78" s="641">
        <f t="shared" si="61"/>
        <v>0.64222220887644665</v>
      </c>
      <c r="V78" s="641">
        <f t="shared" si="61"/>
        <v>0.19028806188931746</v>
      </c>
    </row>
    <row r="79" spans="1:22">
      <c r="D79" s="657">
        <f t="shared" ref="D79:I79" si="62">IF(D77=0,(D76-D74)/D72,D78/D72)</f>
        <v>0.14077669902912623</v>
      </c>
      <c r="E79" s="658">
        <f t="shared" si="62"/>
        <v>2.2026699029126184E-2</v>
      </c>
      <c r="F79" s="658">
        <f t="shared" si="62"/>
        <v>-1.0967233009708739</v>
      </c>
      <c r="G79" s="658">
        <f t="shared" si="62"/>
        <v>0.88124999999999998</v>
      </c>
      <c r="H79" s="658">
        <f t="shared" si="62"/>
        <v>0.76249999999999996</v>
      </c>
      <c r="I79" s="658">
        <f t="shared" si="62"/>
        <v>0.64375000000000004</v>
      </c>
      <c r="J79" s="658">
        <f t="shared" ref="J79:V79" si="63">IF(J77=0,(J76-J74)/J72,J78/J72)</f>
        <v>0.52500000000000002</v>
      </c>
      <c r="K79" s="658">
        <f t="shared" si="63"/>
        <v>0.40625</v>
      </c>
      <c r="L79" s="658">
        <f t="shared" si="63"/>
        <v>0.28749999999999998</v>
      </c>
      <c r="M79" s="658">
        <f t="shared" si="63"/>
        <v>0.16875000000000001</v>
      </c>
      <c r="N79" s="658">
        <f t="shared" si="63"/>
        <v>-0.95</v>
      </c>
      <c r="O79" s="658">
        <f t="shared" si="63"/>
        <v>0.88124999999999998</v>
      </c>
      <c r="P79" s="658">
        <f t="shared" si="63"/>
        <v>0.76250000000000007</v>
      </c>
      <c r="Q79" s="658">
        <f t="shared" si="63"/>
        <v>0.64375000000000004</v>
      </c>
      <c r="R79" s="658">
        <f t="shared" si="63"/>
        <v>0.52500000000000002</v>
      </c>
      <c r="S79" s="658">
        <f t="shared" si="63"/>
        <v>0.40625000000000006</v>
      </c>
      <c r="T79" s="658">
        <f t="shared" si="63"/>
        <v>0.28750000000000003</v>
      </c>
      <c r="U79" s="658">
        <f t="shared" si="63"/>
        <v>0.16875000000000001</v>
      </c>
      <c r="V79" s="658">
        <f t="shared" si="63"/>
        <v>4.9999999999999982E-2</v>
      </c>
    </row>
    <row r="80" spans="1:22">
      <c r="C80" s="633" t="s">
        <v>1385</v>
      </c>
      <c r="D80" s="629"/>
    </row>
    <row r="81" spans="1:22">
      <c r="A81" s="644">
        <v>0.05</v>
      </c>
      <c r="C81" s="628" t="s">
        <v>980</v>
      </c>
      <c r="D81" s="650">
        <v>3.31</v>
      </c>
      <c r="E81" s="635">
        <f>D81+D82-D83</f>
        <v>3.31</v>
      </c>
      <c r="F81" s="635">
        <f>E81+E82-E83</f>
        <v>3.31</v>
      </c>
      <c r="G81" s="635">
        <f>F81+F82-F83</f>
        <v>3.31</v>
      </c>
      <c r="H81" s="635">
        <f>G81+G82-G83</f>
        <v>3.31</v>
      </c>
      <c r="I81" s="635">
        <f>H81+H82-H83</f>
        <v>3.31</v>
      </c>
      <c r="J81" s="635">
        <f t="shared" ref="J81:V81" si="64">I81+I82-I83</f>
        <v>3.31</v>
      </c>
      <c r="K81" s="635">
        <f t="shared" si="64"/>
        <v>3.31</v>
      </c>
      <c r="L81" s="635">
        <f t="shared" si="64"/>
        <v>3.31</v>
      </c>
      <c r="M81" s="635">
        <f t="shared" si="64"/>
        <v>3.31</v>
      </c>
      <c r="N81" s="635">
        <f t="shared" si="64"/>
        <v>3.31</v>
      </c>
      <c r="O81" s="635">
        <f t="shared" si="64"/>
        <v>3.31</v>
      </c>
      <c r="P81" s="635">
        <f t="shared" si="64"/>
        <v>3.31</v>
      </c>
      <c r="Q81" s="635">
        <f t="shared" si="64"/>
        <v>3.31</v>
      </c>
      <c r="R81" s="635">
        <f t="shared" si="64"/>
        <v>3.31</v>
      </c>
      <c r="S81" s="635">
        <f t="shared" si="64"/>
        <v>3.31</v>
      </c>
      <c r="T81" s="635">
        <f t="shared" si="64"/>
        <v>3.31</v>
      </c>
      <c r="U81" s="635">
        <f t="shared" si="64"/>
        <v>3.31</v>
      </c>
      <c r="V81" s="635">
        <f t="shared" si="64"/>
        <v>3.31</v>
      </c>
    </row>
    <row r="82" spans="1:22">
      <c r="B82" s="628">
        <v>90</v>
      </c>
      <c r="C82" s="628" t="s">
        <v>1371</v>
      </c>
      <c r="D82" s="651"/>
      <c r="E82" s="654"/>
      <c r="F82" s="637"/>
      <c r="G82" s="654"/>
      <c r="H82" s="654"/>
      <c r="I82" s="637"/>
      <c r="J82" s="637"/>
      <c r="K82" s="637"/>
      <c r="L82" s="637"/>
      <c r="M82" s="637"/>
      <c r="N82" s="637"/>
      <c r="O82" s="637"/>
      <c r="P82" s="637"/>
      <c r="Q82" s="637"/>
      <c r="R82" s="637"/>
      <c r="S82" s="637"/>
      <c r="T82" s="637"/>
      <c r="U82" s="637"/>
      <c r="V82" s="637"/>
    </row>
    <row r="83" spans="1:22">
      <c r="A83" s="644"/>
      <c r="B83" s="652">
        <f>1/B82</f>
        <v>1.1111111111111112E-2</v>
      </c>
      <c r="C83" s="628" t="s">
        <v>1372</v>
      </c>
      <c r="D83" s="651"/>
      <c r="E83" s="637"/>
      <c r="F83" s="637"/>
      <c r="G83" s="637"/>
      <c r="H83" s="637"/>
      <c r="I83" s="637"/>
      <c r="J83" s="637"/>
      <c r="K83" s="637"/>
      <c r="L83" s="637"/>
      <c r="M83" s="637"/>
      <c r="N83" s="637"/>
      <c r="O83" s="637"/>
      <c r="P83" s="637"/>
      <c r="Q83" s="637"/>
      <c r="R83" s="637"/>
      <c r="S83" s="637"/>
      <c r="T83" s="637"/>
      <c r="U83" s="637"/>
      <c r="V83" s="637"/>
    </row>
    <row r="84" spans="1:22">
      <c r="A84" s="653"/>
      <c r="C84" s="628" t="s">
        <v>93</v>
      </c>
      <c r="D84" s="651">
        <v>0.05</v>
      </c>
      <c r="E84" s="651">
        <v>0.05</v>
      </c>
      <c r="F84" s="651">
        <v>0.05</v>
      </c>
      <c r="G84" s="651">
        <v>0.05</v>
      </c>
      <c r="H84" s="651">
        <v>0.05</v>
      </c>
      <c r="I84" s="651">
        <v>0.05</v>
      </c>
      <c r="J84" s="651">
        <f>I84</f>
        <v>0.05</v>
      </c>
      <c r="K84" s="651">
        <f>J84</f>
        <v>0.05</v>
      </c>
      <c r="L84" s="651">
        <f t="shared" ref="L84:Q84" si="65">K84</f>
        <v>0.05</v>
      </c>
      <c r="M84" s="651">
        <f>L84</f>
        <v>0.05</v>
      </c>
      <c r="N84" s="651">
        <f t="shared" si="65"/>
        <v>0.05</v>
      </c>
      <c r="O84" s="651">
        <f t="shared" si="65"/>
        <v>0.05</v>
      </c>
      <c r="P84" s="651">
        <f t="shared" si="65"/>
        <v>0.05</v>
      </c>
      <c r="Q84" s="651">
        <f t="shared" si="65"/>
        <v>0.05</v>
      </c>
      <c r="R84" s="651">
        <f>Q84</f>
        <v>0.05</v>
      </c>
      <c r="S84" s="651">
        <v>0</v>
      </c>
      <c r="T84" s="651">
        <v>0</v>
      </c>
      <c r="U84" s="651">
        <v>0</v>
      </c>
      <c r="V84" s="651">
        <v>0</v>
      </c>
    </row>
    <row r="85" spans="1:22">
      <c r="C85" s="628" t="s">
        <v>1373</v>
      </c>
      <c r="D85" s="651"/>
      <c r="E85" s="654"/>
      <c r="F85" s="637"/>
      <c r="G85" s="654"/>
      <c r="H85" s="654"/>
      <c r="I85" s="637"/>
      <c r="J85" s="637"/>
      <c r="K85" s="637"/>
      <c r="L85" s="637"/>
      <c r="M85" s="637"/>
      <c r="N85" s="637"/>
      <c r="O85" s="637"/>
      <c r="P85" s="637"/>
      <c r="Q85" s="637"/>
      <c r="R85" s="637"/>
      <c r="S85" s="637"/>
      <c r="T85" s="637"/>
      <c r="U85" s="637"/>
      <c r="V85" s="637"/>
    </row>
    <row r="86" spans="1:22">
      <c r="C86" s="628" t="s">
        <v>190</v>
      </c>
      <c r="D86" s="651">
        <v>2.6</v>
      </c>
      <c r="E86" s="637">
        <f>D86+E84+E85-E83</f>
        <v>2.65</v>
      </c>
      <c r="F86" s="637">
        <f>E86+F84+F85-F83</f>
        <v>2.6999999999999997</v>
      </c>
      <c r="G86" s="654">
        <f>F86+G84+G85-G83</f>
        <v>2.7499999999999996</v>
      </c>
      <c r="H86" s="637">
        <f>G86+H84+H85-H83</f>
        <v>2.7999999999999994</v>
      </c>
      <c r="I86" s="637">
        <f>H86+I84+I85-I83</f>
        <v>2.8499999999999992</v>
      </c>
      <c r="J86" s="637">
        <f t="shared" ref="J86:V86" si="66">I86+J84+J85-J83</f>
        <v>2.899999999999999</v>
      </c>
      <c r="K86" s="637">
        <f t="shared" si="66"/>
        <v>2.9499999999999988</v>
      </c>
      <c r="L86" s="637">
        <f t="shared" si="66"/>
        <v>2.9999999999999987</v>
      </c>
      <c r="M86" s="637">
        <f t="shared" si="66"/>
        <v>3.0499999999999985</v>
      </c>
      <c r="N86" s="637">
        <f t="shared" si="66"/>
        <v>3.0999999999999983</v>
      </c>
      <c r="O86" s="637">
        <f t="shared" si="66"/>
        <v>3.1499999999999981</v>
      </c>
      <c r="P86" s="637">
        <f t="shared" si="66"/>
        <v>3.199999999999998</v>
      </c>
      <c r="Q86" s="637">
        <f t="shared" si="66"/>
        <v>3.2499999999999978</v>
      </c>
      <c r="R86" s="637">
        <f t="shared" si="66"/>
        <v>3.2999999999999976</v>
      </c>
      <c r="S86" s="637">
        <f t="shared" si="66"/>
        <v>3.2999999999999976</v>
      </c>
      <c r="T86" s="637">
        <f t="shared" si="66"/>
        <v>3.2999999999999976</v>
      </c>
      <c r="U86" s="637">
        <f t="shared" si="66"/>
        <v>3.2999999999999976</v>
      </c>
      <c r="V86" s="637">
        <f t="shared" si="66"/>
        <v>3.2999999999999976</v>
      </c>
    </row>
    <row r="87" spans="1:22">
      <c r="B87" s="645"/>
      <c r="C87" s="628" t="s">
        <v>191</v>
      </c>
      <c r="D87" s="655">
        <f t="shared" ref="D87:I87" si="67">D81+D82-D86-D83</f>
        <v>0.71</v>
      </c>
      <c r="E87" s="641">
        <f t="shared" si="67"/>
        <v>0.66000000000000014</v>
      </c>
      <c r="F87" s="641">
        <f t="shared" si="67"/>
        <v>0.61000000000000032</v>
      </c>
      <c r="G87" s="641">
        <f>G81+G82-G86-G83</f>
        <v>0.5600000000000005</v>
      </c>
      <c r="H87" s="641">
        <f>H81+H82-H86-H83</f>
        <v>0.51000000000000068</v>
      </c>
      <c r="I87" s="641">
        <f t="shared" si="67"/>
        <v>0.46000000000000085</v>
      </c>
      <c r="J87" s="641">
        <f t="shared" ref="J87:V87" si="68">J81+J82-J86-J83</f>
        <v>0.41000000000000103</v>
      </c>
      <c r="K87" s="641">
        <f t="shared" si="68"/>
        <v>0.36000000000000121</v>
      </c>
      <c r="L87" s="641">
        <f t="shared" si="68"/>
        <v>0.31000000000000139</v>
      </c>
      <c r="M87" s="641">
        <f t="shared" si="68"/>
        <v>0.26000000000000156</v>
      </c>
      <c r="N87" s="641">
        <f t="shared" si="68"/>
        <v>0.21000000000000174</v>
      </c>
      <c r="O87" s="641">
        <f t="shared" si="68"/>
        <v>0.16000000000000192</v>
      </c>
      <c r="P87" s="641">
        <f t="shared" si="68"/>
        <v>0.1100000000000021</v>
      </c>
      <c r="Q87" s="641">
        <f t="shared" si="68"/>
        <v>6.0000000000002274E-2</v>
      </c>
      <c r="R87" s="641">
        <f t="shared" si="68"/>
        <v>1.0000000000002451E-2</v>
      </c>
      <c r="S87" s="641">
        <f t="shared" si="68"/>
        <v>1.0000000000002451E-2</v>
      </c>
      <c r="T87" s="641">
        <f t="shared" si="68"/>
        <v>1.0000000000002451E-2</v>
      </c>
      <c r="U87" s="641">
        <f t="shared" si="68"/>
        <v>1.0000000000002451E-2</v>
      </c>
      <c r="V87" s="641">
        <f t="shared" si="68"/>
        <v>1.0000000000002451E-2</v>
      </c>
    </row>
    <row r="88" spans="1:22">
      <c r="D88" s="657">
        <f t="shared" ref="D88:I88" si="69">IF(D86=0,(D85-D83)/D81,D87/D81)</f>
        <v>0.21450151057401812</v>
      </c>
      <c r="E88" s="658">
        <f t="shared" si="69"/>
        <v>0.19939577039274928</v>
      </c>
      <c r="F88" s="658">
        <f t="shared" si="69"/>
        <v>0.18429003021148047</v>
      </c>
      <c r="G88" s="658">
        <f>IF(G86=0,(G85-G83)/G81,G87/G81)</f>
        <v>0.16918429003021163</v>
      </c>
      <c r="H88" s="658">
        <f>IF(H86=0,(H85-H83)/H81,H87/H81)</f>
        <v>0.15407854984894279</v>
      </c>
      <c r="I88" s="658">
        <f t="shared" si="69"/>
        <v>0.13897280966767397</v>
      </c>
      <c r="J88" s="658">
        <f t="shared" ref="J88:V88" si="70">IF(J86=0,(J85-J83)/J81,J87/J81)</f>
        <v>0.12386706948640515</v>
      </c>
      <c r="K88" s="658">
        <f t="shared" si="70"/>
        <v>0.10876132930513631</v>
      </c>
      <c r="L88" s="658">
        <f t="shared" si="70"/>
        <v>9.3655589123867483E-2</v>
      </c>
      <c r="M88" s="658">
        <f t="shared" si="70"/>
        <v>7.8549848942598657E-2</v>
      </c>
      <c r="N88" s="658">
        <f t="shared" si="70"/>
        <v>6.3444108761329832E-2</v>
      </c>
      <c r="O88" s="658">
        <f t="shared" si="70"/>
        <v>4.8338368580060999E-2</v>
      </c>
      <c r="P88" s="658">
        <f t="shared" si="70"/>
        <v>3.3232628398792173E-2</v>
      </c>
      <c r="Q88" s="658">
        <f t="shared" si="70"/>
        <v>1.8126888217523344E-2</v>
      </c>
      <c r="R88" s="658">
        <f t="shared" si="70"/>
        <v>3.0211480362545172E-3</v>
      </c>
      <c r="S88" s="658">
        <f t="shared" si="70"/>
        <v>3.0211480362545172E-3</v>
      </c>
      <c r="T88" s="658">
        <f t="shared" si="70"/>
        <v>3.0211480362545172E-3</v>
      </c>
      <c r="U88" s="658">
        <f t="shared" si="70"/>
        <v>3.0211480362545172E-3</v>
      </c>
      <c r="V88" s="658">
        <f t="shared" si="70"/>
        <v>3.0211480362545172E-3</v>
      </c>
    </row>
    <row r="89" spans="1:22">
      <c r="C89" s="633" t="s">
        <v>1379</v>
      </c>
      <c r="D89" s="629"/>
    </row>
    <row r="90" spans="1:22">
      <c r="A90" s="644">
        <v>0.05</v>
      </c>
      <c r="C90" s="628" t="s">
        <v>980</v>
      </c>
      <c r="D90" s="650">
        <v>0.97</v>
      </c>
      <c r="E90" s="635">
        <f t="shared" ref="E90:K90" si="71">D90+D91-D92</f>
        <v>0.97</v>
      </c>
      <c r="F90" s="635">
        <f t="shared" si="71"/>
        <v>1.0883145086125985</v>
      </c>
      <c r="G90" s="635">
        <f t="shared" si="71"/>
        <v>1.0883145086125985</v>
      </c>
      <c r="H90" s="635">
        <f t="shared" si="71"/>
        <v>1.0883145086125985</v>
      </c>
      <c r="I90" s="635">
        <f t="shared" si="71"/>
        <v>1.0883145086125985</v>
      </c>
      <c r="J90" s="635">
        <f t="shared" si="71"/>
        <v>1.2210602779965789</v>
      </c>
      <c r="K90" s="635">
        <f t="shared" si="71"/>
        <v>1.2210602779965789</v>
      </c>
      <c r="L90" s="635">
        <f t="shared" ref="L90:V90" si="72">K90+K91-K92</f>
        <v>1.2210602779965789</v>
      </c>
      <c r="M90" s="635">
        <f t="shared" si="72"/>
        <v>1.2210602779965789</v>
      </c>
      <c r="N90" s="635">
        <f t="shared" si="72"/>
        <v>1.3699975427156799</v>
      </c>
      <c r="O90" s="635">
        <f t="shared" si="72"/>
        <v>1.3699975427156799</v>
      </c>
      <c r="P90" s="635">
        <f t="shared" si="72"/>
        <v>1.3699975427156799</v>
      </c>
      <c r="Q90" s="635">
        <f t="shared" si="72"/>
        <v>1.3699975427156799</v>
      </c>
      <c r="R90" s="635">
        <f t="shared" si="72"/>
        <v>1.5371012396918371</v>
      </c>
      <c r="S90" s="635">
        <f t="shared" si="72"/>
        <v>1.5371012396918371</v>
      </c>
      <c r="T90" s="635">
        <f t="shared" si="72"/>
        <v>1.5371012396918371</v>
      </c>
      <c r="U90" s="635">
        <f t="shared" si="72"/>
        <v>1.5371012396918371</v>
      </c>
      <c r="V90" s="635">
        <f t="shared" si="72"/>
        <v>1.7245871962505539</v>
      </c>
    </row>
    <row r="91" spans="1:22">
      <c r="B91" s="628">
        <v>3</v>
      </c>
      <c r="C91" s="628" t="s">
        <v>1371</v>
      </c>
      <c r="D91" s="651"/>
      <c r="E91" s="654">
        <f>E90*(1+$C$116)^'Depreciation Schedule'!$B$91</f>
        <v>1.0883145086125983</v>
      </c>
      <c r="F91" s="637"/>
      <c r="G91" s="654"/>
      <c r="H91" s="637"/>
      <c r="I91" s="654">
        <f>I90*(1+$C$116)^'Depreciation Schedule'!$B$91</f>
        <v>1.2210602779965789</v>
      </c>
      <c r="J91" s="654"/>
      <c r="K91" s="637"/>
      <c r="L91" s="637"/>
      <c r="M91" s="654">
        <f>M90*(1+$C$116)^'Depreciation Schedule'!$B$91</f>
        <v>1.3699975427156799</v>
      </c>
      <c r="N91" s="654"/>
      <c r="O91" s="637"/>
      <c r="P91" s="637"/>
      <c r="Q91" s="654">
        <f>Q90*(1+$C$116)^'Depreciation Schedule'!$B$91</f>
        <v>1.5371012396918373</v>
      </c>
      <c r="R91" s="637"/>
      <c r="S91" s="637"/>
      <c r="T91" s="637"/>
      <c r="U91" s="654">
        <f>U90*(1+$C$116)^'Depreciation Schedule'!$B$91</f>
        <v>1.7245871962505539</v>
      </c>
      <c r="V91" s="637"/>
    </row>
    <row r="92" spans="1:22">
      <c r="A92" s="644"/>
      <c r="B92" s="652">
        <f>1/B91</f>
        <v>0.33333333333333331</v>
      </c>
      <c r="C92" s="628" t="s">
        <v>1372</v>
      </c>
      <c r="D92" s="651"/>
      <c r="E92" s="637">
        <f>E90</f>
        <v>0.97</v>
      </c>
      <c r="F92" s="637"/>
      <c r="G92" s="654"/>
      <c r="H92" s="637"/>
      <c r="I92" s="637">
        <f>I90</f>
        <v>1.0883145086125985</v>
      </c>
      <c r="J92" s="637"/>
      <c r="K92" s="637"/>
      <c r="L92" s="637"/>
      <c r="M92" s="637">
        <f>M90</f>
        <v>1.2210602779965789</v>
      </c>
      <c r="N92" s="637"/>
      <c r="O92" s="637"/>
      <c r="P92" s="637"/>
      <c r="Q92" s="637">
        <f>Q90</f>
        <v>1.3699975427156799</v>
      </c>
      <c r="R92" s="637"/>
      <c r="S92" s="637"/>
      <c r="T92" s="637"/>
      <c r="U92" s="637">
        <f>U90</f>
        <v>1.5371012396918371</v>
      </c>
      <c r="V92" s="637"/>
    </row>
    <row r="93" spans="1:22">
      <c r="A93" s="653"/>
      <c r="C93" s="628" t="s">
        <v>93</v>
      </c>
      <c r="D93" s="651">
        <v>0.05</v>
      </c>
      <c r="E93" s="654">
        <f t="shared" ref="E93:K93" si="73">(E90*(1-$A$90))/$B$91</f>
        <v>0.30716666666666664</v>
      </c>
      <c r="F93" s="654">
        <f t="shared" si="73"/>
        <v>0.34463292772732285</v>
      </c>
      <c r="G93" s="654">
        <f t="shared" si="73"/>
        <v>0.34463292772732285</v>
      </c>
      <c r="H93" s="654">
        <f t="shared" si="73"/>
        <v>0.34463292772732285</v>
      </c>
      <c r="I93" s="654">
        <f t="shared" si="73"/>
        <v>0.34463292772732285</v>
      </c>
      <c r="J93" s="654">
        <f t="shared" si="73"/>
        <v>0.38666908803224992</v>
      </c>
      <c r="K93" s="654">
        <f t="shared" si="73"/>
        <v>0.38666908803224992</v>
      </c>
      <c r="L93" s="654">
        <f t="shared" ref="L93:V93" si="74">(L90*(1-$A$90))/$B$91</f>
        <v>0.38666908803224992</v>
      </c>
      <c r="M93" s="654">
        <f>(M90*(1-$A$90))/$B$91</f>
        <v>0.38666908803224992</v>
      </c>
      <c r="N93" s="654">
        <f>(N90*(1-$A$90))/$B$91</f>
        <v>0.43383255519329861</v>
      </c>
      <c r="O93" s="654">
        <f t="shared" si="74"/>
        <v>0.43383255519329861</v>
      </c>
      <c r="P93" s="654">
        <f t="shared" si="74"/>
        <v>0.43383255519329861</v>
      </c>
      <c r="Q93" s="654">
        <f>(Q90*(1-$A$90))/$B$91</f>
        <v>0.43383255519329861</v>
      </c>
      <c r="R93" s="654">
        <f t="shared" si="74"/>
        <v>0.48674872590241502</v>
      </c>
      <c r="S93" s="654">
        <f t="shared" si="74"/>
        <v>0.48674872590241502</v>
      </c>
      <c r="T93" s="654">
        <f t="shared" si="74"/>
        <v>0.48674872590241502</v>
      </c>
      <c r="U93" s="654">
        <f>(U90*(1-$A$90))/$B$91</f>
        <v>0.48674872590241502</v>
      </c>
      <c r="V93" s="654">
        <f t="shared" si="74"/>
        <v>0.54611927881267541</v>
      </c>
    </row>
    <row r="94" spans="1:22">
      <c r="C94" s="628" t="s">
        <v>1373</v>
      </c>
      <c r="D94" s="651"/>
      <c r="E94" s="654">
        <f>D96-E93</f>
        <v>-0.20716666666666667</v>
      </c>
      <c r="F94" s="637"/>
      <c r="G94" s="654"/>
      <c r="H94" s="637"/>
      <c r="I94" s="654">
        <f>H96-I93</f>
        <v>-0.29021720229669296</v>
      </c>
      <c r="J94" s="654"/>
      <c r="K94" s="637"/>
      <c r="L94" s="637"/>
      <c r="M94" s="654">
        <f>L96-M93</f>
        <v>-0.32561607413242083</v>
      </c>
      <c r="N94" s="654"/>
      <c r="O94" s="637"/>
      <c r="P94" s="637"/>
      <c r="Q94" s="654">
        <f>P96-Q93</f>
        <v>-0.36533267805751451</v>
      </c>
      <c r="R94" s="637"/>
      <c r="S94" s="637"/>
      <c r="T94" s="637"/>
      <c r="U94" s="654">
        <f>T96-U93</f>
        <v>-0.409893663917823</v>
      </c>
      <c r="V94" s="637"/>
    </row>
    <row r="95" spans="1:22">
      <c r="C95" s="628" t="s">
        <v>190</v>
      </c>
      <c r="D95" s="651">
        <v>0.87</v>
      </c>
      <c r="E95" s="637">
        <f t="shared" ref="E95:K95" si="75">D95+E93+E94-E92</f>
        <v>0</v>
      </c>
      <c r="F95" s="637">
        <f t="shared" si="75"/>
        <v>0.34463292772732285</v>
      </c>
      <c r="G95" s="654">
        <f t="shared" si="75"/>
        <v>0.68926585545464569</v>
      </c>
      <c r="H95" s="637">
        <f t="shared" si="75"/>
        <v>1.0338987831819686</v>
      </c>
      <c r="I95" s="637">
        <f t="shared" si="75"/>
        <v>0</v>
      </c>
      <c r="J95" s="637">
        <f t="shared" si="75"/>
        <v>0.38666908803224992</v>
      </c>
      <c r="K95" s="637">
        <f t="shared" si="75"/>
        <v>0.77333817606449984</v>
      </c>
      <c r="L95" s="637">
        <f t="shared" ref="L95:V95" si="76">K95+L93+L94-L92</f>
        <v>1.1600072640967498</v>
      </c>
      <c r="M95" s="637">
        <f>L95+M93+M94-M92</f>
        <v>0</v>
      </c>
      <c r="N95" s="637">
        <f>M95+N93+N94-N92</f>
        <v>0.43383255519329861</v>
      </c>
      <c r="O95" s="637">
        <f t="shared" si="76"/>
        <v>0.86766511038659722</v>
      </c>
      <c r="P95" s="637">
        <f t="shared" si="76"/>
        <v>1.3014976655798958</v>
      </c>
      <c r="Q95" s="637">
        <f>P95+Q93+Q94-Q92</f>
        <v>0</v>
      </c>
      <c r="R95" s="637">
        <f t="shared" si="76"/>
        <v>0.48674872590241502</v>
      </c>
      <c r="S95" s="637">
        <f t="shared" si="76"/>
        <v>0.97349745180483005</v>
      </c>
      <c r="T95" s="637">
        <f t="shared" si="76"/>
        <v>1.4602461777072451</v>
      </c>
      <c r="U95" s="637">
        <f>T95+U93+U94-U92</f>
        <v>0</v>
      </c>
      <c r="V95" s="637">
        <f t="shared" si="76"/>
        <v>0.54611927881267541</v>
      </c>
    </row>
    <row r="96" spans="1:22">
      <c r="B96" s="645"/>
      <c r="C96" s="628" t="s">
        <v>191</v>
      </c>
      <c r="D96" s="655">
        <f t="shared" ref="D96:I96" si="77">D90+D91-D95-D92</f>
        <v>9.9999999999999978E-2</v>
      </c>
      <c r="E96" s="641">
        <f>E90+E91-E95-E92</f>
        <v>1.0883145086125985</v>
      </c>
      <c r="F96" s="641">
        <f>F90+F91-F95-F92</f>
        <v>0.74368158088527569</v>
      </c>
      <c r="G96" s="641">
        <f t="shared" si="77"/>
        <v>0.39904865315795279</v>
      </c>
      <c r="H96" s="641">
        <f t="shared" si="77"/>
        <v>5.4415725430629891E-2</v>
      </c>
      <c r="I96" s="641">
        <f t="shared" si="77"/>
        <v>1.2210602779965789</v>
      </c>
      <c r="J96" s="641">
        <f>J90+J91-J95-J92</f>
        <v>0.83439118996432904</v>
      </c>
      <c r="K96" s="641">
        <f>K90+K91-K95-K92</f>
        <v>0.44772210193207906</v>
      </c>
      <c r="L96" s="641">
        <f t="shared" ref="L96:V96" si="78">L90+L91-L95-L92</f>
        <v>6.1053013899829089E-2</v>
      </c>
      <c r="M96" s="641">
        <f t="shared" si="78"/>
        <v>1.3699975427156799</v>
      </c>
      <c r="N96" s="641">
        <f t="shared" si="78"/>
        <v>0.9361649875223812</v>
      </c>
      <c r="O96" s="641">
        <f t="shared" si="78"/>
        <v>0.50233243232908265</v>
      </c>
      <c r="P96" s="641">
        <f t="shared" si="78"/>
        <v>6.8499877135784093E-2</v>
      </c>
      <c r="Q96" s="641">
        <f t="shared" si="78"/>
        <v>1.5371012396918371</v>
      </c>
      <c r="R96" s="641">
        <f t="shared" si="78"/>
        <v>1.0503525137894221</v>
      </c>
      <c r="S96" s="641">
        <f t="shared" si="78"/>
        <v>0.56360378788700705</v>
      </c>
      <c r="T96" s="641">
        <f t="shared" si="78"/>
        <v>7.6855061984592021E-2</v>
      </c>
      <c r="U96" s="641">
        <f t="shared" si="78"/>
        <v>1.7245871962505539</v>
      </c>
      <c r="V96" s="641">
        <f t="shared" si="78"/>
        <v>1.1784679174378785</v>
      </c>
    </row>
    <row r="97" spans="1:22">
      <c r="D97" s="657">
        <f t="shared" ref="D97:I97" si="79">IF(D95=0,(D94-D92)/D90,D96/D90)</f>
        <v>0.10309278350515462</v>
      </c>
      <c r="E97" s="658">
        <f>IF(E95=0,(E94-E92)/E90,E96/E90)</f>
        <v>-1.2135738831615122</v>
      </c>
      <c r="F97" s="658">
        <f>IF(F95=0,(F94-F92)/F90,F96/F90)</f>
        <v>0.68333333333333335</v>
      </c>
      <c r="G97" s="658">
        <f>IF(G95=0,(G94-G92)/G90,G96/G90)</f>
        <v>0.3666666666666667</v>
      </c>
      <c r="H97" s="658">
        <f t="shared" si="79"/>
        <v>4.9999999999999968E-2</v>
      </c>
      <c r="I97" s="658">
        <f t="shared" si="79"/>
        <v>-1.2666666666666666</v>
      </c>
      <c r="J97" s="658">
        <f>IF(J95=0,(J94-J92)/J90,J96/J90)</f>
        <v>0.68333333333333346</v>
      </c>
      <c r="K97" s="658">
        <f>IF(K95=0,(K94-K92)/K90,K96/K90)</f>
        <v>0.36666666666666675</v>
      </c>
      <c r="L97" s="658">
        <f t="shared" ref="L97:V97" si="80">IF(L95=0,(L94-L92)/L90,L96/L90)</f>
        <v>5.0000000000000121E-2</v>
      </c>
      <c r="M97" s="658">
        <f t="shared" si="80"/>
        <v>-1.2666666666666664</v>
      </c>
      <c r="N97" s="658">
        <f t="shared" si="80"/>
        <v>0.68333333333333335</v>
      </c>
      <c r="O97" s="658">
        <f t="shared" si="80"/>
        <v>0.3666666666666667</v>
      </c>
      <c r="P97" s="658">
        <f t="shared" si="80"/>
        <v>5.0000000000000072E-2</v>
      </c>
      <c r="Q97" s="658">
        <f t="shared" si="80"/>
        <v>-1.2666666666666666</v>
      </c>
      <c r="R97" s="658">
        <f t="shared" si="80"/>
        <v>0.68333333333333335</v>
      </c>
      <c r="S97" s="658">
        <f t="shared" si="80"/>
        <v>0.36666666666666675</v>
      </c>
      <c r="T97" s="658">
        <f t="shared" si="80"/>
        <v>5.0000000000000107E-2</v>
      </c>
      <c r="U97" s="658">
        <f t="shared" si="80"/>
        <v>-1.2666666666666666</v>
      </c>
      <c r="V97" s="658">
        <f t="shared" si="80"/>
        <v>0.68333333333333335</v>
      </c>
    </row>
    <row r="98" spans="1:22">
      <c r="C98" s="659" t="s">
        <v>1380</v>
      </c>
      <c r="D98" s="629"/>
    </row>
    <row r="99" spans="1:22">
      <c r="C99" s="660" t="s">
        <v>1381</v>
      </c>
      <c r="D99" s="661">
        <f t="shared" ref="D99:I99" si="81">SUMIF($C4:$C97,"Addition",D4:D97)/(10^2)</f>
        <v>0</v>
      </c>
      <c r="E99" s="662">
        <f t="shared" si="81"/>
        <v>8.6319403952747564E-2</v>
      </c>
      <c r="F99" s="662">
        <f t="shared" si="81"/>
        <v>5.8043653999088972E-2</v>
      </c>
      <c r="G99" s="662">
        <f t="shared" si="81"/>
        <v>0</v>
      </c>
      <c r="H99" s="662">
        <f t="shared" si="81"/>
        <v>0</v>
      </c>
      <c r="I99" s="662">
        <f t="shared" si="81"/>
        <v>4.8607187178802205E-2</v>
      </c>
      <c r="J99" s="661">
        <f t="shared" ref="J99:V99" si="82">SUMIF($C4:$C97,"Addition",J4:J97)/(10^2)</f>
        <v>0.10253385859084581</v>
      </c>
      <c r="K99" s="662">
        <f t="shared" si="82"/>
        <v>0</v>
      </c>
      <c r="L99" s="662">
        <f t="shared" si="82"/>
        <v>4.4092538625787346E-2</v>
      </c>
      <c r="M99" s="662">
        <f t="shared" si="82"/>
        <v>1.3699975427156799E-2</v>
      </c>
      <c r="N99" s="662">
        <f t="shared" si="82"/>
        <v>3.8057612377863509E-2</v>
      </c>
      <c r="O99" s="662">
        <f t="shared" si="82"/>
        <v>0.19278101830427555</v>
      </c>
      <c r="P99" s="661">
        <f t="shared" si="82"/>
        <v>0</v>
      </c>
      <c r="Q99" s="662">
        <f t="shared" si="82"/>
        <v>1.5371012396918373E-2</v>
      </c>
      <c r="R99" s="662">
        <f t="shared" si="82"/>
        <v>6.4710395300500934E-2</v>
      </c>
      <c r="S99" s="662">
        <f t="shared" si="82"/>
        <v>0</v>
      </c>
      <c r="T99" s="662">
        <f t="shared" si="82"/>
        <v>0.18942688572121744</v>
      </c>
      <c r="U99" s="662">
        <f t="shared" si="82"/>
        <v>9.5639096255511508E-2</v>
      </c>
      <c r="V99" s="661">
        <f t="shared" si="82"/>
        <v>0</v>
      </c>
    </row>
    <row r="100" spans="1:22">
      <c r="C100" s="660" t="s">
        <v>1382</v>
      </c>
      <c r="D100" s="661">
        <f>SUMIF($C4:$C96,"Asset Write off (Net block)",D4:D96)</f>
        <v>0.75</v>
      </c>
      <c r="E100" s="662">
        <f>SUMIF($C4:$C96,"Asset Write off (Net block)",E4:E96)/(10^2)</f>
        <v>1.3377083333333333E-3</v>
      </c>
      <c r="F100" s="662">
        <f>SUMIF($C4:$C96,"Asset Write off (Net block)",F4:F96)/(10^2)</f>
        <v>-8.8165000000000032E-3</v>
      </c>
      <c r="G100" s="662">
        <f>SUMIF($C4:$C96,"Asset Write off (Net block)",G4:G96)/(10^2)</f>
        <v>0</v>
      </c>
      <c r="H100" s="662">
        <f>SUMIF($C4:$C96,"Asset Write off (Net block)",H4:H96)/(10^2)</f>
        <v>0</v>
      </c>
      <c r="I100" s="662">
        <f>SUMIF($C4:$C96,"Asset Write off (Net block)",I4:I96)/(10^2)</f>
        <v>1.0016700439154227E-2</v>
      </c>
      <c r="J100" s="661">
        <f t="shared" ref="J100:V100" si="83">SUMIF($C4:$C96,"Asset Write off (Net block)",J4:J96)/(10^2)</f>
        <v>3.0645980164565011E-2</v>
      </c>
      <c r="K100" s="662">
        <f t="shared" si="83"/>
        <v>0</v>
      </c>
      <c r="L100" s="662">
        <f t="shared" si="83"/>
        <v>1.5650531291499657E-2</v>
      </c>
      <c r="M100" s="662">
        <f t="shared" si="83"/>
        <v>-3.2561607413242083E-3</v>
      </c>
      <c r="N100" s="662">
        <f t="shared" si="83"/>
        <v>1.3999882276147797E-3</v>
      </c>
      <c r="O100" s="662">
        <f t="shared" si="83"/>
        <v>6.0614171661619663E-2</v>
      </c>
      <c r="P100" s="661">
        <f t="shared" si="83"/>
        <v>0</v>
      </c>
      <c r="Q100" s="662">
        <f t="shared" si="83"/>
        <v>-3.653326780575145E-3</v>
      </c>
      <c r="R100" s="662">
        <f t="shared" si="83"/>
        <v>2.2968785606358764E-2</v>
      </c>
      <c r="S100" s="662">
        <f t="shared" si="83"/>
        <v>0</v>
      </c>
      <c r="T100" s="662">
        <f t="shared" si="83"/>
        <v>5.6617127866150911E-2</v>
      </c>
      <c r="U100" s="662">
        <f t="shared" si="83"/>
        <v>2.3726533340037159E-2</v>
      </c>
      <c r="V100" s="661">
        <f t="shared" si="83"/>
        <v>0</v>
      </c>
    </row>
    <row r="101" spans="1:22">
      <c r="C101" s="660" t="s">
        <v>1383</v>
      </c>
      <c r="D101" s="661">
        <f>SUMIF($C4:$C98,"Depreciation",D4:D98)</f>
        <v>199.89000000000004</v>
      </c>
      <c r="E101" s="661">
        <f t="shared" ref="E101:V101" si="84">SUMIF($C4:$C98,"Depreciation",E4:E98)</f>
        <v>303.3498975</v>
      </c>
      <c r="F101" s="661">
        <f t="shared" si="84"/>
        <v>303.62410683510177</v>
      </c>
      <c r="G101" s="661">
        <f t="shared" si="84"/>
        <v>303.81161293864932</v>
      </c>
      <c r="H101" s="661">
        <f t="shared" si="84"/>
        <v>303.81161293864932</v>
      </c>
      <c r="I101" s="661">
        <f t="shared" si="84"/>
        <v>303.81161293864932</v>
      </c>
      <c r="J101" s="661">
        <f t="shared" si="84"/>
        <v>303.97435030304308</v>
      </c>
      <c r="K101" s="661">
        <f t="shared" si="84"/>
        <v>304.29613429976826</v>
      </c>
      <c r="L101" s="661">
        <f t="shared" si="84"/>
        <v>304.29613429976826</v>
      </c>
      <c r="M101" s="661">
        <f t="shared" si="84"/>
        <v>304.44235743008034</v>
      </c>
      <c r="N101" s="661">
        <f t="shared" si="84"/>
        <v>304.48952089724139</v>
      </c>
      <c r="O101" s="661">
        <f t="shared" si="84"/>
        <v>304.60895784017004</v>
      </c>
      <c r="P101" s="661">
        <f t="shared" si="84"/>
        <v>305.22347206379635</v>
      </c>
      <c r="Q101" s="661">
        <f t="shared" si="84"/>
        <v>305.22347206379635</v>
      </c>
      <c r="R101" s="661">
        <f t="shared" si="84"/>
        <v>305.27638823450548</v>
      </c>
      <c r="S101" s="661">
        <f t="shared" si="84"/>
        <v>305.44098591609679</v>
      </c>
      <c r="T101" s="661">
        <f t="shared" si="84"/>
        <v>305.44098591609679</v>
      </c>
      <c r="U101" s="661">
        <f t="shared" si="84"/>
        <v>306.03546798487184</v>
      </c>
      <c r="V101" s="661">
        <f t="shared" si="84"/>
        <v>306.35481228863972</v>
      </c>
    </row>
    <row r="102" spans="1:22">
      <c r="C102" s="660" t="s">
        <v>191</v>
      </c>
      <c r="D102" s="661">
        <f>SUMIF($C5:$C99,"Net Block",D5:D99)</f>
        <v>6578.7500000000009</v>
      </c>
      <c r="E102" s="661">
        <f t="shared" ref="E102:V102" si="85">SUMIF($C5:$C99,"Net Block",E5:E99)</f>
        <v>6283.8982720619424</v>
      </c>
      <c r="F102" s="661">
        <f t="shared" si="85"/>
        <v>5986.9601806267492</v>
      </c>
      <c r="G102" s="661">
        <f t="shared" si="85"/>
        <v>5683.148567688102</v>
      </c>
      <c r="H102" s="661">
        <f t="shared" si="85"/>
        <v>5379.3369547494513</v>
      </c>
      <c r="I102" s="661">
        <f t="shared" si="85"/>
        <v>5079.3843904847663</v>
      </c>
      <c r="J102" s="661">
        <f t="shared" si="85"/>
        <v>4782.5988280243519</v>
      </c>
      <c r="K102" s="661">
        <f t="shared" si="85"/>
        <v>4478.3026937245822</v>
      </c>
      <c r="L102" s="661">
        <f t="shared" si="85"/>
        <v>4176.8507601582442</v>
      </c>
      <c r="M102" s="661">
        <f t="shared" si="85"/>
        <v>3874.1040163450107</v>
      </c>
      <c r="N102" s="661">
        <f t="shared" si="85"/>
        <v>3573.2802578627943</v>
      </c>
      <c r="O102" s="661">
        <f t="shared" si="85"/>
        <v>3281.8879846868895</v>
      </c>
      <c r="P102" s="661">
        <f t="shared" si="85"/>
        <v>2976.6645126230928</v>
      </c>
      <c r="Q102" s="661">
        <f t="shared" si="85"/>
        <v>2673.3434744770452</v>
      </c>
      <c r="R102" s="661">
        <f t="shared" si="85"/>
        <v>2372.241247211954</v>
      </c>
      <c r="S102" s="661">
        <f t="shared" si="85"/>
        <v>2066.8002612958576</v>
      </c>
      <c r="T102" s="661">
        <f t="shared" si="85"/>
        <v>1774.640251165267</v>
      </c>
      <c r="U102" s="661">
        <f t="shared" si="85"/>
        <v>1475.7960394719425</v>
      </c>
      <c r="V102" s="661">
        <f t="shared" si="85"/>
        <v>1169.4412271833025</v>
      </c>
    </row>
    <row r="109" spans="1:22">
      <c r="A109" s="663" t="s">
        <v>1386</v>
      </c>
      <c r="B109"/>
      <c r="C109"/>
      <c r="D109"/>
      <c r="E109"/>
      <c r="F109"/>
      <c r="G109"/>
      <c r="H109"/>
      <c r="I109"/>
      <c r="J109"/>
      <c r="K109"/>
      <c r="L109"/>
      <c r="M109"/>
    </row>
    <row r="110" spans="1:22">
      <c r="A110" s="664" t="s">
        <v>1387</v>
      </c>
      <c r="B110" s="665" t="s">
        <v>1388</v>
      </c>
      <c r="C110" s="666" t="s">
        <v>1389</v>
      </c>
      <c r="D110" s="666" t="s">
        <v>1390</v>
      </c>
      <c r="E110" s="666" t="s">
        <v>1391</v>
      </c>
      <c r="F110" s="666" t="s">
        <v>1392</v>
      </c>
      <c r="G110" s="666" t="s">
        <v>1393</v>
      </c>
      <c r="H110" s="666" t="s">
        <v>1394</v>
      </c>
      <c r="I110" s="666" t="s">
        <v>1395</v>
      </c>
      <c r="J110" s="667" t="s">
        <v>1396</v>
      </c>
      <c r="K110" s="666" t="s">
        <v>1397</v>
      </c>
      <c r="L110" s="666" t="s">
        <v>1398</v>
      </c>
      <c r="M110" s="668" t="s">
        <v>1399</v>
      </c>
    </row>
    <row r="111" spans="1:22">
      <c r="A111" s="669" t="s">
        <v>1400</v>
      </c>
      <c r="B111" s="670">
        <v>100</v>
      </c>
      <c r="C111" s="671">
        <v>106.9</v>
      </c>
      <c r="D111" s="671">
        <v>112.5</v>
      </c>
      <c r="E111" s="671">
        <v>113.9</v>
      </c>
      <c r="F111" s="671">
        <v>109.7</v>
      </c>
      <c r="G111" s="671">
        <v>111.6</v>
      </c>
      <c r="H111" s="671">
        <v>114.9</v>
      </c>
      <c r="I111" s="671">
        <v>119.8</v>
      </c>
      <c r="J111" s="671">
        <v>121.8</v>
      </c>
      <c r="K111" s="671">
        <v>123.4</v>
      </c>
      <c r="L111" s="671">
        <v>139.4</v>
      </c>
      <c r="M111" s="671">
        <v>152.5</v>
      </c>
    </row>
    <row r="112" spans="1:22">
      <c r="A112" s="669"/>
      <c r="B112" s="670"/>
      <c r="C112" s="672">
        <f>+C111/B111-1</f>
        <v>6.899999999999995E-2</v>
      </c>
      <c r="D112" s="672">
        <f t="shared" ref="D112:M112" si="86">+D111/C111-1</f>
        <v>5.2385406922357269E-2</v>
      </c>
      <c r="E112" s="672">
        <f t="shared" si="86"/>
        <v>1.244444444444448E-2</v>
      </c>
      <c r="F112" s="672">
        <f t="shared" si="86"/>
        <v>-3.687445127304656E-2</v>
      </c>
      <c r="G112" s="672">
        <f t="shared" si="86"/>
        <v>1.7319963536918781E-2</v>
      </c>
      <c r="H112" s="672">
        <f t="shared" si="86"/>
        <v>2.9569892473118475E-2</v>
      </c>
      <c r="I112" s="672">
        <f t="shared" si="86"/>
        <v>4.2645778938207091E-2</v>
      </c>
      <c r="J112" s="672">
        <f t="shared" si="86"/>
        <v>1.6694490818029983E-2</v>
      </c>
      <c r="K112" s="672">
        <f t="shared" si="86"/>
        <v>1.3136288998357948E-2</v>
      </c>
      <c r="L112" s="672">
        <f t="shared" si="86"/>
        <v>0.12965964343598047</v>
      </c>
      <c r="M112" s="672">
        <f t="shared" si="86"/>
        <v>9.3974175035868024E-2</v>
      </c>
    </row>
    <row r="113" spans="1:13">
      <c r="A113" s="673" t="s">
        <v>1401</v>
      </c>
      <c r="B113" s="674">
        <f>(M111/B111)^(1/COUNT(C111:M111))-1</f>
        <v>3.9108493961018453E-2</v>
      </c>
      <c r="C113" s="675"/>
      <c r="D113" s="676"/>
      <c r="E113" s="676"/>
      <c r="F113" s="676"/>
      <c r="G113" s="676"/>
      <c r="H113" s="676"/>
      <c r="I113" s="676"/>
      <c r="J113"/>
      <c r="K113"/>
      <c r="L113"/>
      <c r="M113"/>
    </row>
    <row r="114" spans="1:13">
      <c r="A114" s="677" t="s">
        <v>1402</v>
      </c>
      <c r="B114" s="678">
        <f>B113</f>
        <v>3.9108493961018453E-2</v>
      </c>
      <c r="C114" s="675"/>
      <c r="D114" s="676"/>
      <c r="E114" s="676"/>
      <c r="F114" s="676"/>
      <c r="G114" s="676"/>
      <c r="H114" s="676"/>
      <c r="I114" s="676"/>
      <c r="J114"/>
      <c r="K114"/>
      <c r="L114"/>
      <c r="M114"/>
    </row>
    <row r="115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>
      <c r="A116" s="663" t="s">
        <v>1403</v>
      </c>
      <c r="B116" s="679" t="s">
        <v>1404</v>
      </c>
      <c r="C116" s="680">
        <f>B114</f>
        <v>3.9108493961018453E-2</v>
      </c>
      <c r="D116"/>
      <c r="E116"/>
      <c r="F116"/>
      <c r="G116"/>
      <c r="H116"/>
      <c r="I116"/>
      <c r="J116"/>
      <c r="K116"/>
      <c r="L116"/>
      <c r="M11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U16"/>
  <sheetViews>
    <sheetView topLeftCell="C1" workbookViewId="0">
      <selection activeCell="U15" sqref="U15"/>
    </sheetView>
  </sheetViews>
  <sheetFormatPr defaultRowHeight="14.4"/>
  <cols>
    <col min="2" max="2" width="35.88671875" customWidth="1"/>
    <col min="3" max="3" width="13.109375" customWidth="1"/>
    <col min="4" max="4" width="9" customWidth="1"/>
    <col min="5" max="5" width="17.44140625" customWidth="1"/>
    <col min="6" max="6" width="11.5546875" bestFit="1" customWidth="1"/>
    <col min="7" max="21" width="10.33203125" bestFit="1" customWidth="1"/>
  </cols>
  <sheetData>
    <row r="3" spans="2:21">
      <c r="E3" s="557" t="s">
        <v>1333</v>
      </c>
    </row>
    <row r="4" spans="2:21">
      <c r="B4" s="557" t="s">
        <v>1330</v>
      </c>
      <c r="C4" s="557"/>
      <c r="D4" s="557"/>
      <c r="E4" s="557" t="s">
        <v>1334</v>
      </c>
    </row>
    <row r="5" spans="2:21">
      <c r="B5" s="557" t="s">
        <v>1332</v>
      </c>
      <c r="C5" s="557"/>
      <c r="D5" s="557"/>
      <c r="E5">
        <v>1028.27</v>
      </c>
      <c r="F5" s="79">
        <v>0.13650000000000001</v>
      </c>
      <c r="G5">
        <v>17</v>
      </c>
    </row>
    <row r="6" spans="2:21">
      <c r="B6" s="557" t="s">
        <v>1331</v>
      </c>
      <c r="C6" s="557"/>
      <c r="D6" s="557"/>
      <c r="E6">
        <v>6090.01</v>
      </c>
      <c r="F6" s="79">
        <v>0.13650000000000001</v>
      </c>
      <c r="G6">
        <v>17</v>
      </c>
    </row>
    <row r="7" spans="2:21">
      <c r="E7" s="1">
        <f>SUM(E5:E6)</f>
        <v>7118.2800000000007</v>
      </c>
    </row>
    <row r="12" spans="2:21">
      <c r="E12" s="564">
        <v>45747</v>
      </c>
      <c r="F12" s="564">
        <v>46112</v>
      </c>
      <c r="G12" s="564">
        <v>46477</v>
      </c>
      <c r="H12" s="564">
        <v>46843</v>
      </c>
      <c r="I12" s="564">
        <v>47208</v>
      </c>
      <c r="J12" s="564">
        <v>47573</v>
      </c>
      <c r="K12" s="564">
        <v>47938</v>
      </c>
      <c r="L12" s="564">
        <v>48304</v>
      </c>
      <c r="M12" s="564">
        <v>48669</v>
      </c>
      <c r="N12" s="564">
        <v>49034</v>
      </c>
      <c r="O12" s="564">
        <v>49399</v>
      </c>
      <c r="P12" s="564">
        <v>49765</v>
      </c>
      <c r="Q12" s="564">
        <v>50130</v>
      </c>
      <c r="R12" s="564">
        <v>50495</v>
      </c>
      <c r="S12" s="564">
        <v>50860</v>
      </c>
      <c r="T12" s="564">
        <v>51226</v>
      </c>
      <c r="U12" s="564">
        <v>51591</v>
      </c>
    </row>
    <row r="13" spans="2:21">
      <c r="B13" s="557" t="s">
        <v>1335</v>
      </c>
      <c r="C13" s="557"/>
      <c r="D13">
        <f>C16</f>
        <v>7118.2800000000007</v>
      </c>
      <c r="E13" s="542">
        <f>D16</f>
        <v>7118.2800000000007</v>
      </c>
      <c r="F13" s="542">
        <f>E16</f>
        <v>6699.5576470588239</v>
      </c>
      <c r="G13" s="542">
        <f t="shared" ref="G13:U13" si="0">F16</f>
        <v>6280.8352941176472</v>
      </c>
      <c r="H13" s="542">
        <f t="shared" si="0"/>
        <v>5862.1129411764705</v>
      </c>
      <c r="I13" s="542">
        <f t="shared" si="0"/>
        <v>5443.3905882352938</v>
      </c>
      <c r="J13" s="542">
        <f t="shared" si="0"/>
        <v>5024.668235294117</v>
      </c>
      <c r="K13" s="542">
        <f t="shared" si="0"/>
        <v>4605.9458823529403</v>
      </c>
      <c r="L13" s="542">
        <f t="shared" si="0"/>
        <v>4187.2235294117636</v>
      </c>
      <c r="M13" s="542">
        <f t="shared" si="0"/>
        <v>3768.5011764705869</v>
      </c>
      <c r="N13" s="542">
        <f t="shared" si="0"/>
        <v>3349.7788235294101</v>
      </c>
      <c r="O13" s="542">
        <f t="shared" si="0"/>
        <v>2931.0564705882334</v>
      </c>
      <c r="P13" s="542">
        <f t="shared" si="0"/>
        <v>2512.3341176470567</v>
      </c>
      <c r="Q13" s="542">
        <f t="shared" si="0"/>
        <v>2093.61176470588</v>
      </c>
      <c r="R13" s="542">
        <f t="shared" si="0"/>
        <v>1674.8894117647035</v>
      </c>
      <c r="S13" s="542">
        <f t="shared" si="0"/>
        <v>1256.167058823527</v>
      </c>
      <c r="T13" s="542">
        <f t="shared" si="0"/>
        <v>837.44470588235049</v>
      </c>
      <c r="U13" s="542">
        <f t="shared" si="0"/>
        <v>418.72235294117399</v>
      </c>
    </row>
    <row r="14" spans="2:21">
      <c r="B14" s="557" t="s">
        <v>1337</v>
      </c>
      <c r="C14" s="557"/>
      <c r="D14" s="557">
        <v>0</v>
      </c>
      <c r="E14" s="542">
        <f>$E$7/$G$6</f>
        <v>418.7223529411765</v>
      </c>
      <c r="F14" s="542">
        <f>$E$7/$G$6</f>
        <v>418.7223529411765</v>
      </c>
      <c r="G14" s="542">
        <f t="shared" ref="G14:U14" si="1">$E$7/$G$6</f>
        <v>418.7223529411765</v>
      </c>
      <c r="H14" s="542">
        <f t="shared" si="1"/>
        <v>418.7223529411765</v>
      </c>
      <c r="I14" s="542">
        <f t="shared" si="1"/>
        <v>418.7223529411765</v>
      </c>
      <c r="J14" s="542">
        <f t="shared" si="1"/>
        <v>418.7223529411765</v>
      </c>
      <c r="K14" s="542">
        <f t="shared" si="1"/>
        <v>418.7223529411765</v>
      </c>
      <c r="L14" s="542">
        <f t="shared" si="1"/>
        <v>418.7223529411765</v>
      </c>
      <c r="M14" s="542">
        <f t="shared" si="1"/>
        <v>418.7223529411765</v>
      </c>
      <c r="N14" s="542">
        <f t="shared" si="1"/>
        <v>418.7223529411765</v>
      </c>
      <c r="O14" s="542">
        <f t="shared" si="1"/>
        <v>418.7223529411765</v>
      </c>
      <c r="P14" s="542">
        <f t="shared" si="1"/>
        <v>418.7223529411765</v>
      </c>
      <c r="Q14" s="542">
        <f t="shared" si="1"/>
        <v>418.7223529411765</v>
      </c>
      <c r="R14" s="542">
        <f t="shared" si="1"/>
        <v>418.7223529411765</v>
      </c>
      <c r="S14" s="542">
        <f t="shared" si="1"/>
        <v>418.7223529411765</v>
      </c>
      <c r="T14" s="542">
        <f t="shared" si="1"/>
        <v>418.7223529411765</v>
      </c>
      <c r="U14" s="542">
        <f t="shared" si="1"/>
        <v>418.7223529411765</v>
      </c>
    </row>
    <row r="15" spans="2:21">
      <c r="B15" s="557" t="s">
        <v>1336</v>
      </c>
      <c r="C15" s="557"/>
      <c r="D15">
        <v>0</v>
      </c>
      <c r="E15" s="542">
        <f>E13*F6</f>
        <v>971.64522000000011</v>
      </c>
      <c r="F15" s="542">
        <f>F13*$F$6</f>
        <v>914.48961882352955</v>
      </c>
      <c r="G15" s="542">
        <f t="shared" ref="G15:U15" si="2">G13*$F$6</f>
        <v>857.33401764705889</v>
      </c>
      <c r="H15" s="542">
        <f t="shared" si="2"/>
        <v>800.17841647058833</v>
      </c>
      <c r="I15" s="542">
        <f t="shared" si="2"/>
        <v>743.02281529411766</v>
      </c>
      <c r="J15" s="542">
        <f t="shared" si="2"/>
        <v>685.86721411764699</v>
      </c>
      <c r="K15" s="542">
        <f t="shared" si="2"/>
        <v>628.71161294117644</v>
      </c>
      <c r="L15" s="542">
        <f t="shared" si="2"/>
        <v>571.55601176470577</v>
      </c>
      <c r="M15" s="542">
        <f t="shared" si="2"/>
        <v>514.4004105882351</v>
      </c>
      <c r="N15" s="542">
        <f t="shared" si="2"/>
        <v>457.24480941176449</v>
      </c>
      <c r="O15" s="542">
        <f t="shared" si="2"/>
        <v>400.08920823529388</v>
      </c>
      <c r="P15" s="542">
        <f t="shared" si="2"/>
        <v>342.93360705882327</v>
      </c>
      <c r="Q15" s="542">
        <f t="shared" si="2"/>
        <v>285.77800588235266</v>
      </c>
      <c r="R15" s="542">
        <f t="shared" si="2"/>
        <v>228.62240470588205</v>
      </c>
      <c r="S15" s="542">
        <f t="shared" si="2"/>
        <v>171.46680352941144</v>
      </c>
      <c r="T15" s="542">
        <f t="shared" si="2"/>
        <v>114.31120235294085</v>
      </c>
      <c r="U15" s="542">
        <f t="shared" si="2"/>
        <v>57.155601176470256</v>
      </c>
    </row>
    <row r="16" spans="2:21">
      <c r="B16" s="557" t="s">
        <v>251</v>
      </c>
      <c r="C16" s="557">
        <f>E7</f>
        <v>7118.2800000000007</v>
      </c>
      <c r="D16">
        <f>D13</f>
        <v>7118.2800000000007</v>
      </c>
      <c r="E16" s="542">
        <f>E13-E14</f>
        <v>6699.5576470588239</v>
      </c>
      <c r="F16" s="542">
        <f>F13-F14</f>
        <v>6280.8352941176472</v>
      </c>
      <c r="G16" s="542">
        <f t="shared" ref="G16:U16" si="3">G13-G14</f>
        <v>5862.1129411764705</v>
      </c>
      <c r="H16" s="542">
        <f t="shared" si="3"/>
        <v>5443.3905882352938</v>
      </c>
      <c r="I16" s="542">
        <f t="shared" si="3"/>
        <v>5024.668235294117</v>
      </c>
      <c r="J16" s="542">
        <f t="shared" si="3"/>
        <v>4605.9458823529403</v>
      </c>
      <c r="K16" s="542">
        <f t="shared" si="3"/>
        <v>4187.2235294117636</v>
      </c>
      <c r="L16" s="542">
        <f t="shared" si="3"/>
        <v>3768.5011764705869</v>
      </c>
      <c r="M16" s="542">
        <f t="shared" si="3"/>
        <v>3349.7788235294101</v>
      </c>
      <c r="N16" s="542">
        <f t="shared" si="3"/>
        <v>2931.0564705882334</v>
      </c>
      <c r="O16" s="542">
        <f t="shared" si="3"/>
        <v>2512.3341176470567</v>
      </c>
      <c r="P16" s="542">
        <f t="shared" si="3"/>
        <v>2093.61176470588</v>
      </c>
      <c r="Q16" s="542">
        <f t="shared" si="3"/>
        <v>1674.8894117647035</v>
      </c>
      <c r="R16" s="542">
        <f t="shared" si="3"/>
        <v>1256.167058823527</v>
      </c>
      <c r="S16" s="542">
        <f t="shared" si="3"/>
        <v>837.44470588235049</v>
      </c>
      <c r="T16" s="542">
        <f t="shared" si="3"/>
        <v>418.72235294117399</v>
      </c>
      <c r="U16" s="542">
        <f t="shared" si="3"/>
        <v>-2.5011104298755527E-12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12</vt:i4>
      </vt:variant>
    </vt:vector>
  </HeadingPairs>
  <TitlesOfParts>
    <vt:vector size="35" baseType="lpstr">
      <vt:lpstr>Projected</vt:lpstr>
      <vt:lpstr>Historical</vt:lpstr>
      <vt:lpstr>Assum</vt:lpstr>
      <vt:lpstr>Tariff</vt:lpstr>
      <vt:lpstr>Gen</vt:lpstr>
      <vt:lpstr>Financials (2)</vt:lpstr>
      <vt:lpstr>Working Capital RK</vt:lpstr>
      <vt:lpstr>Depreciation Schedule</vt:lpstr>
      <vt:lpstr>RK Debt</vt:lpstr>
      <vt:lpstr>WACC RK</vt:lpstr>
      <vt:lpstr>EV</vt:lpstr>
      <vt:lpstr>Sheet2</vt:lpstr>
      <vt:lpstr>Financials</vt:lpstr>
      <vt:lpstr>Dep</vt:lpstr>
      <vt:lpstr>WC</vt:lpstr>
      <vt:lpstr>Debt</vt:lpstr>
      <vt:lpstr>Os</vt:lpstr>
      <vt:lpstr>CMA</vt:lpstr>
      <vt:lpstr>Operating Statement</vt:lpstr>
      <vt:lpstr>Balance Sheet</vt:lpstr>
      <vt:lpstr>Additional Information</vt:lpstr>
      <vt:lpstr>Sheet1</vt:lpstr>
      <vt:lpstr>Valuation Summary </vt:lpstr>
      <vt:lpstr>_____xlnm.Print_Area_2</vt:lpstr>
      <vt:lpstr>____xlnm.Print_Area_2</vt:lpstr>
      <vt:lpstr>____xlnm.Print_Area_3</vt:lpstr>
      <vt:lpstr>__xlnm.Print_Area_2</vt:lpstr>
      <vt:lpstr>__xlnm.Print_Area_3</vt:lpstr>
      <vt:lpstr>__xlnm.Print_Area_4</vt:lpstr>
      <vt:lpstr>Cr</vt:lpstr>
      <vt:lpstr>lk</vt:lpstr>
      <vt:lpstr>mn</vt:lpstr>
      <vt:lpstr>'Additional Information'!Print_Area</vt:lpstr>
      <vt:lpstr>'Balance Sheet'!Print_Area</vt:lpstr>
      <vt:lpstr>'Operating Statement'!Print_Area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Saransh</dc:creator>
  <cp:lastModifiedBy>welcome</cp:lastModifiedBy>
  <cp:lastPrinted>2023-11-07T09:21:24Z</cp:lastPrinted>
  <dcterms:created xsi:type="dcterms:W3CDTF">2017-01-31T11:14:00Z</dcterms:created>
  <dcterms:modified xsi:type="dcterms:W3CDTF">2024-01-09T07:55:08Z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1033-10.2.0.5965</vt:lpwstr>
  </property>
</Properties>
</file>